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9600" windowHeight="12105" firstSheet="2" activeTab="10"/>
  </bookViews>
  <sheets>
    <sheet name="2012 Rev Reconciliation" sheetId="1" state="hidden" r:id="rId1"/>
    <sheet name="Schedule 1" sheetId="2" r:id="rId2"/>
    <sheet name="Schedule 2" sheetId="3" r:id="rId3"/>
    <sheet name="Schedule 3" sheetId="8" r:id="rId4"/>
    <sheet name="Schedule 4" sheetId="9" r:id="rId5"/>
    <sheet name="Schedule 5" sheetId="5" r:id="rId6"/>
    <sheet name="Schedule 5A" sheetId="23" r:id="rId7"/>
    <sheet name="Schedule 6" sheetId="4" r:id="rId8"/>
    <sheet name="Schedule 7" sheetId="10" r:id="rId9"/>
    <sheet name="Schedule 8" sheetId="11" r:id="rId10"/>
    <sheet name="Schedule 9" sheetId="7" r:id="rId11"/>
    <sheet name="Schedule 10" sheetId="35" r:id="rId12"/>
    <sheet name="StLgt Assets" sheetId="14" state="hidden" r:id="rId13"/>
    <sheet name="2012 Unpublished Rates" sheetId="13" state="hidden" r:id="rId14"/>
    <sheet name="HPS LED rates" sheetId="26" state="hidden" r:id="rId15"/>
    <sheet name="2012 Stlgt Rates" sheetId="6" state="hidden" r:id="rId16"/>
    <sheet name="2012 Rates" sheetId="12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c">'[1]Prev YTD'!#REF!</definedName>
    <definedName name="\p">'[1]Prev YTD'!#REF!</definedName>
    <definedName name="_1__123Graph_ACHART_1" hidden="1">[2]MCNP!$O$2:$O$9</definedName>
    <definedName name="_10">#REF!</definedName>
    <definedName name="_11">#REF!</definedName>
    <definedName name="_13">#REF!</definedName>
    <definedName name="_14">#REF!</definedName>
    <definedName name="_15_0">#REF!</definedName>
    <definedName name="_15_1">#REF!</definedName>
    <definedName name="_15_32">#REF!</definedName>
    <definedName name="_15_36">#REF!</definedName>
    <definedName name="_15_6">#REF!</definedName>
    <definedName name="_15_81">#REF!</definedName>
    <definedName name="_15_83">#REF!</definedName>
    <definedName name="_17_0">#REF!</definedName>
    <definedName name="_2__123Graph_BCHART_1" hidden="1">[2]MCNP!$P$2:$P$9</definedName>
    <definedName name="_22_71">#REF!</definedName>
    <definedName name="_4A">#REF!</definedName>
    <definedName name="_4B">#REF!</definedName>
    <definedName name="_6">#REF!</definedName>
    <definedName name="_9">#REF!</definedName>
    <definedName name="_Alt1">[3]Control!$M$6</definedName>
    <definedName name="_Alt2">[3]Control!$P$6</definedName>
    <definedName name="_Alt3">[3]Control!$S$6</definedName>
    <definedName name="_Alt4">[3]Control!$V$6</definedName>
    <definedName name="_Alt5">[3]Control!$Y$6</definedName>
    <definedName name="_xlnm._FilterDatabase" localSheetId="13" hidden="1">'2012 Unpublished Rates'!$G$1:$G$447</definedName>
    <definedName name="_xlnm._FilterDatabase" localSheetId="10" hidden="1">'Schedule 9'!$S$1:$S$196</definedName>
    <definedName name="_Key1" hidden="1">'[4]Budget schedule'!#REF!</definedName>
    <definedName name="_Order1" hidden="1">255</definedName>
    <definedName name="_ptr1">#REF!</definedName>
    <definedName name="_ptr2">#REF!</definedName>
    <definedName name="_sch4">#REF!</definedName>
    <definedName name="_SGA1">'[5]Valuation sheet Fine'!#REF!</definedName>
    <definedName name="_Sort" hidden="1">'[4]Budget schedule'!#REF!</definedName>
    <definedName name="ActNP">'[6]Act-NP'!$A$5:$I$64</definedName>
    <definedName name="Admin">#REF!</definedName>
    <definedName name="ALL">#REF!</definedName>
    <definedName name="ALTLIST">[7]Input!$I$16:$I$19</definedName>
    <definedName name="Analysis">#REF!</definedName>
    <definedName name="AnnualTrips">[3]Control!$D$30</definedName>
    <definedName name="Bal_Year_Diff">'[8]May 5'!$F$9</definedName>
    <definedName name="Base">'[9]Feb Template'!$F$6</definedName>
    <definedName name="Benefits">'[10]Pick Lists &amp; Costs'!$B$8:$B$21</definedName>
    <definedName name="BenefitTypes">'[10]Pick Lists &amp; Costs'!$B$9:$B$21</definedName>
    <definedName name="BHEASSET">[7]Input!$M$26:$N$30</definedName>
    <definedName name="BOOKGROUP">[7]Input!$D$34</definedName>
    <definedName name="BookYrs">[3]Control!$D$34</definedName>
    <definedName name="BOOLEAN">[7]Input!$K$4:$K$5</definedName>
    <definedName name="Budget98">#REF!</definedName>
    <definedName name="Ca04_05_Diff">'[8]May 5'!$G$47</definedName>
    <definedName name="Cal04_05_Diff">'[8]May 5'!$G$47</definedName>
    <definedName name="Cal04_Diff">'[8]May 5'!$F$11</definedName>
    <definedName name="CAPCOST">[7]Input!$D$17:$D$17</definedName>
    <definedName name="CAPDESCR">[7]Input!$D$18:$D$18</definedName>
    <definedName name="CAPLIFE">[7]Input!$D$26</definedName>
    <definedName name="CAPPRESENT">[7]Input!$D$24:$D$24</definedName>
    <definedName name="CAPWHEN">[7]Input!$D$22</definedName>
    <definedName name="COCA">[7]Input!$T$55</definedName>
    <definedName name="COCB">[7]Input!$T$56</definedName>
    <definedName name="COCC">[7]Input!$T$57</definedName>
    <definedName name="Contract">'[11]MPP Contracts'!$A$10:$DC$215</definedName>
    <definedName name="Contract_Price">#REF!</definedName>
    <definedName name="CONTYPE">[12]Variable!$BF$3</definedName>
    <definedName name="CostAdmin">[3]Control!$F$21</definedName>
    <definedName name="CostCover">[3]Control!$F$11</definedName>
    <definedName name="CostImplode">[3]Control!$F$20</definedName>
    <definedName name="CURRENTYEAR">[7]Input!$D$6</definedName>
    <definedName name="Curve">[13]Forwards!$B$4:$N$733</definedName>
    <definedName name="Data">'[13]Nucleas Data'!$A$2:$E$13546</definedName>
    <definedName name="dates">[14]Sheet3!$A$1:$A$730</definedName>
    <definedName name="DELCON">#REF!</definedName>
    <definedName name="DESCRA">[7]Input!$D$9:$D$9</definedName>
    <definedName name="DESCRB">[7]Input!$D$10:$D$10</definedName>
    <definedName name="DESCRC">[7]Input!$D$11:$D$11</definedName>
    <definedName name="DESCRD">[7]Input!$D$12:$D$12</definedName>
    <definedName name="DESCRP">[7]Input!$D$8</definedName>
    <definedName name="DIFF">'[7]Work Area'!$I$20</definedName>
    <definedName name="disc">#REF!</definedName>
    <definedName name="DiscRate">[3]Control!$D$31</definedName>
    <definedName name="Dollarspage">#REF!</definedName>
    <definedName name="Effluent">#REF!</definedName>
    <definedName name="Effluentdept">#REF!</definedName>
    <definedName name="EffluentperFt">#REF!</definedName>
    <definedName name="Enterprise">'[15]Enterprise Number and Name'!$B$4:$D$268</definedName>
    <definedName name="ESCALATE">[7]Input!$S$60</definedName>
    <definedName name="FebSB">[16]Swaps!#REF!</definedName>
    <definedName name="FilterCost">[3]Control!$F$16</definedName>
    <definedName name="GROUP">[7]Input!$D$32</definedName>
    <definedName name="GWDdep">#REF!</definedName>
    <definedName name="GWDperFt">#REF!</definedName>
    <definedName name="Hatches">[3]Control!$D$29</definedName>
    <definedName name="Hourspage">#REF!</definedName>
    <definedName name="ImpCostIn">[3]Control!$B$50</definedName>
    <definedName name="ImpCostTable">[3]RepairCost!$D$38:$E$57</definedName>
    <definedName name="Implosions">[3]Control!$F$14</definedName>
    <definedName name="Inflation">[3]Control!$F$23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39993.5445601852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RA">'[7]Alt A'!$B$17:$AP$17</definedName>
    <definedName name="IRRB">'[7]Alt B'!$B$17:$AP$17</definedName>
    <definedName name="IRRC">'[7]Alt C'!$B$17:$AP$17</definedName>
    <definedName name="IRRD">'[7]Alt D'!$B$17:$AP$17</definedName>
    <definedName name="IRRGUESS">[7]Input!$S$61</definedName>
    <definedName name="JanSB">[16]Swaps!#REF!</definedName>
    <definedName name="JanSP">[16]Swaps!#REF!</definedName>
    <definedName name="JanSPU">[16]Swaps!#REF!</definedName>
    <definedName name="JVPRINT">#REF!</definedName>
    <definedName name="Kraftpulp">#REF!</definedName>
    <definedName name="LASTOPYEAR">[7]Input!$D$47</definedName>
    <definedName name="Life_Range">[7]Input!$L$4:$L$43</definedName>
    <definedName name="Nov_Mar_Diff">'[8]May 5'!$F$10</definedName>
    <definedName name="NPRWDEL">#REF!</definedName>
    <definedName name="NPV">[3]CALC!$B$35</definedName>
    <definedName name="NPVA">'[7]Alt A'!$AQ$21</definedName>
    <definedName name="NPVB">'[7]Alt B'!$AQ$21</definedName>
    <definedName name="NPVC">'[7]Alt C'!$AQ$21</definedName>
    <definedName name="NPVD">'[7]Alt D'!$AQ$21</definedName>
    <definedName name="NSPIASSET">[7]Input!$M$4:$N$24</definedName>
    <definedName name="NumberCars">[3]Control!$D$26</definedName>
    <definedName name="OPARRAY">'[7]Work Area'!$B$13:$G$54</definedName>
    <definedName name="OPCOST">[7]Input!$D$49:$D$49</definedName>
    <definedName name="OPDESCR">[7]Input!$D$41:$D$41</definedName>
    <definedName name="OpGrowth">[7]Input!$D$58</definedName>
    <definedName name="OpGrowthAmt">[7]Input!$E$58</definedName>
    <definedName name="OpInc">[7]Input!$D$57</definedName>
    <definedName name="OpIncAmt">[7]Input!$E$57</definedName>
    <definedName name="OPINTERVAL">[7]Input!$D$60</definedName>
    <definedName name="OPPRESENT">[7]Input!$D$52:$D$52</definedName>
    <definedName name="OpSame">[7]Input!$D$56</definedName>
    <definedName name="OPTAX">[7]Input!$D$54:$D$54</definedName>
    <definedName name="OPVOL">[7]Input!$D$50</definedName>
    <definedName name="OPYEARNUM">[7]Input!$D$45:$D$45</definedName>
    <definedName name="otherperft">#REF!</definedName>
    <definedName name="othersdept">#REF!</definedName>
    <definedName name="page1">#REF!</definedName>
    <definedName name="page3">#REF!</definedName>
    <definedName name="PMdep">#REF!</definedName>
    <definedName name="PMperFt">#REF!</definedName>
    <definedName name="Powerdept">#REF!</definedName>
    <definedName name="_xlnm.Print_Area" localSheetId="16">'2012 Rates'!$A$17:$T$683</definedName>
    <definedName name="_xlnm.Print_Area" localSheetId="0">'2012 Rev Reconciliation'!$A$1:$J$73</definedName>
    <definedName name="_xlnm.Print_Area" localSheetId="15">'2012 Stlgt Rates'!$A$12:$J$202</definedName>
    <definedName name="_xlnm.Print_Area" localSheetId="13">'2012 Unpublished Rates'!$A$14:$V$445</definedName>
    <definedName name="_xlnm.Print_Area" localSheetId="14">'HPS LED rates'!$A$17:$P$20</definedName>
    <definedName name="_xlnm.Print_Area" localSheetId="1">'Schedule 1'!$A$1:$K$88</definedName>
    <definedName name="_xlnm.Print_Area" localSheetId="11">'Schedule 10'!$A$1:$L$14</definedName>
    <definedName name="_xlnm.Print_Area" localSheetId="2">'Schedule 2'!$A$1:$H$30</definedName>
    <definedName name="_xlnm.Print_Area" localSheetId="3">'Schedule 3'!$A$1:$H$71</definedName>
    <definedName name="_xlnm.Print_Area" localSheetId="4">'Schedule 4'!$A$1:$R$51</definedName>
    <definedName name="_xlnm.Print_Area" localSheetId="5">'Schedule 5'!$A$1:$I$50</definedName>
    <definedName name="_xlnm.Print_Area" localSheetId="6">'Schedule 5A'!$A$1:$I$48</definedName>
    <definedName name="_xlnm.Print_Area" localSheetId="7">'Schedule 6'!$A$1:$I$52</definedName>
    <definedName name="_xlnm.Print_Area" localSheetId="8">'Schedule 7'!$A$1:$E$143</definedName>
    <definedName name="_xlnm.Print_Area" localSheetId="9">'Schedule 8'!$A$1:$F$27</definedName>
    <definedName name="_xlnm.Print_Area" localSheetId="10">'Schedule 9'!$D$14:$P$196</definedName>
    <definedName name="_xlnm.Print_Area" localSheetId="12">'StLgt Assets'!$A$1:$E$68</definedName>
    <definedName name="Print_Area_MI">#REF!</definedName>
    <definedName name="_xlnm.Print_Titles" localSheetId="16">'2012 Rates'!$1:$16</definedName>
    <definedName name="_xlnm.Print_Titles" localSheetId="15">'2012 Stlgt Rates'!$1:$11</definedName>
    <definedName name="_xlnm.Print_Titles" localSheetId="13">'2012 Unpublished Rates'!$A:$C,'2012 Unpublished Rates'!$1:$13</definedName>
    <definedName name="_xlnm.Print_Titles" localSheetId="14">'HPS LED rates'!$1:$16</definedName>
    <definedName name="_xlnm.Print_Titles" localSheetId="8">'Schedule 7'!$1:$8</definedName>
    <definedName name="_xlnm.Print_Titles" localSheetId="10">'Schedule 9'!$A:$C,'Schedule 9'!$1:$11</definedName>
    <definedName name="_xlnm.Print_Titles">#N/A</definedName>
    <definedName name="print1">#REF!</definedName>
    <definedName name="PRINT2">#REF!</definedName>
    <definedName name="PRINT3">#REF!</definedName>
    <definedName name="print6">#REF!</definedName>
    <definedName name="PrintILP">#REF!</definedName>
    <definedName name="printjv">#REF!</definedName>
    <definedName name="ProjName">[3]Control!$B$1</definedName>
    <definedName name="PRTFIN">#REF!</definedName>
    <definedName name="PWYEAR">[7]Input!$J$4:$J$4</definedName>
    <definedName name="PYBKA">'[7]Alt A'!$AQ$23</definedName>
    <definedName name="PYBKB">'[7]Alt B'!$AQ$23</definedName>
    <definedName name="PYBKC">'[7]Alt C'!$AQ$23</definedName>
    <definedName name="PYBKD">'[7]Alt D'!$AQ$23</definedName>
    <definedName name="rept_per">#REF!</definedName>
    <definedName name="REVENUE">[7]Input!$D$43</definedName>
    <definedName name="SALVAGE">[7]Input!$D$28:$D$28</definedName>
    <definedName name="SALVAGEAMOUNT">[7]Input!$D$30:$D$30</definedName>
    <definedName name="SALVYEAR">'[7]Work Area'!$G$8</definedName>
    <definedName name="SDLC">'[17]How to  Update Forms'!$B$153:$B$158</definedName>
    <definedName name="Selling">#REF!</definedName>
    <definedName name="sencount" hidden="1">1</definedName>
    <definedName name="SGA">'[5]Valuation sheet Mag'!#REF!</definedName>
    <definedName name="ShowerCost">[3]Control!$F$18</definedName>
    <definedName name="solver_adj" localSheetId="0" hidden="1">'2012 Rev Reconciliation'!$B$8</definedName>
    <definedName name="solver_adj" localSheetId="3" hidden="1">'Schedule 3'!$I$11</definedName>
    <definedName name="solver_cvg" localSheetId="0" hidden="1">0.0001</definedName>
    <definedName name="solver_cvg" localSheetId="3" hidden="1">0.0001</definedName>
    <definedName name="solver_drv" localSheetId="0" hidden="1">1</definedName>
    <definedName name="solver_drv" localSheetId="3" hidden="1">1</definedName>
    <definedName name="solver_est" localSheetId="0" hidden="1">1</definedName>
    <definedName name="solver_est" localSheetId="3" hidden="1">1</definedName>
    <definedName name="solver_itr" localSheetId="0" hidden="1">100</definedName>
    <definedName name="solver_itr" localSheetId="3" hidden="1">100</definedName>
    <definedName name="solver_lin" localSheetId="0" hidden="1">2</definedName>
    <definedName name="solver_lin" localSheetId="3" hidden="1">2</definedName>
    <definedName name="solver_neg" localSheetId="0" hidden="1">2</definedName>
    <definedName name="solver_neg" localSheetId="3" hidden="1">2</definedName>
    <definedName name="solver_num" localSheetId="0" hidden="1">0</definedName>
    <definedName name="solver_num" localSheetId="3" hidden="1">0</definedName>
    <definedName name="solver_nwt" localSheetId="0" hidden="1">1</definedName>
    <definedName name="solver_nwt" localSheetId="3" hidden="1">1</definedName>
    <definedName name="solver_opt" localSheetId="0" hidden="1">'2012 Rev Reconciliation'!$I$33</definedName>
    <definedName name="solver_opt" localSheetId="3" hidden="1">'Schedule 3'!$I$12</definedName>
    <definedName name="solver_pre" localSheetId="0" hidden="1">0.000001</definedName>
    <definedName name="solver_pre" localSheetId="3" hidden="1">0.000001</definedName>
    <definedName name="solver_scl" localSheetId="0" hidden="1">2</definedName>
    <definedName name="solver_scl" localSheetId="3" hidden="1">2</definedName>
    <definedName name="solver_sho" localSheetId="0" hidden="1">2</definedName>
    <definedName name="solver_sho" localSheetId="3" hidden="1">2</definedName>
    <definedName name="solver_tim" localSheetId="0" hidden="1">100</definedName>
    <definedName name="solver_tim" localSheetId="3" hidden="1">100</definedName>
    <definedName name="solver_tol" localSheetId="0" hidden="1">0.05</definedName>
    <definedName name="solver_tol" localSheetId="3" hidden="1">0.05</definedName>
    <definedName name="solver_typ" localSheetId="0" hidden="1">3</definedName>
    <definedName name="solver_typ" localSheetId="3" hidden="1">3</definedName>
    <definedName name="solver_val" localSheetId="0" hidden="1">0</definedName>
    <definedName name="solver_val" localSheetId="3" hidden="1">0</definedName>
    <definedName name="source_data">#REF!</definedName>
    <definedName name="Steamdept">#REF!</definedName>
    <definedName name="steamdist">#REF!</definedName>
    <definedName name="SteamperFt">#REF!</definedName>
    <definedName name="Strategy">[3]Control!$B$41</definedName>
    <definedName name="SUB">[7]Input!$D$4</definedName>
    <definedName name="SUBGROUP">[7]Input!$D$36</definedName>
    <definedName name="SUBGRPCHOOSE">[7]Input!$N$155</definedName>
    <definedName name="SUBSELECT">[7]Input!$H$4:$H$5</definedName>
    <definedName name="SUBTEST">[7]Input!$M$154</definedName>
    <definedName name="Summ">#REF!</definedName>
    <definedName name="summary">#REF!</definedName>
    <definedName name="TaxRate">[3]Control!$D$32</definedName>
    <definedName name="term">#REF!</definedName>
    <definedName name="Test">[16]Swaps!#REF!</definedName>
    <definedName name="TIERPRICE">[12]Bid_Information!$D$50</definedName>
    <definedName name="TMPRWDEL">#REF!</definedName>
    <definedName name="tod">'[18]FACT SHEET - Mag'!$E$75</definedName>
    <definedName name="TOTALM">#REF!</definedName>
    <definedName name="US_Exchange_Rate">[19]Assumptions!$B$3</definedName>
    <definedName name="VerDate">[3]RevRecord!$D$1</definedName>
    <definedName name="VersionNum">[3]RevRecord!$D$2</definedName>
    <definedName name="WACC1">#REF!</definedName>
    <definedName name="WaterCost">[3]Control!$F$22</definedName>
    <definedName name="WaterRwk">[3]Control!$F$15</definedName>
    <definedName name="XAnalysis">#REF!</definedName>
    <definedName name="xxanalysis">#REF!</definedName>
    <definedName name="xxxana">#REF!</definedName>
    <definedName name="xxxvv">#REF!</definedName>
    <definedName name="xxxxab">#REF!</definedName>
    <definedName name="xxxxanalysis">#REF!</definedName>
    <definedName name="xxxxsd">'[20]How to  Update Forms'!$B$153:$B$158</definedName>
    <definedName name="xxxxxanalysis">#REF!</definedName>
    <definedName name="Year">[3]CALC!$B$3:$U$3</definedName>
    <definedName name="Year_Range">[7]Input!$J$4:$J$44</definedName>
    <definedName name="Year1">[3]Control!$D$33</definedName>
    <definedName name="ZZDECTAB">"X"</definedName>
  </definedNames>
  <calcPr calcId="145621"/>
</workbook>
</file>

<file path=xl/calcChain.xml><?xml version="1.0" encoding="utf-8"?>
<calcChain xmlns="http://schemas.openxmlformats.org/spreadsheetml/2006/main">
  <c r="C728" i="12" l="1"/>
  <c r="E728" i="12"/>
  <c r="D227" i="12"/>
  <c r="D221" i="12"/>
  <c r="D200" i="12"/>
  <c r="D194" i="12"/>
  <c r="D188" i="12"/>
  <c r="D182" i="12"/>
  <c r="D171" i="12"/>
  <c r="D165" i="12"/>
  <c r="D157" i="12"/>
  <c r="D155" i="12"/>
  <c r="C390" i="12"/>
  <c r="B7" i="1"/>
  <c r="K13" i="35"/>
  <c r="L13" i="35"/>
  <c r="G13" i="35"/>
  <c r="K12" i="35"/>
  <c r="L12" i="35" s="1"/>
  <c r="G12" i="35"/>
  <c r="K11" i="35"/>
  <c r="L11" i="35" s="1"/>
  <c r="G11" i="35"/>
  <c r="K10" i="35"/>
  <c r="L10" i="35" s="1"/>
  <c r="G10" i="35"/>
  <c r="K9" i="35"/>
  <c r="L9" i="35" s="1"/>
  <c r="G9" i="35"/>
  <c r="K8" i="35"/>
  <c r="L8" i="35" s="1"/>
  <c r="G8" i="35"/>
  <c r="K7" i="35"/>
  <c r="L7" i="35" s="1"/>
  <c r="G7" i="35"/>
  <c r="K6" i="35"/>
  <c r="L6" i="35" s="1"/>
  <c r="G6" i="35"/>
  <c r="J85" i="2"/>
  <c r="K155" i="7" s="1"/>
  <c r="I85" i="2"/>
  <c r="H85" i="2"/>
  <c r="J84" i="2"/>
  <c r="K154" i="7" s="1"/>
  <c r="I84" i="2"/>
  <c r="H84" i="2"/>
  <c r="J83" i="2"/>
  <c r="K153" i="7" s="1"/>
  <c r="I83" i="2"/>
  <c r="H83" i="2"/>
  <c r="J82" i="2"/>
  <c r="K152" i="7" s="1"/>
  <c r="I82" i="2"/>
  <c r="H82" i="2"/>
  <c r="J81" i="2"/>
  <c r="K151" i="7" s="1"/>
  <c r="I81" i="2"/>
  <c r="H81" i="2"/>
  <c r="K81" i="2"/>
  <c r="J80" i="2"/>
  <c r="K146" i="7"/>
  <c r="I80" i="2"/>
  <c r="H80" i="2"/>
  <c r="J79" i="2"/>
  <c r="K145" i="7"/>
  <c r="I79" i="2"/>
  <c r="H79" i="2"/>
  <c r="J78" i="2"/>
  <c r="K150" i="7"/>
  <c r="I78" i="2"/>
  <c r="H78" i="2"/>
  <c r="J77" i="2"/>
  <c r="K144" i="7"/>
  <c r="I77" i="2"/>
  <c r="H77" i="2"/>
  <c r="K77" i="2" s="1"/>
  <c r="J74" i="2"/>
  <c r="K135" i="7" s="1"/>
  <c r="I74" i="2"/>
  <c r="H74" i="2"/>
  <c r="K74" i="2"/>
  <c r="J73" i="2"/>
  <c r="K134" i="7"/>
  <c r="I73" i="2"/>
  <c r="H73" i="2"/>
  <c r="J72" i="2"/>
  <c r="K133" i="7"/>
  <c r="I72" i="2"/>
  <c r="K72" i="2"/>
  <c r="H72" i="2"/>
  <c r="J71" i="2"/>
  <c r="I71" i="2"/>
  <c r="H71" i="2"/>
  <c r="K128" i="7" s="1"/>
  <c r="J70" i="2"/>
  <c r="I70" i="2"/>
  <c r="H70" i="2"/>
  <c r="K126" i="7" s="1"/>
  <c r="J69" i="2"/>
  <c r="K132" i="7" s="1"/>
  <c r="X132" i="7" s="1"/>
  <c r="Z132" i="7" s="1"/>
  <c r="AA132" i="7" s="1"/>
  <c r="I69" i="2"/>
  <c r="H69" i="2"/>
  <c r="K124" i="7"/>
  <c r="J68" i="2"/>
  <c r="K130" i="7"/>
  <c r="I68" i="2"/>
  <c r="H68" i="2"/>
  <c r="K123" i="7" s="1"/>
  <c r="J67" i="2"/>
  <c r="K131" i="7" s="1"/>
  <c r="X131" i="7" s="1"/>
  <c r="Z131" i="7" s="1"/>
  <c r="AA131" i="7" s="1"/>
  <c r="I67" i="2"/>
  <c r="H67" i="2"/>
  <c r="K122" i="7" s="1"/>
  <c r="J64" i="2"/>
  <c r="I64" i="2"/>
  <c r="H64" i="2"/>
  <c r="K89" i="7" s="1"/>
  <c r="J63" i="2"/>
  <c r="K93" i="7" s="1"/>
  <c r="I63" i="2"/>
  <c r="K91" i="7" s="1"/>
  <c r="H63" i="2"/>
  <c r="K88" i="7" s="1"/>
  <c r="J62" i="2"/>
  <c r="I62" i="2"/>
  <c r="H62" i="2"/>
  <c r="K87" i="7" s="1"/>
  <c r="J59" i="2"/>
  <c r="K117" i="7" s="1"/>
  <c r="I59" i="2"/>
  <c r="H59" i="2"/>
  <c r="J58" i="2"/>
  <c r="K116" i="7" s="1"/>
  <c r="I58" i="2"/>
  <c r="H58" i="2"/>
  <c r="J57" i="2"/>
  <c r="K114" i="7" s="1"/>
  <c r="X114" i="7" s="1"/>
  <c r="Z114" i="7" s="1"/>
  <c r="AA114" i="7" s="1"/>
  <c r="I57" i="2"/>
  <c r="H57" i="2"/>
  <c r="K57" i="2"/>
  <c r="J56" i="2"/>
  <c r="I56" i="2"/>
  <c r="H56" i="2"/>
  <c r="K102" i="7"/>
  <c r="J55" i="2"/>
  <c r="K112" i="7"/>
  <c r="I55" i="2"/>
  <c r="K107" i="7"/>
  <c r="H55" i="2"/>
  <c r="K101" i="7"/>
  <c r="J54" i="2"/>
  <c r="K111" i="7"/>
  <c r="X111" i="7" s="1"/>
  <c r="Z111" i="7" s="1"/>
  <c r="AA111" i="7" s="1"/>
  <c r="I54" i="2"/>
  <c r="K106" i="7" s="1"/>
  <c r="X106" i="7" s="1"/>
  <c r="Z106" i="7" s="1"/>
  <c r="AA106" i="7" s="1"/>
  <c r="H54" i="2"/>
  <c r="K100" i="7"/>
  <c r="J53" i="2"/>
  <c r="K110" i="7"/>
  <c r="I53" i="2"/>
  <c r="K105" i="7"/>
  <c r="H53" i="2"/>
  <c r="K99" i="7"/>
  <c r="J52" i="2"/>
  <c r="K113" i="7"/>
  <c r="I52" i="2"/>
  <c r="H52" i="2"/>
  <c r="K98" i="7" s="1"/>
  <c r="J51" i="2"/>
  <c r="K109" i="7" s="1"/>
  <c r="X109" i="7" s="1"/>
  <c r="Z109" i="7" s="1"/>
  <c r="AA109" i="7" s="1"/>
  <c r="I51" i="2"/>
  <c r="K104" i="7" s="1"/>
  <c r="H51" i="2"/>
  <c r="K97" i="7" s="1"/>
  <c r="J48" i="2"/>
  <c r="K82" i="7" s="1"/>
  <c r="I48" i="2"/>
  <c r="H48" i="2"/>
  <c r="J47" i="2"/>
  <c r="K81" i="7" s="1"/>
  <c r="I47" i="2"/>
  <c r="H47" i="2"/>
  <c r="J46" i="2"/>
  <c r="K80" i="7" s="1"/>
  <c r="I46" i="2"/>
  <c r="H46" i="2"/>
  <c r="J45" i="2"/>
  <c r="K79" i="7" s="1"/>
  <c r="I45" i="2"/>
  <c r="H45" i="2"/>
  <c r="J44" i="2"/>
  <c r="K78" i="7" s="1"/>
  <c r="I44" i="2"/>
  <c r="H44" i="2"/>
  <c r="J43" i="2"/>
  <c r="K77" i="7" s="1"/>
  <c r="I43" i="2"/>
  <c r="H43" i="2"/>
  <c r="J40" i="2"/>
  <c r="K72" i="7" s="1"/>
  <c r="I40" i="2"/>
  <c r="H40" i="2"/>
  <c r="J39" i="2"/>
  <c r="K71" i="7" s="1"/>
  <c r="I39" i="2"/>
  <c r="H39" i="2"/>
  <c r="K39" i="2"/>
  <c r="J38" i="2"/>
  <c r="K70" i="7"/>
  <c r="I38" i="2"/>
  <c r="H38" i="2"/>
  <c r="J37" i="2"/>
  <c r="K69" i="7"/>
  <c r="I37" i="2"/>
  <c r="K37" i="2"/>
  <c r="H37" i="2"/>
  <c r="J36" i="2"/>
  <c r="K68" i="7" s="1"/>
  <c r="I36" i="2"/>
  <c r="H36" i="2"/>
  <c r="J33" i="2"/>
  <c r="K83" i="7" s="1"/>
  <c r="I33" i="2"/>
  <c r="H33" i="2"/>
  <c r="J32" i="2"/>
  <c r="K62" i="7" s="1"/>
  <c r="I32" i="2"/>
  <c r="H32" i="2"/>
  <c r="J31" i="2"/>
  <c r="I31" i="2"/>
  <c r="K60" i="7"/>
  <c r="H31" i="2"/>
  <c r="J30" i="2"/>
  <c r="I30" i="2"/>
  <c r="K59" i="7"/>
  <c r="H30" i="2"/>
  <c r="J29" i="2"/>
  <c r="I29" i="2"/>
  <c r="K58" i="7"/>
  <c r="H29" i="2"/>
  <c r="K52" i="7"/>
  <c r="J28" i="2"/>
  <c r="I28" i="2"/>
  <c r="K57" i="7" s="1"/>
  <c r="H28" i="2"/>
  <c r="K51" i="7" s="1"/>
  <c r="J27" i="2"/>
  <c r="I27" i="2"/>
  <c r="K56" i="7"/>
  <c r="H27" i="2"/>
  <c r="K50" i="7"/>
  <c r="J26" i="2"/>
  <c r="I26" i="2"/>
  <c r="K55" i="7" s="1"/>
  <c r="H26" i="2"/>
  <c r="K49" i="7" s="1"/>
  <c r="J25" i="2"/>
  <c r="I25" i="2"/>
  <c r="H25" i="2"/>
  <c r="K48" i="7" s="1"/>
  <c r="J24" i="2"/>
  <c r="I24" i="2"/>
  <c r="H24" i="2"/>
  <c r="K47" i="7" s="1"/>
  <c r="J23" i="2"/>
  <c r="I23" i="2"/>
  <c r="H23" i="2"/>
  <c r="K46" i="7" s="1"/>
  <c r="J20" i="2"/>
  <c r="I20" i="2"/>
  <c r="H20" i="2"/>
  <c r="K28" i="7"/>
  <c r="J19" i="2"/>
  <c r="K42" i="7"/>
  <c r="I19" i="2"/>
  <c r="K35" i="7"/>
  <c r="H19" i="2"/>
  <c r="K27" i="7"/>
  <c r="J18" i="2"/>
  <c r="K41" i="7"/>
  <c r="I18" i="2"/>
  <c r="K34" i="7"/>
  <c r="H18" i="2"/>
  <c r="K26" i="7"/>
  <c r="J17" i="2"/>
  <c r="K40" i="7"/>
  <c r="I17" i="2"/>
  <c r="K33" i="7"/>
  <c r="H17" i="2"/>
  <c r="K25" i="7"/>
  <c r="J16" i="2"/>
  <c r="K39" i="7"/>
  <c r="I16" i="2"/>
  <c r="K32" i="7"/>
  <c r="H16" i="2"/>
  <c r="K24" i="7"/>
  <c r="J15" i="2"/>
  <c r="K38" i="7"/>
  <c r="I15" i="2"/>
  <c r="K31" i="7"/>
  <c r="H15" i="2"/>
  <c r="K23" i="7"/>
  <c r="J14" i="2"/>
  <c r="K37" i="7"/>
  <c r="I14" i="2"/>
  <c r="K30" i="7"/>
  <c r="H14" i="2"/>
  <c r="K22" i="7"/>
  <c r="J13" i="2"/>
  <c r="I13" i="2"/>
  <c r="H13" i="2"/>
  <c r="K21" i="7"/>
  <c r="J10" i="2"/>
  <c r="I10" i="2"/>
  <c r="H10" i="2"/>
  <c r="K15" i="7"/>
  <c r="J9" i="2"/>
  <c r="K17" i="7"/>
  <c r="I9" i="2"/>
  <c r="H9" i="2"/>
  <c r="K14" i="7"/>
  <c r="E60" i="2"/>
  <c r="J60" i="2" s="1"/>
  <c r="M43" i="9"/>
  <c r="E11" i="5"/>
  <c r="F11" i="5" s="1"/>
  <c r="D23" i="23" s="1"/>
  <c r="G4" i="8"/>
  <c r="D61" i="14"/>
  <c r="E29" i="5" s="1"/>
  <c r="D63" i="14"/>
  <c r="B65" i="14"/>
  <c r="C65" i="14"/>
  <c r="O59" i="7"/>
  <c r="X112" i="7"/>
  <c r="Z112" i="7" s="1"/>
  <c r="AA112" i="7" s="1"/>
  <c r="X130" i="7"/>
  <c r="Z130" i="7" s="1"/>
  <c r="AA130" i="7" s="1"/>
  <c r="X134" i="7"/>
  <c r="Z134" i="7" s="1"/>
  <c r="AA134" i="7" s="1"/>
  <c r="X144" i="7"/>
  <c r="B48" i="14"/>
  <c r="D12" i="23"/>
  <c r="D13" i="23"/>
  <c r="D14" i="23" s="1"/>
  <c r="D15" i="23"/>
  <c r="C3" i="6"/>
  <c r="G183" i="7"/>
  <c r="D11" i="4"/>
  <c r="E11" i="4"/>
  <c r="B11" i="4" s="1"/>
  <c r="C17" i="8" s="1"/>
  <c r="B23" i="9" s="1"/>
  <c r="F11" i="4"/>
  <c r="G11" i="4"/>
  <c r="H11" i="4"/>
  <c r="I11" i="4"/>
  <c r="D12" i="4"/>
  <c r="E12" i="4"/>
  <c r="F12" i="4"/>
  <c r="G12" i="4"/>
  <c r="B12" i="4" s="1"/>
  <c r="C18" i="8" s="1"/>
  <c r="B24" i="9" s="1"/>
  <c r="H12" i="4"/>
  <c r="I12" i="4"/>
  <c r="D13" i="4"/>
  <c r="E13" i="4"/>
  <c r="B13" i="4" s="1"/>
  <c r="C19" i="8" s="1"/>
  <c r="B25" i="9" s="1"/>
  <c r="F13" i="4"/>
  <c r="G13" i="4"/>
  <c r="H13" i="4"/>
  <c r="I13" i="4"/>
  <c r="D14" i="4"/>
  <c r="E14" i="4"/>
  <c r="F14" i="4"/>
  <c r="G14" i="4"/>
  <c r="H14" i="4"/>
  <c r="I14" i="4"/>
  <c r="B14" i="4" s="1"/>
  <c r="C20" i="8" s="1"/>
  <c r="B26" i="9" s="1"/>
  <c r="D15" i="4"/>
  <c r="E15" i="4"/>
  <c r="B15" i="4" s="1"/>
  <c r="C21" i="8" s="1"/>
  <c r="B27" i="9" s="1"/>
  <c r="F15" i="4"/>
  <c r="G15" i="4"/>
  <c r="H15" i="4"/>
  <c r="I15" i="4"/>
  <c r="C26" i="4"/>
  <c r="D26" i="4"/>
  <c r="E26" i="4"/>
  <c r="F26" i="4"/>
  <c r="B26" i="4" s="1"/>
  <c r="C32" i="8" s="1"/>
  <c r="B38" i="9" s="1"/>
  <c r="G26" i="4"/>
  <c r="H26" i="4"/>
  <c r="I26" i="4"/>
  <c r="C27" i="4"/>
  <c r="D27" i="4"/>
  <c r="E27" i="4"/>
  <c r="B27" i="4" s="1"/>
  <c r="C33" i="8" s="1"/>
  <c r="B39" i="9" s="1"/>
  <c r="F27" i="4"/>
  <c r="G27" i="4"/>
  <c r="H27" i="4"/>
  <c r="I27" i="4"/>
  <c r="C28" i="4"/>
  <c r="D28" i="4"/>
  <c r="E28" i="4"/>
  <c r="F28" i="4"/>
  <c r="B28" i="4" s="1"/>
  <c r="C34" i="8" s="1"/>
  <c r="B40" i="9" s="1"/>
  <c r="G28" i="4"/>
  <c r="H28" i="4"/>
  <c r="I28" i="4"/>
  <c r="C29" i="4"/>
  <c r="D29" i="4"/>
  <c r="E29" i="4"/>
  <c r="F29" i="4"/>
  <c r="G29" i="4"/>
  <c r="H29" i="4"/>
  <c r="I29" i="4"/>
  <c r="C30" i="4"/>
  <c r="D30" i="4"/>
  <c r="E30" i="4"/>
  <c r="F30" i="4"/>
  <c r="B30" i="4" s="1"/>
  <c r="C36" i="8" s="1"/>
  <c r="G30" i="4"/>
  <c r="H30" i="4"/>
  <c r="I30" i="4"/>
  <c r="C32" i="4"/>
  <c r="B32" i="4" s="1"/>
  <c r="C39" i="8" s="1"/>
  <c r="B45" i="9" s="1"/>
  <c r="D32" i="4"/>
  <c r="E32" i="4"/>
  <c r="F32" i="4"/>
  <c r="G32" i="4"/>
  <c r="H32" i="4"/>
  <c r="I32" i="4"/>
  <c r="C33" i="4"/>
  <c r="D33" i="4"/>
  <c r="E33" i="4"/>
  <c r="F33" i="4"/>
  <c r="B33" i="4" s="1"/>
  <c r="C40" i="8" s="1"/>
  <c r="B46" i="9" s="1"/>
  <c r="G33" i="4"/>
  <c r="H33" i="4"/>
  <c r="I33" i="4"/>
  <c r="C34" i="4"/>
  <c r="D34" i="4"/>
  <c r="F34" i="4"/>
  <c r="G34" i="4"/>
  <c r="H34" i="4"/>
  <c r="I34" i="4"/>
  <c r="B34" i="4"/>
  <c r="C41" i="8" s="1"/>
  <c r="B47" i="9" s="1"/>
  <c r="C35" i="4"/>
  <c r="D35" i="4"/>
  <c r="B35" i="4" s="1"/>
  <c r="C42" i="8" s="1"/>
  <c r="B48" i="9" s="1"/>
  <c r="F35" i="4"/>
  <c r="G35" i="4"/>
  <c r="H35" i="4"/>
  <c r="I35" i="4"/>
  <c r="C15" i="8"/>
  <c r="C16" i="8"/>
  <c r="D16" i="4"/>
  <c r="E16" i="4"/>
  <c r="F16" i="4"/>
  <c r="G16" i="4"/>
  <c r="B16" i="4" s="1"/>
  <c r="C22" i="8" s="1"/>
  <c r="B28" i="9" s="1"/>
  <c r="H16" i="4"/>
  <c r="I16" i="4"/>
  <c r="D17" i="4"/>
  <c r="E17" i="4"/>
  <c r="B17" i="4" s="1"/>
  <c r="C23" i="8" s="1"/>
  <c r="B29" i="9" s="1"/>
  <c r="F17" i="4"/>
  <c r="G17" i="4"/>
  <c r="H17" i="4"/>
  <c r="I17" i="4"/>
  <c r="D18" i="4"/>
  <c r="E18" i="4"/>
  <c r="F18" i="4"/>
  <c r="G18" i="4"/>
  <c r="B18" i="4" s="1"/>
  <c r="C24" i="8" s="1"/>
  <c r="B30" i="9" s="1"/>
  <c r="H18" i="4"/>
  <c r="I18" i="4"/>
  <c r="C25" i="8"/>
  <c r="C26" i="8"/>
  <c r="C27" i="8"/>
  <c r="C28" i="8"/>
  <c r="C29" i="8"/>
  <c r="C30" i="8"/>
  <c r="C31" i="8"/>
  <c r="C31" i="4"/>
  <c r="D31" i="4"/>
  <c r="B31" i="4" s="1"/>
  <c r="C38" i="8" s="1"/>
  <c r="B44" i="9" s="1"/>
  <c r="E31" i="4"/>
  <c r="F31" i="4"/>
  <c r="G31" i="4"/>
  <c r="H31" i="4"/>
  <c r="I31" i="4"/>
  <c r="C36" i="4"/>
  <c r="D36" i="4"/>
  <c r="F36" i="4"/>
  <c r="G36" i="4"/>
  <c r="B36" i="4" s="1"/>
  <c r="C43" i="8" s="1"/>
  <c r="B49" i="9" s="1"/>
  <c r="H36" i="4"/>
  <c r="I36" i="4"/>
  <c r="B14" i="9"/>
  <c r="B23" i="14"/>
  <c r="C23" i="14"/>
  <c r="E13" i="5"/>
  <c r="F13" i="5" s="1"/>
  <c r="D26" i="23" s="1"/>
  <c r="E12" i="5"/>
  <c r="X102" i="7"/>
  <c r="Z102" i="7" s="1"/>
  <c r="AA102" i="7" s="1"/>
  <c r="Z144" i="7"/>
  <c r="X146" i="7"/>
  <c r="Z146" i="7" s="1"/>
  <c r="X151" i="7"/>
  <c r="Z151" i="7" s="1"/>
  <c r="AA151" i="7" s="1"/>
  <c r="X152" i="7"/>
  <c r="Z152" i="7"/>
  <c r="AA152" i="7" s="1"/>
  <c r="X153" i="7"/>
  <c r="Z153" i="7" s="1"/>
  <c r="AA153" i="7" s="1"/>
  <c r="X154" i="7"/>
  <c r="Z154" i="7"/>
  <c r="AA154" i="7" s="1"/>
  <c r="X155" i="7"/>
  <c r="Z155" i="7" s="1"/>
  <c r="AA155" i="7" s="1"/>
  <c r="X147" i="7"/>
  <c r="Z147" i="7"/>
  <c r="AA147" i="7" s="1"/>
  <c r="X148" i="7"/>
  <c r="Z148" i="7" s="1"/>
  <c r="AA148" i="7" s="1"/>
  <c r="X149" i="7"/>
  <c r="Z149" i="7"/>
  <c r="AA149" i="7" s="1"/>
  <c r="X150" i="7"/>
  <c r="Z150" i="7" s="1"/>
  <c r="AA150" i="7" s="1"/>
  <c r="B21" i="9"/>
  <c r="B50" i="9"/>
  <c r="B37" i="9"/>
  <c r="B36" i="9"/>
  <c r="B35" i="9"/>
  <c r="B34" i="9"/>
  <c r="B33" i="9"/>
  <c r="B32" i="9"/>
  <c r="B31" i="9"/>
  <c r="B22" i="9"/>
  <c r="F12" i="5"/>
  <c r="D24" i="23"/>
  <c r="F183" i="7"/>
  <c r="E14" i="5"/>
  <c r="F192" i="7"/>
  <c r="F193" i="7"/>
  <c r="C117" i="7"/>
  <c r="W377" i="13"/>
  <c r="T387" i="13"/>
  <c r="W387" i="13"/>
  <c r="S109" i="7"/>
  <c r="S111" i="7"/>
  <c r="S112" i="7"/>
  <c r="S114" i="7"/>
  <c r="S130" i="7"/>
  <c r="S131" i="7"/>
  <c r="AB131" i="7" s="1"/>
  <c r="S132" i="7"/>
  <c r="S134" i="7"/>
  <c r="AB134" i="7"/>
  <c r="S144" i="7"/>
  <c r="AB144" i="7"/>
  <c r="S146" i="7"/>
  <c r="S151" i="7"/>
  <c r="AB151" i="7" s="1"/>
  <c r="S152" i="7"/>
  <c r="AF152" i="7" s="1"/>
  <c r="S153" i="7"/>
  <c r="AB153" i="7" s="1"/>
  <c r="S154" i="7"/>
  <c r="AB154" i="7" s="1"/>
  <c r="S155" i="7"/>
  <c r="AB155" i="7" s="1"/>
  <c r="S147" i="7"/>
  <c r="S148" i="7"/>
  <c r="S149" i="7"/>
  <c r="S150" i="7"/>
  <c r="AB150" i="7"/>
  <c r="S140" i="7"/>
  <c r="S141" i="7"/>
  <c r="I396" i="13"/>
  <c r="T106" i="7"/>
  <c r="T109" i="7"/>
  <c r="AC109" i="7"/>
  <c r="T111" i="7"/>
  <c r="AG111" i="7"/>
  <c r="T112" i="7"/>
  <c r="AC112" i="7" s="1"/>
  <c r="T113" i="7"/>
  <c r="T114" i="7"/>
  <c r="AC114" i="7"/>
  <c r="T130" i="7"/>
  <c r="T131" i="7"/>
  <c r="AC131" i="7" s="1"/>
  <c r="T132" i="7"/>
  <c r="T134" i="7"/>
  <c r="AC134" i="7"/>
  <c r="T144" i="7"/>
  <c r="AC144" i="7"/>
  <c r="T146" i="7"/>
  <c r="AC146" i="7"/>
  <c r="T151" i="7"/>
  <c r="AC151" i="7"/>
  <c r="T152" i="7"/>
  <c r="AC152" i="7"/>
  <c r="T153" i="7"/>
  <c r="AG153" i="7"/>
  <c r="T154" i="7"/>
  <c r="AC154" i="7"/>
  <c r="T155" i="7"/>
  <c r="AG155" i="7"/>
  <c r="T147" i="7"/>
  <c r="AC147" i="7"/>
  <c r="T148" i="7"/>
  <c r="T149" i="7"/>
  <c r="AG149" i="7" s="1"/>
  <c r="T150" i="7"/>
  <c r="AC150" i="7"/>
  <c r="T140" i="7"/>
  <c r="T141" i="7"/>
  <c r="AG141" i="7" s="1"/>
  <c r="E32" i="1"/>
  <c r="F26" i="1"/>
  <c r="F27" i="1" s="1"/>
  <c r="F33" i="1"/>
  <c r="B9" i="9"/>
  <c r="F78" i="2"/>
  <c r="B67" i="14"/>
  <c r="AC153" i="7"/>
  <c r="AC148" i="7"/>
  <c r="AC155" i="7"/>
  <c r="AB146" i="7"/>
  <c r="AB147" i="7"/>
  <c r="AB148" i="7"/>
  <c r="AB149" i="7"/>
  <c r="AB152" i="7"/>
  <c r="O151" i="7"/>
  <c r="O153" i="7"/>
  <c r="N14" i="7"/>
  <c r="N15" i="7"/>
  <c r="N17" i="7"/>
  <c r="O102" i="7"/>
  <c r="P102" i="7"/>
  <c r="O106" i="7"/>
  <c r="O107" i="7"/>
  <c r="O109" i="7"/>
  <c r="O110" i="7"/>
  <c r="O111" i="7"/>
  <c r="O112" i="7"/>
  <c r="O113" i="7"/>
  <c r="O114" i="7"/>
  <c r="O130" i="7"/>
  <c r="O131" i="7"/>
  <c r="O132" i="7"/>
  <c r="O134" i="7"/>
  <c r="O144" i="7"/>
  <c r="O146" i="7"/>
  <c r="O147" i="7"/>
  <c r="O148" i="7"/>
  <c r="O149" i="7"/>
  <c r="O150" i="7"/>
  <c r="O152" i="7"/>
  <c r="O154" i="7"/>
  <c r="O155" i="7"/>
  <c r="O140" i="7"/>
  <c r="O141" i="7"/>
  <c r="AF155" i="7"/>
  <c r="AF154" i="7"/>
  <c r="E86" i="2"/>
  <c r="F85" i="2"/>
  <c r="F84" i="2"/>
  <c r="C52" i="4"/>
  <c r="D52" i="4"/>
  <c r="E52" i="4"/>
  <c r="H52" i="4"/>
  <c r="B52" i="4"/>
  <c r="I52" i="4"/>
  <c r="C51" i="4"/>
  <c r="D51" i="4"/>
  <c r="E51" i="4"/>
  <c r="B51" i="4" s="1"/>
  <c r="H51" i="4"/>
  <c r="I51" i="4"/>
  <c r="D50" i="4"/>
  <c r="D49" i="4"/>
  <c r="D48" i="4"/>
  <c r="D47" i="4"/>
  <c r="D46" i="4"/>
  <c r="D44" i="4"/>
  <c r="D43" i="4"/>
  <c r="D42" i="4"/>
  <c r="C50" i="4"/>
  <c r="B50" i="4" s="1"/>
  <c r="C49" i="4"/>
  <c r="C48" i="4"/>
  <c r="C47" i="4"/>
  <c r="C46" i="4"/>
  <c r="B46" i="4" s="1"/>
  <c r="C45" i="4"/>
  <c r="I50" i="4"/>
  <c r="H50" i="4"/>
  <c r="I49" i="4"/>
  <c r="H49" i="4"/>
  <c r="I48" i="4"/>
  <c r="H48" i="4"/>
  <c r="I47" i="4"/>
  <c r="B47" i="4" s="1"/>
  <c r="H47" i="4"/>
  <c r="I46" i="4"/>
  <c r="H46" i="4"/>
  <c r="I45" i="4"/>
  <c r="H45" i="4"/>
  <c r="I44" i="4"/>
  <c r="H44" i="4"/>
  <c r="I43" i="4"/>
  <c r="H43" i="4"/>
  <c r="I42" i="4"/>
  <c r="H42" i="4"/>
  <c r="I41" i="4"/>
  <c r="H41" i="4"/>
  <c r="E50" i="4"/>
  <c r="E44" i="4"/>
  <c r="E49" i="4"/>
  <c r="B49" i="4"/>
  <c r="E48" i="4"/>
  <c r="B48" i="4"/>
  <c r="E47" i="4"/>
  <c r="E46" i="4"/>
  <c r="E45" i="4"/>
  <c r="E43" i="4"/>
  <c r="E42" i="4"/>
  <c r="E41" i="4"/>
  <c r="D41" i="4"/>
  <c r="C42" i="4"/>
  <c r="B42" i="4"/>
  <c r="C43" i="4"/>
  <c r="B43" i="4"/>
  <c r="C44" i="4"/>
  <c r="B44" i="4"/>
  <c r="D45" i="4"/>
  <c r="B45" i="4"/>
  <c r="C41" i="4"/>
  <c r="B41" i="4" s="1"/>
  <c r="C23" i="26"/>
  <c r="E23" i="26" s="1"/>
  <c r="L9" i="26"/>
  <c r="C19" i="26"/>
  <c r="E19" i="26"/>
  <c r="C20" i="26"/>
  <c r="E20" i="26"/>
  <c r="Y167" i="7"/>
  <c r="Y168" i="7"/>
  <c r="Y169" i="7"/>
  <c r="Y158" i="7"/>
  <c r="AB109" i="7"/>
  <c r="AB111" i="7"/>
  <c r="AB112" i="7"/>
  <c r="AB114" i="7"/>
  <c r="AB130" i="7"/>
  <c r="AB132" i="7"/>
  <c r="AB44" i="7"/>
  <c r="AB95" i="7"/>
  <c r="AB119" i="7"/>
  <c r="AB138" i="7"/>
  <c r="AB19" i="7"/>
  <c r="AB64" i="7"/>
  <c r="AB85" i="7"/>
  <c r="AB16" i="7"/>
  <c r="AB18" i="7"/>
  <c r="AB20" i="7"/>
  <c r="AB29" i="7"/>
  <c r="AB36" i="7"/>
  <c r="AB43" i="7"/>
  <c r="AB45" i="7"/>
  <c r="AB53" i="7"/>
  <c r="AB54" i="7"/>
  <c r="AB61" i="7"/>
  <c r="AB63" i="7"/>
  <c r="AB65" i="7"/>
  <c r="AB66" i="7"/>
  <c r="AB67" i="7"/>
  <c r="AB73" i="7"/>
  <c r="AB74" i="7"/>
  <c r="AB75" i="7"/>
  <c r="AB76" i="7"/>
  <c r="AB84" i="7"/>
  <c r="AB86" i="7"/>
  <c r="AB90" i="7"/>
  <c r="AB92" i="7"/>
  <c r="AB94" i="7"/>
  <c r="AB96" i="7"/>
  <c r="AB103" i="7"/>
  <c r="AB108" i="7"/>
  <c r="AB115" i="7"/>
  <c r="AB118" i="7"/>
  <c r="AB120" i="7"/>
  <c r="AB121" i="7"/>
  <c r="AB125" i="7"/>
  <c r="AB127" i="7"/>
  <c r="AB129" i="7"/>
  <c r="AB139" i="7"/>
  <c r="AB140" i="7"/>
  <c r="AB141" i="7"/>
  <c r="AB142" i="7"/>
  <c r="AB143" i="7"/>
  <c r="Y170" i="7"/>
  <c r="AC106" i="7"/>
  <c r="AC111" i="7"/>
  <c r="AC113" i="7"/>
  <c r="AC130" i="7"/>
  <c r="AC132" i="7"/>
  <c r="AG19" i="7"/>
  <c r="AG44" i="7"/>
  <c r="AG64" i="7"/>
  <c r="AG85" i="7"/>
  <c r="AG95" i="7"/>
  <c r="AG106" i="7"/>
  <c r="AG109" i="7"/>
  <c r="AG112" i="7"/>
  <c r="AG113" i="7"/>
  <c r="AG114" i="7"/>
  <c r="AG119" i="7"/>
  <c r="AG130" i="7"/>
  <c r="AG132" i="7"/>
  <c r="AG137" i="7"/>
  <c r="AG146" i="7"/>
  <c r="AG152" i="7"/>
  <c r="AG156" i="7"/>
  <c r="AG18" i="7"/>
  <c r="AF19" i="7"/>
  <c r="AH19" i="7" s="1"/>
  <c r="AF44" i="7"/>
  <c r="AF64" i="7"/>
  <c r="AF85" i="7"/>
  <c r="AF95" i="7"/>
  <c r="AF109" i="7"/>
  <c r="AF111" i="7"/>
  <c r="AH111" i="7" s="1"/>
  <c r="AF112" i="7"/>
  <c r="AF114" i="7"/>
  <c r="AF119" i="7"/>
  <c r="AF130" i="7"/>
  <c r="AH130" i="7" s="1"/>
  <c r="AF132" i="7"/>
  <c r="AF137" i="7"/>
  <c r="AF144" i="7"/>
  <c r="AF146" i="7"/>
  <c r="AF151" i="7"/>
  <c r="AF153" i="7"/>
  <c r="AF156" i="7"/>
  <c r="AF18" i="7"/>
  <c r="AF147" i="7"/>
  <c r="AF148" i="7"/>
  <c r="AF149" i="7"/>
  <c r="AF150" i="7"/>
  <c r="AF16" i="7"/>
  <c r="AF20" i="7"/>
  <c r="AF29" i="7"/>
  <c r="AF36" i="7"/>
  <c r="AF43" i="7"/>
  <c r="AF45" i="7"/>
  <c r="AF53" i="7"/>
  <c r="AF54" i="7"/>
  <c r="AF61" i="7"/>
  <c r="AF63" i="7"/>
  <c r="AF65" i="7"/>
  <c r="AF66" i="7"/>
  <c r="AF67" i="7"/>
  <c r="AF73" i="7"/>
  <c r="AF74" i="7"/>
  <c r="AF75" i="7"/>
  <c r="AF76" i="7"/>
  <c r="AF84" i="7"/>
  <c r="AF86" i="7"/>
  <c r="AF90" i="7"/>
  <c r="AF92" i="7"/>
  <c r="AF94" i="7"/>
  <c r="AF96" i="7"/>
  <c r="AF103" i="7"/>
  <c r="AF108" i="7"/>
  <c r="AF115" i="7"/>
  <c r="AF118" i="7"/>
  <c r="AF120" i="7"/>
  <c r="AF121" i="7"/>
  <c r="AF125" i="7"/>
  <c r="AF127" i="7"/>
  <c r="AF129" i="7"/>
  <c r="AF136" i="7"/>
  <c r="AF138" i="7"/>
  <c r="AF139" i="7"/>
  <c r="AF140" i="7"/>
  <c r="AF141" i="7"/>
  <c r="AH141" i="7" s="1"/>
  <c r="AF142" i="7"/>
  <c r="AF143" i="7"/>
  <c r="AG16" i="7"/>
  <c r="AG20" i="7"/>
  <c r="AH20" i="7" s="1"/>
  <c r="AG29" i="7"/>
  <c r="AG36" i="7"/>
  <c r="AH36" i="7" s="1"/>
  <c r="AG43" i="7"/>
  <c r="AG45" i="7"/>
  <c r="AH45" i="7" s="1"/>
  <c r="AG53" i="7"/>
  <c r="AG54" i="7"/>
  <c r="AH54" i="7" s="1"/>
  <c r="AG61" i="7"/>
  <c r="AG63" i="7"/>
  <c r="AH63" i="7" s="1"/>
  <c r="AG65" i="7"/>
  <c r="AG66" i="7"/>
  <c r="AH66" i="7" s="1"/>
  <c r="AG67" i="7"/>
  <c r="AG73" i="7"/>
  <c r="AH73" i="7" s="1"/>
  <c r="AG74" i="7"/>
  <c r="AG75" i="7"/>
  <c r="AH75" i="7" s="1"/>
  <c r="AG76" i="7"/>
  <c r="AG84" i="7"/>
  <c r="AH84" i="7" s="1"/>
  <c r="AG86" i="7"/>
  <c r="AG90" i="7"/>
  <c r="AH90" i="7" s="1"/>
  <c r="AG92" i="7"/>
  <c r="AG94" i="7"/>
  <c r="AH94" i="7" s="1"/>
  <c r="AG96" i="7"/>
  <c r="AG103" i="7"/>
  <c r="AH103" i="7" s="1"/>
  <c r="AG108" i="7"/>
  <c r="AG115" i="7"/>
  <c r="AH115" i="7" s="1"/>
  <c r="AG118" i="7"/>
  <c r="AG120" i="7"/>
  <c r="AH120" i="7" s="1"/>
  <c r="AG121" i="7"/>
  <c r="AG125" i="7"/>
  <c r="AH125" i="7" s="1"/>
  <c r="AG127" i="7"/>
  <c r="AG129" i="7"/>
  <c r="AH129" i="7" s="1"/>
  <c r="AG136" i="7"/>
  <c r="AG138" i="7"/>
  <c r="AH138" i="7" s="1"/>
  <c r="AG139" i="7"/>
  <c r="AG140" i="7"/>
  <c r="AH140" i="7" s="1"/>
  <c r="AG142" i="7"/>
  <c r="AH142" i="7" s="1"/>
  <c r="AG143" i="7"/>
  <c r="AH143" i="7" s="1"/>
  <c r="AG147" i="7"/>
  <c r="AH147" i="7" s="1"/>
  <c r="AG148" i="7"/>
  <c r="AH148" i="7" s="1"/>
  <c r="AG150" i="7"/>
  <c r="C86" i="2"/>
  <c r="H86" i="2"/>
  <c r="D86" i="2"/>
  <c r="F67" i="2"/>
  <c r="F75" i="2" s="1"/>
  <c r="F68" i="2"/>
  <c r="F69" i="2"/>
  <c r="F70" i="2"/>
  <c r="F71" i="2"/>
  <c r="F72" i="2"/>
  <c r="F73" i="2"/>
  <c r="F62" i="2"/>
  <c r="F65" i="2" s="1"/>
  <c r="F63" i="2"/>
  <c r="F64" i="2"/>
  <c r="F51" i="2"/>
  <c r="F60" i="2" s="1"/>
  <c r="F52" i="2"/>
  <c r="F53" i="2"/>
  <c r="F54" i="2"/>
  <c r="F55" i="2"/>
  <c r="F56" i="2"/>
  <c r="F57" i="2"/>
  <c r="F58" i="2"/>
  <c r="F59" i="2"/>
  <c r="F43" i="2"/>
  <c r="F44" i="2"/>
  <c r="F45" i="2"/>
  <c r="F46" i="2"/>
  <c r="F49" i="2" s="1"/>
  <c r="F47" i="2"/>
  <c r="F48" i="2"/>
  <c r="F36" i="2"/>
  <c r="F37" i="2"/>
  <c r="F38" i="2"/>
  <c r="F41" i="2" s="1"/>
  <c r="F39" i="2"/>
  <c r="F40" i="2"/>
  <c r="F23" i="2"/>
  <c r="F24" i="2"/>
  <c r="F25" i="2"/>
  <c r="F34" i="2" s="1"/>
  <c r="F26" i="2"/>
  <c r="F27" i="2"/>
  <c r="F28" i="2"/>
  <c r="F29" i="2"/>
  <c r="F30" i="2"/>
  <c r="F31" i="2"/>
  <c r="F32" i="2"/>
  <c r="F33" i="2"/>
  <c r="F13" i="2"/>
  <c r="F14" i="2"/>
  <c r="F21" i="2" s="1"/>
  <c r="F15" i="2"/>
  <c r="F16" i="2"/>
  <c r="F17" i="2"/>
  <c r="F18" i="2"/>
  <c r="F19" i="2"/>
  <c r="F20" i="2"/>
  <c r="F9" i="2"/>
  <c r="F10" i="2"/>
  <c r="F11" i="2"/>
  <c r="E75" i="2"/>
  <c r="J75" i="2"/>
  <c r="E65" i="2"/>
  <c r="J65" i="2"/>
  <c r="E49" i="2"/>
  <c r="J49" i="2"/>
  <c r="E41" i="2"/>
  <c r="J41" i="2"/>
  <c r="E34" i="2"/>
  <c r="J34" i="2"/>
  <c r="E21" i="2"/>
  <c r="J21" i="2"/>
  <c r="E11" i="2"/>
  <c r="J11" i="2"/>
  <c r="D75" i="2"/>
  <c r="I75" i="2"/>
  <c r="D65" i="2"/>
  <c r="I65" i="2"/>
  <c r="D60" i="2"/>
  <c r="I60" i="2"/>
  <c r="D49" i="2"/>
  <c r="I49" i="2"/>
  <c r="D41" i="2"/>
  <c r="I41" i="2"/>
  <c r="D34" i="2"/>
  <c r="D21" i="2"/>
  <c r="I21" i="2" s="1"/>
  <c r="D11" i="2"/>
  <c r="I11" i="2" s="1"/>
  <c r="C75" i="2"/>
  <c r="H75" i="2" s="1"/>
  <c r="K75" i="2" s="1"/>
  <c r="C65" i="2"/>
  <c r="H65" i="2"/>
  <c r="K65" i="2" s="1"/>
  <c r="C60" i="2"/>
  <c r="H60" i="2" s="1"/>
  <c r="K60" i="2" s="1"/>
  <c r="C49" i="2"/>
  <c r="H49" i="2"/>
  <c r="K49" i="2" s="1"/>
  <c r="C41" i="2"/>
  <c r="H41" i="2" s="1"/>
  <c r="K41" i="2" s="1"/>
  <c r="C34" i="2"/>
  <c r="H34" i="2"/>
  <c r="C21" i="2"/>
  <c r="H21" i="2" s="1"/>
  <c r="K21" i="2" s="1"/>
  <c r="C11" i="2"/>
  <c r="H11" i="2"/>
  <c r="K11" i="2" s="1"/>
  <c r="F83" i="2"/>
  <c r="F82" i="2"/>
  <c r="F81" i="2"/>
  <c r="F80" i="2"/>
  <c r="F79" i="2"/>
  <c r="F77" i="2"/>
  <c r="F74" i="2"/>
  <c r="X140" i="7"/>
  <c r="X141" i="7"/>
  <c r="L426" i="13"/>
  <c r="H426" i="13"/>
  <c r="G184" i="6"/>
  <c r="E184" i="6"/>
  <c r="G183" i="6"/>
  <c r="E183" i="6"/>
  <c r="G182" i="6"/>
  <c r="E182" i="6"/>
  <c r="G181" i="6"/>
  <c r="E181" i="6"/>
  <c r="G180" i="6"/>
  <c r="E180" i="6"/>
  <c r="G179" i="6"/>
  <c r="E179" i="6"/>
  <c r="G178" i="6"/>
  <c r="E178" i="6"/>
  <c r="G177" i="6"/>
  <c r="E177" i="6"/>
  <c r="G166" i="6"/>
  <c r="H166" i="6"/>
  <c r="G167" i="6"/>
  <c r="H167" i="6"/>
  <c r="G168" i="6"/>
  <c r="H168" i="6"/>
  <c r="G169" i="6"/>
  <c r="H169" i="6"/>
  <c r="G170" i="6"/>
  <c r="H170" i="6"/>
  <c r="G171" i="6"/>
  <c r="H171" i="6"/>
  <c r="G172" i="6"/>
  <c r="H172" i="6"/>
  <c r="G173" i="6"/>
  <c r="H173" i="6"/>
  <c r="G174" i="6"/>
  <c r="H174" i="6"/>
  <c r="E166" i="6"/>
  <c r="E167" i="6"/>
  <c r="E168" i="6"/>
  <c r="E169" i="6"/>
  <c r="E170" i="6"/>
  <c r="E171" i="6"/>
  <c r="E172" i="6"/>
  <c r="E173" i="6"/>
  <c r="E174" i="6"/>
  <c r="E155" i="12"/>
  <c r="E165" i="12"/>
  <c r="E171" i="12"/>
  <c r="E182" i="12"/>
  <c r="E188" i="12"/>
  <c r="E194" i="12"/>
  <c r="E200" i="12"/>
  <c r="E221" i="12"/>
  <c r="E227" i="12"/>
  <c r="E172" i="7"/>
  <c r="C202" i="6"/>
  <c r="G443" i="13"/>
  <c r="Q388" i="13"/>
  <c r="Q387" i="13"/>
  <c r="Q386" i="13"/>
  <c r="Q385" i="13"/>
  <c r="Q384" i="13"/>
  <c r="Q383" i="13"/>
  <c r="P386" i="13"/>
  <c r="S386" i="13"/>
  <c r="P385" i="13"/>
  <c r="S385" i="13"/>
  <c r="H386" i="13"/>
  <c r="I386" i="13"/>
  <c r="L386" i="13"/>
  <c r="H385" i="13"/>
  <c r="I385" i="13"/>
  <c r="L385" i="13"/>
  <c r="Q356" i="13"/>
  <c r="P356" i="13"/>
  <c r="S356" i="13"/>
  <c r="L356" i="13"/>
  <c r="H356" i="13"/>
  <c r="I356" i="13"/>
  <c r="C585" i="12"/>
  <c r="E585" i="12"/>
  <c r="Q335" i="13"/>
  <c r="P335" i="13"/>
  <c r="S335" i="13"/>
  <c r="L335" i="13"/>
  <c r="I335" i="13"/>
  <c r="H335" i="13"/>
  <c r="F335" i="13"/>
  <c r="C551" i="12"/>
  <c r="E551" i="12" s="1"/>
  <c r="H318" i="13"/>
  <c r="I318" i="13"/>
  <c r="I207" i="13"/>
  <c r="I182" i="13"/>
  <c r="F59" i="13"/>
  <c r="F426" i="13"/>
  <c r="F411" i="13"/>
  <c r="F399" i="13"/>
  <c r="F395" i="13"/>
  <c r="F160" i="13"/>
  <c r="F184" i="13"/>
  <c r="F169" i="13"/>
  <c r="F19" i="13"/>
  <c r="F421" i="13"/>
  <c r="F364" i="13"/>
  <c r="F334" i="13"/>
  <c r="F300" i="13"/>
  <c r="F242" i="13"/>
  <c r="F241" i="13"/>
  <c r="F233" i="13"/>
  <c r="F232" i="13"/>
  <c r="F231" i="13"/>
  <c r="F219" i="13"/>
  <c r="F217" i="13"/>
  <c r="F215" i="13"/>
  <c r="F165" i="13"/>
  <c r="F159" i="13"/>
  <c r="F140" i="13"/>
  <c r="F136" i="13"/>
  <c r="F129" i="13"/>
  <c r="F62" i="13"/>
  <c r="F42" i="13"/>
  <c r="I15" i="13"/>
  <c r="C10" i="13"/>
  <c r="F72" i="13" s="1"/>
  <c r="F15" i="13"/>
  <c r="L428" i="13"/>
  <c r="M428" i="13"/>
  <c r="I428" i="13"/>
  <c r="H428" i="13"/>
  <c r="L427" i="13"/>
  <c r="M427" i="13"/>
  <c r="I427" i="13"/>
  <c r="H427" i="13"/>
  <c r="M426" i="13"/>
  <c r="I426" i="13"/>
  <c r="L425" i="13"/>
  <c r="M425" i="13"/>
  <c r="I425" i="13"/>
  <c r="H425" i="13"/>
  <c r="L424" i="13"/>
  <c r="M424" i="13"/>
  <c r="I424" i="13"/>
  <c r="H424" i="13"/>
  <c r="S428" i="13"/>
  <c r="S427" i="13"/>
  <c r="S426" i="13"/>
  <c r="S425" i="13"/>
  <c r="S424" i="13"/>
  <c r="Q428" i="13"/>
  <c r="Q427" i="13"/>
  <c r="Q426" i="13"/>
  <c r="Q425" i="13"/>
  <c r="Q424" i="13"/>
  <c r="C428" i="13"/>
  <c r="B704" i="12"/>
  <c r="C704" i="12" s="1"/>
  <c r="E704" i="12" s="1"/>
  <c r="C703" i="12"/>
  <c r="E703" i="12"/>
  <c r="B699" i="12"/>
  <c r="B700" i="12"/>
  <c r="B701" i="12" s="1"/>
  <c r="C700" i="12"/>
  <c r="E700" i="12" s="1"/>
  <c r="C699" i="12"/>
  <c r="E699" i="12" s="1"/>
  <c r="C697" i="12"/>
  <c r="E697" i="12" s="1"/>
  <c r="F697" i="12" s="1"/>
  <c r="B696" i="12"/>
  <c r="C696" i="12"/>
  <c r="E696" i="12" s="1"/>
  <c r="I52" i="13"/>
  <c r="H52" i="13"/>
  <c r="L60" i="13"/>
  <c r="L24" i="13"/>
  <c r="M24" i="13"/>
  <c r="L43" i="13"/>
  <c r="M43" i="13"/>
  <c r="L45" i="13"/>
  <c r="M45" i="13"/>
  <c r="M54" i="13"/>
  <c r="L122" i="13"/>
  <c r="M122" i="13" s="1"/>
  <c r="L124" i="13"/>
  <c r="M124" i="13" s="1"/>
  <c r="L126" i="13"/>
  <c r="M126" i="13" s="1"/>
  <c r="L129" i="13"/>
  <c r="M129" i="13" s="1"/>
  <c r="L141" i="13"/>
  <c r="M141" i="13" s="1"/>
  <c r="L143" i="13"/>
  <c r="M143" i="13" s="1"/>
  <c r="L144" i="13"/>
  <c r="M144" i="13" s="1"/>
  <c r="L145" i="13"/>
  <c r="M145" i="13" s="1"/>
  <c r="L146" i="13"/>
  <c r="M146" i="13" s="1"/>
  <c r="L147" i="13"/>
  <c r="M147" i="13" s="1"/>
  <c r="L148" i="13"/>
  <c r="M148" i="13" s="1"/>
  <c r="L149" i="13"/>
  <c r="M149" i="13" s="1"/>
  <c r="L150" i="13"/>
  <c r="M150" i="13" s="1"/>
  <c r="L151" i="13"/>
  <c r="M151" i="13" s="1"/>
  <c r="L152" i="13"/>
  <c r="M152" i="13" s="1"/>
  <c r="L153" i="13"/>
  <c r="M153" i="13" s="1"/>
  <c r="L154" i="13"/>
  <c r="M154" i="13" s="1"/>
  <c r="L155" i="13"/>
  <c r="M155" i="13" s="1"/>
  <c r="L156" i="13"/>
  <c r="M156" i="13" s="1"/>
  <c r="L157" i="13"/>
  <c r="M157" i="13" s="1"/>
  <c r="L159" i="13"/>
  <c r="M159" i="13" s="1"/>
  <c r="L162" i="13"/>
  <c r="M162" i="13" s="1"/>
  <c r="L163" i="13"/>
  <c r="M163" i="13" s="1"/>
  <c r="L167" i="13"/>
  <c r="M167" i="13" s="1"/>
  <c r="L172" i="13"/>
  <c r="M172" i="13" s="1"/>
  <c r="L175" i="13"/>
  <c r="M175" i="13" s="1"/>
  <c r="L180" i="13"/>
  <c r="M180" i="13" s="1"/>
  <c r="L181" i="13"/>
  <c r="M181" i="13" s="1"/>
  <c r="L185" i="13"/>
  <c r="M185" i="13" s="1"/>
  <c r="L199" i="13"/>
  <c r="M199" i="13" s="1"/>
  <c r="L203" i="13"/>
  <c r="M203" i="13" s="1"/>
  <c r="L209" i="13"/>
  <c r="M209" i="13" s="1"/>
  <c r="L214" i="13"/>
  <c r="M214" i="13" s="1"/>
  <c r="L220" i="13"/>
  <c r="M220" i="13" s="1"/>
  <c r="L223" i="13"/>
  <c r="M223" i="13" s="1"/>
  <c r="L226" i="13"/>
  <c r="M226" i="13" s="1"/>
  <c r="L230" i="13"/>
  <c r="M230" i="13" s="1"/>
  <c r="L231" i="13"/>
  <c r="M231" i="13" s="1"/>
  <c r="L238" i="13"/>
  <c r="M238" i="13" s="1"/>
  <c r="L242" i="13"/>
  <c r="M242" i="13" s="1"/>
  <c r="L247" i="13"/>
  <c r="M247" i="13" s="1"/>
  <c r="L251" i="13"/>
  <c r="M251" i="13" s="1"/>
  <c r="L257" i="13"/>
  <c r="M257" i="13" s="1"/>
  <c r="L262" i="13"/>
  <c r="M262" i="13" s="1"/>
  <c r="L265" i="13"/>
  <c r="M265" i="13" s="1"/>
  <c r="L268" i="13"/>
  <c r="M268" i="13" s="1"/>
  <c r="L269" i="13"/>
  <c r="M269" i="13" s="1"/>
  <c r="L273" i="13"/>
  <c r="M273" i="13" s="1"/>
  <c r="L281" i="13"/>
  <c r="M281" i="13" s="1"/>
  <c r="L290" i="13"/>
  <c r="M290" i="13" s="1"/>
  <c r="L303" i="13"/>
  <c r="M303" i="13" s="1"/>
  <c r="L312" i="13"/>
  <c r="M312" i="13" s="1"/>
  <c r="L321" i="13"/>
  <c r="M321" i="13" s="1"/>
  <c r="L323" i="13"/>
  <c r="M323" i="13" s="1"/>
  <c r="L325" i="13"/>
  <c r="M325" i="13" s="1"/>
  <c r="L346" i="13"/>
  <c r="M346" i="13" s="1"/>
  <c r="L347" i="13"/>
  <c r="M347" i="13" s="1"/>
  <c r="L371" i="13"/>
  <c r="M371" i="13" s="1"/>
  <c r="L372" i="13"/>
  <c r="M372" i="13" s="1"/>
  <c r="L373" i="13"/>
  <c r="M373" i="13" s="1"/>
  <c r="L374" i="13"/>
  <c r="M374" i="13" s="1"/>
  <c r="L379" i="13"/>
  <c r="M379" i="13" s="1"/>
  <c r="L380" i="13"/>
  <c r="M380" i="13" s="1"/>
  <c r="L400" i="13"/>
  <c r="M400" i="13" s="1"/>
  <c r="L401" i="13"/>
  <c r="M401" i="13" s="1"/>
  <c r="L402" i="13"/>
  <c r="M402" i="13" s="1"/>
  <c r="L403" i="13"/>
  <c r="M403" i="13" s="1"/>
  <c r="L404" i="13"/>
  <c r="M404" i="13" s="1"/>
  <c r="L405" i="13"/>
  <c r="M405" i="13" s="1"/>
  <c r="L406" i="13"/>
  <c r="M406" i="13" s="1"/>
  <c r="L407" i="13"/>
  <c r="M407" i="13" s="1"/>
  <c r="L408" i="13"/>
  <c r="M408" i="13" s="1"/>
  <c r="L409" i="13"/>
  <c r="M409" i="13" s="1"/>
  <c r="L410" i="13"/>
  <c r="M410" i="13" s="1"/>
  <c r="L411" i="13"/>
  <c r="M411" i="13" s="1"/>
  <c r="L412" i="13"/>
  <c r="M412" i="13" s="1"/>
  <c r="L413" i="13"/>
  <c r="M413" i="13" s="1"/>
  <c r="L414" i="13"/>
  <c r="M414" i="13" s="1"/>
  <c r="L415" i="13"/>
  <c r="M415" i="13" s="1"/>
  <c r="L416" i="13"/>
  <c r="M416" i="13" s="1"/>
  <c r="L417" i="13"/>
  <c r="M417" i="13" s="1"/>
  <c r="L418" i="13"/>
  <c r="M418" i="13" s="1"/>
  <c r="L419" i="13"/>
  <c r="M419" i="13" s="1"/>
  <c r="L420" i="13"/>
  <c r="M420" i="13" s="1"/>
  <c r="L421" i="13"/>
  <c r="M421" i="13" s="1"/>
  <c r="L422" i="13"/>
  <c r="M422" i="13" s="1"/>
  <c r="L423" i="13"/>
  <c r="M423" i="13" s="1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4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K58" i="13"/>
  <c r="L58" i="13"/>
  <c r="L59" i="13"/>
  <c r="L62" i="13"/>
  <c r="L63" i="13"/>
  <c r="L64" i="13"/>
  <c r="L66" i="13"/>
  <c r="L72" i="13"/>
  <c r="L89" i="13"/>
  <c r="L90" i="13"/>
  <c r="L91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1" i="13"/>
  <c r="L112" i="13"/>
  <c r="L113" i="13"/>
  <c r="L114" i="13"/>
  <c r="L115" i="13"/>
  <c r="L116" i="13"/>
  <c r="L117" i="13"/>
  <c r="L118" i="13"/>
  <c r="L119" i="13"/>
  <c r="L121" i="13"/>
  <c r="L125" i="13"/>
  <c r="L127" i="13"/>
  <c r="L128" i="13"/>
  <c r="L130" i="13"/>
  <c r="L131" i="13"/>
  <c r="L132" i="13"/>
  <c r="L133" i="13"/>
  <c r="L134" i="13"/>
  <c r="L136" i="13"/>
  <c r="L140" i="13"/>
  <c r="L158" i="13"/>
  <c r="L160" i="13"/>
  <c r="L161" i="13"/>
  <c r="L164" i="13"/>
  <c r="L165" i="13"/>
  <c r="L166" i="13"/>
  <c r="L168" i="13"/>
  <c r="L169" i="13"/>
  <c r="L171" i="13"/>
  <c r="L173" i="13"/>
  <c r="L174" i="13"/>
  <c r="L176" i="13"/>
  <c r="L177" i="13"/>
  <c r="L178" i="13"/>
  <c r="L179" i="13"/>
  <c r="L182" i="13"/>
  <c r="L183" i="13"/>
  <c r="L184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200" i="13"/>
  <c r="L201" i="13"/>
  <c r="L202" i="13"/>
  <c r="L204" i="13"/>
  <c r="L205" i="13"/>
  <c r="L206" i="13"/>
  <c r="L207" i="13"/>
  <c r="L208" i="13"/>
  <c r="L210" i="13"/>
  <c r="L211" i="13"/>
  <c r="L212" i="13"/>
  <c r="L213" i="13"/>
  <c r="L215" i="13"/>
  <c r="L216" i="13"/>
  <c r="L217" i="13"/>
  <c r="L218" i="13"/>
  <c r="L219" i="13"/>
  <c r="L221" i="13"/>
  <c r="L222" i="13"/>
  <c r="L224" i="13"/>
  <c r="L225" i="13"/>
  <c r="L227" i="13"/>
  <c r="L228" i="13"/>
  <c r="L229" i="13"/>
  <c r="L232" i="13"/>
  <c r="L233" i="13"/>
  <c r="L234" i="13"/>
  <c r="L235" i="13"/>
  <c r="L236" i="13"/>
  <c r="L237" i="13"/>
  <c r="L239" i="13"/>
  <c r="L240" i="13"/>
  <c r="L241" i="13"/>
  <c r="L243" i="13"/>
  <c r="L244" i="13"/>
  <c r="L245" i="13"/>
  <c r="L246" i="13"/>
  <c r="L248" i="13"/>
  <c r="L249" i="13"/>
  <c r="L250" i="13"/>
  <c r="L252" i="13"/>
  <c r="L253" i="13"/>
  <c r="L254" i="13"/>
  <c r="L255" i="13"/>
  <c r="L256" i="13"/>
  <c r="L258" i="13"/>
  <c r="L259" i="13"/>
  <c r="L260" i="13"/>
  <c r="L261" i="13"/>
  <c r="L263" i="13"/>
  <c r="L264" i="13"/>
  <c r="L266" i="13"/>
  <c r="L267" i="13"/>
  <c r="L271" i="13"/>
  <c r="L272" i="13"/>
  <c r="L274" i="13"/>
  <c r="L275" i="13"/>
  <c r="L276" i="13"/>
  <c r="L277" i="13"/>
  <c r="L278" i="13"/>
  <c r="L279" i="13"/>
  <c r="L280" i="13"/>
  <c r="L282" i="13"/>
  <c r="L283" i="13"/>
  <c r="L284" i="13"/>
  <c r="L285" i="13"/>
  <c r="L286" i="13"/>
  <c r="L287" i="13"/>
  <c r="L288" i="13"/>
  <c r="L289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4" i="13"/>
  <c r="L305" i="13"/>
  <c r="L306" i="13"/>
  <c r="L307" i="13"/>
  <c r="L308" i="13"/>
  <c r="L309" i="13"/>
  <c r="L310" i="13"/>
  <c r="L311" i="13"/>
  <c r="L313" i="13"/>
  <c r="L314" i="13"/>
  <c r="L315" i="13"/>
  <c r="L316" i="13"/>
  <c r="L317" i="13"/>
  <c r="L318" i="13"/>
  <c r="L319" i="13"/>
  <c r="L320" i="13"/>
  <c r="L322" i="13"/>
  <c r="L324" i="13"/>
  <c r="L326" i="13"/>
  <c r="L327" i="13"/>
  <c r="L328" i="13"/>
  <c r="L329" i="13"/>
  <c r="L330" i="13"/>
  <c r="L331" i="13"/>
  <c r="L332" i="13"/>
  <c r="L333" i="13"/>
  <c r="L334" i="13"/>
  <c r="L336" i="13"/>
  <c r="L337" i="13"/>
  <c r="L338" i="13"/>
  <c r="L339" i="13"/>
  <c r="L340" i="13"/>
  <c r="L341" i="13"/>
  <c r="L342" i="13"/>
  <c r="L343" i="13"/>
  <c r="L344" i="13"/>
  <c r="L345" i="13"/>
  <c r="L348" i="13"/>
  <c r="L349" i="13"/>
  <c r="L350" i="13"/>
  <c r="L351" i="13"/>
  <c r="L352" i="13"/>
  <c r="L353" i="13"/>
  <c r="L354" i="13"/>
  <c r="L355" i="13"/>
  <c r="L357" i="13"/>
  <c r="L358" i="13"/>
  <c r="L359" i="13"/>
  <c r="L360" i="13"/>
  <c r="L361" i="13"/>
  <c r="L362" i="13"/>
  <c r="L363" i="13"/>
  <c r="L364" i="13"/>
  <c r="L365" i="13"/>
  <c r="L366" i="13"/>
  <c r="L367" i="13"/>
  <c r="L368" i="13"/>
  <c r="L369" i="13"/>
  <c r="L370" i="13"/>
  <c r="L375" i="13"/>
  <c r="L376" i="13"/>
  <c r="L377" i="13"/>
  <c r="L378" i="13"/>
  <c r="L381" i="13"/>
  <c r="L382" i="13"/>
  <c r="L383" i="13"/>
  <c r="L384" i="13"/>
  <c r="L387" i="13"/>
  <c r="L388" i="13"/>
  <c r="L389" i="13"/>
  <c r="L390" i="13"/>
  <c r="L391" i="13"/>
  <c r="L392" i="13"/>
  <c r="L393" i="13"/>
  <c r="L394" i="13"/>
  <c r="L395" i="13"/>
  <c r="L396" i="13"/>
  <c r="L397" i="13"/>
  <c r="L398" i="13"/>
  <c r="L399" i="13"/>
  <c r="A172" i="13"/>
  <c r="A173" i="13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1" i="13" s="1"/>
  <c r="A272" i="13" s="1"/>
  <c r="A273" i="13" s="1"/>
  <c r="A274" i="13" s="1"/>
  <c r="A403" i="13"/>
  <c r="A404" i="13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S423" i="13"/>
  <c r="S422" i="13"/>
  <c r="S421" i="13"/>
  <c r="S420" i="13"/>
  <c r="S419" i="13"/>
  <c r="S418" i="13"/>
  <c r="S417" i="13"/>
  <c r="S416" i="13"/>
  <c r="S415" i="13"/>
  <c r="S414" i="13"/>
  <c r="S413" i="13"/>
  <c r="S412" i="13"/>
  <c r="S411" i="13"/>
  <c r="S410" i="13"/>
  <c r="S409" i="13"/>
  <c r="S408" i="13"/>
  <c r="S407" i="13"/>
  <c r="S406" i="13"/>
  <c r="S405" i="13"/>
  <c r="S404" i="13"/>
  <c r="S403" i="13"/>
  <c r="S402" i="13"/>
  <c r="S401" i="13"/>
  <c r="S400" i="13"/>
  <c r="S399" i="13"/>
  <c r="S398" i="13"/>
  <c r="S397" i="13"/>
  <c r="S396" i="13"/>
  <c r="S395" i="13"/>
  <c r="S394" i="13"/>
  <c r="S393" i="13"/>
  <c r="S392" i="13"/>
  <c r="S391" i="13"/>
  <c r="S390" i="13"/>
  <c r="S389" i="13"/>
  <c r="S388" i="13"/>
  <c r="S387" i="13"/>
  <c r="S384" i="13"/>
  <c r="S383" i="13"/>
  <c r="Q423" i="13"/>
  <c r="P423" i="13"/>
  <c r="Q422" i="13"/>
  <c r="P422" i="13"/>
  <c r="Q421" i="13"/>
  <c r="P421" i="13"/>
  <c r="Q420" i="13"/>
  <c r="P420" i="13"/>
  <c r="Q419" i="13"/>
  <c r="P419" i="13"/>
  <c r="Q418" i="13"/>
  <c r="P418" i="13"/>
  <c r="Q417" i="13"/>
  <c r="P417" i="13"/>
  <c r="Q416" i="13"/>
  <c r="P416" i="13"/>
  <c r="Q415" i="13"/>
  <c r="P415" i="13"/>
  <c r="Q414" i="13"/>
  <c r="P414" i="13"/>
  <c r="Q413" i="13"/>
  <c r="P413" i="13"/>
  <c r="Q412" i="13"/>
  <c r="P412" i="13"/>
  <c r="Q411" i="13"/>
  <c r="P411" i="13"/>
  <c r="Q410" i="13"/>
  <c r="P410" i="13"/>
  <c r="Q409" i="13"/>
  <c r="P409" i="13"/>
  <c r="Q408" i="13"/>
  <c r="P408" i="13"/>
  <c r="Q407" i="13"/>
  <c r="P407" i="13"/>
  <c r="Q406" i="13"/>
  <c r="P406" i="13"/>
  <c r="Q405" i="13"/>
  <c r="P405" i="13"/>
  <c r="Q404" i="13"/>
  <c r="P404" i="13"/>
  <c r="Q403" i="13"/>
  <c r="P403" i="13"/>
  <c r="Q402" i="13"/>
  <c r="P402" i="13"/>
  <c r="Q401" i="13"/>
  <c r="P401" i="13"/>
  <c r="Q400" i="13"/>
  <c r="P400" i="13"/>
  <c r="Q399" i="13"/>
  <c r="P399" i="13"/>
  <c r="Q398" i="13"/>
  <c r="P398" i="13"/>
  <c r="Q397" i="13"/>
  <c r="P397" i="13"/>
  <c r="Q396" i="13"/>
  <c r="P396" i="13"/>
  <c r="Q395" i="13"/>
  <c r="P395" i="13"/>
  <c r="Q394" i="13"/>
  <c r="P394" i="13"/>
  <c r="Q393" i="13"/>
  <c r="P393" i="13"/>
  <c r="Q392" i="13"/>
  <c r="P392" i="13"/>
  <c r="Q391" i="13"/>
  <c r="P391" i="13"/>
  <c r="Q390" i="13"/>
  <c r="P390" i="13"/>
  <c r="Q389" i="13"/>
  <c r="P389" i="13"/>
  <c r="I423" i="13"/>
  <c r="H423" i="13"/>
  <c r="I422" i="13"/>
  <c r="H422" i="13"/>
  <c r="I421" i="13"/>
  <c r="H421" i="13"/>
  <c r="I420" i="13"/>
  <c r="H420" i="13"/>
  <c r="I419" i="13"/>
  <c r="H419" i="13"/>
  <c r="I418" i="13"/>
  <c r="H418" i="13"/>
  <c r="I417" i="13"/>
  <c r="H417" i="13"/>
  <c r="I416" i="13"/>
  <c r="H416" i="13"/>
  <c r="I415" i="13"/>
  <c r="H415" i="13"/>
  <c r="I414" i="13"/>
  <c r="H414" i="13"/>
  <c r="I413" i="13"/>
  <c r="H413" i="13"/>
  <c r="I412" i="13"/>
  <c r="H412" i="13"/>
  <c r="I411" i="13"/>
  <c r="H411" i="13"/>
  <c r="I410" i="13"/>
  <c r="H410" i="13"/>
  <c r="I409" i="13"/>
  <c r="H409" i="13"/>
  <c r="I408" i="13"/>
  <c r="H408" i="13"/>
  <c r="I407" i="13"/>
  <c r="H407" i="13"/>
  <c r="I406" i="13"/>
  <c r="H406" i="13"/>
  <c r="I405" i="13"/>
  <c r="H405" i="13"/>
  <c r="I404" i="13"/>
  <c r="H404" i="13"/>
  <c r="I403" i="13"/>
  <c r="H403" i="13"/>
  <c r="H29" i="13"/>
  <c r="J318" i="13"/>
  <c r="C423" i="13"/>
  <c r="C422" i="13"/>
  <c r="C418" i="13"/>
  <c r="C416" i="13"/>
  <c r="C414" i="13"/>
  <c r="C412" i="13"/>
  <c r="C410" i="13"/>
  <c r="C408" i="13"/>
  <c r="C407" i="13"/>
  <c r="C406" i="13"/>
  <c r="C694" i="12"/>
  <c r="E694" i="12" s="1"/>
  <c r="B695" i="12"/>
  <c r="C695" i="12" s="1"/>
  <c r="E695" i="12" s="1"/>
  <c r="B693" i="12"/>
  <c r="C693" i="12"/>
  <c r="E693" i="12" s="1"/>
  <c r="C692" i="12"/>
  <c r="E692" i="12" s="1"/>
  <c r="C688" i="12"/>
  <c r="E688" i="12" s="1"/>
  <c r="C689" i="12"/>
  <c r="E689" i="12" s="1"/>
  <c r="C687" i="12"/>
  <c r="E687" i="12" s="1"/>
  <c r="G687" i="12" s="1"/>
  <c r="B686" i="12"/>
  <c r="C686" i="12"/>
  <c r="E686" i="12" s="1"/>
  <c r="D686" i="12"/>
  <c r="B682" i="12"/>
  <c r="B684" i="12"/>
  <c r="C682" i="12"/>
  <c r="E682" i="12"/>
  <c r="B683" i="12"/>
  <c r="C683" i="12"/>
  <c r="E683" i="12" s="1"/>
  <c r="A663" i="12"/>
  <c r="A664" i="12" s="1"/>
  <c r="A665" i="12" s="1"/>
  <c r="A666" i="12" s="1"/>
  <c r="A667" i="12" s="1"/>
  <c r="A668" i="12" s="1"/>
  <c r="A669" i="12" s="1"/>
  <c r="A670" i="12" s="1"/>
  <c r="A671" i="12" s="1"/>
  <c r="A672" i="12" s="1"/>
  <c r="A674" i="12" s="1"/>
  <c r="A678" i="12" s="1"/>
  <c r="A679" i="12" s="1"/>
  <c r="A680" i="12" s="1"/>
  <c r="A682" i="12" s="1"/>
  <c r="B680" i="12"/>
  <c r="C680" i="12"/>
  <c r="E680" i="12" s="1"/>
  <c r="C679" i="12"/>
  <c r="E679" i="12" s="1"/>
  <c r="B678" i="12"/>
  <c r="C678" i="12" s="1"/>
  <c r="E678" i="12" s="1"/>
  <c r="C674" i="12"/>
  <c r="E674" i="12"/>
  <c r="B675" i="12"/>
  <c r="B676" i="12" s="1"/>
  <c r="C675" i="12"/>
  <c r="E675" i="12" s="1"/>
  <c r="B672" i="12"/>
  <c r="C672" i="12" s="1"/>
  <c r="E672" i="12" s="1"/>
  <c r="C671" i="12"/>
  <c r="E671" i="12"/>
  <c r="B670" i="12"/>
  <c r="C670" i="12"/>
  <c r="E670" i="12" s="1"/>
  <c r="C669" i="12"/>
  <c r="E669" i="12" s="1"/>
  <c r="B668" i="12"/>
  <c r="C668" i="12" s="1"/>
  <c r="E668" i="12" s="1"/>
  <c r="B667" i="12"/>
  <c r="C667" i="12"/>
  <c r="E667" i="12" s="1"/>
  <c r="B666" i="12"/>
  <c r="C666" i="12" s="1"/>
  <c r="E666" i="12" s="1"/>
  <c r="C665" i="12"/>
  <c r="E665" i="12"/>
  <c r="C664" i="12"/>
  <c r="E664" i="12"/>
  <c r="G664" i="12" s="1"/>
  <c r="C663" i="12"/>
  <c r="E663" i="12" s="1"/>
  <c r="C662" i="12"/>
  <c r="E662" i="12" s="1"/>
  <c r="G662" i="12" s="1"/>
  <c r="C661" i="12"/>
  <c r="E661" i="12"/>
  <c r="G661" i="12" s="1"/>
  <c r="C660" i="12"/>
  <c r="E660" i="12" s="1"/>
  <c r="G660" i="12" s="1"/>
  <c r="C659" i="12"/>
  <c r="E659" i="12"/>
  <c r="F659" i="12" s="1"/>
  <c r="C658" i="12"/>
  <c r="E658" i="12" s="1"/>
  <c r="C657" i="12"/>
  <c r="E657" i="12" s="1"/>
  <c r="C656" i="12"/>
  <c r="E656" i="12" s="1"/>
  <c r="C655" i="12"/>
  <c r="E655" i="12" s="1"/>
  <c r="B649" i="12"/>
  <c r="C649" i="12" s="1"/>
  <c r="E649" i="12" s="1"/>
  <c r="B650" i="12"/>
  <c r="C650" i="12"/>
  <c r="E650" i="12" s="1"/>
  <c r="C651" i="12"/>
  <c r="E651" i="12" s="1"/>
  <c r="B652" i="12"/>
  <c r="C652" i="12" s="1"/>
  <c r="E652" i="12" s="1"/>
  <c r="B647" i="12"/>
  <c r="C647" i="12" s="1"/>
  <c r="E647" i="12" s="1"/>
  <c r="G647" i="12" s="1"/>
  <c r="D647" i="12"/>
  <c r="B643" i="12"/>
  <c r="C643" i="12"/>
  <c r="E643" i="12" s="1"/>
  <c r="B644" i="12"/>
  <c r="C644" i="12" s="1"/>
  <c r="E644" i="12" s="1"/>
  <c r="C642" i="12"/>
  <c r="E642" i="12"/>
  <c r="C640" i="12"/>
  <c r="E640" i="12"/>
  <c r="C639" i="12"/>
  <c r="E639" i="12"/>
  <c r="C638" i="12"/>
  <c r="E638" i="12"/>
  <c r="B634" i="12"/>
  <c r="C634" i="12"/>
  <c r="E634" i="12" s="1"/>
  <c r="B635" i="12"/>
  <c r="C635" i="12" s="1"/>
  <c r="E635" i="12" s="1"/>
  <c r="D717" i="12"/>
  <c r="E717" i="12"/>
  <c r="F717" i="12"/>
  <c r="G717" i="12"/>
  <c r="D719" i="12"/>
  <c r="E719" i="12"/>
  <c r="F719" i="12"/>
  <c r="G719" i="12"/>
  <c r="B726" i="12"/>
  <c r="C726" i="12"/>
  <c r="E726" i="12" s="1"/>
  <c r="B727" i="12"/>
  <c r="C727" i="12" s="1"/>
  <c r="E727" i="12" s="1"/>
  <c r="C729" i="12"/>
  <c r="E729" i="12"/>
  <c r="B730" i="12"/>
  <c r="C730" i="12"/>
  <c r="E730" i="12" s="1"/>
  <c r="B630" i="12"/>
  <c r="C630" i="12" s="1"/>
  <c r="E630" i="12" s="1"/>
  <c r="C155" i="12"/>
  <c r="F155" i="12"/>
  <c r="B157" i="12"/>
  <c r="C157" i="12"/>
  <c r="E157" i="12" s="1"/>
  <c r="C165" i="12"/>
  <c r="F165" i="12" s="1"/>
  <c r="C171" i="12"/>
  <c r="F171" i="12" s="1"/>
  <c r="C182" i="12"/>
  <c r="F182" i="12" s="1"/>
  <c r="C188" i="12"/>
  <c r="F188" i="12" s="1"/>
  <c r="C194" i="12"/>
  <c r="F194" i="12" s="1"/>
  <c r="C200" i="12"/>
  <c r="F200" i="12" s="1"/>
  <c r="C413" i="12"/>
  <c r="E413" i="12" s="1"/>
  <c r="B221" i="12"/>
  <c r="C221" i="12" s="1"/>
  <c r="F221" i="12" s="1"/>
  <c r="B227" i="12"/>
  <c r="C227" i="12"/>
  <c r="F227" i="12" s="1"/>
  <c r="G227" i="12" s="1"/>
  <c r="B731" i="12"/>
  <c r="C731" i="12"/>
  <c r="E731" i="12" s="1"/>
  <c r="C81" i="12"/>
  <c r="E81" i="12" s="1"/>
  <c r="C115" i="12"/>
  <c r="E115" i="12" s="1"/>
  <c r="G115" i="12" s="1"/>
  <c r="B117" i="12"/>
  <c r="C117" i="12"/>
  <c r="E117" i="12" s="1"/>
  <c r="B118" i="12"/>
  <c r="C118" i="12" s="1"/>
  <c r="E118" i="12" s="1"/>
  <c r="C121" i="12"/>
  <c r="E121" i="12"/>
  <c r="C122" i="12"/>
  <c r="E122" i="12"/>
  <c r="B123" i="12"/>
  <c r="C123" i="12"/>
  <c r="E123" i="12" s="1"/>
  <c r="C126" i="12"/>
  <c r="E126" i="12" s="1"/>
  <c r="C127" i="12"/>
  <c r="E127" i="12" s="1"/>
  <c r="B130" i="12"/>
  <c r="C130" i="12" s="1"/>
  <c r="E130" i="12" s="1"/>
  <c r="C132" i="12"/>
  <c r="E132" i="12"/>
  <c r="C133" i="12"/>
  <c r="E133" i="12"/>
  <c r="C134" i="12"/>
  <c r="E134" i="12"/>
  <c r="C137" i="12"/>
  <c r="E137" i="12"/>
  <c r="C138" i="12"/>
  <c r="E138" i="12"/>
  <c r="K138" i="12"/>
  <c r="C139" i="12"/>
  <c r="E139" i="12" s="1"/>
  <c r="C140" i="12"/>
  <c r="E140" i="12" s="1"/>
  <c r="C141" i="12"/>
  <c r="E141" i="12" s="1"/>
  <c r="C142" i="12"/>
  <c r="E142" i="12" s="1"/>
  <c r="C144" i="12"/>
  <c r="E144" i="12" s="1"/>
  <c r="C145" i="12"/>
  <c r="E145" i="12" s="1"/>
  <c r="C146" i="12"/>
  <c r="E146" i="12" s="1"/>
  <c r="C147" i="12"/>
  <c r="E147" i="12" s="1"/>
  <c r="C148" i="12"/>
  <c r="E148" i="12" s="1"/>
  <c r="C159" i="12"/>
  <c r="E159" i="12" s="1"/>
  <c r="C173" i="12"/>
  <c r="E173" i="12" s="1"/>
  <c r="G173" i="12" s="1"/>
  <c r="C174" i="12"/>
  <c r="E174" i="12"/>
  <c r="C175" i="12"/>
  <c r="E175" i="12"/>
  <c r="B202" i="12"/>
  <c r="C202" i="12"/>
  <c r="E202" i="12" s="1"/>
  <c r="B203" i="12"/>
  <c r="C203" i="12" s="1"/>
  <c r="E203" i="12" s="1"/>
  <c r="G203" i="12" s="1"/>
  <c r="B206" i="12"/>
  <c r="C206" i="12" s="1"/>
  <c r="E206" i="12" s="1"/>
  <c r="B207" i="12"/>
  <c r="C207" i="12"/>
  <c r="C210" i="12"/>
  <c r="E210" i="12"/>
  <c r="C211" i="12"/>
  <c r="E211" i="12"/>
  <c r="C212" i="12"/>
  <c r="E212" i="12"/>
  <c r="B213" i="12"/>
  <c r="C213" i="12"/>
  <c r="E213" i="12" s="1"/>
  <c r="C231" i="12"/>
  <c r="E231" i="12" s="1"/>
  <c r="C232" i="12"/>
  <c r="E232" i="12" s="1"/>
  <c r="C233" i="12"/>
  <c r="E233" i="12" s="1"/>
  <c r="C263" i="12"/>
  <c r="E263" i="12" s="1"/>
  <c r="C265" i="12"/>
  <c r="E265" i="12" s="1"/>
  <c r="C272" i="12"/>
  <c r="E272" i="12" s="1"/>
  <c r="C273" i="12"/>
  <c r="E273" i="12" s="1"/>
  <c r="C274" i="12"/>
  <c r="E274" i="12" s="1"/>
  <c r="C275" i="12"/>
  <c r="E275" i="12" s="1"/>
  <c r="C276" i="12"/>
  <c r="E276" i="12" s="1"/>
  <c r="C277" i="12"/>
  <c r="E277" i="12" s="1"/>
  <c r="C278" i="12"/>
  <c r="E278" i="12" s="1"/>
  <c r="C279" i="12"/>
  <c r="E279" i="12" s="1"/>
  <c r="C280" i="12"/>
  <c r="E280" i="12" s="1"/>
  <c r="C281" i="12"/>
  <c r="E281" i="12" s="1"/>
  <c r="C282" i="12"/>
  <c r="E282" i="12" s="1"/>
  <c r="C300" i="12"/>
  <c r="E300" i="12" s="1"/>
  <c r="B301" i="12"/>
  <c r="C301" i="12" s="1"/>
  <c r="E301" i="12" s="1"/>
  <c r="C305" i="12"/>
  <c r="E305" i="12"/>
  <c r="C306" i="12"/>
  <c r="E306" i="12"/>
  <c r="C307" i="12"/>
  <c r="E307" i="12"/>
  <c r="C308" i="12"/>
  <c r="E308" i="12"/>
  <c r="C309" i="12"/>
  <c r="E309" i="12"/>
  <c r="C310" i="12"/>
  <c r="E310" i="12"/>
  <c r="C312" i="12"/>
  <c r="E312" i="12"/>
  <c r="C314" i="12"/>
  <c r="E314" i="12"/>
  <c r="C315" i="12"/>
  <c r="E315" i="12"/>
  <c r="C329" i="12"/>
  <c r="E329" i="12"/>
  <c r="C330" i="12"/>
  <c r="E330" i="12"/>
  <c r="C331" i="12"/>
  <c r="E331" i="12"/>
  <c r="C332" i="12"/>
  <c r="E332" i="12"/>
  <c r="C333" i="12"/>
  <c r="E333" i="12"/>
  <c r="C334" i="12"/>
  <c r="E334" i="12"/>
  <c r="C335" i="12"/>
  <c r="E335" i="12"/>
  <c r="C337" i="12"/>
  <c r="E337" i="12"/>
  <c r="C338" i="12"/>
  <c r="E338" i="12"/>
  <c r="C339" i="12"/>
  <c r="E339" i="12"/>
  <c r="C340" i="12"/>
  <c r="E340" i="12"/>
  <c r="C341" i="12"/>
  <c r="E341" i="12"/>
  <c r="C343" i="12"/>
  <c r="E343" i="12"/>
  <c r="F343" i="12" s="1"/>
  <c r="C344" i="12"/>
  <c r="E344" i="12" s="1"/>
  <c r="C345" i="12"/>
  <c r="E345" i="12" s="1"/>
  <c r="F345" i="12" s="1"/>
  <c r="C346" i="12"/>
  <c r="E346" i="12"/>
  <c r="C348" i="12"/>
  <c r="E348" i="12"/>
  <c r="K348" i="12"/>
  <c r="C350" i="12"/>
  <c r="E350" i="12" s="1"/>
  <c r="B352" i="12"/>
  <c r="C352" i="12" s="1"/>
  <c r="E352" i="12" s="1"/>
  <c r="F352" i="12" s="1"/>
  <c r="C353" i="12"/>
  <c r="E353" i="12" s="1"/>
  <c r="C354" i="12"/>
  <c r="E354" i="12" s="1"/>
  <c r="F354" i="12" s="1"/>
  <c r="C359" i="12"/>
  <c r="E359" i="12"/>
  <c r="C360" i="12"/>
  <c r="E360" i="12"/>
  <c r="F360" i="12" s="1"/>
  <c r="C363" i="12"/>
  <c r="E363" i="12" s="1"/>
  <c r="C364" i="12"/>
  <c r="E364" i="12" s="1"/>
  <c r="C365" i="12"/>
  <c r="E365" i="12" s="1"/>
  <c r="F365" i="12" s="1"/>
  <c r="C368" i="12"/>
  <c r="E368" i="12"/>
  <c r="C369" i="12"/>
  <c r="E369" i="12"/>
  <c r="C372" i="12"/>
  <c r="E372" i="12"/>
  <c r="C379" i="12"/>
  <c r="E379" i="12"/>
  <c r="C380" i="12"/>
  <c r="E380" i="12"/>
  <c r="C381" i="12"/>
  <c r="E381" i="12"/>
  <c r="F381" i="12" s="1"/>
  <c r="C382" i="12"/>
  <c r="E382" i="12" s="1"/>
  <c r="C383" i="12"/>
  <c r="E383" i="12" s="1"/>
  <c r="C384" i="12"/>
  <c r="E384" i="12" s="1"/>
  <c r="F384" i="12" s="1"/>
  <c r="C386" i="12"/>
  <c r="E386" i="12"/>
  <c r="C387" i="12"/>
  <c r="E387" i="12"/>
  <c r="F387" i="12" s="1"/>
  <c r="C388" i="12"/>
  <c r="E388" i="12" s="1"/>
  <c r="C389" i="12"/>
  <c r="E389" i="12" s="1"/>
  <c r="C392" i="12"/>
  <c r="E392" i="12" s="1"/>
  <c r="C393" i="12"/>
  <c r="E393" i="12" s="1"/>
  <c r="C394" i="12"/>
  <c r="E394" i="12" s="1"/>
  <c r="F394" i="12" s="1"/>
  <c r="C395" i="12"/>
  <c r="E395" i="12"/>
  <c r="C396" i="12"/>
  <c r="E396" i="12"/>
  <c r="F396" i="12" s="1"/>
  <c r="C397" i="12"/>
  <c r="E397" i="12" s="1"/>
  <c r="C399" i="12"/>
  <c r="E399" i="12" s="1"/>
  <c r="F399" i="12" s="1"/>
  <c r="C400" i="12"/>
  <c r="E400" i="12"/>
  <c r="C401" i="12"/>
  <c r="E401" i="12"/>
  <c r="F401" i="12" s="1"/>
  <c r="C402" i="12"/>
  <c r="E402" i="12" s="1"/>
  <c r="C404" i="12"/>
  <c r="E404" i="12" s="1"/>
  <c r="F404" i="12" s="1"/>
  <c r="C407" i="12"/>
  <c r="E407" i="12"/>
  <c r="C408" i="12"/>
  <c r="E408" i="12"/>
  <c r="C409" i="12"/>
  <c r="E409" i="12"/>
  <c r="F409" i="12" s="1"/>
  <c r="C410" i="12"/>
  <c r="E410" i="12" s="1"/>
  <c r="C411" i="12"/>
  <c r="E411" i="12" s="1"/>
  <c r="C415" i="12"/>
  <c r="E415" i="12" s="1"/>
  <c r="F415" i="12" s="1"/>
  <c r="C416" i="12"/>
  <c r="E416" i="12"/>
  <c r="C417" i="12"/>
  <c r="E417" i="12"/>
  <c r="C418" i="12"/>
  <c r="E418" i="12"/>
  <c r="F418" i="12" s="1"/>
  <c r="C420" i="12"/>
  <c r="E420" i="12" s="1"/>
  <c r="C421" i="12"/>
  <c r="E421" i="12" s="1"/>
  <c r="F421" i="12" s="1"/>
  <c r="C422" i="12"/>
  <c r="E422" i="12"/>
  <c r="C424" i="12"/>
  <c r="E424" i="12"/>
  <c r="C425" i="12"/>
  <c r="E425" i="12"/>
  <c r="F425" i="12" s="1"/>
  <c r="C426" i="12"/>
  <c r="E426" i="12" s="1"/>
  <c r="C427" i="12"/>
  <c r="E427" i="12" s="1"/>
  <c r="F427" i="12" s="1"/>
  <c r="C429" i="12"/>
  <c r="E429" i="12"/>
  <c r="C430" i="12"/>
  <c r="E430" i="12"/>
  <c r="C431" i="12"/>
  <c r="E431" i="12"/>
  <c r="C434" i="12"/>
  <c r="E434" i="12"/>
  <c r="C435" i="12"/>
  <c r="E435" i="12"/>
  <c r="F435" i="12" s="1"/>
  <c r="C436" i="12"/>
  <c r="E436" i="12" s="1"/>
  <c r="C437" i="12"/>
  <c r="E437" i="12" s="1"/>
  <c r="F437" i="12" s="1"/>
  <c r="C438" i="12"/>
  <c r="E438" i="12"/>
  <c r="C439" i="12"/>
  <c r="E439" i="12"/>
  <c r="C442" i="12"/>
  <c r="E442" i="12"/>
  <c r="C443" i="12"/>
  <c r="E443" i="12"/>
  <c r="F443" i="12" s="1"/>
  <c r="C444" i="12"/>
  <c r="E444" i="12" s="1"/>
  <c r="C446" i="12"/>
  <c r="E446" i="12" s="1"/>
  <c r="C447" i="12"/>
  <c r="E447" i="12" s="1"/>
  <c r="C448" i="12"/>
  <c r="E448" i="12" s="1"/>
  <c r="C449" i="12"/>
  <c r="E449" i="12" s="1"/>
  <c r="C450" i="12"/>
  <c r="E450" i="12" s="1"/>
  <c r="C451" i="12"/>
  <c r="E451" i="12" s="1"/>
  <c r="C453" i="12"/>
  <c r="E453" i="12" s="1"/>
  <c r="C454" i="12"/>
  <c r="E454" i="12" s="1"/>
  <c r="C455" i="12"/>
  <c r="E455" i="12" s="1"/>
  <c r="C457" i="12"/>
  <c r="E457" i="12" s="1"/>
  <c r="C458" i="12"/>
  <c r="E458" i="12" s="1"/>
  <c r="C459" i="12"/>
  <c r="E459" i="12" s="1"/>
  <c r="C460" i="12"/>
  <c r="E460" i="12" s="1"/>
  <c r="C461" i="12"/>
  <c r="E461" i="12" s="1"/>
  <c r="C463" i="12"/>
  <c r="E463" i="12" s="1"/>
  <c r="C464" i="12"/>
  <c r="E464" i="12" s="1"/>
  <c r="C466" i="12"/>
  <c r="E466" i="12" s="1"/>
  <c r="C467" i="12"/>
  <c r="E467" i="12" s="1"/>
  <c r="C468" i="12"/>
  <c r="E468" i="12" s="1"/>
  <c r="C469" i="12"/>
  <c r="E469" i="12" s="1"/>
  <c r="C470" i="12"/>
  <c r="E470" i="12" s="1"/>
  <c r="C471" i="12"/>
  <c r="E471" i="12" s="1"/>
  <c r="C472" i="12"/>
  <c r="E472" i="12" s="1"/>
  <c r="C473" i="12"/>
  <c r="E473" i="12" s="1"/>
  <c r="C474" i="12"/>
  <c r="E474" i="12" s="1"/>
  <c r="C475" i="12"/>
  <c r="E475" i="12" s="1"/>
  <c r="C476" i="12"/>
  <c r="E476" i="12" s="1"/>
  <c r="C477" i="12"/>
  <c r="E477" i="12" s="1"/>
  <c r="C478" i="12"/>
  <c r="E478" i="12" s="1"/>
  <c r="C480" i="12"/>
  <c r="E480" i="12" s="1"/>
  <c r="C481" i="12"/>
  <c r="E481" i="12" s="1"/>
  <c r="C482" i="12"/>
  <c r="E482" i="12" s="1"/>
  <c r="C483" i="12"/>
  <c r="E483" i="12" s="1"/>
  <c r="C484" i="12"/>
  <c r="E484" i="12" s="1"/>
  <c r="C487" i="12"/>
  <c r="E487" i="12" s="1"/>
  <c r="C488" i="12"/>
  <c r="E488" i="12" s="1"/>
  <c r="G488" i="12"/>
  <c r="C489" i="12"/>
  <c r="E489" i="12"/>
  <c r="C490" i="12"/>
  <c r="E490" i="12"/>
  <c r="C491" i="12"/>
  <c r="E491" i="12"/>
  <c r="C493" i="12"/>
  <c r="E493" i="12"/>
  <c r="C495" i="12"/>
  <c r="E495" i="12"/>
  <c r="C496" i="12"/>
  <c r="E496" i="12"/>
  <c r="C497" i="12"/>
  <c r="E497" i="12"/>
  <c r="C498" i="12"/>
  <c r="E498" i="12"/>
  <c r="C499" i="12"/>
  <c r="E499" i="12"/>
  <c r="C500" i="12"/>
  <c r="E500" i="12"/>
  <c r="C501" i="12"/>
  <c r="E501" i="12"/>
  <c r="C502" i="12"/>
  <c r="E502" i="12"/>
  <c r="C503" i="12"/>
  <c r="E503" i="12"/>
  <c r="C504" i="12"/>
  <c r="E504" i="12"/>
  <c r="C505" i="12"/>
  <c r="E505" i="12"/>
  <c r="C506" i="12"/>
  <c r="E506" i="12"/>
  <c r="C508" i="12"/>
  <c r="E508" i="12"/>
  <c r="C509" i="12"/>
  <c r="E509" i="12"/>
  <c r="C510" i="12"/>
  <c r="E510" i="12"/>
  <c r="C511" i="12"/>
  <c r="E511" i="12"/>
  <c r="C512" i="12"/>
  <c r="E512" i="12"/>
  <c r="C513" i="12"/>
  <c r="E513" i="12"/>
  <c r="C516" i="12"/>
  <c r="E516" i="12"/>
  <c r="C517" i="12"/>
  <c r="E517" i="12"/>
  <c r="C518" i="12"/>
  <c r="E518" i="12"/>
  <c r="C519" i="12"/>
  <c r="E519" i="12"/>
  <c r="C521" i="12"/>
  <c r="E521" i="12"/>
  <c r="C522" i="12"/>
  <c r="E522" i="12"/>
  <c r="C523" i="12"/>
  <c r="E523" i="12"/>
  <c r="C524" i="12"/>
  <c r="E524" i="12"/>
  <c r="B527" i="12"/>
  <c r="C527" i="12"/>
  <c r="E527" i="12" s="1"/>
  <c r="C528" i="12"/>
  <c r="E528" i="12" s="1"/>
  <c r="C530" i="12"/>
  <c r="E530" i="12" s="1"/>
  <c r="C531" i="12"/>
  <c r="E531" i="12" s="1"/>
  <c r="C532" i="12"/>
  <c r="E532" i="12" s="1"/>
  <c r="C533" i="12"/>
  <c r="E533" i="12" s="1"/>
  <c r="C537" i="12"/>
  <c r="E537" i="12" s="1"/>
  <c r="C538" i="12"/>
  <c r="E538" i="12" s="1"/>
  <c r="C541" i="12"/>
  <c r="E541" i="12" s="1"/>
  <c r="C542" i="12"/>
  <c r="E542" i="12" s="1"/>
  <c r="C543" i="12"/>
  <c r="E543" i="12" s="1"/>
  <c r="C544" i="12"/>
  <c r="E544" i="12" s="1"/>
  <c r="C545" i="12"/>
  <c r="E545" i="12" s="1"/>
  <c r="C546" i="12"/>
  <c r="E546" i="12" s="1"/>
  <c r="C547" i="12"/>
  <c r="E547" i="12" s="1"/>
  <c r="C548" i="12"/>
  <c r="E548" i="12" s="1"/>
  <c r="C549" i="12"/>
  <c r="E549" i="12" s="1"/>
  <c r="C552" i="12"/>
  <c r="E552" i="12" s="1"/>
  <c r="C553" i="12"/>
  <c r="E553" i="12" s="1"/>
  <c r="C554" i="12"/>
  <c r="E554" i="12" s="1"/>
  <c r="C555" i="12"/>
  <c r="E555" i="12" s="1"/>
  <c r="C556" i="12"/>
  <c r="E556" i="12" s="1"/>
  <c r="C557" i="12"/>
  <c r="E557" i="12" s="1"/>
  <c r="C558" i="12"/>
  <c r="E558" i="12" s="1"/>
  <c r="C560" i="12"/>
  <c r="E560" i="12" s="1"/>
  <c r="B561" i="12"/>
  <c r="C561" i="12" s="1"/>
  <c r="E561" i="12" s="1"/>
  <c r="C564" i="12"/>
  <c r="E564" i="12"/>
  <c r="B566" i="12"/>
  <c r="C566" i="12"/>
  <c r="E566" i="12" s="1"/>
  <c r="B567" i="12"/>
  <c r="C567" i="12" s="1"/>
  <c r="E567" i="12" s="1"/>
  <c r="B568" i="12"/>
  <c r="C568" i="12"/>
  <c r="E568" i="12" s="1"/>
  <c r="C571" i="12"/>
  <c r="E571" i="12" s="1"/>
  <c r="C572" i="12"/>
  <c r="E572" i="12" s="1"/>
  <c r="C573" i="12"/>
  <c r="E573" i="12" s="1"/>
  <c r="B576" i="12"/>
  <c r="C576" i="12" s="1"/>
  <c r="E576" i="12" s="1"/>
  <c r="C577" i="12"/>
  <c r="E577" i="12"/>
  <c r="B580" i="12"/>
  <c r="C580" i="12"/>
  <c r="E580" i="12" s="1"/>
  <c r="B581" i="12"/>
  <c r="C581" i="12" s="1"/>
  <c r="E581" i="12" s="1"/>
  <c r="C582" i="12"/>
  <c r="E582" i="12"/>
  <c r="C584" i="12"/>
  <c r="E584" i="12"/>
  <c r="B586" i="12"/>
  <c r="C586" i="12"/>
  <c r="E586" i="12" s="1"/>
  <c r="B587" i="12"/>
  <c r="C587" i="12" s="1"/>
  <c r="E587" i="12" s="1"/>
  <c r="C588" i="12"/>
  <c r="E588" i="12"/>
  <c r="B589" i="12"/>
  <c r="C589" i="12"/>
  <c r="E589" i="12" s="1"/>
  <c r="B590" i="12"/>
  <c r="C590" i="12" s="1"/>
  <c r="E590" i="12" s="1"/>
  <c r="C592" i="12"/>
  <c r="E592" i="12"/>
  <c r="B593" i="12"/>
  <c r="C593" i="12"/>
  <c r="E593" i="12" s="1"/>
  <c r="C594" i="12"/>
  <c r="E594" i="12" s="1"/>
  <c r="C595" i="12"/>
  <c r="E595" i="12" s="1"/>
  <c r="B596" i="12"/>
  <c r="C596" i="12" s="1"/>
  <c r="E596" i="12" s="1"/>
  <c r="C598" i="12"/>
  <c r="E598" i="12"/>
  <c r="C597" i="12"/>
  <c r="E597" i="12"/>
  <c r="C600" i="12"/>
  <c r="E600" i="12"/>
  <c r="C601" i="12"/>
  <c r="E601" i="12"/>
  <c r="B603" i="12"/>
  <c r="C603" i="12"/>
  <c r="E603" i="12" s="1"/>
  <c r="B604" i="12"/>
  <c r="C604" i="12" s="1"/>
  <c r="E604" i="12" s="1"/>
  <c r="I608" i="12"/>
  <c r="C606" i="12"/>
  <c r="E606" i="12" s="1"/>
  <c r="B607" i="12"/>
  <c r="C607" i="12" s="1"/>
  <c r="E607" i="12" s="1"/>
  <c r="I612" i="12"/>
  <c r="B610" i="12"/>
  <c r="C610" i="12" s="1"/>
  <c r="E610" i="12" s="1"/>
  <c r="B611" i="12"/>
  <c r="C611" i="12"/>
  <c r="E611" i="12" s="1"/>
  <c r="B613" i="12"/>
  <c r="C613" i="12" s="1"/>
  <c r="E613" i="12" s="1"/>
  <c r="B614" i="12"/>
  <c r="C614" i="12"/>
  <c r="E614" i="12" s="1"/>
  <c r="B615" i="12"/>
  <c r="C615" i="12" s="1"/>
  <c r="E615" i="12" s="1"/>
  <c r="B617" i="12"/>
  <c r="C617" i="12"/>
  <c r="E617" i="12" s="1"/>
  <c r="B618" i="12"/>
  <c r="C618" i="12" s="1"/>
  <c r="E618" i="12" s="1"/>
  <c r="B620" i="12"/>
  <c r="C620" i="12"/>
  <c r="E620" i="12" s="1"/>
  <c r="B621" i="12"/>
  <c r="C621" i="12" s="1"/>
  <c r="E621" i="12" s="1"/>
  <c r="B623" i="12"/>
  <c r="C623" i="12"/>
  <c r="E623" i="12" s="1"/>
  <c r="B626" i="12"/>
  <c r="C626" i="12" s="1"/>
  <c r="E626" i="12" s="1"/>
  <c r="C627" i="12"/>
  <c r="E627" i="12"/>
  <c r="C149" i="12"/>
  <c r="E149" i="12"/>
  <c r="C216" i="12"/>
  <c r="E216" i="12"/>
  <c r="C264" i="12"/>
  <c r="E264" i="12"/>
  <c r="C283" i="12"/>
  <c r="E283" i="12"/>
  <c r="C284" i="12"/>
  <c r="E284" i="12"/>
  <c r="C289" i="12"/>
  <c r="E289" i="12"/>
  <c r="C291" i="12"/>
  <c r="E291" i="12"/>
  <c r="C294" i="12"/>
  <c r="E294" i="12"/>
  <c r="C295" i="12"/>
  <c r="E295" i="12"/>
  <c r="C296" i="12"/>
  <c r="E296" i="12"/>
  <c r="C297" i="12"/>
  <c r="E297" i="12"/>
  <c r="C311" i="12"/>
  <c r="E311" i="12"/>
  <c r="C313" i="12"/>
  <c r="E313" i="12"/>
  <c r="C336" i="12"/>
  <c r="E336" i="12"/>
  <c r="C349" i="12"/>
  <c r="E349" i="12"/>
  <c r="C385" i="12"/>
  <c r="E385" i="12"/>
  <c r="C391" i="12"/>
  <c r="E391" i="12"/>
  <c r="C398" i="12"/>
  <c r="E398" i="12"/>
  <c r="C403" i="12"/>
  <c r="E403" i="12"/>
  <c r="C405" i="12"/>
  <c r="E405" i="12"/>
  <c r="C406" i="12"/>
  <c r="E406" i="12"/>
  <c r="C412" i="12"/>
  <c r="E412" i="12"/>
  <c r="C419" i="12"/>
  <c r="E419" i="12"/>
  <c r="C428" i="12"/>
  <c r="E428" i="12"/>
  <c r="C440" i="12"/>
  <c r="E440" i="12"/>
  <c r="C441" i="12"/>
  <c r="E441" i="12"/>
  <c r="C445" i="12"/>
  <c r="E445" i="12"/>
  <c r="C452" i="12"/>
  <c r="E452" i="12"/>
  <c r="C456" i="12"/>
  <c r="E456" i="12"/>
  <c r="C462" i="12"/>
  <c r="E462" i="12"/>
  <c r="C465" i="12"/>
  <c r="E465" i="12"/>
  <c r="C479" i="12"/>
  <c r="E479" i="12"/>
  <c r="C485" i="12"/>
  <c r="E485" i="12"/>
  <c r="C486" i="12"/>
  <c r="E486" i="12"/>
  <c r="C492" i="12"/>
  <c r="E492" i="12"/>
  <c r="C494" i="12"/>
  <c r="E494" i="12"/>
  <c r="C507" i="12"/>
  <c r="E507" i="12"/>
  <c r="C514" i="12"/>
  <c r="E514" i="12"/>
  <c r="C515" i="12"/>
  <c r="E515" i="12"/>
  <c r="C520" i="12"/>
  <c r="E520" i="12"/>
  <c r="B526" i="12"/>
  <c r="C526" i="12"/>
  <c r="E526" i="12" s="1"/>
  <c r="C536" i="12"/>
  <c r="E536" i="12" s="1"/>
  <c r="C550" i="12"/>
  <c r="E550" i="12" s="1"/>
  <c r="B574" i="12"/>
  <c r="C574" i="12" s="1"/>
  <c r="E574" i="12" s="1"/>
  <c r="B583" i="12"/>
  <c r="C583" i="12"/>
  <c r="E583" i="12" s="1"/>
  <c r="B624" i="12"/>
  <c r="C624" i="12" s="1"/>
  <c r="E624" i="12" s="1"/>
  <c r="C625" i="12"/>
  <c r="E625" i="12"/>
  <c r="H18" i="13"/>
  <c r="H19" i="13"/>
  <c r="H20" i="13"/>
  <c r="H21" i="13"/>
  <c r="H22" i="13"/>
  <c r="H23" i="13"/>
  <c r="H24" i="13"/>
  <c r="H25" i="13"/>
  <c r="H26" i="13"/>
  <c r="H27" i="13"/>
  <c r="H28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3" i="13"/>
  <c r="H44" i="13"/>
  <c r="H45" i="13"/>
  <c r="H46" i="13"/>
  <c r="H47" i="13"/>
  <c r="H48" i="13"/>
  <c r="H49" i="13"/>
  <c r="H50" i="13"/>
  <c r="H51" i="13"/>
  <c r="H53" i="13"/>
  <c r="H54" i="13"/>
  <c r="H55" i="13"/>
  <c r="H56" i="13"/>
  <c r="H57" i="13"/>
  <c r="H58" i="13"/>
  <c r="H62" i="13"/>
  <c r="H63" i="13"/>
  <c r="H64" i="13"/>
  <c r="H66" i="13"/>
  <c r="H72" i="13"/>
  <c r="H73" i="13"/>
  <c r="H74" i="13"/>
  <c r="H76" i="13"/>
  <c r="H77" i="13"/>
  <c r="H79" i="13"/>
  <c r="H82" i="13"/>
  <c r="H83" i="13"/>
  <c r="H84" i="13"/>
  <c r="H85" i="13"/>
  <c r="H87" i="13"/>
  <c r="H88" i="13"/>
  <c r="H89" i="13"/>
  <c r="H91" i="13"/>
  <c r="H92" i="13"/>
  <c r="H96" i="13"/>
  <c r="H97" i="13"/>
  <c r="H98" i="13"/>
  <c r="H99" i="13"/>
  <c r="H100" i="13"/>
  <c r="H101" i="13"/>
  <c r="H102" i="13"/>
  <c r="H103" i="13"/>
  <c r="H104" i="13"/>
  <c r="H105" i="13"/>
  <c r="H106" i="13"/>
  <c r="H109" i="13"/>
  <c r="H121" i="13"/>
  <c r="H122" i="13"/>
  <c r="H124" i="13"/>
  <c r="H125" i="13"/>
  <c r="H126" i="13"/>
  <c r="H127" i="13"/>
  <c r="H128" i="13"/>
  <c r="H129" i="13"/>
  <c r="H131" i="13"/>
  <c r="H133" i="13"/>
  <c r="H134" i="13"/>
  <c r="H136" i="13"/>
  <c r="H138" i="13"/>
  <c r="H141" i="13"/>
  <c r="H143" i="13"/>
  <c r="H144" i="13"/>
  <c r="H145" i="13"/>
  <c r="H146" i="13"/>
  <c r="H147" i="13"/>
  <c r="H148" i="13"/>
  <c r="H149" i="13"/>
  <c r="H151" i="13"/>
  <c r="H152" i="13"/>
  <c r="H153" i="13"/>
  <c r="H154" i="13"/>
  <c r="H155" i="13"/>
  <c r="H156" i="13"/>
  <c r="H157" i="13"/>
  <c r="H158" i="13"/>
  <c r="H159" i="13"/>
  <c r="H160" i="13"/>
  <c r="H161" i="13"/>
  <c r="H163" i="13"/>
  <c r="H164" i="13"/>
  <c r="H166" i="13"/>
  <c r="H167" i="13"/>
  <c r="H168" i="13"/>
  <c r="H169" i="13"/>
  <c r="H171" i="13"/>
  <c r="H172" i="13"/>
  <c r="H173" i="13"/>
  <c r="H174" i="13"/>
  <c r="H175" i="13"/>
  <c r="H176" i="13"/>
  <c r="H178" i="13"/>
  <c r="H179" i="13"/>
  <c r="H180" i="13"/>
  <c r="H181" i="13"/>
  <c r="H182" i="13"/>
  <c r="H184" i="13"/>
  <c r="H185" i="13"/>
  <c r="H186" i="13"/>
  <c r="H187" i="13"/>
  <c r="H188" i="13"/>
  <c r="H189" i="13"/>
  <c r="H191" i="13"/>
  <c r="H192" i="13"/>
  <c r="H193" i="13"/>
  <c r="H194" i="13"/>
  <c r="H196" i="13"/>
  <c r="H199" i="13"/>
  <c r="H200" i="13"/>
  <c r="H201" i="13"/>
  <c r="H202" i="13"/>
  <c r="H203" i="13"/>
  <c r="H205" i="13"/>
  <c r="H206" i="13"/>
  <c r="H207" i="13"/>
  <c r="H208" i="13"/>
  <c r="H209" i="13"/>
  <c r="H210" i="13"/>
  <c r="H212" i="13"/>
  <c r="H213" i="13"/>
  <c r="H214" i="13"/>
  <c r="H215" i="13"/>
  <c r="H216" i="13"/>
  <c r="H217" i="13"/>
  <c r="H218" i="13"/>
  <c r="H219" i="13"/>
  <c r="H221" i="13"/>
  <c r="H222" i="13"/>
  <c r="H223" i="13"/>
  <c r="H225" i="13"/>
  <c r="H226" i="13"/>
  <c r="H227" i="13"/>
  <c r="H228" i="13"/>
  <c r="H229" i="13"/>
  <c r="H230" i="13"/>
  <c r="H231" i="13"/>
  <c r="H234" i="13"/>
  <c r="H235" i="13"/>
  <c r="H236" i="13"/>
  <c r="H238" i="13"/>
  <c r="H239" i="13"/>
  <c r="H240" i="13"/>
  <c r="H241" i="13"/>
  <c r="H242" i="13"/>
  <c r="H243" i="13"/>
  <c r="H245" i="13"/>
  <c r="H246" i="13"/>
  <c r="H247" i="13"/>
  <c r="H249" i="13"/>
  <c r="H250" i="13"/>
  <c r="H251" i="13"/>
  <c r="H252" i="13"/>
  <c r="H253" i="13"/>
  <c r="H255" i="13"/>
  <c r="H256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1" i="13"/>
  <c r="H273" i="13"/>
  <c r="H274" i="13"/>
  <c r="H275" i="13"/>
  <c r="H276" i="13"/>
  <c r="H277" i="13"/>
  <c r="H280" i="13"/>
  <c r="H281" i="13"/>
  <c r="H282" i="13"/>
  <c r="H283" i="13"/>
  <c r="H284" i="13"/>
  <c r="H286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1" i="13"/>
  <c r="H302" i="13"/>
  <c r="H303" i="13"/>
  <c r="H304" i="13"/>
  <c r="H305" i="13"/>
  <c r="H306" i="13"/>
  <c r="H309" i="13"/>
  <c r="H310" i="13"/>
  <c r="H311" i="13"/>
  <c r="H312" i="13"/>
  <c r="H314" i="13"/>
  <c r="H315" i="13"/>
  <c r="H316" i="13"/>
  <c r="H317" i="13"/>
  <c r="H320" i="13"/>
  <c r="H321" i="13"/>
  <c r="H322" i="13"/>
  <c r="H324" i="13"/>
  <c r="H325" i="13"/>
  <c r="H326" i="13"/>
  <c r="H327" i="13"/>
  <c r="H328" i="13"/>
  <c r="H329" i="13"/>
  <c r="H330" i="13"/>
  <c r="H331" i="13"/>
  <c r="H332" i="13"/>
  <c r="H333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50" i="13"/>
  <c r="H351" i="13"/>
  <c r="H352" i="13"/>
  <c r="H353" i="13"/>
  <c r="H355" i="13"/>
  <c r="H357" i="13"/>
  <c r="H358" i="13"/>
  <c r="H359" i="13"/>
  <c r="H361" i="13"/>
  <c r="H362" i="13"/>
  <c r="H363" i="13"/>
  <c r="H364" i="13"/>
  <c r="H365" i="13"/>
  <c r="H366" i="13"/>
  <c r="H367" i="13"/>
  <c r="H370" i="13"/>
  <c r="H371" i="13"/>
  <c r="H372" i="13"/>
  <c r="H373" i="13"/>
  <c r="H374" i="13"/>
  <c r="H375" i="13"/>
  <c r="H376" i="13"/>
  <c r="H377" i="13"/>
  <c r="H378" i="13"/>
  <c r="H381" i="13"/>
  <c r="H382" i="13"/>
  <c r="H383" i="13"/>
  <c r="H384" i="13"/>
  <c r="H387" i="13"/>
  <c r="H388" i="13"/>
  <c r="H390" i="13"/>
  <c r="H391" i="13"/>
  <c r="H392" i="13"/>
  <c r="H393" i="13"/>
  <c r="H394" i="13"/>
  <c r="H398" i="13"/>
  <c r="H399" i="13"/>
  <c r="H402" i="13"/>
  <c r="H59" i="13"/>
  <c r="H60" i="13"/>
  <c r="H69" i="13"/>
  <c r="H70" i="13"/>
  <c r="H71" i="13"/>
  <c r="H75" i="13"/>
  <c r="H78" i="13"/>
  <c r="H80" i="13"/>
  <c r="H81" i="13"/>
  <c r="H86" i="13"/>
  <c r="H90" i="13"/>
  <c r="H93" i="13"/>
  <c r="H94" i="13"/>
  <c r="H107" i="13"/>
  <c r="H108" i="13"/>
  <c r="H130" i="13"/>
  <c r="H132" i="13"/>
  <c r="H137" i="13"/>
  <c r="H139" i="13"/>
  <c r="H140" i="13"/>
  <c r="H150" i="13"/>
  <c r="H162" i="13"/>
  <c r="H165" i="13"/>
  <c r="H177" i="13"/>
  <c r="H183" i="13"/>
  <c r="H190" i="13"/>
  <c r="H195" i="13"/>
  <c r="H197" i="13"/>
  <c r="H198" i="13"/>
  <c r="H204" i="13"/>
  <c r="H211" i="13"/>
  <c r="H220" i="13"/>
  <c r="H224" i="13"/>
  <c r="H232" i="13"/>
  <c r="H233" i="13"/>
  <c r="H237" i="13"/>
  <c r="H244" i="13"/>
  <c r="H248" i="13"/>
  <c r="H254" i="13"/>
  <c r="H257" i="13"/>
  <c r="H272" i="13"/>
  <c r="H278" i="13"/>
  <c r="H279" i="13"/>
  <c r="H285" i="13"/>
  <c r="H287" i="13"/>
  <c r="H300" i="13"/>
  <c r="H307" i="13"/>
  <c r="H308" i="13"/>
  <c r="H313" i="13"/>
  <c r="H319" i="13"/>
  <c r="H323" i="13"/>
  <c r="H334" i="13"/>
  <c r="H349" i="13"/>
  <c r="H354" i="13"/>
  <c r="H379" i="13"/>
  <c r="H380" i="13"/>
  <c r="H389" i="13"/>
  <c r="H395" i="13"/>
  <c r="H396" i="13"/>
  <c r="H397" i="13"/>
  <c r="H400" i="13"/>
  <c r="H401" i="13"/>
  <c r="H111" i="13"/>
  <c r="H112" i="13"/>
  <c r="H113" i="13"/>
  <c r="H114" i="13"/>
  <c r="H115" i="13"/>
  <c r="H116" i="13"/>
  <c r="H117" i="13"/>
  <c r="H118" i="13"/>
  <c r="H119" i="13"/>
  <c r="AC140" i="7"/>
  <c r="AC141" i="7"/>
  <c r="C633" i="12"/>
  <c r="E633" i="12"/>
  <c r="G633" i="12" s="1"/>
  <c r="C525" i="12"/>
  <c r="E525" i="12" s="1"/>
  <c r="P242" i="13"/>
  <c r="G165" i="6"/>
  <c r="H165" i="6"/>
  <c r="E165" i="6"/>
  <c r="Z141" i="7"/>
  <c r="AA141" i="7" s="1"/>
  <c r="Z140" i="7"/>
  <c r="AA140" i="7" s="1"/>
  <c r="G200" i="6"/>
  <c r="H200" i="6"/>
  <c r="H199" i="6"/>
  <c r="G199" i="6"/>
  <c r="C244" i="12"/>
  <c r="E244" i="12" s="1"/>
  <c r="F244" i="12" s="1"/>
  <c r="B32" i="14"/>
  <c r="C32" i="14"/>
  <c r="D42" i="14"/>
  <c r="D43" i="14"/>
  <c r="D44" i="14"/>
  <c r="C48" i="14"/>
  <c r="D60" i="14"/>
  <c r="I402" i="13"/>
  <c r="I401" i="13"/>
  <c r="I400" i="13"/>
  <c r="I399" i="13"/>
  <c r="I398" i="13"/>
  <c r="I397" i="13"/>
  <c r="I395" i="13"/>
  <c r="I394" i="13"/>
  <c r="I393" i="13"/>
  <c r="I392" i="13"/>
  <c r="I391" i="13"/>
  <c r="I390" i="13"/>
  <c r="I389" i="13"/>
  <c r="I388" i="13"/>
  <c r="P388" i="13"/>
  <c r="I387" i="13"/>
  <c r="P387" i="13"/>
  <c r="I384" i="13"/>
  <c r="I383" i="13"/>
  <c r="P384" i="13"/>
  <c r="P383" i="13"/>
  <c r="C19" i="12"/>
  <c r="E19" i="12"/>
  <c r="G19" i="12" s="1"/>
  <c r="F19" i="12"/>
  <c r="A20" i="12"/>
  <c r="A21" i="12"/>
  <c r="A22" i="12" s="1"/>
  <c r="A23" i="12" s="1"/>
  <c r="A24" i="12" s="1"/>
  <c r="A25" i="12" s="1"/>
  <c r="A26" i="12" s="1"/>
  <c r="C20" i="12"/>
  <c r="E20" i="12"/>
  <c r="C21" i="12"/>
  <c r="E21" i="12" s="1"/>
  <c r="F21" i="12" s="1"/>
  <c r="C22" i="12"/>
  <c r="E22" i="12"/>
  <c r="C23" i="12"/>
  <c r="E23" i="12"/>
  <c r="F23" i="12" s="1"/>
  <c r="G23" i="12"/>
  <c r="C24" i="12"/>
  <c r="E24" i="12"/>
  <c r="F24" i="12" s="1"/>
  <c r="C25" i="12"/>
  <c r="E25" i="12" s="1"/>
  <c r="C26" i="12"/>
  <c r="E26" i="12" s="1"/>
  <c r="F26" i="12" s="1"/>
  <c r="B28" i="12"/>
  <c r="C28" i="12"/>
  <c r="E28" i="12" s="1"/>
  <c r="B29" i="12"/>
  <c r="C29" i="12" s="1"/>
  <c r="E29" i="12" s="1"/>
  <c r="B30" i="12"/>
  <c r="C30" i="12"/>
  <c r="E30" i="12" s="1"/>
  <c r="B31" i="12"/>
  <c r="C31" i="12" s="1"/>
  <c r="E31" i="12" s="1"/>
  <c r="C32" i="12"/>
  <c r="E32" i="12"/>
  <c r="F32" i="12" s="1"/>
  <c r="G32" i="12"/>
  <c r="C33" i="12"/>
  <c r="E33" i="12"/>
  <c r="B34" i="12"/>
  <c r="C34" i="12"/>
  <c r="E34" i="12" s="1"/>
  <c r="B36" i="12"/>
  <c r="C36" i="12" s="1"/>
  <c r="E36" i="12" s="1"/>
  <c r="B37" i="12"/>
  <c r="C37" i="12"/>
  <c r="E37" i="12" s="1"/>
  <c r="B38" i="12"/>
  <c r="C38" i="12" s="1"/>
  <c r="E38" i="12" s="1"/>
  <c r="B39" i="12"/>
  <c r="C39" i="12"/>
  <c r="E39" i="12" s="1"/>
  <c r="C41" i="12"/>
  <c r="E41" i="12" s="1"/>
  <c r="A42" i="12"/>
  <c r="A43" i="12" s="1"/>
  <c r="A44" i="12" s="1"/>
  <c r="A45" i="12" s="1"/>
  <c r="C42" i="12"/>
  <c r="E42" i="12" s="1"/>
  <c r="C43" i="12"/>
  <c r="E43" i="12" s="1"/>
  <c r="C44" i="12"/>
  <c r="E44" i="12" s="1"/>
  <c r="C45" i="12"/>
  <c r="E45" i="12" s="1"/>
  <c r="F45" i="12" s="1"/>
  <c r="G45" i="12"/>
  <c r="A46" i="12"/>
  <c r="C46" i="12"/>
  <c r="E46" i="12"/>
  <c r="F46" i="12" s="1"/>
  <c r="G46" i="12"/>
  <c r="C48" i="12"/>
  <c r="E48" i="12"/>
  <c r="A49" i="12"/>
  <c r="C49" i="12"/>
  <c r="E49" i="12" s="1"/>
  <c r="A50" i="12"/>
  <c r="C50" i="12"/>
  <c r="E50" i="12"/>
  <c r="C52" i="12"/>
  <c r="E52" i="12"/>
  <c r="F52" i="12" s="1"/>
  <c r="G52" i="12"/>
  <c r="A53" i="12"/>
  <c r="C53" i="12"/>
  <c r="E53" i="12" s="1"/>
  <c r="G53" i="12" s="1"/>
  <c r="C54" i="12"/>
  <c r="E54" i="12"/>
  <c r="C55" i="12"/>
  <c r="E55" i="12"/>
  <c r="G55" i="12" s="1"/>
  <c r="F55" i="12"/>
  <c r="C56" i="12"/>
  <c r="E56" i="12"/>
  <c r="C58" i="12"/>
  <c r="E58" i="12"/>
  <c r="G58" i="12" s="1"/>
  <c r="C60" i="12"/>
  <c r="E60" i="12" s="1"/>
  <c r="C61" i="12"/>
  <c r="E61" i="12" s="1"/>
  <c r="F61" i="12" s="1"/>
  <c r="C62" i="12"/>
  <c r="E62" i="12" s="1"/>
  <c r="C63" i="12"/>
  <c r="E63" i="12" s="1"/>
  <c r="G63" i="12"/>
  <c r="C64" i="12"/>
  <c r="E64" i="12"/>
  <c r="C65" i="12"/>
  <c r="E65" i="12"/>
  <c r="G65" i="12" s="1"/>
  <c r="B67" i="12"/>
  <c r="C67" i="12"/>
  <c r="E67" i="12" s="1"/>
  <c r="C68" i="12"/>
  <c r="E68" i="12" s="1"/>
  <c r="F68" i="12" s="1"/>
  <c r="C69" i="12"/>
  <c r="E69" i="12"/>
  <c r="B70" i="12"/>
  <c r="C70" i="12"/>
  <c r="E70" i="12" s="1"/>
  <c r="C71" i="12"/>
  <c r="E71" i="12" s="1"/>
  <c r="G71" i="12" s="1"/>
  <c r="B72" i="12"/>
  <c r="C72" i="12"/>
  <c r="E72" i="12" s="1"/>
  <c r="C74" i="12"/>
  <c r="E74" i="12" s="1"/>
  <c r="C75" i="12"/>
  <c r="E75" i="12" s="1"/>
  <c r="C76" i="12"/>
  <c r="E76" i="12" s="1"/>
  <c r="C77" i="12"/>
  <c r="E77" i="12" s="1"/>
  <c r="F77" i="12" s="1"/>
  <c r="C79" i="12"/>
  <c r="E79" i="12"/>
  <c r="C82" i="12"/>
  <c r="E82" i="12"/>
  <c r="C83" i="12"/>
  <c r="E83" i="12"/>
  <c r="F83" i="12" s="1"/>
  <c r="G83" i="12"/>
  <c r="C84" i="12"/>
  <c r="E84" i="12"/>
  <c r="C85" i="12"/>
  <c r="E85" i="12"/>
  <c r="G85" i="12" s="1"/>
  <c r="C86" i="12"/>
  <c r="E86" i="12" s="1"/>
  <c r="C87" i="12"/>
  <c r="E87" i="12"/>
  <c r="B89" i="12"/>
  <c r="C89" i="12"/>
  <c r="E89" i="12" s="1"/>
  <c r="B90" i="12"/>
  <c r="C90" i="12" s="1"/>
  <c r="E90" i="12" s="1"/>
  <c r="F90" i="12" s="1"/>
  <c r="B91" i="12"/>
  <c r="C91" i="12"/>
  <c r="E91" i="12" s="1"/>
  <c r="B92" i="12"/>
  <c r="C92" i="12" s="1"/>
  <c r="E92" i="12" s="1"/>
  <c r="F92" i="12" s="1"/>
  <c r="C93" i="12"/>
  <c r="E93" i="12"/>
  <c r="F93" i="12" s="1"/>
  <c r="I93" i="12" s="1"/>
  <c r="C94" i="12"/>
  <c r="E94" i="12" s="1"/>
  <c r="C96" i="12"/>
  <c r="E96" i="12" s="1"/>
  <c r="C97" i="12"/>
  <c r="E97" i="12"/>
  <c r="C98" i="12"/>
  <c r="E98" i="12"/>
  <c r="F98" i="12" s="1"/>
  <c r="I98" i="12" s="1"/>
  <c r="C99" i="12"/>
  <c r="E99" i="12" s="1"/>
  <c r="C100" i="12"/>
  <c r="E100" i="12" s="1"/>
  <c r="C101" i="12"/>
  <c r="E101" i="12"/>
  <c r="C102" i="12"/>
  <c r="E102" i="12"/>
  <c r="F102" i="12" s="1"/>
  <c r="I102" i="12" s="1"/>
  <c r="C104" i="12"/>
  <c r="E104" i="12" s="1"/>
  <c r="C105" i="12"/>
  <c r="E105" i="12" s="1"/>
  <c r="C107" i="12"/>
  <c r="E107" i="12"/>
  <c r="C108" i="12"/>
  <c r="E108" i="12"/>
  <c r="F108" i="12" s="1"/>
  <c r="I108" i="12" s="1"/>
  <c r="C109" i="12"/>
  <c r="E109" i="12" s="1"/>
  <c r="C110" i="12"/>
  <c r="E110" i="12" s="1"/>
  <c r="C111" i="12"/>
  <c r="E111" i="12"/>
  <c r="C112" i="12"/>
  <c r="E112" i="12"/>
  <c r="F112" i="12" s="1"/>
  <c r="I112" i="12" s="1"/>
  <c r="C114" i="12"/>
  <c r="E114" i="12" s="1"/>
  <c r="G117" i="12"/>
  <c r="G144" i="12"/>
  <c r="G145" i="12"/>
  <c r="G147" i="12"/>
  <c r="G148" i="12"/>
  <c r="G149" i="12"/>
  <c r="G174" i="12"/>
  <c r="G175" i="12"/>
  <c r="B176" i="12"/>
  <c r="C204" i="12"/>
  <c r="B208" i="12"/>
  <c r="G211" i="12"/>
  <c r="C214" i="12"/>
  <c r="E214" i="12" s="1"/>
  <c r="F214" i="12" s="1"/>
  <c r="H227" i="12"/>
  <c r="G231" i="12"/>
  <c r="G232" i="12"/>
  <c r="C235" i="12"/>
  <c r="E235" i="12"/>
  <c r="G263" i="12"/>
  <c r="G264" i="12"/>
  <c r="G265" i="12"/>
  <c r="G272" i="12"/>
  <c r="G278" i="12"/>
  <c r="G279" i="12"/>
  <c r="C285" i="12"/>
  <c r="E285" i="12"/>
  <c r="G289" i="12"/>
  <c r="C290" i="12"/>
  <c r="E290" i="12" s="1"/>
  <c r="G291" i="12"/>
  <c r="C292" i="12"/>
  <c r="E292" i="12"/>
  <c r="C293" i="12"/>
  <c r="E293" i="12"/>
  <c r="F293" i="12" s="1"/>
  <c r="I293" i="12" s="1"/>
  <c r="G295" i="12"/>
  <c r="C298" i="12"/>
  <c r="E298" i="12" s="1"/>
  <c r="F298" i="12" s="1"/>
  <c r="F300" i="12"/>
  <c r="F301" i="12"/>
  <c r="G306" i="12"/>
  <c r="G308" i="12"/>
  <c r="G309" i="12"/>
  <c r="G312" i="12"/>
  <c r="G313" i="12"/>
  <c r="G314" i="12"/>
  <c r="G315" i="12"/>
  <c r="G343" i="12"/>
  <c r="G344" i="12"/>
  <c r="G345" i="12"/>
  <c r="G346" i="12"/>
  <c r="C347" i="12"/>
  <c r="E347" i="12"/>
  <c r="G348" i="12"/>
  <c r="L348" i="12"/>
  <c r="G349" i="12"/>
  <c r="G352" i="12"/>
  <c r="G353" i="12"/>
  <c r="G354" i="12"/>
  <c r="B355" i="12"/>
  <c r="C357" i="12"/>
  <c r="E357" i="12" s="1"/>
  <c r="G359" i="12"/>
  <c r="G360" i="12"/>
  <c r="B361" i="12"/>
  <c r="G364" i="12"/>
  <c r="G365" i="12"/>
  <c r="B366" i="12"/>
  <c r="B370" i="12"/>
  <c r="G379" i="12"/>
  <c r="A380" i="12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G381" i="12"/>
  <c r="G382" i="12"/>
  <c r="G384" i="12"/>
  <c r="G385" i="12"/>
  <c r="G386" i="12"/>
  <c r="G387" i="12"/>
  <c r="E390" i="12"/>
  <c r="F390" i="12" s="1"/>
  <c r="G390" i="12"/>
  <c r="G391" i="12"/>
  <c r="G392" i="12"/>
  <c r="G394" i="12"/>
  <c r="G395" i="12"/>
  <c r="G396" i="12"/>
  <c r="G397" i="12"/>
  <c r="G398" i="12"/>
  <c r="G399" i="12"/>
  <c r="G400" i="12"/>
  <c r="G401" i="12"/>
  <c r="G402" i="12"/>
  <c r="G403" i="12"/>
  <c r="G404" i="12"/>
  <c r="G406" i="12"/>
  <c r="G408" i="12"/>
  <c r="G409" i="12"/>
  <c r="G410" i="12"/>
  <c r="G413" i="12"/>
  <c r="E414" i="12"/>
  <c r="F414" i="12"/>
  <c r="G414" i="12"/>
  <c r="G415" i="12"/>
  <c r="G416" i="12"/>
  <c r="G418" i="12"/>
  <c r="G420" i="12"/>
  <c r="G421" i="12"/>
  <c r="C423" i="12"/>
  <c r="E423" i="12"/>
  <c r="F423" i="12" s="1"/>
  <c r="I423" i="12" s="1"/>
  <c r="G424" i="12"/>
  <c r="G425" i="12"/>
  <c r="G426" i="12"/>
  <c r="G427" i="12"/>
  <c r="G429" i="12"/>
  <c r="E432" i="12"/>
  <c r="F432" i="12" s="1"/>
  <c r="I432" i="12" s="1"/>
  <c r="E433" i="12"/>
  <c r="F433" i="12" s="1"/>
  <c r="I433" i="12" s="1"/>
  <c r="G435" i="12"/>
  <c r="G436" i="12"/>
  <c r="G437" i="12"/>
  <c r="G440" i="12"/>
  <c r="G441" i="12"/>
  <c r="G442" i="12"/>
  <c r="G443" i="12"/>
  <c r="G444" i="12"/>
  <c r="G447" i="12"/>
  <c r="G448" i="12"/>
  <c r="G449" i="12"/>
  <c r="G450" i="12"/>
  <c r="G451" i="12"/>
  <c r="G452" i="12"/>
  <c r="G453" i="12"/>
  <c r="G454" i="12"/>
  <c r="G456" i="12"/>
  <c r="G457" i="12"/>
  <c r="G458" i="12"/>
  <c r="G460" i="12"/>
  <c r="G461" i="12"/>
  <c r="G462" i="12"/>
  <c r="G463" i="12"/>
  <c r="G464" i="12"/>
  <c r="G466" i="12"/>
  <c r="G467" i="12"/>
  <c r="G468" i="12"/>
  <c r="G469" i="12"/>
  <c r="G471" i="12"/>
  <c r="G472" i="12"/>
  <c r="G474" i="12"/>
  <c r="G475" i="12"/>
  <c r="G478" i="12"/>
  <c r="G480" i="12"/>
  <c r="G481" i="12"/>
  <c r="G482" i="12"/>
  <c r="G483" i="12"/>
  <c r="G484" i="12"/>
  <c r="G485" i="12"/>
  <c r="G486" i="12"/>
  <c r="G487" i="12"/>
  <c r="G490" i="12"/>
  <c r="G491" i="12"/>
  <c r="G492" i="12"/>
  <c r="G493" i="12"/>
  <c r="G494" i="12"/>
  <c r="G495" i="12"/>
  <c r="G496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1" i="12"/>
  <c r="G512" i="12"/>
  <c r="G513" i="12"/>
  <c r="G514" i="12"/>
  <c r="G515" i="12"/>
  <c r="G516" i="12"/>
  <c r="G517" i="12"/>
  <c r="G518" i="12"/>
  <c r="G520" i="12"/>
  <c r="G521" i="12"/>
  <c r="G522" i="12"/>
  <c r="G523" i="12"/>
  <c r="G524" i="12"/>
  <c r="G526" i="12"/>
  <c r="G527" i="12"/>
  <c r="G530" i="12"/>
  <c r="G531" i="12"/>
  <c r="G532" i="12"/>
  <c r="G533" i="12"/>
  <c r="B534" i="12"/>
  <c r="G537" i="12"/>
  <c r="G538" i="12"/>
  <c r="B539" i="12"/>
  <c r="G542" i="12"/>
  <c r="G543" i="12"/>
  <c r="G544" i="12"/>
  <c r="G545" i="12"/>
  <c r="G546" i="12"/>
  <c r="G547" i="12"/>
  <c r="G548" i="12"/>
  <c r="G549" i="12"/>
  <c r="G550" i="12"/>
  <c r="G552" i="12"/>
  <c r="G553" i="12"/>
  <c r="G554" i="12"/>
  <c r="G555" i="12"/>
  <c r="G556" i="12"/>
  <c r="G557" i="12"/>
  <c r="G558" i="12"/>
  <c r="G560" i="12"/>
  <c r="G561" i="12"/>
  <c r="B562" i="12"/>
  <c r="G564" i="12"/>
  <c r="G566" i="12"/>
  <c r="G567" i="12"/>
  <c r="G568" i="12"/>
  <c r="B569" i="12"/>
  <c r="G573" i="12"/>
  <c r="G576" i="12"/>
  <c r="G577" i="12"/>
  <c r="B578" i="12"/>
  <c r="G580" i="12"/>
  <c r="G581" i="12"/>
  <c r="G582" i="12"/>
  <c r="G583" i="12"/>
  <c r="G584" i="12"/>
  <c r="G586" i="12"/>
  <c r="G587" i="12"/>
  <c r="G588" i="12"/>
  <c r="G589" i="12"/>
  <c r="B591" i="12"/>
  <c r="G592" i="12"/>
  <c r="G593" i="12"/>
  <c r="G594" i="12"/>
  <c r="G595" i="12"/>
  <c r="G598" i="12"/>
  <c r="F600" i="12"/>
  <c r="I600" i="12" s="1"/>
  <c r="K600" i="12" s="1"/>
  <c r="G601" i="12"/>
  <c r="G603" i="12"/>
  <c r="G604" i="12"/>
  <c r="B605" i="12"/>
  <c r="F606" i="12"/>
  <c r="I606" i="12" s="1"/>
  <c r="K606" i="12" s="1"/>
  <c r="B608" i="12"/>
  <c r="K608" i="12"/>
  <c r="G611" i="12"/>
  <c r="B612" i="12"/>
  <c r="K612" i="12"/>
  <c r="G614" i="12"/>
  <c r="B616" i="12"/>
  <c r="G617" i="12"/>
  <c r="B619" i="12"/>
  <c r="G620" i="12"/>
  <c r="C622" i="12"/>
  <c r="E622" i="12" s="1"/>
  <c r="G623" i="12"/>
  <c r="G626" i="12"/>
  <c r="G627" i="12"/>
  <c r="C628" i="12"/>
  <c r="E628" i="12"/>
  <c r="B629" i="12"/>
  <c r="C629" i="12"/>
  <c r="E629" i="12" s="1"/>
  <c r="G630" i="12"/>
  <c r="B631" i="12"/>
  <c r="C631" i="12"/>
  <c r="E631" i="12" s="1"/>
  <c r="G631" i="12" s="1"/>
  <c r="T384" i="13" s="1"/>
  <c r="B632" i="12"/>
  <c r="C632" i="12" s="1"/>
  <c r="E632" i="12" s="1"/>
  <c r="G632" i="12" s="1"/>
  <c r="T383" i="13" s="1"/>
  <c r="H14" i="13"/>
  <c r="J14" i="13"/>
  <c r="P14" i="13"/>
  <c r="Q14" i="13"/>
  <c r="S14" i="13"/>
  <c r="H15" i="13"/>
  <c r="P15" i="13"/>
  <c r="Q15" i="13"/>
  <c r="S15" i="13"/>
  <c r="H16" i="13"/>
  <c r="J16" i="13"/>
  <c r="P16" i="13"/>
  <c r="Q16" i="13"/>
  <c r="S16" i="13"/>
  <c r="H17" i="13"/>
  <c r="J17" i="13"/>
  <c r="P17" i="13"/>
  <c r="Q17" i="13"/>
  <c r="S17" i="13"/>
  <c r="I18" i="13"/>
  <c r="P18" i="13"/>
  <c r="Q18" i="13"/>
  <c r="S18" i="13"/>
  <c r="I19" i="13"/>
  <c r="P19" i="13"/>
  <c r="Q19" i="13"/>
  <c r="S19" i="13"/>
  <c r="I20" i="13"/>
  <c r="P20" i="13"/>
  <c r="Q20" i="13"/>
  <c r="S20" i="13"/>
  <c r="I21" i="13"/>
  <c r="P21" i="13"/>
  <c r="Q21" i="13"/>
  <c r="S21" i="13"/>
  <c r="I22" i="13"/>
  <c r="P22" i="13"/>
  <c r="Q22" i="13"/>
  <c r="S22" i="13"/>
  <c r="I23" i="13"/>
  <c r="P23" i="13"/>
  <c r="Q23" i="13"/>
  <c r="S23" i="13"/>
  <c r="I24" i="13"/>
  <c r="P24" i="13"/>
  <c r="Q24" i="13"/>
  <c r="S24" i="13"/>
  <c r="I25" i="13"/>
  <c r="P25" i="13"/>
  <c r="Q25" i="13"/>
  <c r="S25" i="13"/>
  <c r="I26" i="13"/>
  <c r="P26" i="13"/>
  <c r="Q26" i="13"/>
  <c r="S26" i="13"/>
  <c r="I27" i="13"/>
  <c r="P27" i="13"/>
  <c r="Q27" i="13"/>
  <c r="S27" i="13"/>
  <c r="I28" i="13"/>
  <c r="P28" i="13"/>
  <c r="Q28" i="13"/>
  <c r="S28" i="13"/>
  <c r="I29" i="13"/>
  <c r="P29" i="13"/>
  <c r="Q29" i="13"/>
  <c r="S29" i="13"/>
  <c r="I30" i="13"/>
  <c r="P30" i="13"/>
  <c r="Q30" i="13"/>
  <c r="S30" i="13"/>
  <c r="I31" i="13"/>
  <c r="P31" i="13"/>
  <c r="Q31" i="13"/>
  <c r="S31" i="13"/>
  <c r="I32" i="13"/>
  <c r="P32" i="13"/>
  <c r="Q32" i="13"/>
  <c r="S32" i="13"/>
  <c r="I33" i="13"/>
  <c r="P33" i="13"/>
  <c r="Q33" i="13"/>
  <c r="S33" i="13"/>
  <c r="I34" i="13"/>
  <c r="P34" i="13"/>
  <c r="Q34" i="13"/>
  <c r="S34" i="13"/>
  <c r="I35" i="13"/>
  <c r="P35" i="13"/>
  <c r="Q35" i="13"/>
  <c r="S35" i="13"/>
  <c r="I36" i="13"/>
  <c r="P36" i="13"/>
  <c r="Q36" i="13"/>
  <c r="S36" i="13"/>
  <c r="I37" i="13"/>
  <c r="P37" i="13"/>
  <c r="Q37" i="13"/>
  <c r="S37" i="13"/>
  <c r="I38" i="13"/>
  <c r="P38" i="13"/>
  <c r="Q38" i="13"/>
  <c r="S38" i="13"/>
  <c r="I39" i="13"/>
  <c r="P39" i="13"/>
  <c r="Q39" i="13"/>
  <c r="S39" i="13"/>
  <c r="I40" i="13"/>
  <c r="P40" i="13"/>
  <c r="Q40" i="13"/>
  <c r="S40" i="13"/>
  <c r="I41" i="13"/>
  <c r="P41" i="13"/>
  <c r="Q41" i="13"/>
  <c r="S41" i="13"/>
  <c r="P42" i="13"/>
  <c r="Q42" i="13"/>
  <c r="S42" i="13"/>
  <c r="I43" i="13"/>
  <c r="P43" i="13"/>
  <c r="Q43" i="13"/>
  <c r="S43" i="13"/>
  <c r="I44" i="13"/>
  <c r="P44" i="13"/>
  <c r="Q44" i="13"/>
  <c r="S44" i="13"/>
  <c r="I45" i="13"/>
  <c r="P45" i="13"/>
  <c r="Q45" i="13"/>
  <c r="S45" i="13"/>
  <c r="I46" i="13"/>
  <c r="P46" i="13"/>
  <c r="Q46" i="13"/>
  <c r="S46" i="13"/>
  <c r="I47" i="13"/>
  <c r="P47" i="13"/>
  <c r="Q47" i="13"/>
  <c r="S47" i="13"/>
  <c r="I48" i="13"/>
  <c r="P48" i="13"/>
  <c r="Q48" i="13"/>
  <c r="S48" i="13"/>
  <c r="I49" i="13"/>
  <c r="P49" i="13"/>
  <c r="Q49" i="13"/>
  <c r="S49" i="13"/>
  <c r="I50" i="13"/>
  <c r="P50" i="13"/>
  <c r="Q50" i="13"/>
  <c r="S50" i="13"/>
  <c r="I51" i="13"/>
  <c r="P51" i="13"/>
  <c r="Q51" i="13"/>
  <c r="S51" i="13"/>
  <c r="P52" i="13"/>
  <c r="Q52" i="13"/>
  <c r="S52" i="13"/>
  <c r="I53" i="13"/>
  <c r="P53" i="13"/>
  <c r="Q53" i="13"/>
  <c r="S53" i="13"/>
  <c r="I54" i="13"/>
  <c r="P54" i="13"/>
  <c r="Q54" i="13"/>
  <c r="S54" i="13"/>
  <c r="I55" i="13"/>
  <c r="P55" i="13"/>
  <c r="Q55" i="13"/>
  <c r="S55" i="13"/>
  <c r="I56" i="13"/>
  <c r="P56" i="13"/>
  <c r="Q56" i="13"/>
  <c r="S56" i="13"/>
  <c r="I57" i="13"/>
  <c r="P57" i="13"/>
  <c r="Q57" i="13"/>
  <c r="S57" i="13"/>
  <c r="I58" i="13"/>
  <c r="P58" i="13"/>
  <c r="Q58" i="13"/>
  <c r="S58" i="13"/>
  <c r="I59" i="13"/>
  <c r="P59" i="13"/>
  <c r="Q59" i="13"/>
  <c r="S59" i="13"/>
  <c r="I60" i="13"/>
  <c r="P60" i="13"/>
  <c r="Q60" i="13"/>
  <c r="S60" i="13"/>
  <c r="I62" i="13"/>
  <c r="P62" i="13"/>
  <c r="Q62" i="13"/>
  <c r="S62" i="13"/>
  <c r="I63" i="13"/>
  <c r="P63" i="13"/>
  <c r="Q63" i="13"/>
  <c r="S63" i="13"/>
  <c r="I64" i="13"/>
  <c r="P64" i="13"/>
  <c r="Q64" i="13"/>
  <c r="S64" i="13"/>
  <c r="I66" i="13"/>
  <c r="P66" i="13"/>
  <c r="Q66" i="13"/>
  <c r="S66" i="13"/>
  <c r="I69" i="13"/>
  <c r="P69" i="13"/>
  <c r="Q69" i="13"/>
  <c r="S69" i="13"/>
  <c r="I70" i="13"/>
  <c r="P70" i="13"/>
  <c r="Q70" i="13"/>
  <c r="S70" i="13"/>
  <c r="I71" i="13"/>
  <c r="P71" i="13"/>
  <c r="Q71" i="13"/>
  <c r="S71" i="13"/>
  <c r="I72" i="13"/>
  <c r="P72" i="13"/>
  <c r="Q72" i="13"/>
  <c r="S72" i="13"/>
  <c r="I73" i="13"/>
  <c r="P73" i="13"/>
  <c r="Q73" i="13"/>
  <c r="S73" i="13"/>
  <c r="I74" i="13"/>
  <c r="P74" i="13"/>
  <c r="Q74" i="13"/>
  <c r="S74" i="13"/>
  <c r="I75" i="13"/>
  <c r="P75" i="13"/>
  <c r="Q75" i="13"/>
  <c r="S75" i="13"/>
  <c r="I76" i="13"/>
  <c r="P76" i="13"/>
  <c r="Q76" i="13"/>
  <c r="S76" i="13"/>
  <c r="I77" i="13"/>
  <c r="P77" i="13"/>
  <c r="Q77" i="13"/>
  <c r="S77" i="13"/>
  <c r="I78" i="13"/>
  <c r="P78" i="13"/>
  <c r="Q78" i="13"/>
  <c r="S78" i="13"/>
  <c r="I79" i="13"/>
  <c r="P79" i="13"/>
  <c r="Q79" i="13"/>
  <c r="S79" i="13"/>
  <c r="I80" i="13"/>
  <c r="P80" i="13"/>
  <c r="Q80" i="13"/>
  <c r="S80" i="13"/>
  <c r="I81" i="13"/>
  <c r="P81" i="13"/>
  <c r="Q81" i="13"/>
  <c r="S81" i="13"/>
  <c r="I82" i="13"/>
  <c r="P82" i="13"/>
  <c r="Q82" i="13"/>
  <c r="S82" i="13"/>
  <c r="I83" i="13"/>
  <c r="P83" i="13"/>
  <c r="Q83" i="13"/>
  <c r="S83" i="13"/>
  <c r="I84" i="13"/>
  <c r="P84" i="13"/>
  <c r="Q84" i="13"/>
  <c r="S84" i="13"/>
  <c r="I85" i="13"/>
  <c r="P85" i="13"/>
  <c r="Q85" i="13"/>
  <c r="S85" i="13"/>
  <c r="I86" i="13"/>
  <c r="P86" i="13"/>
  <c r="Q86" i="13"/>
  <c r="S86" i="13"/>
  <c r="I87" i="13"/>
  <c r="P87" i="13"/>
  <c r="Q87" i="13"/>
  <c r="S87" i="13"/>
  <c r="I88" i="13"/>
  <c r="P88" i="13"/>
  <c r="Q88" i="13"/>
  <c r="S88" i="13"/>
  <c r="I89" i="13"/>
  <c r="P89" i="13"/>
  <c r="Q89" i="13"/>
  <c r="S89" i="13"/>
  <c r="I90" i="13"/>
  <c r="P90" i="13"/>
  <c r="Q90" i="13"/>
  <c r="S90" i="13"/>
  <c r="I91" i="13"/>
  <c r="P91" i="13"/>
  <c r="Q91" i="13"/>
  <c r="S91" i="13"/>
  <c r="I92" i="13"/>
  <c r="P92" i="13"/>
  <c r="Q92" i="13"/>
  <c r="S92" i="13"/>
  <c r="I93" i="13"/>
  <c r="P93" i="13"/>
  <c r="Q93" i="13"/>
  <c r="S93" i="13"/>
  <c r="I94" i="13"/>
  <c r="P94" i="13"/>
  <c r="Q94" i="13"/>
  <c r="S94" i="13"/>
  <c r="I96" i="13"/>
  <c r="P96" i="13"/>
  <c r="Q96" i="13"/>
  <c r="S96" i="13"/>
  <c r="I97" i="13"/>
  <c r="P97" i="13"/>
  <c r="Q97" i="13"/>
  <c r="S97" i="13"/>
  <c r="I98" i="13"/>
  <c r="P98" i="13"/>
  <c r="Q98" i="13"/>
  <c r="S98" i="13"/>
  <c r="I99" i="13"/>
  <c r="P99" i="13"/>
  <c r="Q99" i="13"/>
  <c r="S99" i="13"/>
  <c r="I100" i="13"/>
  <c r="P100" i="13"/>
  <c r="Q100" i="13"/>
  <c r="S100" i="13"/>
  <c r="I101" i="13"/>
  <c r="P101" i="13"/>
  <c r="Q101" i="13"/>
  <c r="S101" i="13"/>
  <c r="I102" i="13"/>
  <c r="P102" i="13"/>
  <c r="Q102" i="13"/>
  <c r="S102" i="13"/>
  <c r="I103" i="13"/>
  <c r="P103" i="13"/>
  <c r="Q103" i="13"/>
  <c r="S103" i="13"/>
  <c r="I104" i="13"/>
  <c r="P104" i="13"/>
  <c r="Q104" i="13"/>
  <c r="S104" i="13"/>
  <c r="I105" i="13"/>
  <c r="P105" i="13"/>
  <c r="Q105" i="13"/>
  <c r="S105" i="13"/>
  <c r="I106" i="13"/>
  <c r="P106" i="13"/>
  <c r="Q106" i="13"/>
  <c r="S106" i="13"/>
  <c r="I107" i="13"/>
  <c r="P107" i="13"/>
  <c r="Q107" i="13"/>
  <c r="S107" i="13"/>
  <c r="I108" i="13"/>
  <c r="P108" i="13"/>
  <c r="Q108" i="13"/>
  <c r="S108" i="13"/>
  <c r="I109" i="13"/>
  <c r="P109" i="13"/>
  <c r="Q109" i="13"/>
  <c r="S109" i="13"/>
  <c r="I111" i="13"/>
  <c r="P111" i="13"/>
  <c r="Q111" i="13"/>
  <c r="S111" i="13"/>
  <c r="I112" i="13"/>
  <c r="P112" i="13"/>
  <c r="Q112" i="13"/>
  <c r="S112" i="13"/>
  <c r="I113" i="13"/>
  <c r="P113" i="13"/>
  <c r="Q113" i="13"/>
  <c r="S113" i="13"/>
  <c r="I114" i="13"/>
  <c r="P114" i="13"/>
  <c r="Q114" i="13"/>
  <c r="S114" i="13"/>
  <c r="I115" i="13"/>
  <c r="P115" i="13"/>
  <c r="Q115" i="13"/>
  <c r="S115" i="13"/>
  <c r="I116" i="13"/>
  <c r="P116" i="13"/>
  <c r="Q116" i="13"/>
  <c r="S116" i="13"/>
  <c r="I117" i="13"/>
  <c r="P117" i="13"/>
  <c r="Q117" i="13"/>
  <c r="S117" i="13"/>
  <c r="I118" i="13"/>
  <c r="P118" i="13"/>
  <c r="Q118" i="13"/>
  <c r="S118" i="13"/>
  <c r="I119" i="13"/>
  <c r="P119" i="13"/>
  <c r="Q119" i="13"/>
  <c r="S119" i="13"/>
  <c r="I121" i="13"/>
  <c r="P121" i="13"/>
  <c r="Q121" i="13"/>
  <c r="S121" i="13"/>
  <c r="I122" i="13"/>
  <c r="P122" i="13"/>
  <c r="Q122" i="13"/>
  <c r="S122" i="13"/>
  <c r="I124" i="13"/>
  <c r="P124" i="13"/>
  <c r="Q124" i="13"/>
  <c r="S124" i="13"/>
  <c r="I125" i="13"/>
  <c r="P125" i="13"/>
  <c r="Q125" i="13"/>
  <c r="S125" i="13"/>
  <c r="I126" i="13"/>
  <c r="P126" i="13"/>
  <c r="Q126" i="13"/>
  <c r="S126" i="13"/>
  <c r="I127" i="13"/>
  <c r="P127" i="13"/>
  <c r="Q127" i="13"/>
  <c r="S127" i="13"/>
  <c r="I128" i="13"/>
  <c r="P128" i="13"/>
  <c r="Q128" i="13"/>
  <c r="S128" i="13"/>
  <c r="I129" i="13"/>
  <c r="P129" i="13"/>
  <c r="Q129" i="13"/>
  <c r="S129" i="13"/>
  <c r="I130" i="13"/>
  <c r="P130" i="13"/>
  <c r="Q130" i="13"/>
  <c r="S130" i="13"/>
  <c r="I131" i="13"/>
  <c r="P131" i="13"/>
  <c r="Q131" i="13"/>
  <c r="S131" i="13"/>
  <c r="I132" i="13"/>
  <c r="P132" i="13"/>
  <c r="Q132" i="13"/>
  <c r="S132" i="13"/>
  <c r="I133" i="13"/>
  <c r="P133" i="13"/>
  <c r="Q133" i="13"/>
  <c r="S133" i="13"/>
  <c r="I134" i="13"/>
  <c r="P134" i="13"/>
  <c r="Q134" i="13"/>
  <c r="S134" i="13"/>
  <c r="I136" i="13"/>
  <c r="P136" i="13"/>
  <c r="Q136" i="13"/>
  <c r="S136" i="13"/>
  <c r="I137" i="13"/>
  <c r="P137" i="13"/>
  <c r="Q137" i="13"/>
  <c r="S137" i="13"/>
  <c r="I138" i="13"/>
  <c r="P138" i="13"/>
  <c r="Q138" i="13"/>
  <c r="S138" i="13"/>
  <c r="I139" i="13"/>
  <c r="P139" i="13"/>
  <c r="Q139" i="13"/>
  <c r="S139" i="13"/>
  <c r="I140" i="13"/>
  <c r="P140" i="13"/>
  <c r="Q140" i="13"/>
  <c r="S140" i="13"/>
  <c r="I141" i="13"/>
  <c r="P141" i="13"/>
  <c r="Q141" i="13"/>
  <c r="S141" i="13"/>
  <c r="I143" i="13"/>
  <c r="P143" i="13"/>
  <c r="Q143" i="13"/>
  <c r="S143" i="13"/>
  <c r="I144" i="13"/>
  <c r="P144" i="13"/>
  <c r="Q144" i="13"/>
  <c r="S144" i="13"/>
  <c r="I145" i="13"/>
  <c r="P145" i="13"/>
  <c r="Q145" i="13"/>
  <c r="S145" i="13"/>
  <c r="I146" i="13"/>
  <c r="P146" i="13"/>
  <c r="Q146" i="13"/>
  <c r="S146" i="13"/>
  <c r="I147" i="13"/>
  <c r="P147" i="13"/>
  <c r="Q147" i="13"/>
  <c r="S147" i="13"/>
  <c r="I148" i="13"/>
  <c r="P148" i="13"/>
  <c r="Q148" i="13"/>
  <c r="S148" i="13"/>
  <c r="I149" i="13"/>
  <c r="P149" i="13"/>
  <c r="Q149" i="13"/>
  <c r="S149" i="13"/>
  <c r="I150" i="13"/>
  <c r="P150" i="13"/>
  <c r="Q150" i="13"/>
  <c r="S150" i="13"/>
  <c r="I151" i="13"/>
  <c r="P151" i="13"/>
  <c r="Q151" i="13"/>
  <c r="S151" i="13"/>
  <c r="I152" i="13"/>
  <c r="P152" i="13"/>
  <c r="Q152" i="13"/>
  <c r="S152" i="13"/>
  <c r="I153" i="13"/>
  <c r="P153" i="13"/>
  <c r="Q153" i="13"/>
  <c r="S153" i="13"/>
  <c r="I154" i="13"/>
  <c r="P154" i="13"/>
  <c r="Q154" i="13"/>
  <c r="S154" i="13"/>
  <c r="I155" i="13"/>
  <c r="P155" i="13"/>
  <c r="Q155" i="13"/>
  <c r="S155" i="13"/>
  <c r="I156" i="13"/>
  <c r="P156" i="13"/>
  <c r="Q156" i="13"/>
  <c r="S156" i="13"/>
  <c r="I157" i="13"/>
  <c r="P157" i="13"/>
  <c r="Q157" i="13"/>
  <c r="S157" i="13"/>
  <c r="I158" i="13"/>
  <c r="P158" i="13"/>
  <c r="Q158" i="13"/>
  <c r="S158" i="13"/>
  <c r="I159" i="13"/>
  <c r="P159" i="13"/>
  <c r="Q159" i="13"/>
  <c r="S159" i="13"/>
  <c r="I160" i="13"/>
  <c r="P160" i="13"/>
  <c r="Q160" i="13"/>
  <c r="S160" i="13"/>
  <c r="I161" i="13"/>
  <c r="P161" i="13"/>
  <c r="Q161" i="13"/>
  <c r="S161" i="13"/>
  <c r="I162" i="13"/>
  <c r="P162" i="13"/>
  <c r="Q162" i="13"/>
  <c r="S162" i="13"/>
  <c r="I163" i="13"/>
  <c r="P163" i="13"/>
  <c r="Q163" i="13"/>
  <c r="S163" i="13"/>
  <c r="I164" i="13"/>
  <c r="P164" i="13"/>
  <c r="Q164" i="13"/>
  <c r="S164" i="13"/>
  <c r="I165" i="13"/>
  <c r="P165" i="13"/>
  <c r="Q165" i="13"/>
  <c r="S165" i="13"/>
  <c r="I166" i="13"/>
  <c r="P166" i="13"/>
  <c r="Q166" i="13"/>
  <c r="S166" i="13"/>
  <c r="I167" i="13"/>
  <c r="P167" i="13"/>
  <c r="Q167" i="13"/>
  <c r="S167" i="13"/>
  <c r="I168" i="13"/>
  <c r="P168" i="13"/>
  <c r="Q168" i="13"/>
  <c r="S168" i="13"/>
  <c r="I169" i="13"/>
  <c r="P169" i="13"/>
  <c r="Q169" i="13"/>
  <c r="S169" i="13"/>
  <c r="I171" i="13"/>
  <c r="P171" i="13"/>
  <c r="Q171" i="13"/>
  <c r="S171" i="13"/>
  <c r="I172" i="13"/>
  <c r="P172" i="13"/>
  <c r="Q172" i="13"/>
  <c r="S172" i="13"/>
  <c r="I173" i="13"/>
  <c r="P173" i="13"/>
  <c r="Q173" i="13"/>
  <c r="S173" i="13"/>
  <c r="I174" i="13"/>
  <c r="P174" i="13"/>
  <c r="Q174" i="13"/>
  <c r="S174" i="13"/>
  <c r="I175" i="13"/>
  <c r="P175" i="13"/>
  <c r="Q175" i="13"/>
  <c r="S175" i="13"/>
  <c r="I176" i="13"/>
  <c r="P176" i="13"/>
  <c r="Q176" i="13"/>
  <c r="S176" i="13"/>
  <c r="I177" i="13"/>
  <c r="P177" i="13"/>
  <c r="Q177" i="13"/>
  <c r="S177" i="13"/>
  <c r="I178" i="13"/>
  <c r="P178" i="13"/>
  <c r="Q178" i="13"/>
  <c r="S178" i="13"/>
  <c r="I179" i="13"/>
  <c r="P179" i="13"/>
  <c r="Q179" i="13"/>
  <c r="S179" i="13"/>
  <c r="I180" i="13"/>
  <c r="P180" i="13"/>
  <c r="Q180" i="13"/>
  <c r="S180" i="13"/>
  <c r="I181" i="13"/>
  <c r="P181" i="13"/>
  <c r="Q181" i="13"/>
  <c r="S181" i="13"/>
  <c r="J182" i="13"/>
  <c r="P182" i="13"/>
  <c r="Q182" i="13"/>
  <c r="S182" i="13"/>
  <c r="I183" i="13"/>
  <c r="P183" i="13"/>
  <c r="Q183" i="13"/>
  <c r="S183" i="13"/>
  <c r="I184" i="13"/>
  <c r="P184" i="13"/>
  <c r="Q184" i="13"/>
  <c r="S184" i="13"/>
  <c r="I185" i="13"/>
  <c r="P185" i="13"/>
  <c r="Q185" i="13"/>
  <c r="S185" i="13"/>
  <c r="I186" i="13"/>
  <c r="P186" i="13"/>
  <c r="Q186" i="13"/>
  <c r="S186" i="13"/>
  <c r="I187" i="13"/>
  <c r="P187" i="13"/>
  <c r="Q187" i="13"/>
  <c r="S187" i="13"/>
  <c r="I188" i="13"/>
  <c r="P188" i="13"/>
  <c r="Q188" i="13"/>
  <c r="S188" i="13"/>
  <c r="I189" i="13"/>
  <c r="P189" i="13"/>
  <c r="Q189" i="13"/>
  <c r="S189" i="13"/>
  <c r="I190" i="13"/>
  <c r="P190" i="13"/>
  <c r="Q190" i="13"/>
  <c r="S190" i="13"/>
  <c r="I191" i="13"/>
  <c r="P191" i="13"/>
  <c r="Q191" i="13"/>
  <c r="S191" i="13"/>
  <c r="I192" i="13"/>
  <c r="P192" i="13"/>
  <c r="Q192" i="13"/>
  <c r="S192" i="13"/>
  <c r="I193" i="13"/>
  <c r="P193" i="13"/>
  <c r="Q193" i="13"/>
  <c r="S193" i="13"/>
  <c r="I194" i="13"/>
  <c r="P194" i="13"/>
  <c r="Q194" i="13"/>
  <c r="S194" i="13"/>
  <c r="I195" i="13"/>
  <c r="P195" i="13"/>
  <c r="Q195" i="13"/>
  <c r="S195" i="13"/>
  <c r="I196" i="13"/>
  <c r="P196" i="13"/>
  <c r="Q196" i="13"/>
  <c r="S196" i="13"/>
  <c r="I197" i="13"/>
  <c r="P197" i="13"/>
  <c r="Q197" i="13"/>
  <c r="S197" i="13"/>
  <c r="I198" i="13"/>
  <c r="P198" i="13"/>
  <c r="Q198" i="13"/>
  <c r="S198" i="13"/>
  <c r="I199" i="13"/>
  <c r="P199" i="13"/>
  <c r="Q199" i="13"/>
  <c r="S199" i="13"/>
  <c r="I200" i="13"/>
  <c r="P200" i="13"/>
  <c r="Q200" i="13"/>
  <c r="S200" i="13"/>
  <c r="I201" i="13"/>
  <c r="P201" i="13"/>
  <c r="Q201" i="13"/>
  <c r="S201" i="13"/>
  <c r="I202" i="13"/>
  <c r="P202" i="13"/>
  <c r="Q202" i="13"/>
  <c r="S202" i="13"/>
  <c r="I203" i="13"/>
  <c r="P203" i="13"/>
  <c r="Q203" i="13"/>
  <c r="S203" i="13"/>
  <c r="I204" i="13"/>
  <c r="P204" i="13"/>
  <c r="Q204" i="13"/>
  <c r="S204" i="13"/>
  <c r="I205" i="13"/>
  <c r="P205" i="13"/>
  <c r="Q205" i="13"/>
  <c r="S205" i="13"/>
  <c r="I206" i="13"/>
  <c r="P206" i="13"/>
  <c r="Q206" i="13"/>
  <c r="S206" i="13"/>
  <c r="J207" i="13"/>
  <c r="P207" i="13"/>
  <c r="Q207" i="13"/>
  <c r="S207" i="13"/>
  <c r="I208" i="13"/>
  <c r="P208" i="13"/>
  <c r="Q208" i="13"/>
  <c r="S208" i="13"/>
  <c r="I209" i="13"/>
  <c r="P209" i="13"/>
  <c r="Q209" i="13"/>
  <c r="S209" i="13"/>
  <c r="I210" i="13"/>
  <c r="P210" i="13"/>
  <c r="Q210" i="13"/>
  <c r="S210" i="13"/>
  <c r="I211" i="13"/>
  <c r="P211" i="13"/>
  <c r="Q211" i="13"/>
  <c r="S211" i="13"/>
  <c r="I212" i="13"/>
  <c r="P212" i="13"/>
  <c r="Q212" i="13"/>
  <c r="S212" i="13"/>
  <c r="I213" i="13"/>
  <c r="P213" i="13"/>
  <c r="Q213" i="13"/>
  <c r="S213" i="13"/>
  <c r="I214" i="13"/>
  <c r="P214" i="13"/>
  <c r="Q214" i="13"/>
  <c r="S214" i="13"/>
  <c r="I215" i="13"/>
  <c r="P215" i="13"/>
  <c r="Q215" i="13"/>
  <c r="S215" i="13"/>
  <c r="I216" i="13"/>
  <c r="P216" i="13"/>
  <c r="Q216" i="13"/>
  <c r="S216" i="13"/>
  <c r="I217" i="13"/>
  <c r="P217" i="13"/>
  <c r="Q217" i="13"/>
  <c r="S217" i="13"/>
  <c r="I218" i="13"/>
  <c r="P218" i="13"/>
  <c r="Q218" i="13"/>
  <c r="S218" i="13"/>
  <c r="I219" i="13"/>
  <c r="P219" i="13"/>
  <c r="Q219" i="13"/>
  <c r="S219" i="13"/>
  <c r="I220" i="13"/>
  <c r="P220" i="13"/>
  <c r="Q220" i="13"/>
  <c r="S220" i="13"/>
  <c r="I221" i="13"/>
  <c r="P221" i="13"/>
  <c r="Q221" i="13"/>
  <c r="S221" i="13"/>
  <c r="I222" i="13"/>
  <c r="P222" i="13"/>
  <c r="Q222" i="13"/>
  <c r="S222" i="13"/>
  <c r="I223" i="13"/>
  <c r="P223" i="13"/>
  <c r="Q223" i="13"/>
  <c r="S223" i="13"/>
  <c r="J224" i="13"/>
  <c r="P224" i="13"/>
  <c r="Q224" i="13"/>
  <c r="S224" i="13"/>
  <c r="J225" i="13"/>
  <c r="P225" i="13"/>
  <c r="Q225" i="13"/>
  <c r="S225" i="13"/>
  <c r="I226" i="13"/>
  <c r="P226" i="13"/>
  <c r="Q226" i="13"/>
  <c r="S226" i="13"/>
  <c r="I227" i="13"/>
  <c r="P227" i="13"/>
  <c r="Q227" i="13"/>
  <c r="S227" i="13"/>
  <c r="I228" i="13"/>
  <c r="P228" i="13"/>
  <c r="Q228" i="13"/>
  <c r="S228" i="13"/>
  <c r="I229" i="13"/>
  <c r="P229" i="13"/>
  <c r="Q229" i="13"/>
  <c r="S229" i="13"/>
  <c r="I230" i="13"/>
  <c r="P230" i="13"/>
  <c r="Q230" i="13"/>
  <c r="S230" i="13"/>
  <c r="I231" i="13"/>
  <c r="P231" i="13"/>
  <c r="Q231" i="13"/>
  <c r="S231" i="13"/>
  <c r="I232" i="13"/>
  <c r="P232" i="13"/>
  <c r="Q232" i="13"/>
  <c r="S232" i="13"/>
  <c r="I233" i="13"/>
  <c r="P233" i="13"/>
  <c r="Q233" i="13"/>
  <c r="S233" i="13"/>
  <c r="I234" i="13"/>
  <c r="P234" i="13"/>
  <c r="Q234" i="13"/>
  <c r="S234" i="13"/>
  <c r="I235" i="13"/>
  <c r="P235" i="13"/>
  <c r="Q235" i="13"/>
  <c r="S235" i="13"/>
  <c r="I236" i="13"/>
  <c r="P236" i="13"/>
  <c r="Q236" i="13"/>
  <c r="S236" i="13"/>
  <c r="I237" i="13"/>
  <c r="P237" i="13"/>
  <c r="Q237" i="13"/>
  <c r="S237" i="13"/>
  <c r="I238" i="13"/>
  <c r="P238" i="13"/>
  <c r="Q238" i="13"/>
  <c r="S238" i="13"/>
  <c r="I239" i="13"/>
  <c r="P239" i="13"/>
  <c r="Q239" i="13"/>
  <c r="S239" i="13"/>
  <c r="I240" i="13"/>
  <c r="P240" i="13"/>
  <c r="Q240" i="13"/>
  <c r="S240" i="13"/>
  <c r="I241" i="13"/>
  <c r="P241" i="13"/>
  <c r="Q241" i="13"/>
  <c r="S241" i="13"/>
  <c r="I242" i="13"/>
  <c r="Q242" i="13"/>
  <c r="S242" i="13"/>
  <c r="I243" i="13"/>
  <c r="P243" i="13"/>
  <c r="Q243" i="13"/>
  <c r="S243" i="13"/>
  <c r="I244" i="13"/>
  <c r="P244" i="13"/>
  <c r="Q244" i="13"/>
  <c r="S244" i="13"/>
  <c r="I245" i="13"/>
  <c r="P245" i="13"/>
  <c r="Q245" i="13"/>
  <c r="S245" i="13"/>
  <c r="I246" i="13"/>
  <c r="P246" i="13"/>
  <c r="Q246" i="13"/>
  <c r="S246" i="13"/>
  <c r="I247" i="13"/>
  <c r="P247" i="13"/>
  <c r="Q247" i="13"/>
  <c r="S247" i="13"/>
  <c r="I248" i="13"/>
  <c r="P248" i="13"/>
  <c r="Q248" i="13"/>
  <c r="S248" i="13"/>
  <c r="I249" i="13"/>
  <c r="P249" i="13"/>
  <c r="Q249" i="13"/>
  <c r="S249" i="13"/>
  <c r="I250" i="13"/>
  <c r="P250" i="13"/>
  <c r="Q250" i="13"/>
  <c r="S250" i="13"/>
  <c r="I251" i="13"/>
  <c r="P251" i="13"/>
  <c r="Q251" i="13"/>
  <c r="S251" i="13"/>
  <c r="I252" i="13"/>
  <c r="P252" i="13"/>
  <c r="Q252" i="13"/>
  <c r="S252" i="13"/>
  <c r="I253" i="13"/>
  <c r="P253" i="13"/>
  <c r="Q253" i="13"/>
  <c r="S253" i="13"/>
  <c r="I254" i="13"/>
  <c r="P254" i="13"/>
  <c r="Q254" i="13"/>
  <c r="S254" i="13"/>
  <c r="I255" i="13"/>
  <c r="P255" i="13"/>
  <c r="Q255" i="13"/>
  <c r="S255" i="13"/>
  <c r="I256" i="13"/>
  <c r="P256" i="13"/>
  <c r="Q256" i="13"/>
  <c r="S256" i="13"/>
  <c r="I257" i="13"/>
  <c r="P257" i="13"/>
  <c r="Q257" i="13"/>
  <c r="S257" i="13"/>
  <c r="I258" i="13"/>
  <c r="P258" i="13"/>
  <c r="Q258" i="13"/>
  <c r="S258" i="13"/>
  <c r="I259" i="13"/>
  <c r="P259" i="13"/>
  <c r="Q259" i="13"/>
  <c r="S259" i="13"/>
  <c r="I260" i="13"/>
  <c r="P260" i="13"/>
  <c r="Q260" i="13"/>
  <c r="S260" i="13"/>
  <c r="I261" i="13"/>
  <c r="P261" i="13"/>
  <c r="Q261" i="13"/>
  <c r="S261" i="13"/>
  <c r="I262" i="13"/>
  <c r="P262" i="13"/>
  <c r="Q262" i="13"/>
  <c r="S262" i="13"/>
  <c r="I263" i="13"/>
  <c r="P263" i="13"/>
  <c r="Q263" i="13"/>
  <c r="S263" i="13"/>
  <c r="I264" i="13"/>
  <c r="P264" i="13"/>
  <c r="Q264" i="13"/>
  <c r="S264" i="13"/>
  <c r="I265" i="13"/>
  <c r="P265" i="13"/>
  <c r="Q265" i="13"/>
  <c r="S265" i="13"/>
  <c r="I266" i="13"/>
  <c r="P266" i="13"/>
  <c r="Q266" i="13"/>
  <c r="S266" i="13"/>
  <c r="I267" i="13"/>
  <c r="P267" i="13"/>
  <c r="Q267" i="13"/>
  <c r="S267" i="13"/>
  <c r="I268" i="13"/>
  <c r="P268" i="13"/>
  <c r="Q268" i="13"/>
  <c r="S268" i="13"/>
  <c r="I269" i="13"/>
  <c r="P269" i="13"/>
  <c r="Q269" i="13"/>
  <c r="S269" i="13"/>
  <c r="I271" i="13"/>
  <c r="P271" i="13"/>
  <c r="Q271" i="13"/>
  <c r="S271" i="13"/>
  <c r="I272" i="13"/>
  <c r="P272" i="13"/>
  <c r="Q272" i="13"/>
  <c r="S272" i="13"/>
  <c r="I273" i="13"/>
  <c r="P273" i="13"/>
  <c r="Q273" i="13"/>
  <c r="S273" i="13"/>
  <c r="I274" i="13"/>
  <c r="P274" i="13"/>
  <c r="Q274" i="13"/>
  <c r="S274" i="13"/>
  <c r="I275" i="13"/>
  <c r="P275" i="13"/>
  <c r="Q275" i="13"/>
  <c r="S275" i="13"/>
  <c r="I276" i="13"/>
  <c r="P276" i="13"/>
  <c r="Q276" i="13"/>
  <c r="S276" i="13"/>
  <c r="I277" i="13"/>
  <c r="P277" i="13"/>
  <c r="Q277" i="13"/>
  <c r="S277" i="13"/>
  <c r="I278" i="13"/>
  <c r="P278" i="13"/>
  <c r="Q278" i="13"/>
  <c r="S278" i="13"/>
  <c r="I279" i="13"/>
  <c r="P279" i="13"/>
  <c r="Q279" i="13"/>
  <c r="S279" i="13"/>
  <c r="I280" i="13"/>
  <c r="P280" i="13"/>
  <c r="Q280" i="13"/>
  <c r="S280" i="13"/>
  <c r="I281" i="13"/>
  <c r="P281" i="13"/>
  <c r="Q281" i="13"/>
  <c r="S281" i="13"/>
  <c r="I282" i="13"/>
  <c r="P282" i="13"/>
  <c r="Q282" i="13"/>
  <c r="S282" i="13"/>
  <c r="I283" i="13"/>
  <c r="P283" i="13"/>
  <c r="Q283" i="13"/>
  <c r="S283" i="13"/>
  <c r="I284" i="13"/>
  <c r="P284" i="13"/>
  <c r="Q284" i="13"/>
  <c r="S284" i="13"/>
  <c r="I285" i="13"/>
  <c r="P285" i="13"/>
  <c r="Q285" i="13"/>
  <c r="S285" i="13"/>
  <c r="I286" i="13"/>
  <c r="P286" i="13"/>
  <c r="Q286" i="13"/>
  <c r="S286" i="13"/>
  <c r="I287" i="13"/>
  <c r="P287" i="13"/>
  <c r="Q287" i="13"/>
  <c r="S287" i="13"/>
  <c r="I288" i="13"/>
  <c r="P288" i="13"/>
  <c r="Q288" i="13"/>
  <c r="S288" i="13"/>
  <c r="I289" i="13"/>
  <c r="P289" i="13"/>
  <c r="Q289" i="13"/>
  <c r="S289" i="13"/>
  <c r="I290" i="13"/>
  <c r="P290" i="13"/>
  <c r="Q290" i="13"/>
  <c r="S290" i="13"/>
  <c r="I291" i="13"/>
  <c r="P291" i="13"/>
  <c r="Q291" i="13"/>
  <c r="S291" i="13"/>
  <c r="I292" i="13"/>
  <c r="P292" i="13"/>
  <c r="Q292" i="13"/>
  <c r="S292" i="13"/>
  <c r="I293" i="13"/>
  <c r="P293" i="13"/>
  <c r="Q293" i="13"/>
  <c r="S293" i="13"/>
  <c r="I294" i="13"/>
  <c r="P294" i="13"/>
  <c r="Q294" i="13"/>
  <c r="S294" i="13"/>
  <c r="I295" i="13"/>
  <c r="P295" i="13"/>
  <c r="Q295" i="13"/>
  <c r="S295" i="13"/>
  <c r="I296" i="13"/>
  <c r="P296" i="13"/>
  <c r="Q296" i="13"/>
  <c r="S296" i="13"/>
  <c r="I297" i="13"/>
  <c r="P297" i="13"/>
  <c r="Q297" i="13"/>
  <c r="S297" i="13"/>
  <c r="I298" i="13"/>
  <c r="P298" i="13"/>
  <c r="Q298" i="13"/>
  <c r="S298" i="13"/>
  <c r="I299" i="13"/>
  <c r="P299" i="13"/>
  <c r="Q299" i="13"/>
  <c r="S299" i="13"/>
  <c r="I300" i="13"/>
  <c r="P300" i="13"/>
  <c r="Q300" i="13"/>
  <c r="S300" i="13"/>
  <c r="I301" i="13"/>
  <c r="P301" i="13"/>
  <c r="Q301" i="13"/>
  <c r="S301" i="13"/>
  <c r="I302" i="13"/>
  <c r="P302" i="13"/>
  <c r="Q302" i="13"/>
  <c r="S302" i="13"/>
  <c r="I303" i="13"/>
  <c r="P303" i="13"/>
  <c r="Q303" i="13"/>
  <c r="S303" i="13"/>
  <c r="I304" i="13"/>
  <c r="P304" i="13"/>
  <c r="Q304" i="13"/>
  <c r="S304" i="13"/>
  <c r="I305" i="13"/>
  <c r="P305" i="13"/>
  <c r="Q305" i="13"/>
  <c r="S305" i="13"/>
  <c r="I306" i="13"/>
  <c r="P306" i="13"/>
  <c r="Q306" i="13"/>
  <c r="S306" i="13"/>
  <c r="I307" i="13"/>
  <c r="P307" i="13"/>
  <c r="Q307" i="13"/>
  <c r="S307" i="13"/>
  <c r="I308" i="13"/>
  <c r="P308" i="13"/>
  <c r="Q308" i="13"/>
  <c r="S308" i="13"/>
  <c r="I309" i="13"/>
  <c r="P309" i="13"/>
  <c r="Q309" i="13"/>
  <c r="S309" i="13"/>
  <c r="I310" i="13"/>
  <c r="P310" i="13"/>
  <c r="Q310" i="13"/>
  <c r="S310" i="13"/>
  <c r="I311" i="13"/>
  <c r="P311" i="13"/>
  <c r="Q311" i="13"/>
  <c r="S311" i="13"/>
  <c r="I312" i="13"/>
  <c r="P312" i="13"/>
  <c r="Q312" i="13"/>
  <c r="S312" i="13"/>
  <c r="I313" i="13"/>
  <c r="P313" i="13"/>
  <c r="Q313" i="13"/>
  <c r="S313" i="13"/>
  <c r="I314" i="13"/>
  <c r="P314" i="13"/>
  <c r="Q314" i="13"/>
  <c r="S314" i="13"/>
  <c r="I315" i="13"/>
  <c r="P315" i="13"/>
  <c r="Q315" i="13"/>
  <c r="S315" i="13"/>
  <c r="I316" i="13"/>
  <c r="P316" i="13"/>
  <c r="Q316" i="13"/>
  <c r="S316" i="13"/>
  <c r="I317" i="13"/>
  <c r="P317" i="13"/>
  <c r="Q317" i="13"/>
  <c r="S317" i="13"/>
  <c r="P318" i="13"/>
  <c r="Q318" i="13"/>
  <c r="S318" i="13"/>
  <c r="I319" i="13"/>
  <c r="P319" i="13"/>
  <c r="Q319" i="13"/>
  <c r="S319" i="13"/>
  <c r="I320" i="13"/>
  <c r="P320" i="13"/>
  <c r="Q320" i="13"/>
  <c r="S320" i="13"/>
  <c r="I321" i="13"/>
  <c r="P321" i="13"/>
  <c r="Q321" i="13"/>
  <c r="S321" i="13"/>
  <c r="I322" i="13"/>
  <c r="P322" i="13"/>
  <c r="Q322" i="13"/>
  <c r="S322" i="13"/>
  <c r="I323" i="13"/>
  <c r="P323" i="13"/>
  <c r="Q323" i="13"/>
  <c r="S323" i="13"/>
  <c r="I324" i="13"/>
  <c r="P324" i="13"/>
  <c r="Q324" i="13"/>
  <c r="S324" i="13"/>
  <c r="I325" i="13"/>
  <c r="P325" i="13"/>
  <c r="Q325" i="13"/>
  <c r="S325" i="13"/>
  <c r="I326" i="13"/>
  <c r="P326" i="13"/>
  <c r="Q326" i="13"/>
  <c r="S326" i="13"/>
  <c r="I327" i="13"/>
  <c r="P327" i="13"/>
  <c r="Q327" i="13"/>
  <c r="S327" i="13"/>
  <c r="I328" i="13"/>
  <c r="P328" i="13"/>
  <c r="Q328" i="13"/>
  <c r="S328" i="13"/>
  <c r="I329" i="13"/>
  <c r="P329" i="13"/>
  <c r="Q329" i="13"/>
  <c r="S329" i="13"/>
  <c r="I330" i="13"/>
  <c r="P330" i="13"/>
  <c r="Q330" i="13"/>
  <c r="S330" i="13"/>
  <c r="I331" i="13"/>
  <c r="P331" i="13"/>
  <c r="Q331" i="13"/>
  <c r="S331" i="13"/>
  <c r="I332" i="13"/>
  <c r="P332" i="13"/>
  <c r="Q332" i="13"/>
  <c r="S332" i="13"/>
  <c r="I333" i="13"/>
  <c r="P333" i="13"/>
  <c r="Q333" i="13"/>
  <c r="S333" i="13"/>
  <c r="I334" i="13"/>
  <c r="P334" i="13"/>
  <c r="Q334" i="13"/>
  <c r="S334" i="13"/>
  <c r="I336" i="13"/>
  <c r="P336" i="13"/>
  <c r="Q336" i="13"/>
  <c r="S336" i="13"/>
  <c r="I337" i="13"/>
  <c r="P337" i="13"/>
  <c r="Q337" i="13"/>
  <c r="S337" i="13"/>
  <c r="I338" i="13"/>
  <c r="P338" i="13"/>
  <c r="Q338" i="13"/>
  <c r="S338" i="13"/>
  <c r="I339" i="13"/>
  <c r="P339" i="13"/>
  <c r="Q339" i="13"/>
  <c r="S339" i="13"/>
  <c r="I340" i="13"/>
  <c r="P340" i="13"/>
  <c r="Q340" i="13"/>
  <c r="S340" i="13"/>
  <c r="I341" i="13"/>
  <c r="P341" i="13"/>
  <c r="Q341" i="13"/>
  <c r="S341" i="13"/>
  <c r="I342" i="13"/>
  <c r="P342" i="13"/>
  <c r="Q342" i="13"/>
  <c r="S342" i="13"/>
  <c r="I343" i="13"/>
  <c r="P343" i="13"/>
  <c r="Q343" i="13"/>
  <c r="S343" i="13"/>
  <c r="I344" i="13"/>
  <c r="P344" i="13"/>
  <c r="Q344" i="13"/>
  <c r="S344" i="13"/>
  <c r="I345" i="13"/>
  <c r="P345" i="13"/>
  <c r="Q345" i="13"/>
  <c r="S345" i="13"/>
  <c r="I346" i="13"/>
  <c r="P346" i="13"/>
  <c r="Q346" i="13"/>
  <c r="S346" i="13"/>
  <c r="I347" i="13"/>
  <c r="P347" i="13"/>
  <c r="Q347" i="13"/>
  <c r="S347" i="13"/>
  <c r="I348" i="13"/>
  <c r="P348" i="13"/>
  <c r="Q348" i="13"/>
  <c r="S348" i="13"/>
  <c r="I349" i="13"/>
  <c r="P349" i="13"/>
  <c r="Q349" i="13"/>
  <c r="S349" i="13"/>
  <c r="I350" i="13"/>
  <c r="P350" i="13"/>
  <c r="Q350" i="13"/>
  <c r="S350" i="13"/>
  <c r="I351" i="13"/>
  <c r="P351" i="13"/>
  <c r="Q351" i="13"/>
  <c r="S351" i="13"/>
  <c r="I352" i="13"/>
  <c r="P352" i="13"/>
  <c r="Q352" i="13"/>
  <c r="S352" i="13"/>
  <c r="I353" i="13"/>
  <c r="P353" i="13"/>
  <c r="Q353" i="13"/>
  <c r="S353" i="13"/>
  <c r="I354" i="13"/>
  <c r="P354" i="13"/>
  <c r="Q354" i="13"/>
  <c r="S354" i="13"/>
  <c r="I355" i="13"/>
  <c r="P355" i="13"/>
  <c r="Q355" i="13"/>
  <c r="S355" i="13"/>
  <c r="I357" i="13"/>
  <c r="P357" i="13"/>
  <c r="Q357" i="13"/>
  <c r="S357" i="13"/>
  <c r="I358" i="13"/>
  <c r="P358" i="13"/>
  <c r="Q358" i="13"/>
  <c r="S358" i="13"/>
  <c r="I359" i="13"/>
  <c r="P359" i="13"/>
  <c r="Q359" i="13"/>
  <c r="S359" i="13"/>
  <c r="C360" i="13"/>
  <c r="I360" i="13"/>
  <c r="Q360" i="13"/>
  <c r="I361" i="13"/>
  <c r="P361" i="13"/>
  <c r="Q361" i="13"/>
  <c r="S361" i="13"/>
  <c r="I362" i="13"/>
  <c r="P362" i="13"/>
  <c r="Q362" i="13"/>
  <c r="S362" i="13"/>
  <c r="I363" i="13"/>
  <c r="P363" i="13"/>
  <c r="Q363" i="13"/>
  <c r="S363" i="13"/>
  <c r="I364" i="13"/>
  <c r="P364" i="13"/>
  <c r="Q364" i="13"/>
  <c r="S364" i="13"/>
  <c r="P365" i="13"/>
  <c r="Q365" i="13"/>
  <c r="S365" i="13"/>
  <c r="C366" i="13"/>
  <c r="I366" i="13"/>
  <c r="P366" i="13"/>
  <c r="Q366" i="13"/>
  <c r="S366" i="13"/>
  <c r="I367" i="13"/>
  <c r="P367" i="13"/>
  <c r="Q367" i="13"/>
  <c r="S367" i="13"/>
  <c r="I368" i="13"/>
  <c r="P368" i="13"/>
  <c r="Q368" i="13"/>
  <c r="S368" i="13"/>
  <c r="I369" i="13"/>
  <c r="P369" i="13"/>
  <c r="Q369" i="13"/>
  <c r="S369" i="13"/>
  <c r="I370" i="13"/>
  <c r="P370" i="13"/>
  <c r="Q370" i="13"/>
  <c r="S370" i="13"/>
  <c r="I371" i="13"/>
  <c r="P371" i="13"/>
  <c r="Q371" i="13"/>
  <c r="S371" i="13"/>
  <c r="I372" i="13"/>
  <c r="P372" i="13"/>
  <c r="Q372" i="13"/>
  <c r="S372" i="13"/>
  <c r="I373" i="13"/>
  <c r="P373" i="13"/>
  <c r="Q373" i="13"/>
  <c r="S373" i="13"/>
  <c r="I374" i="13"/>
  <c r="P374" i="13"/>
  <c r="Q374" i="13"/>
  <c r="S374" i="13"/>
  <c r="I375" i="13"/>
  <c r="P375" i="13"/>
  <c r="Q375" i="13"/>
  <c r="S375" i="13"/>
  <c r="I376" i="13"/>
  <c r="P376" i="13"/>
  <c r="Q376" i="13"/>
  <c r="S376" i="13"/>
  <c r="I377" i="13"/>
  <c r="P377" i="13"/>
  <c r="Q377" i="13"/>
  <c r="S377" i="13"/>
  <c r="I378" i="13"/>
  <c r="P378" i="13"/>
  <c r="Q378" i="13"/>
  <c r="S378" i="13"/>
  <c r="I379" i="13"/>
  <c r="P379" i="13"/>
  <c r="Q379" i="13"/>
  <c r="S379" i="13"/>
  <c r="I380" i="13"/>
  <c r="P380" i="13"/>
  <c r="Q380" i="13"/>
  <c r="S380" i="13"/>
  <c r="I381" i="13"/>
  <c r="P381" i="13"/>
  <c r="Q381" i="13"/>
  <c r="S381" i="13"/>
  <c r="I382" i="13"/>
  <c r="P382" i="13"/>
  <c r="Q382" i="13"/>
  <c r="S382" i="13"/>
  <c r="J443" i="13"/>
  <c r="C193" i="7"/>
  <c r="C186" i="7"/>
  <c r="A2" i="10"/>
  <c r="B69" i="8"/>
  <c r="B68" i="8"/>
  <c r="B67" i="8"/>
  <c r="B66" i="8"/>
  <c r="B71" i="8"/>
  <c r="B65" i="8"/>
  <c r="D13" i="11"/>
  <c r="C14" i="11"/>
  <c r="C15" i="11"/>
  <c r="B16" i="11"/>
  <c r="F22" i="11"/>
  <c r="C66" i="1"/>
  <c r="D66" i="1"/>
  <c r="C15" i="5"/>
  <c r="E36" i="1"/>
  <c r="F111" i="12"/>
  <c r="F107" i="12"/>
  <c r="F101" i="12"/>
  <c r="F97" i="12"/>
  <c r="F87" i="12"/>
  <c r="F84" i="12"/>
  <c r="I84" i="12"/>
  <c r="G84" i="12"/>
  <c r="F82" i="12"/>
  <c r="G82" i="12"/>
  <c r="I82" i="12"/>
  <c r="F70" i="12"/>
  <c r="G70" i="12"/>
  <c r="I70" i="12"/>
  <c r="F69" i="12"/>
  <c r="I69" i="12" s="1"/>
  <c r="G69" i="12"/>
  <c r="G67" i="12"/>
  <c r="F67" i="12"/>
  <c r="I67" i="12" s="1"/>
  <c r="F64" i="12"/>
  <c r="I64" i="12" s="1"/>
  <c r="G64" i="12"/>
  <c r="F62" i="12"/>
  <c r="G62" i="12"/>
  <c r="I62" i="12"/>
  <c r="I61" i="12"/>
  <c r="K61" i="12" s="1"/>
  <c r="F60" i="12"/>
  <c r="I60" i="12" s="1"/>
  <c r="G60" i="12"/>
  <c r="F56" i="12"/>
  <c r="G56" i="12"/>
  <c r="I56" i="12"/>
  <c r="I55" i="12"/>
  <c r="K55" i="12" s="1"/>
  <c r="F54" i="12"/>
  <c r="I54" i="12" s="1"/>
  <c r="G54" i="12"/>
  <c r="I52" i="12"/>
  <c r="K52" i="12"/>
  <c r="F50" i="12"/>
  <c r="G50" i="12"/>
  <c r="I50" i="12"/>
  <c r="F49" i="12"/>
  <c r="I49" i="12" s="1"/>
  <c r="G49" i="12"/>
  <c r="F48" i="12"/>
  <c r="G48" i="12"/>
  <c r="I48" i="12"/>
  <c r="I46" i="12"/>
  <c r="K46" i="12" s="1"/>
  <c r="I45" i="12"/>
  <c r="K45" i="12" s="1"/>
  <c r="F39" i="12"/>
  <c r="I39" i="12" s="1"/>
  <c r="G39" i="12"/>
  <c r="F38" i="12"/>
  <c r="G38" i="12"/>
  <c r="I38" i="12"/>
  <c r="F37" i="12"/>
  <c r="I37" i="12" s="1"/>
  <c r="G37" i="12"/>
  <c r="F36" i="12"/>
  <c r="G36" i="12"/>
  <c r="I36" i="12"/>
  <c r="F34" i="12"/>
  <c r="I34" i="12" s="1"/>
  <c r="G34" i="12"/>
  <c r="F33" i="12"/>
  <c r="G33" i="12"/>
  <c r="I33" i="12"/>
  <c r="I32" i="12"/>
  <c r="K32" i="12" s="1"/>
  <c r="F30" i="12"/>
  <c r="G30" i="12"/>
  <c r="I30" i="12"/>
  <c r="F28" i="12"/>
  <c r="G28" i="12"/>
  <c r="I28" i="12"/>
  <c r="I23" i="12"/>
  <c r="K23" i="12" s="1"/>
  <c r="F22" i="12"/>
  <c r="I22" i="12" s="1"/>
  <c r="G22" i="12"/>
  <c r="I21" i="12"/>
  <c r="K21" i="12"/>
  <c r="I19" i="12"/>
  <c r="K19" i="12"/>
  <c r="F583" i="12"/>
  <c r="I583" i="12"/>
  <c r="L583" i="12" s="1"/>
  <c r="F550" i="12"/>
  <c r="I550" i="12" s="1"/>
  <c r="F526" i="12"/>
  <c r="I526" i="12" s="1"/>
  <c r="L526" i="12" s="1"/>
  <c r="F507" i="12"/>
  <c r="I507" i="12"/>
  <c r="F485" i="12"/>
  <c r="I485" i="12"/>
  <c r="F465" i="12"/>
  <c r="G465" i="12"/>
  <c r="I465" i="12"/>
  <c r="F441" i="12"/>
  <c r="I441" i="12" s="1"/>
  <c r="F412" i="12"/>
  <c r="I412" i="12" s="1"/>
  <c r="L412" i="12" s="1"/>
  <c r="G412" i="12"/>
  <c r="F398" i="12"/>
  <c r="I398" i="12" s="1"/>
  <c r="F336" i="12"/>
  <c r="G336" i="12"/>
  <c r="I336" i="12"/>
  <c r="F296" i="12"/>
  <c r="I296" i="12"/>
  <c r="G296" i="12"/>
  <c r="F289" i="12"/>
  <c r="I289" i="12" s="1"/>
  <c r="L289" i="12" s="1"/>
  <c r="F216" i="12"/>
  <c r="I216" i="12"/>
  <c r="G216" i="12"/>
  <c r="F626" i="12"/>
  <c r="I626" i="12" s="1"/>
  <c r="G606" i="12"/>
  <c r="F596" i="12"/>
  <c r="G596" i="12"/>
  <c r="I596" i="12"/>
  <c r="F595" i="12"/>
  <c r="I595" i="12" s="1"/>
  <c r="F590" i="12"/>
  <c r="I590" i="12" s="1"/>
  <c r="L590" i="12" s="1"/>
  <c r="G590" i="12"/>
  <c r="F589" i="12"/>
  <c r="I589" i="12" s="1"/>
  <c r="F588" i="12"/>
  <c r="I588" i="12" s="1"/>
  <c r="F586" i="12"/>
  <c r="I586" i="12" s="1"/>
  <c r="F581" i="12"/>
  <c r="I581" i="12" s="1"/>
  <c r="F576" i="12"/>
  <c r="I576" i="12" s="1"/>
  <c r="F573" i="12"/>
  <c r="I573" i="12" s="1"/>
  <c r="F571" i="12"/>
  <c r="I571" i="12" s="1"/>
  <c r="L571" i="12" s="1"/>
  <c r="G571" i="12"/>
  <c r="F567" i="12"/>
  <c r="I567" i="12" s="1"/>
  <c r="L567" i="12" s="1"/>
  <c r="F561" i="12"/>
  <c r="I561" i="12"/>
  <c r="F560" i="12"/>
  <c r="I560" i="12"/>
  <c r="F555" i="12"/>
  <c r="I555" i="12"/>
  <c r="L555" i="12" s="1"/>
  <c r="F549" i="12"/>
  <c r="I549" i="12" s="1"/>
  <c r="F545" i="12"/>
  <c r="I545" i="12" s="1"/>
  <c r="F538" i="12"/>
  <c r="I538" i="12" s="1"/>
  <c r="F531" i="12"/>
  <c r="I531" i="12" s="1"/>
  <c r="F522" i="12"/>
  <c r="I522" i="12" s="1"/>
  <c r="F516" i="12"/>
  <c r="I516" i="12" s="1"/>
  <c r="F509" i="12"/>
  <c r="I509" i="12" s="1"/>
  <c r="F504" i="12"/>
  <c r="I504" i="12" s="1"/>
  <c r="F500" i="12"/>
  <c r="I500" i="12" s="1"/>
  <c r="F497" i="12"/>
  <c r="G497" i="12"/>
  <c r="I497" i="12"/>
  <c r="F491" i="12"/>
  <c r="I491" i="12"/>
  <c r="F487" i="12"/>
  <c r="I487" i="12"/>
  <c r="F481" i="12"/>
  <c r="I481" i="12"/>
  <c r="F477" i="12"/>
  <c r="G477" i="12"/>
  <c r="I477" i="12"/>
  <c r="F474" i="12"/>
  <c r="I474" i="12" s="1"/>
  <c r="F471" i="12"/>
  <c r="I471" i="12" s="1"/>
  <c r="F468" i="12"/>
  <c r="I468" i="12" s="1"/>
  <c r="F463" i="12"/>
  <c r="I463" i="12" s="1"/>
  <c r="L463" i="12" s="1"/>
  <c r="N463" i="12" s="1"/>
  <c r="F459" i="12"/>
  <c r="G459" i="12"/>
  <c r="I459" i="12"/>
  <c r="F455" i="12"/>
  <c r="G455" i="12"/>
  <c r="I455" i="12"/>
  <c r="F450" i="12"/>
  <c r="I450" i="12" s="1"/>
  <c r="D14" i="11"/>
  <c r="G423" i="12"/>
  <c r="L423" i="12" s="1"/>
  <c r="G298" i="12"/>
  <c r="G293" i="12"/>
  <c r="L293" i="12"/>
  <c r="G214" i="12"/>
  <c r="G112" i="12"/>
  <c r="G111" i="12"/>
  <c r="G108" i="12"/>
  <c r="G107" i="12"/>
  <c r="G102" i="12"/>
  <c r="G101" i="12"/>
  <c r="G98" i="12"/>
  <c r="G97" i="12"/>
  <c r="G93" i="12"/>
  <c r="G92" i="12"/>
  <c r="G90" i="12"/>
  <c r="G87" i="12"/>
  <c r="F79" i="12"/>
  <c r="I79" i="12"/>
  <c r="G79" i="12"/>
  <c r="I77" i="12"/>
  <c r="I26" i="12"/>
  <c r="I24" i="12"/>
  <c r="F20" i="12"/>
  <c r="I20" i="12" s="1"/>
  <c r="G20" i="12"/>
  <c r="F625" i="12"/>
  <c r="G625" i="12"/>
  <c r="I625" i="12"/>
  <c r="F536" i="12"/>
  <c r="G536" i="12"/>
  <c r="I536" i="12"/>
  <c r="F515" i="12"/>
  <c r="I515" i="12"/>
  <c r="F492" i="12"/>
  <c r="I492" i="12"/>
  <c r="F479" i="12"/>
  <c r="G479" i="12"/>
  <c r="I479" i="12"/>
  <c r="F456" i="12"/>
  <c r="I456" i="12" s="1"/>
  <c r="F419" i="12"/>
  <c r="I419" i="12" s="1"/>
  <c r="G419" i="12"/>
  <c r="F405" i="12"/>
  <c r="I405" i="12"/>
  <c r="G405" i="12"/>
  <c r="F385" i="12"/>
  <c r="I385" i="12" s="1"/>
  <c r="F311" i="12"/>
  <c r="I311" i="12" s="1"/>
  <c r="G311" i="12"/>
  <c r="F294" i="12"/>
  <c r="I294" i="12"/>
  <c r="G294" i="12"/>
  <c r="F283" i="12"/>
  <c r="G283" i="12"/>
  <c r="I283" i="12"/>
  <c r="F627" i="12"/>
  <c r="I627" i="12"/>
  <c r="F623" i="12"/>
  <c r="I623" i="12"/>
  <c r="F620" i="12"/>
  <c r="I620" i="12"/>
  <c r="F617" i="12"/>
  <c r="I617" i="12"/>
  <c r="F614" i="12"/>
  <c r="I614" i="12"/>
  <c r="F611" i="12"/>
  <c r="F604" i="12"/>
  <c r="I604" i="12" s="1"/>
  <c r="F603" i="12"/>
  <c r="I603" i="12" s="1"/>
  <c r="G600" i="12"/>
  <c r="F598" i="12"/>
  <c r="I598" i="12"/>
  <c r="F593" i="12"/>
  <c r="I593" i="12"/>
  <c r="F592" i="12"/>
  <c r="I592" i="12"/>
  <c r="F587" i="12"/>
  <c r="I587" i="12"/>
  <c r="F582" i="12"/>
  <c r="I582" i="12"/>
  <c r="F580" i="12"/>
  <c r="I580" i="12"/>
  <c r="F572" i="12"/>
  <c r="G572" i="12"/>
  <c r="I572" i="12"/>
  <c r="F568" i="12"/>
  <c r="I568" i="12" s="1"/>
  <c r="F566" i="12"/>
  <c r="I566" i="12" s="1"/>
  <c r="F557" i="12"/>
  <c r="I557" i="12" s="1"/>
  <c r="F553" i="12"/>
  <c r="I553" i="12" s="1"/>
  <c r="L553" i="12"/>
  <c r="F547" i="12"/>
  <c r="I547" i="12"/>
  <c r="F543" i="12"/>
  <c r="I543" i="12"/>
  <c r="F533" i="12"/>
  <c r="I533" i="12"/>
  <c r="F527" i="12"/>
  <c r="I527" i="12"/>
  <c r="F524" i="12"/>
  <c r="I524" i="12"/>
  <c r="F518" i="12"/>
  <c r="I518" i="12"/>
  <c r="F512" i="12"/>
  <c r="I512" i="12"/>
  <c r="F506" i="12"/>
  <c r="I506" i="12"/>
  <c r="F502" i="12"/>
  <c r="I502" i="12"/>
  <c r="F498" i="12"/>
  <c r="I498" i="12"/>
  <c r="L498" i="12" s="1"/>
  <c r="F495" i="12"/>
  <c r="I495" i="12" s="1"/>
  <c r="F483" i="12"/>
  <c r="I483" i="12" s="1"/>
  <c r="F478" i="12"/>
  <c r="I478" i="12"/>
  <c r="F476" i="12"/>
  <c r="G476" i="12"/>
  <c r="I476" i="12"/>
  <c r="F473" i="12"/>
  <c r="G473" i="12"/>
  <c r="I473" i="12"/>
  <c r="F470" i="12"/>
  <c r="G470" i="12"/>
  <c r="I470" i="12"/>
  <c r="F466" i="12"/>
  <c r="I466" i="12" s="1"/>
  <c r="F460" i="12"/>
  <c r="I460" i="12" s="1"/>
  <c r="F457" i="12"/>
  <c r="I457" i="12" s="1"/>
  <c r="F453" i="12"/>
  <c r="I453" i="12" s="1"/>
  <c r="F448" i="12"/>
  <c r="I448" i="12" s="1"/>
  <c r="F520" i="12"/>
  <c r="F514" i="12"/>
  <c r="F494" i="12"/>
  <c r="F486" i="12"/>
  <c r="F462" i="12"/>
  <c r="F452" i="12"/>
  <c r="G445" i="12"/>
  <c r="F445" i="12"/>
  <c r="F440" i="12"/>
  <c r="G428" i="12"/>
  <c r="F428" i="12"/>
  <c r="F406" i="12"/>
  <c r="F403" i="12"/>
  <c r="F391" i="12"/>
  <c r="F349" i="12"/>
  <c r="F313" i="12"/>
  <c r="G297" i="12"/>
  <c r="F297" i="12"/>
  <c r="F295" i="12"/>
  <c r="F291" i="12"/>
  <c r="G284" i="12"/>
  <c r="F284" i="12"/>
  <c r="F264" i="12"/>
  <c r="F149" i="12"/>
  <c r="F601" i="12"/>
  <c r="G597" i="12"/>
  <c r="F597" i="12"/>
  <c r="F594" i="12"/>
  <c r="F584" i="12"/>
  <c r="F577" i="12"/>
  <c r="F564" i="12"/>
  <c r="F558" i="12"/>
  <c r="F556" i="12"/>
  <c r="F554" i="12"/>
  <c r="F552" i="12"/>
  <c r="F548" i="12"/>
  <c r="F546" i="12"/>
  <c r="F544" i="12"/>
  <c r="F542" i="12"/>
  <c r="G541" i="12"/>
  <c r="F541" i="12"/>
  <c r="F537" i="12"/>
  <c r="F532" i="12"/>
  <c r="F530" i="12"/>
  <c r="G528" i="12"/>
  <c r="F528" i="12"/>
  <c r="F523" i="12"/>
  <c r="F521" i="12"/>
  <c r="G519" i="12"/>
  <c r="F519" i="12"/>
  <c r="F517" i="12"/>
  <c r="F513" i="12"/>
  <c r="F511" i="12"/>
  <c r="G510" i="12"/>
  <c r="F510" i="12"/>
  <c r="F508" i="12"/>
  <c r="F505" i="12"/>
  <c r="F503" i="12"/>
  <c r="F501" i="12"/>
  <c r="F499" i="12"/>
  <c r="F496" i="12"/>
  <c r="F493" i="12"/>
  <c r="F490" i="12"/>
  <c r="G489" i="12"/>
  <c r="F489" i="12"/>
  <c r="F488" i="12"/>
  <c r="F484" i="12"/>
  <c r="F482" i="12"/>
  <c r="F480" i="12"/>
  <c r="F475" i="12"/>
  <c r="F472" i="12"/>
  <c r="F469" i="12"/>
  <c r="F467" i="12"/>
  <c r="F464" i="12"/>
  <c r="F461" i="12"/>
  <c r="F458" i="12"/>
  <c r="F454" i="12"/>
  <c r="F451" i="12"/>
  <c r="F449" i="12"/>
  <c r="F447" i="12"/>
  <c r="G446" i="12"/>
  <c r="F446" i="12"/>
  <c r="F444" i="12"/>
  <c r="I443" i="12"/>
  <c r="K443" i="12" s="1"/>
  <c r="M443" i="12" s="1"/>
  <c r="F442" i="12"/>
  <c r="F439" i="12"/>
  <c r="G439" i="12"/>
  <c r="F438" i="12"/>
  <c r="G438" i="12"/>
  <c r="I437" i="12"/>
  <c r="F436" i="12"/>
  <c r="I435" i="12"/>
  <c r="K435" i="12"/>
  <c r="F429" i="12"/>
  <c r="I427" i="12"/>
  <c r="F426" i="12"/>
  <c r="I425" i="12"/>
  <c r="K425" i="12" s="1"/>
  <c r="M425" i="12" s="1"/>
  <c r="F424" i="12"/>
  <c r="F422" i="12"/>
  <c r="G422" i="12"/>
  <c r="I421" i="12"/>
  <c r="K421" i="12"/>
  <c r="F420" i="12"/>
  <c r="I418" i="12"/>
  <c r="F410" i="12"/>
  <c r="I409" i="12"/>
  <c r="F408" i="12"/>
  <c r="F407" i="12"/>
  <c r="G407" i="12"/>
  <c r="I404" i="12"/>
  <c r="F402" i="12"/>
  <c r="I401" i="12"/>
  <c r="K401" i="12"/>
  <c r="F400" i="12"/>
  <c r="I399" i="12"/>
  <c r="F397" i="12"/>
  <c r="I396" i="12"/>
  <c r="K396" i="12" s="1"/>
  <c r="M396" i="12" s="1"/>
  <c r="F395" i="12"/>
  <c r="I394" i="12"/>
  <c r="F382" i="12"/>
  <c r="I381" i="12"/>
  <c r="F346" i="12"/>
  <c r="I345" i="12"/>
  <c r="F344" i="12"/>
  <c r="I343" i="12"/>
  <c r="K343" i="12" s="1"/>
  <c r="M343" i="12" s="1"/>
  <c r="F341" i="12"/>
  <c r="G341" i="12"/>
  <c r="F339" i="12"/>
  <c r="G339" i="12"/>
  <c r="F337" i="12"/>
  <c r="G337" i="12"/>
  <c r="F333" i="12"/>
  <c r="I333" i="12" s="1"/>
  <c r="G333" i="12"/>
  <c r="F329" i="12"/>
  <c r="I329" i="12"/>
  <c r="G329" i="12"/>
  <c r="F310" i="12"/>
  <c r="I310" i="12" s="1"/>
  <c r="G310" i="12"/>
  <c r="F306" i="12"/>
  <c r="I306" i="12" s="1"/>
  <c r="G300" i="12"/>
  <c r="I300" i="12"/>
  <c r="F279" i="12"/>
  <c r="I279" i="12"/>
  <c r="F275" i="12"/>
  <c r="I275" i="12"/>
  <c r="G275" i="12"/>
  <c r="F265" i="12"/>
  <c r="I265" i="12" s="1"/>
  <c r="F231" i="12"/>
  <c r="I231" i="12" s="1"/>
  <c r="F210" i="12"/>
  <c r="I210" i="12" s="1"/>
  <c r="G210" i="12"/>
  <c r="F203" i="12"/>
  <c r="I203" i="12"/>
  <c r="F173" i="12"/>
  <c r="I173" i="12"/>
  <c r="F147" i="12"/>
  <c r="I147" i="12"/>
  <c r="F142" i="12"/>
  <c r="I142" i="12"/>
  <c r="F134" i="12"/>
  <c r="I134" i="12"/>
  <c r="F130" i="12"/>
  <c r="I130" i="12"/>
  <c r="F123" i="12"/>
  <c r="I123" i="12"/>
  <c r="F118" i="12"/>
  <c r="I118" i="12"/>
  <c r="G118" i="12"/>
  <c r="F117" i="12"/>
  <c r="I117" i="12" s="1"/>
  <c r="F115" i="12"/>
  <c r="I115" i="12" s="1"/>
  <c r="K115" i="12" s="1"/>
  <c r="M115" i="12" s="1"/>
  <c r="F630" i="12"/>
  <c r="I630" i="12" s="1"/>
  <c r="F635" i="12"/>
  <c r="I635" i="12" s="1"/>
  <c r="K635" i="12" s="1"/>
  <c r="M635" i="12" s="1"/>
  <c r="G635" i="12"/>
  <c r="G634" i="12"/>
  <c r="F634" i="12"/>
  <c r="F642" i="12"/>
  <c r="G642" i="12"/>
  <c r="G652" i="12"/>
  <c r="F652" i="12"/>
  <c r="G656" i="12"/>
  <c r="G657" i="12"/>
  <c r="F657" i="12"/>
  <c r="G658" i="12"/>
  <c r="F658" i="12"/>
  <c r="G666" i="12"/>
  <c r="F666" i="12"/>
  <c r="G667" i="12"/>
  <c r="F667" i="12"/>
  <c r="G668" i="12"/>
  <c r="F668" i="12"/>
  <c r="G669" i="12"/>
  <c r="F669" i="12"/>
  <c r="F671" i="12"/>
  <c r="G671" i="12"/>
  <c r="I671" i="12"/>
  <c r="F675" i="12"/>
  <c r="I675" i="12"/>
  <c r="F674" i="12"/>
  <c r="I674" i="12" s="1"/>
  <c r="F683" i="12"/>
  <c r="I683" i="12"/>
  <c r="G683" i="12"/>
  <c r="L683" i="12"/>
  <c r="F682" i="12"/>
  <c r="I682" i="12"/>
  <c r="G682" i="12"/>
  <c r="F692" i="12"/>
  <c r="I692" i="12" s="1"/>
  <c r="K692" i="12" s="1"/>
  <c r="M692" i="12" s="1"/>
  <c r="G692" i="12"/>
  <c r="L443" i="13"/>
  <c r="G696" i="12"/>
  <c r="F696" i="12"/>
  <c r="F699" i="12"/>
  <c r="G699" i="12"/>
  <c r="F703" i="12"/>
  <c r="I703" i="12"/>
  <c r="G703" i="12"/>
  <c r="F551" i="12"/>
  <c r="G551" i="12"/>
  <c r="I551" i="12"/>
  <c r="G585" i="12"/>
  <c r="F585" i="12"/>
  <c r="F23" i="26"/>
  <c r="I23" i="26"/>
  <c r="G23" i="26"/>
  <c r="F416" i="12"/>
  <c r="I415" i="12"/>
  <c r="F392" i="12"/>
  <c r="F389" i="12"/>
  <c r="G389" i="12"/>
  <c r="F388" i="12"/>
  <c r="G388" i="12"/>
  <c r="I387" i="12"/>
  <c r="F386" i="12"/>
  <c r="I384" i="12"/>
  <c r="F379" i="12"/>
  <c r="I379" i="12"/>
  <c r="L379" i="12" s="1"/>
  <c r="N379" i="12" s="1"/>
  <c r="F372" i="12"/>
  <c r="G372" i="12"/>
  <c r="F369" i="12"/>
  <c r="G369" i="12"/>
  <c r="F368" i="12"/>
  <c r="G368" i="12"/>
  <c r="I365" i="12"/>
  <c r="F364" i="12"/>
  <c r="F363" i="12"/>
  <c r="G363" i="12"/>
  <c r="I360" i="12"/>
  <c r="F359" i="12"/>
  <c r="I354" i="12"/>
  <c r="K354" i="12" s="1"/>
  <c r="M354" i="12" s="1"/>
  <c r="F353" i="12"/>
  <c r="I352" i="12"/>
  <c r="K352" i="12"/>
  <c r="F350" i="12"/>
  <c r="G350" i="12"/>
  <c r="F331" i="12"/>
  <c r="I331" i="12"/>
  <c r="G331" i="12"/>
  <c r="F314" i="12"/>
  <c r="I314" i="12" s="1"/>
  <c r="F308" i="12"/>
  <c r="I308" i="12" s="1"/>
  <c r="G301" i="12"/>
  <c r="I301" i="12" s="1"/>
  <c r="F281" i="12"/>
  <c r="I281" i="12" s="1"/>
  <c r="K281" i="12" s="1"/>
  <c r="M281" i="12" s="1"/>
  <c r="G281" i="12"/>
  <c r="F277" i="12"/>
  <c r="I277" i="12" s="1"/>
  <c r="G277" i="12"/>
  <c r="F273" i="12"/>
  <c r="I273" i="12"/>
  <c r="G273" i="12"/>
  <c r="L273" i="12"/>
  <c r="F233" i="12"/>
  <c r="I233" i="12"/>
  <c r="G233" i="12"/>
  <c r="F213" i="12"/>
  <c r="I213" i="12" s="1"/>
  <c r="K213" i="12" s="1"/>
  <c r="M213" i="12" s="1"/>
  <c r="G213" i="12"/>
  <c r="L213" i="12" s="1"/>
  <c r="N213" i="12" s="1"/>
  <c r="I211" i="12"/>
  <c r="F211" i="12"/>
  <c r="G206" i="12"/>
  <c r="F206" i="12"/>
  <c r="F202" i="12"/>
  <c r="I202" i="12" s="1"/>
  <c r="G202" i="12"/>
  <c r="F175" i="12"/>
  <c r="I175" i="12"/>
  <c r="F159" i="12"/>
  <c r="I159" i="12"/>
  <c r="G159" i="12"/>
  <c r="F145" i="12"/>
  <c r="I145" i="12" s="1"/>
  <c r="K145" i="12" s="1"/>
  <c r="M145" i="12" s="1"/>
  <c r="F140" i="12"/>
  <c r="I140" i="12" s="1"/>
  <c r="K140" i="12" s="1"/>
  <c r="M140" i="12" s="1"/>
  <c r="F132" i="12"/>
  <c r="I132" i="12" s="1"/>
  <c r="K132" i="12" s="1"/>
  <c r="M132" i="12" s="1"/>
  <c r="F126" i="12"/>
  <c r="I126" i="12" s="1"/>
  <c r="K126" i="12" s="1"/>
  <c r="M126" i="12" s="1"/>
  <c r="F121" i="12"/>
  <c r="I121" i="12" s="1"/>
  <c r="K121" i="12" s="1"/>
  <c r="M121" i="12" s="1"/>
  <c r="F731" i="12"/>
  <c r="K731" i="12" s="1"/>
  <c r="M731" i="12" s="1"/>
  <c r="I731" i="12"/>
  <c r="F413" i="12"/>
  <c r="I413" i="12"/>
  <c r="L413" i="12" s="1"/>
  <c r="N413" i="12" s="1"/>
  <c r="F730" i="12"/>
  <c r="I730" i="12"/>
  <c r="F727" i="12"/>
  <c r="I727" i="12" s="1"/>
  <c r="K727" i="12" s="1"/>
  <c r="M727" i="12" s="1"/>
  <c r="F726" i="12"/>
  <c r="I726" i="12" s="1"/>
  <c r="K726" i="12" s="1"/>
  <c r="M726" i="12" s="1"/>
  <c r="F644" i="12"/>
  <c r="I644" i="12" s="1"/>
  <c r="G644" i="12"/>
  <c r="F643" i="12"/>
  <c r="G643" i="12"/>
  <c r="I643" i="12"/>
  <c r="G650" i="12"/>
  <c r="F650" i="12"/>
  <c r="G649" i="12"/>
  <c r="F649" i="12"/>
  <c r="G663" i="12"/>
  <c r="F663" i="12"/>
  <c r="G665" i="12"/>
  <c r="F665" i="12"/>
  <c r="F670" i="12"/>
  <c r="I670" i="12" s="1"/>
  <c r="G670" i="12"/>
  <c r="F672" i="12"/>
  <c r="I672" i="12"/>
  <c r="G672" i="12"/>
  <c r="F678" i="12"/>
  <c r="I678" i="12" s="1"/>
  <c r="G678" i="12"/>
  <c r="G680" i="12"/>
  <c r="F680" i="12"/>
  <c r="G686" i="12"/>
  <c r="F686" i="12"/>
  <c r="G693" i="12"/>
  <c r="F693" i="12"/>
  <c r="I693" i="12" s="1"/>
  <c r="G695" i="12"/>
  <c r="F695" i="12"/>
  <c r="I695" i="12"/>
  <c r="M443" i="13"/>
  <c r="F700" i="12"/>
  <c r="I700" i="12" s="1"/>
  <c r="G700" i="12"/>
  <c r="F704" i="12"/>
  <c r="G704" i="12"/>
  <c r="I704" i="12"/>
  <c r="F20" i="26"/>
  <c r="I20" i="26" s="1"/>
  <c r="K20" i="26" s="1"/>
  <c r="M20" i="26" s="1"/>
  <c r="G20" i="26"/>
  <c r="G697" i="12"/>
  <c r="L697" i="12"/>
  <c r="I697" i="12"/>
  <c r="F16" i="13"/>
  <c r="F18" i="13"/>
  <c r="F22" i="13"/>
  <c r="F24" i="13"/>
  <c r="F26" i="13"/>
  <c r="F28" i="13"/>
  <c r="F30" i="13"/>
  <c r="F32" i="13"/>
  <c r="F34" i="13"/>
  <c r="F36" i="13"/>
  <c r="F38" i="13"/>
  <c r="F40" i="13"/>
  <c r="F43" i="13"/>
  <c r="F45" i="13"/>
  <c r="F47" i="13"/>
  <c r="F49" i="13"/>
  <c r="F51" i="13"/>
  <c r="F53" i="13"/>
  <c r="F55" i="13"/>
  <c r="F57" i="13"/>
  <c r="F60" i="13"/>
  <c r="F64" i="13"/>
  <c r="F69" i="13"/>
  <c r="F71" i="13"/>
  <c r="F73" i="13"/>
  <c r="F75" i="13"/>
  <c r="F77" i="13"/>
  <c r="F80" i="13"/>
  <c r="F82" i="13"/>
  <c r="F84" i="13"/>
  <c r="F86" i="13"/>
  <c r="F88" i="13"/>
  <c r="F90" i="13"/>
  <c r="F92" i="13"/>
  <c r="F94" i="13"/>
  <c r="F97" i="13"/>
  <c r="F99" i="13"/>
  <c r="F101" i="13"/>
  <c r="F103" i="13"/>
  <c r="F105" i="13"/>
  <c r="F107" i="13"/>
  <c r="F109" i="13"/>
  <c r="F112" i="13"/>
  <c r="F114" i="13"/>
  <c r="F116" i="13"/>
  <c r="F118" i="13"/>
  <c r="F121" i="13"/>
  <c r="F124" i="13"/>
  <c r="F126" i="13"/>
  <c r="F128" i="13"/>
  <c r="F131" i="13"/>
  <c r="F133" i="13"/>
  <c r="F137" i="13"/>
  <c r="F139" i="13"/>
  <c r="F143" i="13"/>
  <c r="F145" i="13"/>
  <c r="F147" i="13"/>
  <c r="F149" i="13"/>
  <c r="F151" i="13"/>
  <c r="F153" i="13"/>
  <c r="F155" i="13"/>
  <c r="F157" i="13"/>
  <c r="F161" i="13"/>
  <c r="F163" i="13"/>
  <c r="F166" i="13"/>
  <c r="F168" i="13"/>
  <c r="F172" i="13"/>
  <c r="F174" i="13"/>
  <c r="F176" i="13"/>
  <c r="F178" i="13"/>
  <c r="F180" i="13"/>
  <c r="F182" i="13"/>
  <c r="F185" i="13"/>
  <c r="F187" i="13"/>
  <c r="F189" i="13"/>
  <c r="F191" i="13"/>
  <c r="F193" i="13"/>
  <c r="F195" i="13"/>
  <c r="F197" i="13"/>
  <c r="F199" i="13"/>
  <c r="F201" i="13"/>
  <c r="F203" i="13"/>
  <c r="F205" i="13"/>
  <c r="F207" i="13"/>
  <c r="F209" i="13"/>
  <c r="F211" i="13"/>
  <c r="F213" i="13"/>
  <c r="F216" i="13"/>
  <c r="F220" i="13"/>
  <c r="F222" i="13"/>
  <c r="F224" i="13"/>
  <c r="F226" i="13"/>
  <c r="F228" i="13"/>
  <c r="F230" i="13"/>
  <c r="F235" i="13"/>
  <c r="F237" i="13"/>
  <c r="F239" i="13"/>
  <c r="F243" i="13"/>
  <c r="F245" i="13"/>
  <c r="F247" i="13"/>
  <c r="F249" i="13"/>
  <c r="F251" i="13"/>
  <c r="F253" i="13"/>
  <c r="F255" i="13"/>
  <c r="F257" i="13"/>
  <c r="F259" i="13"/>
  <c r="F261" i="13"/>
  <c r="F263" i="13"/>
  <c r="F265" i="13"/>
  <c r="F267" i="13"/>
  <c r="F269" i="13"/>
  <c r="F272" i="13"/>
  <c r="F274" i="13"/>
  <c r="F276" i="13"/>
  <c r="F278" i="13"/>
  <c r="F280" i="13"/>
  <c r="F282" i="13"/>
  <c r="F284" i="13"/>
  <c r="F286" i="13"/>
  <c r="F288" i="13"/>
  <c r="F290" i="13"/>
  <c r="F292" i="13"/>
  <c r="F294" i="13"/>
  <c r="F296" i="13"/>
  <c r="F298" i="13"/>
  <c r="F301" i="13"/>
  <c r="F303" i="13"/>
  <c r="F305" i="13"/>
  <c r="F307" i="13"/>
  <c r="F309" i="13"/>
  <c r="F311" i="13"/>
  <c r="F313" i="13"/>
  <c r="F315" i="13"/>
  <c r="F317" i="13"/>
  <c r="F319" i="13"/>
  <c r="F321" i="13"/>
  <c r="F323" i="13"/>
  <c r="F325" i="13"/>
  <c r="F327" i="13"/>
  <c r="F329" i="13"/>
  <c r="F331" i="13"/>
  <c r="F333" i="13"/>
  <c r="F337" i="13"/>
  <c r="F339" i="13"/>
  <c r="F341" i="13"/>
  <c r="F343" i="13"/>
  <c r="F345" i="13"/>
  <c r="F347" i="13"/>
  <c r="F349" i="13"/>
  <c r="F351" i="13"/>
  <c r="F353" i="13"/>
  <c r="F355" i="13"/>
  <c r="F358" i="13"/>
  <c r="F362" i="13"/>
  <c r="F365" i="13"/>
  <c r="F367" i="13"/>
  <c r="F369" i="13"/>
  <c r="F371" i="13"/>
  <c r="F373" i="13"/>
  <c r="F375" i="13"/>
  <c r="F377" i="13"/>
  <c r="U377" i="13" s="1"/>
  <c r="F379" i="13"/>
  <c r="F381" i="13"/>
  <c r="F383" i="13"/>
  <c r="F387" i="13"/>
  <c r="U387" i="13"/>
  <c r="F390" i="13"/>
  <c r="F392" i="13"/>
  <c r="F394" i="13"/>
  <c r="F397" i="13"/>
  <c r="F400" i="13"/>
  <c r="F403" i="13"/>
  <c r="F405" i="13"/>
  <c r="F407" i="13"/>
  <c r="F409" i="13"/>
  <c r="F412" i="13"/>
  <c r="F416" i="13"/>
  <c r="F428" i="13"/>
  <c r="F20" i="13"/>
  <c r="F356" i="13"/>
  <c r="F385" i="13"/>
  <c r="A445" i="13"/>
  <c r="F78" i="13"/>
  <c r="F19" i="26"/>
  <c r="I19" i="26" s="1"/>
  <c r="G334" i="12"/>
  <c r="F334" i="12"/>
  <c r="I334" i="12"/>
  <c r="G332" i="12"/>
  <c r="F332" i="12"/>
  <c r="I332" i="12" s="1"/>
  <c r="G330" i="12"/>
  <c r="F330" i="12"/>
  <c r="I330" i="12" s="1"/>
  <c r="F315" i="12"/>
  <c r="I315" i="12" s="1"/>
  <c r="F312" i="12"/>
  <c r="F309" i="12"/>
  <c r="G307" i="12"/>
  <c r="F307" i="12"/>
  <c r="G305" i="12"/>
  <c r="F305" i="12"/>
  <c r="G282" i="12"/>
  <c r="L282" i="12"/>
  <c r="F282" i="12"/>
  <c r="G280" i="12"/>
  <c r="F280" i="12"/>
  <c r="F278" i="12"/>
  <c r="I278" i="12" s="1"/>
  <c r="G276" i="12"/>
  <c r="F276" i="12"/>
  <c r="I276" i="12" s="1"/>
  <c r="G274" i="12"/>
  <c r="F274" i="12"/>
  <c r="F272" i="12"/>
  <c r="I272" i="12" s="1"/>
  <c r="F263" i="12"/>
  <c r="F232" i="12"/>
  <c r="G212" i="12"/>
  <c r="L212" i="12"/>
  <c r="F212" i="12"/>
  <c r="F174" i="12"/>
  <c r="I174" i="12" s="1"/>
  <c r="F148" i="12"/>
  <c r="F146" i="12"/>
  <c r="I146" i="12" s="1"/>
  <c r="F144" i="12"/>
  <c r="I144" i="12" s="1"/>
  <c r="F141" i="12"/>
  <c r="I141" i="12"/>
  <c r="F139" i="12"/>
  <c r="F137" i="12"/>
  <c r="I137" i="12" s="1"/>
  <c r="K137" i="12" s="1"/>
  <c r="M137" i="12" s="1"/>
  <c r="F133" i="12"/>
  <c r="F127" i="12"/>
  <c r="I127" i="12"/>
  <c r="F122" i="12"/>
  <c r="G81" i="12"/>
  <c r="F81" i="12"/>
  <c r="F729" i="12"/>
  <c r="F638" i="12"/>
  <c r="K638" i="12"/>
  <c r="G638" i="12"/>
  <c r="L638" i="12"/>
  <c r="F639" i="12"/>
  <c r="K639" i="12"/>
  <c r="G639" i="12"/>
  <c r="L639" i="12"/>
  <c r="F640" i="12"/>
  <c r="K640" i="12"/>
  <c r="G640" i="12"/>
  <c r="L640" i="12"/>
  <c r="F647" i="12"/>
  <c r="G651" i="12"/>
  <c r="F651" i="12"/>
  <c r="F655" i="12"/>
  <c r="G659" i="12"/>
  <c r="F660" i="12"/>
  <c r="F661" i="12"/>
  <c r="F662" i="12"/>
  <c r="F664" i="12"/>
  <c r="F679" i="12"/>
  <c r="I679" i="12" s="1"/>
  <c r="F687" i="12"/>
  <c r="G694" i="12"/>
  <c r="F14" i="13"/>
  <c r="F17" i="13"/>
  <c r="F21" i="13"/>
  <c r="F23" i="13"/>
  <c r="F25" i="13"/>
  <c r="F27" i="13"/>
  <c r="F29" i="13"/>
  <c r="F31" i="13"/>
  <c r="F33" i="13"/>
  <c r="F35" i="13"/>
  <c r="F37" i="13"/>
  <c r="F39" i="13"/>
  <c r="F41" i="13"/>
  <c r="F44" i="13"/>
  <c r="F46" i="13"/>
  <c r="F48" i="13"/>
  <c r="F50" i="13"/>
  <c r="F52" i="13"/>
  <c r="F54" i="13"/>
  <c r="F56" i="13"/>
  <c r="F58" i="13"/>
  <c r="F63" i="13"/>
  <c r="F66" i="13"/>
  <c r="F70" i="13"/>
  <c r="F74" i="13"/>
  <c r="F76" i="13"/>
  <c r="F79" i="13"/>
  <c r="F81" i="13"/>
  <c r="F83" i="13"/>
  <c r="F85" i="13"/>
  <c r="F87" i="13"/>
  <c r="F89" i="13"/>
  <c r="F91" i="13"/>
  <c r="F93" i="13"/>
  <c r="F96" i="13"/>
  <c r="F98" i="13"/>
  <c r="F100" i="13"/>
  <c r="F102" i="13"/>
  <c r="F104" i="13"/>
  <c r="F106" i="13"/>
  <c r="F108" i="13"/>
  <c r="F111" i="13"/>
  <c r="F113" i="13"/>
  <c r="F115" i="13"/>
  <c r="F117" i="13"/>
  <c r="F119" i="13"/>
  <c r="F122" i="13"/>
  <c r="F125" i="13"/>
  <c r="F127" i="13"/>
  <c r="F130" i="13"/>
  <c r="F132" i="13"/>
  <c r="F134" i="13"/>
  <c r="F138" i="13"/>
  <c r="F141" i="13"/>
  <c r="F144" i="13"/>
  <c r="F146" i="13"/>
  <c r="F148" i="13"/>
  <c r="F150" i="13"/>
  <c r="F152" i="13"/>
  <c r="F154" i="13"/>
  <c r="F156" i="13"/>
  <c r="F158" i="13"/>
  <c r="F162" i="13"/>
  <c r="F164" i="13"/>
  <c r="F167" i="13"/>
  <c r="F171" i="13"/>
  <c r="F173" i="13"/>
  <c r="F175" i="13"/>
  <c r="F177" i="13"/>
  <c r="F179" i="13"/>
  <c r="F181" i="13"/>
  <c r="F183" i="13"/>
  <c r="F186" i="13"/>
  <c r="F188" i="13"/>
  <c r="F190" i="13"/>
  <c r="F192" i="13"/>
  <c r="F194" i="13"/>
  <c r="F196" i="13"/>
  <c r="F198" i="13"/>
  <c r="F200" i="13"/>
  <c r="F202" i="13"/>
  <c r="F204" i="13"/>
  <c r="F206" i="13"/>
  <c r="F208" i="13"/>
  <c r="F210" i="13"/>
  <c r="F212" i="13"/>
  <c r="F214" i="13"/>
  <c r="F218" i="13"/>
  <c r="F221" i="13"/>
  <c r="F223" i="13"/>
  <c r="F225" i="13"/>
  <c r="F227" i="13"/>
  <c r="F229" i="13"/>
  <c r="F234" i="13"/>
  <c r="F236" i="13"/>
  <c r="F238" i="13"/>
  <c r="F240" i="13"/>
  <c r="F244" i="13"/>
  <c r="F246" i="13"/>
  <c r="F248" i="13"/>
  <c r="F250" i="13"/>
  <c r="F252" i="13"/>
  <c r="F254" i="13"/>
  <c r="F256" i="13"/>
  <c r="F258" i="13"/>
  <c r="F260" i="13"/>
  <c r="F262" i="13"/>
  <c r="F264" i="13"/>
  <c r="F266" i="13"/>
  <c r="F268" i="13"/>
  <c r="F271" i="13"/>
  <c r="F273" i="13"/>
  <c r="F275" i="13"/>
  <c r="F277" i="13"/>
  <c r="F279" i="13"/>
  <c r="F281" i="13"/>
  <c r="F283" i="13"/>
  <c r="F285" i="13"/>
  <c r="F287" i="13"/>
  <c r="F289" i="13"/>
  <c r="F291" i="13"/>
  <c r="F293" i="13"/>
  <c r="F295" i="13"/>
  <c r="F297" i="13"/>
  <c r="F299" i="13"/>
  <c r="F302" i="13"/>
  <c r="F304" i="13"/>
  <c r="F306" i="13"/>
  <c r="F308" i="13"/>
  <c r="F310" i="13"/>
  <c r="F312" i="13"/>
  <c r="F314" i="13"/>
  <c r="F316" i="13"/>
  <c r="F318" i="13"/>
  <c r="F320" i="13"/>
  <c r="F322" i="13"/>
  <c r="F324" i="13"/>
  <c r="F326" i="13"/>
  <c r="F328" i="13"/>
  <c r="F330" i="13"/>
  <c r="F332" i="13"/>
  <c r="F336" i="13"/>
  <c r="F338" i="13"/>
  <c r="F340" i="13"/>
  <c r="F342" i="13"/>
  <c r="F344" i="13"/>
  <c r="F346" i="13"/>
  <c r="F348" i="13"/>
  <c r="F350" i="13"/>
  <c r="F352" i="13"/>
  <c r="F354" i="13"/>
  <c r="F357" i="13"/>
  <c r="F359" i="13"/>
  <c r="F361" i="13"/>
  <c r="F363" i="13"/>
  <c r="F366" i="13"/>
  <c r="F368" i="13"/>
  <c r="F370" i="13"/>
  <c r="F372" i="13"/>
  <c r="F374" i="13"/>
  <c r="F376" i="13"/>
  <c r="F378" i="13"/>
  <c r="F380" i="13"/>
  <c r="F382" i="13"/>
  <c r="F384" i="13"/>
  <c r="F388" i="13"/>
  <c r="F391" i="13"/>
  <c r="F393" i="13"/>
  <c r="F396" i="13"/>
  <c r="F398" i="13"/>
  <c r="F402" i="13"/>
  <c r="F404" i="13"/>
  <c r="F406" i="13"/>
  <c r="F408" i="13"/>
  <c r="F410" i="13"/>
  <c r="F413" i="13"/>
  <c r="F419" i="13"/>
  <c r="I443" i="13"/>
  <c r="I445" i="13" s="1"/>
  <c r="F386" i="13"/>
  <c r="E15" i="5"/>
  <c r="F17" i="5" s="1"/>
  <c r="E20" i="5"/>
  <c r="E22" i="5" s="1"/>
  <c r="F24" i="5" s="1"/>
  <c r="D31" i="23" s="1"/>
  <c r="F14" i="5"/>
  <c r="D27" i="23" s="1"/>
  <c r="D28" i="23" s="1"/>
  <c r="F184" i="7"/>
  <c r="F187" i="7" s="1"/>
  <c r="L675" i="12"/>
  <c r="L518" i="12"/>
  <c r="L543" i="12"/>
  <c r="L603" i="12"/>
  <c r="L617" i="12"/>
  <c r="L456" i="12"/>
  <c r="L471" i="12"/>
  <c r="L491" i="12"/>
  <c r="L516" i="12"/>
  <c r="L545" i="12"/>
  <c r="L561" i="12"/>
  <c r="L573" i="12"/>
  <c r="L586" i="12"/>
  <c r="L588" i="12"/>
  <c r="L507" i="12"/>
  <c r="L550" i="12"/>
  <c r="L147" i="12"/>
  <c r="K300" i="12"/>
  <c r="L483" i="12"/>
  <c r="L506" i="12"/>
  <c r="L527" i="12"/>
  <c r="L568" i="12"/>
  <c r="L593" i="12"/>
  <c r="L623" i="12"/>
  <c r="L627" i="12"/>
  <c r="L515" i="12"/>
  <c r="L481" i="12"/>
  <c r="L504" i="12"/>
  <c r="L531" i="12"/>
  <c r="L595" i="12"/>
  <c r="L626" i="12"/>
  <c r="L441" i="12"/>
  <c r="I122" i="12"/>
  <c r="I133" i="12"/>
  <c r="I212" i="12"/>
  <c r="K212" i="12"/>
  <c r="I282" i="12"/>
  <c r="I307" i="12"/>
  <c r="I651" i="12"/>
  <c r="L651" i="12" s="1"/>
  <c r="N651" i="12" s="1"/>
  <c r="I647" i="12"/>
  <c r="K647" i="12"/>
  <c r="I274" i="12"/>
  <c r="L274" i="12" s="1"/>
  <c r="N274" i="12" s="1"/>
  <c r="K704" i="12"/>
  <c r="I686" i="12"/>
  <c r="K686" i="12" s="1"/>
  <c r="M686" i="12" s="1"/>
  <c r="I680" i="12"/>
  <c r="K680" i="12" s="1"/>
  <c r="M680" i="12" s="1"/>
  <c r="L672" i="12"/>
  <c r="K672" i="12"/>
  <c r="I665" i="12"/>
  <c r="K665" i="12" s="1"/>
  <c r="M665" i="12" s="1"/>
  <c r="I663" i="12"/>
  <c r="K663" i="12" s="1"/>
  <c r="M663" i="12" s="1"/>
  <c r="F653" i="12"/>
  <c r="I649" i="12"/>
  <c r="I650" i="12"/>
  <c r="F645" i="12"/>
  <c r="K643" i="12"/>
  <c r="L159" i="12"/>
  <c r="K211" i="12"/>
  <c r="K273" i="12"/>
  <c r="L331" i="12"/>
  <c r="F366" i="12"/>
  <c r="L365" i="12"/>
  <c r="G370" i="12"/>
  <c r="L384" i="12"/>
  <c r="K23" i="26"/>
  <c r="I585" i="12"/>
  <c r="K551" i="12"/>
  <c r="L703" i="12"/>
  <c r="K697" i="12"/>
  <c r="F684" i="12"/>
  <c r="K682" i="12"/>
  <c r="K683" i="12"/>
  <c r="F676" i="12"/>
  <c r="K671" i="12"/>
  <c r="I669" i="12"/>
  <c r="K669" i="12" s="1"/>
  <c r="M669" i="12" s="1"/>
  <c r="I668" i="12"/>
  <c r="K668" i="12" s="1"/>
  <c r="M668" i="12" s="1"/>
  <c r="I667" i="12"/>
  <c r="K667" i="12" s="1"/>
  <c r="M667" i="12" s="1"/>
  <c r="I666" i="12"/>
  <c r="K666" i="12" s="1"/>
  <c r="M666" i="12" s="1"/>
  <c r="F636" i="12"/>
  <c r="I634" i="12"/>
  <c r="G119" i="12"/>
  <c r="K118" i="12"/>
  <c r="K123" i="12"/>
  <c r="K142" i="12"/>
  <c r="K173" i="12"/>
  <c r="F176" i="12"/>
  <c r="K203" i="12"/>
  <c r="L275" i="12"/>
  <c r="K279" i="12"/>
  <c r="K329" i="12"/>
  <c r="I337" i="12"/>
  <c r="I341" i="12"/>
  <c r="I344" i="12"/>
  <c r="K344" i="12" s="1"/>
  <c r="M344" i="12" s="1"/>
  <c r="I346" i="12"/>
  <c r="K346" i="12" s="1"/>
  <c r="M346" i="12" s="1"/>
  <c r="I395" i="12"/>
  <c r="K395" i="12" s="1"/>
  <c r="M395" i="12" s="1"/>
  <c r="I397" i="12"/>
  <c r="K397" i="12" s="1"/>
  <c r="M397" i="12" s="1"/>
  <c r="L399" i="12"/>
  <c r="I400" i="12"/>
  <c r="K400" i="12"/>
  <c r="L401" i="12"/>
  <c r="I402" i="12"/>
  <c r="K402" i="12" s="1"/>
  <c r="M402" i="12" s="1"/>
  <c r="I420" i="12"/>
  <c r="K420" i="12" s="1"/>
  <c r="M420" i="12" s="1"/>
  <c r="L421" i="12"/>
  <c r="I438" i="12"/>
  <c r="K438" i="12"/>
  <c r="I449" i="12"/>
  <c r="K449" i="12"/>
  <c r="I454" i="12"/>
  <c r="K454" i="12"/>
  <c r="I461" i="12"/>
  <c r="K461" i="12"/>
  <c r="I467" i="12"/>
  <c r="K467" i="12"/>
  <c r="I472" i="12"/>
  <c r="K472" i="12"/>
  <c r="I480" i="12"/>
  <c r="K480" i="12"/>
  <c r="I484" i="12"/>
  <c r="K484" i="12"/>
  <c r="I489" i="12"/>
  <c r="K489" i="12"/>
  <c r="I490" i="12"/>
  <c r="K490" i="12"/>
  <c r="I496" i="12"/>
  <c r="K496" i="12"/>
  <c r="I501" i="12"/>
  <c r="K501" i="12"/>
  <c r="I505" i="12"/>
  <c r="K505" i="12"/>
  <c r="I510" i="12"/>
  <c r="K510" i="12"/>
  <c r="I511" i="12"/>
  <c r="K511" i="12"/>
  <c r="I517" i="12"/>
  <c r="K517" i="12"/>
  <c r="I523" i="12"/>
  <c r="K523" i="12"/>
  <c r="I532" i="12"/>
  <c r="K532" i="12"/>
  <c r="I541" i="12"/>
  <c r="K541" i="12"/>
  <c r="I542" i="12"/>
  <c r="K542" i="12"/>
  <c r="I546" i="12"/>
  <c r="K546" i="12"/>
  <c r="I552" i="12"/>
  <c r="K552" i="12"/>
  <c r="I556" i="12"/>
  <c r="K556" i="12"/>
  <c r="I564" i="12"/>
  <c r="K564" i="12"/>
  <c r="I584" i="12"/>
  <c r="K584" i="12"/>
  <c r="I597" i="12"/>
  <c r="K597" i="12"/>
  <c r="I601" i="12"/>
  <c r="K601" i="12"/>
  <c r="I264" i="12"/>
  <c r="K264" i="12"/>
  <c r="I295" i="12"/>
  <c r="K295" i="12"/>
  <c r="I349" i="12"/>
  <c r="K349" i="12"/>
  <c r="I403" i="12"/>
  <c r="K403" i="12"/>
  <c r="I428" i="12"/>
  <c r="K428" i="12"/>
  <c r="I440" i="12"/>
  <c r="K440" i="12"/>
  <c r="I462" i="12"/>
  <c r="K462" i="12"/>
  <c r="I494" i="12"/>
  <c r="K494" i="12"/>
  <c r="I520" i="12"/>
  <c r="K520" i="12"/>
  <c r="K345" i="12"/>
  <c r="K360" i="12"/>
  <c r="I364" i="12"/>
  <c r="K387" i="12"/>
  <c r="I389" i="12"/>
  <c r="K394" i="12"/>
  <c r="K399" i="12"/>
  <c r="K404" i="12"/>
  <c r="K415" i="12"/>
  <c r="K418" i="12"/>
  <c r="L470" i="12"/>
  <c r="L473" i="12"/>
  <c r="L476" i="12"/>
  <c r="K478" i="12"/>
  <c r="K495" i="12"/>
  <c r="K502" i="12"/>
  <c r="K512" i="12"/>
  <c r="K524" i="12"/>
  <c r="K533" i="12"/>
  <c r="K547" i="12"/>
  <c r="K557" i="12"/>
  <c r="K566" i="12"/>
  <c r="F569" i="12"/>
  <c r="K572" i="12"/>
  <c r="K580" i="12"/>
  <c r="K582" i="12"/>
  <c r="K587" i="12"/>
  <c r="K592" i="12"/>
  <c r="K598" i="12"/>
  <c r="F602" i="12"/>
  <c r="L600" i="12"/>
  <c r="K604" i="12"/>
  <c r="I611" i="12"/>
  <c r="K611" i="12"/>
  <c r="K614" i="12"/>
  <c r="K620" i="12"/>
  <c r="L283" i="12"/>
  <c r="K385" i="12"/>
  <c r="L405" i="12"/>
  <c r="K405" i="12"/>
  <c r="L419" i="12"/>
  <c r="K419" i="12"/>
  <c r="L479" i="12"/>
  <c r="K492" i="12"/>
  <c r="L536" i="12"/>
  <c r="L625" i="12"/>
  <c r="K24" i="12"/>
  <c r="K26" i="12"/>
  <c r="K77" i="12"/>
  <c r="L203" i="12"/>
  <c r="I298" i="12"/>
  <c r="L385" i="12"/>
  <c r="K365" i="12"/>
  <c r="I369" i="12"/>
  <c r="K384" i="12"/>
  <c r="K450" i="12"/>
  <c r="K455" i="12"/>
  <c r="K459" i="12"/>
  <c r="K468" i="12"/>
  <c r="K474" i="12"/>
  <c r="K477" i="12"/>
  <c r="K487" i="12"/>
  <c r="L497" i="12"/>
  <c r="K500" i="12"/>
  <c r="K509" i="12"/>
  <c r="K522" i="12"/>
  <c r="K538" i="12"/>
  <c r="K549" i="12"/>
  <c r="K560" i="12"/>
  <c r="F562" i="12"/>
  <c r="K571" i="12"/>
  <c r="K576" i="12"/>
  <c r="F578" i="12"/>
  <c r="K581" i="12"/>
  <c r="K589" i="12"/>
  <c r="G591" i="12"/>
  <c r="D360" i="13"/>
  <c r="K590" i="12"/>
  <c r="L596" i="12"/>
  <c r="L216" i="12"/>
  <c r="K216" i="12"/>
  <c r="L336" i="12"/>
  <c r="K398" i="12"/>
  <c r="K412" i="12"/>
  <c r="L465" i="12"/>
  <c r="K485" i="12"/>
  <c r="K22" i="12"/>
  <c r="K28" i="12"/>
  <c r="K30" i="12"/>
  <c r="K33" i="12"/>
  <c r="K34" i="12"/>
  <c r="K36" i="12"/>
  <c r="K37" i="12"/>
  <c r="K38" i="12"/>
  <c r="K39" i="12"/>
  <c r="K48" i="12"/>
  <c r="K49" i="12"/>
  <c r="K50" i="12"/>
  <c r="K54" i="12"/>
  <c r="K56" i="12"/>
  <c r="K60" i="12"/>
  <c r="K62" i="12"/>
  <c r="K64" i="12"/>
  <c r="K67" i="12"/>
  <c r="K69" i="12"/>
  <c r="K70" i="12"/>
  <c r="K82" i="12"/>
  <c r="K84" i="12"/>
  <c r="K93" i="12"/>
  <c r="K98" i="12"/>
  <c r="K102" i="12"/>
  <c r="K108" i="12"/>
  <c r="K112" i="12"/>
  <c r="L173" i="12"/>
  <c r="L279" i="12"/>
  <c r="K293" i="12"/>
  <c r="L394" i="12"/>
  <c r="L398" i="12"/>
  <c r="L409" i="12"/>
  <c r="L415" i="12"/>
  <c r="K423" i="12"/>
  <c r="L450" i="12"/>
  <c r="L509" i="12"/>
  <c r="L557" i="12"/>
  <c r="L566" i="12"/>
  <c r="L581" i="12"/>
  <c r="K433" i="12"/>
  <c r="L478" i="12"/>
  <c r="L500" i="12"/>
  <c r="L522" i="12"/>
  <c r="L547" i="12"/>
  <c r="L582" i="12"/>
  <c r="L587" i="12"/>
  <c r="L592" i="12"/>
  <c r="L598" i="12"/>
  <c r="L614" i="12"/>
  <c r="L620" i="12"/>
  <c r="I687" i="12"/>
  <c r="K687" i="12"/>
  <c r="I664" i="12"/>
  <c r="K664" i="12"/>
  <c r="I81" i="12"/>
  <c r="K81" i="12" s="1"/>
  <c r="M81" i="12" s="1"/>
  <c r="I139" i="12"/>
  <c r="I148" i="12"/>
  <c r="K148" i="12"/>
  <c r="I232" i="12"/>
  <c r="K232" i="12"/>
  <c r="I280" i="12"/>
  <c r="K280" i="12" s="1"/>
  <c r="M280" i="12" s="1"/>
  <c r="I305" i="12"/>
  <c r="I309" i="12"/>
  <c r="K309" i="12" s="1"/>
  <c r="M309" i="12" s="1"/>
  <c r="K695" i="12"/>
  <c r="L695" i="12"/>
  <c r="L686" i="12"/>
  <c r="L665" i="12"/>
  <c r="L649" i="12"/>
  <c r="L650" i="12"/>
  <c r="L643" i="12"/>
  <c r="G645" i="12"/>
  <c r="K413" i="12"/>
  <c r="F124" i="12"/>
  <c r="F135" i="12"/>
  <c r="K159" i="12"/>
  <c r="G204" i="12"/>
  <c r="I206" i="12"/>
  <c r="L211" i="12"/>
  <c r="K331" i="12"/>
  <c r="L352" i="12"/>
  <c r="F355" i="12"/>
  <c r="L354" i="12"/>
  <c r="F361" i="12"/>
  <c r="L369" i="12"/>
  <c r="K379" i="12"/>
  <c r="L389" i="12"/>
  <c r="L585" i="12"/>
  <c r="K703" i="12"/>
  <c r="F701" i="12"/>
  <c r="I699" i="12"/>
  <c r="I696" i="12"/>
  <c r="K696" i="12" s="1"/>
  <c r="M696" i="12" s="1"/>
  <c r="K675" i="12"/>
  <c r="L668" i="12"/>
  <c r="L666" i="12"/>
  <c r="I652" i="12"/>
  <c r="I642" i="12"/>
  <c r="L642" i="12" s="1"/>
  <c r="N642" i="12" s="1"/>
  <c r="K130" i="12"/>
  <c r="K134" i="12"/>
  <c r="K147" i="12"/>
  <c r="K275" i="12"/>
  <c r="L300" i="12"/>
  <c r="L337" i="12"/>
  <c r="I339" i="12"/>
  <c r="L341" i="12"/>
  <c r="L381" i="12"/>
  <c r="I382" i="12"/>
  <c r="K382" i="12" s="1"/>
  <c r="M382" i="12" s="1"/>
  <c r="I407" i="12"/>
  <c r="K407" i="12" s="1"/>
  <c r="M407" i="12" s="1"/>
  <c r="I408" i="12"/>
  <c r="K408" i="12" s="1"/>
  <c r="M408" i="12" s="1"/>
  <c r="I410" i="12"/>
  <c r="K410" i="12" s="1"/>
  <c r="M410" i="12" s="1"/>
  <c r="I422" i="12"/>
  <c r="K422" i="12" s="1"/>
  <c r="M422" i="12" s="1"/>
  <c r="I424" i="12"/>
  <c r="K424" i="12"/>
  <c r="L425" i="12"/>
  <c r="I426" i="12"/>
  <c r="K426" i="12" s="1"/>
  <c r="M426" i="12" s="1"/>
  <c r="L427" i="12"/>
  <c r="I429" i="12"/>
  <c r="K429" i="12"/>
  <c r="L435" i="12"/>
  <c r="I436" i="12"/>
  <c r="K436" i="12" s="1"/>
  <c r="M436" i="12" s="1"/>
  <c r="L437" i="12"/>
  <c r="L438" i="12"/>
  <c r="I439" i="12"/>
  <c r="K439" i="12" s="1"/>
  <c r="M439" i="12" s="1"/>
  <c r="I442" i="12"/>
  <c r="K442" i="12"/>
  <c r="L443" i="12"/>
  <c r="I444" i="12"/>
  <c r="K444" i="12" s="1"/>
  <c r="M444" i="12" s="1"/>
  <c r="I446" i="12"/>
  <c r="L446" i="12" s="1"/>
  <c r="N446" i="12" s="1"/>
  <c r="I447" i="12"/>
  <c r="K447" i="12"/>
  <c r="I451" i="12"/>
  <c r="K451" i="12"/>
  <c r="I458" i="12"/>
  <c r="K458" i="12"/>
  <c r="I464" i="12"/>
  <c r="K464" i="12"/>
  <c r="I469" i="12"/>
  <c r="K469" i="12"/>
  <c r="I475" i="12"/>
  <c r="K475" i="12"/>
  <c r="I482" i="12"/>
  <c r="K482" i="12"/>
  <c r="I488" i="12"/>
  <c r="K488" i="12"/>
  <c r="L489" i="12"/>
  <c r="I493" i="12"/>
  <c r="K493" i="12" s="1"/>
  <c r="M493" i="12" s="1"/>
  <c r="I499" i="12"/>
  <c r="K499" i="12" s="1"/>
  <c r="M499" i="12" s="1"/>
  <c r="I503" i="12"/>
  <c r="K503" i="12" s="1"/>
  <c r="M503" i="12" s="1"/>
  <c r="I508" i="12"/>
  <c r="K508" i="12" s="1"/>
  <c r="M508" i="12" s="1"/>
  <c r="L510" i="12"/>
  <c r="I513" i="12"/>
  <c r="K513" i="12"/>
  <c r="I519" i="12"/>
  <c r="I521" i="12"/>
  <c r="K521" i="12" s="1"/>
  <c r="M521" i="12" s="1"/>
  <c r="I528" i="12"/>
  <c r="L528" i="12" s="1"/>
  <c r="N528" i="12" s="1"/>
  <c r="I530" i="12"/>
  <c r="K530" i="12"/>
  <c r="F534" i="12"/>
  <c r="I537" i="12"/>
  <c r="K537" i="12" s="1"/>
  <c r="M537" i="12" s="1"/>
  <c r="F539" i="12"/>
  <c r="L541" i="12"/>
  <c r="I544" i="12"/>
  <c r="K544" i="12" s="1"/>
  <c r="M544" i="12" s="1"/>
  <c r="I548" i="12"/>
  <c r="K548" i="12" s="1"/>
  <c r="M548" i="12" s="1"/>
  <c r="I554" i="12"/>
  <c r="K554" i="12" s="1"/>
  <c r="M554" i="12" s="1"/>
  <c r="I558" i="12"/>
  <c r="K558" i="12" s="1"/>
  <c r="M558" i="12" s="1"/>
  <c r="I577" i="12"/>
  <c r="K577" i="12" s="1"/>
  <c r="M577" i="12" s="1"/>
  <c r="I594" i="12"/>
  <c r="K594" i="12" s="1"/>
  <c r="M594" i="12" s="1"/>
  <c r="L597" i="12"/>
  <c r="F599" i="12"/>
  <c r="I149" i="12"/>
  <c r="K149" i="12" s="1"/>
  <c r="M149" i="12" s="1"/>
  <c r="I284" i="12"/>
  <c r="K284" i="12" s="1"/>
  <c r="M284" i="12" s="1"/>
  <c r="I291" i="12"/>
  <c r="K291" i="12" s="1"/>
  <c r="M291" i="12" s="1"/>
  <c r="I297" i="12"/>
  <c r="K297" i="12" s="1"/>
  <c r="M297" i="12" s="1"/>
  <c r="I313" i="12"/>
  <c r="K313" i="12" s="1"/>
  <c r="M313" i="12" s="1"/>
  <c r="I391" i="12"/>
  <c r="K391" i="12" s="1"/>
  <c r="M391" i="12" s="1"/>
  <c r="I406" i="12"/>
  <c r="K406" i="12" s="1"/>
  <c r="M406" i="12" s="1"/>
  <c r="L428" i="12"/>
  <c r="I445" i="12"/>
  <c r="I452" i="12"/>
  <c r="K452" i="12" s="1"/>
  <c r="M452" i="12" s="1"/>
  <c r="I486" i="12"/>
  <c r="K486" i="12" s="1"/>
  <c r="M486" i="12" s="1"/>
  <c r="I514" i="12"/>
  <c r="K514" i="12" s="1"/>
  <c r="M514" i="12" s="1"/>
  <c r="I350" i="12"/>
  <c r="L350" i="12" s="1"/>
  <c r="N350" i="12" s="1"/>
  <c r="I353" i="12"/>
  <c r="K353" i="12"/>
  <c r="I363" i="12"/>
  <c r="I388" i="12"/>
  <c r="L388" i="12" s="1"/>
  <c r="N388" i="12" s="1"/>
  <c r="I392" i="12"/>
  <c r="K392" i="12"/>
  <c r="K409" i="12"/>
  <c r="I416" i="12"/>
  <c r="K416" i="12" s="1"/>
  <c r="M416" i="12" s="1"/>
  <c r="K427" i="12"/>
  <c r="K470" i="12"/>
  <c r="K473" i="12"/>
  <c r="K476" i="12"/>
  <c r="K483" i="12"/>
  <c r="L495" i="12"/>
  <c r="K498" i="12"/>
  <c r="K506" i="12"/>
  <c r="L512" i="12"/>
  <c r="K518" i="12"/>
  <c r="K527" i="12"/>
  <c r="K543" i="12"/>
  <c r="K553" i="12"/>
  <c r="K568" i="12"/>
  <c r="K593" i="12"/>
  <c r="K603" i="12"/>
  <c r="F605" i="12"/>
  <c r="K605" i="12" s="1"/>
  <c r="M605" i="12" s="1"/>
  <c r="K617" i="12"/>
  <c r="K623" i="12"/>
  <c r="K627" i="12"/>
  <c r="K283" i="12"/>
  <c r="L294" i="12"/>
  <c r="K294" i="12"/>
  <c r="L311" i="12"/>
  <c r="K311" i="12"/>
  <c r="K456" i="12"/>
  <c r="K479" i="12"/>
  <c r="L492" i="12"/>
  <c r="K515" i="12"/>
  <c r="K536" i="12"/>
  <c r="K625" i="12"/>
  <c r="K20" i="12"/>
  <c r="K79" i="12"/>
  <c r="L387" i="12"/>
  <c r="L418" i="12"/>
  <c r="C14" i="3"/>
  <c r="I359" i="12"/>
  <c r="K359" i="12" s="1"/>
  <c r="M359" i="12" s="1"/>
  <c r="I368" i="12"/>
  <c r="K368" i="12" s="1"/>
  <c r="M368" i="12" s="1"/>
  <c r="I372" i="12"/>
  <c r="K381" i="12"/>
  <c r="I386" i="12"/>
  <c r="K437" i="12"/>
  <c r="K463" i="12"/>
  <c r="L468" i="12"/>
  <c r="K471" i="12"/>
  <c r="L474" i="12"/>
  <c r="K481" i="12"/>
  <c r="L487" i="12"/>
  <c r="K491" i="12"/>
  <c r="K497" i="12"/>
  <c r="K504" i="12"/>
  <c r="K516" i="12"/>
  <c r="K531" i="12"/>
  <c r="L538" i="12"/>
  <c r="K545" i="12"/>
  <c r="K555" i="12"/>
  <c r="K561" i="12"/>
  <c r="K567" i="12"/>
  <c r="K573" i="12"/>
  <c r="K586" i="12"/>
  <c r="K588" i="12"/>
  <c r="K595" i="12"/>
  <c r="K596" i="12"/>
  <c r="L606" i="12"/>
  <c r="K626" i="12"/>
  <c r="K289" i="12"/>
  <c r="L296" i="12"/>
  <c r="K296" i="12"/>
  <c r="K336" i="12"/>
  <c r="K441" i="12"/>
  <c r="K465" i="12"/>
  <c r="L485" i="12"/>
  <c r="K507" i="12"/>
  <c r="K526" i="12"/>
  <c r="K550" i="12"/>
  <c r="K583" i="12"/>
  <c r="I87" i="12"/>
  <c r="I90" i="12"/>
  <c r="K90" i="12" s="1"/>
  <c r="M90" i="12" s="1"/>
  <c r="I92" i="12"/>
  <c r="I97" i="12"/>
  <c r="I101" i="12"/>
  <c r="K101" i="12"/>
  <c r="I107" i="12"/>
  <c r="I111" i="12"/>
  <c r="K111" i="12" s="1"/>
  <c r="M111" i="12" s="1"/>
  <c r="L175" i="12"/>
  <c r="I214" i="12"/>
  <c r="K214" i="12" s="1"/>
  <c r="M214" i="12" s="1"/>
  <c r="L343" i="12"/>
  <c r="L345" i="12"/>
  <c r="L360" i="12"/>
  <c r="L396" i="12"/>
  <c r="L404" i="12"/>
  <c r="L560" i="12"/>
  <c r="L576" i="12"/>
  <c r="L502" i="12"/>
  <c r="L524" i="12"/>
  <c r="L533" i="12"/>
  <c r="L549" i="12"/>
  <c r="L580" i="12"/>
  <c r="L589" i="12"/>
  <c r="L604" i="12"/>
  <c r="K107" i="12"/>
  <c r="K97" i="12"/>
  <c r="K445" i="12"/>
  <c r="L406" i="12"/>
  <c r="L313" i="12"/>
  <c r="L149" i="12"/>
  <c r="L577" i="12"/>
  <c r="L554" i="12"/>
  <c r="L544" i="12"/>
  <c r="K528" i="12"/>
  <c r="K519" i="12"/>
  <c r="L508" i="12"/>
  <c r="L499" i="12"/>
  <c r="K446" i="12"/>
  <c r="L442" i="12"/>
  <c r="L429" i="12"/>
  <c r="L424" i="12"/>
  <c r="L382" i="12"/>
  <c r="K339" i="12"/>
  <c r="K642" i="12"/>
  <c r="K652" i="12"/>
  <c r="K388" i="12"/>
  <c r="L363" i="12"/>
  <c r="K206" i="12"/>
  <c r="K305" i="12"/>
  <c r="K139" i="12"/>
  <c r="L664" i="12"/>
  <c r="L687" i="12"/>
  <c r="H360" i="13"/>
  <c r="F360" i="13"/>
  <c r="P360" i="13"/>
  <c r="S360" i="13"/>
  <c r="L298" i="12"/>
  <c r="L611" i="12"/>
  <c r="L364" i="12"/>
  <c r="L445" i="12"/>
  <c r="L440" i="12"/>
  <c r="L403" i="12"/>
  <c r="L349" i="12"/>
  <c r="L284" i="12"/>
  <c r="L264" i="12"/>
  <c r="L584" i="12"/>
  <c r="L564" i="12"/>
  <c r="L556" i="12"/>
  <c r="L552" i="12"/>
  <c r="L546" i="12"/>
  <c r="L542" i="12"/>
  <c r="L532" i="12"/>
  <c r="L519" i="12"/>
  <c r="L517" i="12"/>
  <c r="L511" i="12"/>
  <c r="L505" i="12"/>
  <c r="L501" i="12"/>
  <c r="L496" i="12"/>
  <c r="L490" i="12"/>
  <c r="L484" i="12"/>
  <c r="L480" i="12"/>
  <c r="L472" i="12"/>
  <c r="L467" i="12"/>
  <c r="L461" i="12"/>
  <c r="L454" i="12"/>
  <c r="L449" i="12"/>
  <c r="L422" i="12"/>
  <c r="L402" i="12"/>
  <c r="L400" i="12"/>
  <c r="L397" i="12"/>
  <c r="L395" i="12"/>
  <c r="L346" i="12"/>
  <c r="L344" i="12"/>
  <c r="K341" i="12"/>
  <c r="L339" i="12"/>
  <c r="K337" i="12"/>
  <c r="K634" i="12"/>
  <c r="L696" i="12"/>
  <c r="L699" i="12"/>
  <c r="K585" i="12"/>
  <c r="L372" i="12"/>
  <c r="K364" i="12"/>
  <c r="K363" i="12"/>
  <c r="L206" i="12"/>
  <c r="K650" i="12"/>
  <c r="K649" i="12"/>
  <c r="K334" i="12"/>
  <c r="K274" i="12"/>
  <c r="K141" i="12"/>
  <c r="K127" i="12"/>
  <c r="K651" i="12"/>
  <c r="K307" i="12"/>
  <c r="K282" i="12"/>
  <c r="K133" i="12"/>
  <c r="K122" i="12"/>
  <c r="L386" i="12"/>
  <c r="L359" i="12"/>
  <c r="I605" i="12"/>
  <c r="L416" i="12"/>
  <c r="L392" i="12"/>
  <c r="L353" i="12"/>
  <c r="L486" i="12"/>
  <c r="I599" i="12"/>
  <c r="K599" i="12" s="1"/>
  <c r="M599" i="12" s="1"/>
  <c r="L530" i="12"/>
  <c r="L513" i="12"/>
  <c r="L488" i="12"/>
  <c r="L482" i="12"/>
  <c r="L475" i="12"/>
  <c r="L469" i="12"/>
  <c r="L464" i="12"/>
  <c r="L458" i="12"/>
  <c r="L451" i="12"/>
  <c r="L447" i="12"/>
  <c r="L410" i="12"/>
  <c r="K372" i="12"/>
  <c r="K350" i="12"/>
  <c r="L232" i="12"/>
  <c r="L148" i="12"/>
  <c r="I602" i="12"/>
  <c r="K602" i="12"/>
  <c r="L520" i="12"/>
  <c r="L494" i="12"/>
  <c r="L462" i="12"/>
  <c r="L297" i="12"/>
  <c r="L295" i="12"/>
  <c r="L601" i="12"/>
  <c r="L523" i="12"/>
  <c r="L420" i="12"/>
  <c r="L652" i="12"/>
  <c r="K389" i="12"/>
  <c r="K386" i="12"/>
  <c r="K369" i="12"/>
  <c r="L368" i="12"/>
  <c r="L305" i="12"/>
  <c r="L280" i="12"/>
  <c r="L647" i="12"/>
  <c r="L334" i="12"/>
  <c r="L602" i="12"/>
  <c r="L605" i="12"/>
  <c r="H441" i="13"/>
  <c r="H447" i="13"/>
  <c r="H443" i="13"/>
  <c r="H445" i="13"/>
  <c r="D65" i="14"/>
  <c r="D67" i="14"/>
  <c r="C67" i="14"/>
  <c r="B68" i="14"/>
  <c r="E721" i="12"/>
  <c r="F721" i="12"/>
  <c r="D721" i="12"/>
  <c r="G721" i="12"/>
  <c r="K92" i="12"/>
  <c r="K87" i="12"/>
  <c r="K699" i="12"/>
  <c r="K263" i="12"/>
  <c r="I263" i="12"/>
  <c r="L307" i="12"/>
  <c r="I312" i="12"/>
  <c r="K312" i="12"/>
  <c r="K233" i="12"/>
  <c r="L233" i="12"/>
  <c r="L682" i="12"/>
  <c r="L118" i="12"/>
  <c r="G629" i="12"/>
  <c r="F629" i="12"/>
  <c r="G622" i="12"/>
  <c r="L622" i="12" s="1"/>
  <c r="N622" i="12" s="1"/>
  <c r="F622" i="12"/>
  <c r="I622" i="12"/>
  <c r="K622" i="12" s="1"/>
  <c r="M622" i="12" s="1"/>
  <c r="K432" i="12"/>
  <c r="G292" i="12"/>
  <c r="F292" i="12"/>
  <c r="K292" i="12" s="1"/>
  <c r="M292" i="12" s="1"/>
  <c r="F72" i="12"/>
  <c r="I72" i="12" s="1"/>
  <c r="G72" i="12"/>
  <c r="F31" i="12"/>
  <c r="I31" i="12" s="1"/>
  <c r="G31" i="12"/>
  <c r="F624" i="12"/>
  <c r="I624" i="12"/>
  <c r="G624" i="12"/>
  <c r="G618" i="12"/>
  <c r="L618" i="12" s="1"/>
  <c r="N618" i="12" s="1"/>
  <c r="F618" i="12"/>
  <c r="I618" i="12" s="1"/>
  <c r="G613" i="12"/>
  <c r="L613" i="12" s="1"/>
  <c r="N613" i="12" s="1"/>
  <c r="F613" i="12"/>
  <c r="I613" i="12" s="1"/>
  <c r="K613" i="12" s="1"/>
  <c r="M613" i="12" s="1"/>
  <c r="G607" i="12"/>
  <c r="F607" i="12"/>
  <c r="G608" i="12" s="1"/>
  <c r="L608" i="12" s="1"/>
  <c r="N608" i="12" s="1"/>
  <c r="F128" i="12"/>
  <c r="K175" i="12"/>
  <c r="L329" i="12"/>
  <c r="D15" i="11"/>
  <c r="C16" i="11"/>
  <c r="D16" i="11" s="1"/>
  <c r="C17" i="11"/>
  <c r="D17" i="11" s="1"/>
  <c r="I414" i="12"/>
  <c r="K414" i="12" s="1"/>
  <c r="M414" i="12" s="1"/>
  <c r="F357" i="12"/>
  <c r="I357" i="12" s="1"/>
  <c r="K357" i="12" s="1"/>
  <c r="M357" i="12" s="1"/>
  <c r="G357" i="12"/>
  <c r="L357" i="12" s="1"/>
  <c r="N357" i="12" s="1"/>
  <c r="G347" i="12"/>
  <c r="F347" i="12"/>
  <c r="F285" i="12"/>
  <c r="G285" i="12"/>
  <c r="I285" i="12"/>
  <c r="I29" i="12"/>
  <c r="F29" i="12"/>
  <c r="G29" i="12"/>
  <c r="G574" i="12"/>
  <c r="F574" i="12"/>
  <c r="I574" i="12"/>
  <c r="K574" i="12" s="1"/>
  <c r="M574" i="12" s="1"/>
  <c r="G621" i="12"/>
  <c r="F621" i="12"/>
  <c r="I621" i="12" s="1"/>
  <c r="G615" i="12"/>
  <c r="L615" i="12" s="1"/>
  <c r="N615" i="12" s="1"/>
  <c r="F615" i="12"/>
  <c r="I615" i="12" s="1"/>
  <c r="K615" i="12" s="1"/>
  <c r="M615" i="12" s="1"/>
  <c r="F610" i="12"/>
  <c r="G610" i="12"/>
  <c r="L610" i="12" s="1"/>
  <c r="N610" i="12" s="1"/>
  <c r="L704" i="12"/>
  <c r="K730" i="12"/>
  <c r="L551" i="12"/>
  <c r="L671" i="12"/>
  <c r="L572" i="12"/>
  <c r="L455" i="12"/>
  <c r="L477" i="12"/>
  <c r="F85" i="12"/>
  <c r="I85" i="12" s="1"/>
  <c r="D46" i="14"/>
  <c r="G244" i="12"/>
  <c r="F434" i="12"/>
  <c r="I434" i="12" s="1"/>
  <c r="L434" i="12" s="1"/>
  <c r="N434" i="12" s="1"/>
  <c r="G434" i="12"/>
  <c r="I430" i="12"/>
  <c r="L430" i="12" s="1"/>
  <c r="N430" i="12" s="1"/>
  <c r="F417" i="12"/>
  <c r="G417" i="12"/>
  <c r="L417" i="12" s="1"/>
  <c r="N417" i="12" s="1"/>
  <c r="F340" i="12"/>
  <c r="G340" i="12"/>
  <c r="F338" i="12"/>
  <c r="G338" i="12"/>
  <c r="F335" i="12"/>
  <c r="G335" i="12"/>
  <c r="L335" i="12" s="1"/>
  <c r="N335" i="12" s="1"/>
  <c r="G146" i="12"/>
  <c r="G679" i="12"/>
  <c r="G77" i="12"/>
  <c r="F71" i="12"/>
  <c r="I71" i="12" s="1"/>
  <c r="K71" i="12" s="1"/>
  <c r="M71" i="12" s="1"/>
  <c r="G68" i="12"/>
  <c r="F63" i="12"/>
  <c r="K63" i="12" s="1"/>
  <c r="M63" i="12" s="1"/>
  <c r="F58" i="12"/>
  <c r="F53" i="12"/>
  <c r="I53" i="12" s="1"/>
  <c r="K53" i="12" s="1"/>
  <c r="M53" i="12" s="1"/>
  <c r="G26" i="12"/>
  <c r="G24" i="12"/>
  <c r="G21" i="12"/>
  <c r="F633" i="12"/>
  <c r="I633" i="12" s="1"/>
  <c r="F431" i="12"/>
  <c r="G431" i="12"/>
  <c r="F380" i="12"/>
  <c r="G380" i="12"/>
  <c r="L380" i="12" s="1"/>
  <c r="N380" i="12" s="1"/>
  <c r="E207" i="12"/>
  <c r="C208" i="12"/>
  <c r="I729" i="12"/>
  <c r="G655" i="12"/>
  <c r="G689" i="12"/>
  <c r="F689" i="12"/>
  <c r="F694" i="12"/>
  <c r="AA144" i="7"/>
  <c r="G19" i="26"/>
  <c r="D48" i="14"/>
  <c r="D50" i="14" s="1"/>
  <c r="D52" i="14" s="1"/>
  <c r="I689" i="12"/>
  <c r="L689" i="12" s="1"/>
  <c r="N689" i="12" s="1"/>
  <c r="G207" i="12"/>
  <c r="L207" i="12" s="1"/>
  <c r="N207" i="12" s="1"/>
  <c r="F207" i="12"/>
  <c r="I207" i="12"/>
  <c r="I380" i="12"/>
  <c r="I431" i="12"/>
  <c r="K431" i="12" s="1"/>
  <c r="M431" i="12" s="1"/>
  <c r="I58" i="12"/>
  <c r="K58" i="12"/>
  <c r="K430" i="12"/>
  <c r="G612" i="12"/>
  <c r="L612" i="12" s="1"/>
  <c r="N612" i="12" s="1"/>
  <c r="K29" i="12"/>
  <c r="K285" i="12"/>
  <c r="I347" i="12"/>
  <c r="L347" i="12" s="1"/>
  <c r="N347" i="12" s="1"/>
  <c r="C18" i="11"/>
  <c r="C19" i="11" s="1"/>
  <c r="C12" i="3"/>
  <c r="F619" i="12"/>
  <c r="I619" i="12" s="1"/>
  <c r="L624" i="12"/>
  <c r="I292" i="12"/>
  <c r="L263" i="12"/>
  <c r="I694" i="12"/>
  <c r="K694" i="12"/>
  <c r="L431" i="12"/>
  <c r="I63" i="12"/>
  <c r="I335" i="12"/>
  <c r="I338" i="12"/>
  <c r="I340" i="12"/>
  <c r="I417" i="12"/>
  <c r="I610" i="12"/>
  <c r="L285" i="12"/>
  <c r="K624" i="12"/>
  <c r="L292" i="12"/>
  <c r="I629" i="12"/>
  <c r="K629" i="12" s="1"/>
  <c r="M629" i="12" s="1"/>
  <c r="L312" i="12"/>
  <c r="K729" i="12"/>
  <c r="K610" i="12"/>
  <c r="K417" i="12"/>
  <c r="K340" i="12"/>
  <c r="K338" i="12"/>
  <c r="K335" i="12"/>
  <c r="L694" i="12"/>
  <c r="L629" i="12"/>
  <c r="D18" i="11"/>
  <c r="K347" i="12"/>
  <c r="L338" i="12"/>
  <c r="K380" i="12"/>
  <c r="L340" i="12"/>
  <c r="G208" i="12"/>
  <c r="K207" i="12"/>
  <c r="K689" i="12"/>
  <c r="D23" i="14"/>
  <c r="D7" i="12"/>
  <c r="H697" i="12" s="1"/>
  <c r="H54" i="1"/>
  <c r="B11" i="9"/>
  <c r="D9" i="12"/>
  <c r="M587" i="12"/>
  <c r="D62" i="14"/>
  <c r="AH132" i="7"/>
  <c r="AH114" i="7"/>
  <c r="AH156" i="7"/>
  <c r="AH146" i="7"/>
  <c r="AH119" i="7"/>
  <c r="AH85" i="7"/>
  <c r="C68" i="14"/>
  <c r="D68" i="14"/>
  <c r="AH152" i="7"/>
  <c r="D9" i="26"/>
  <c r="B11" i="26"/>
  <c r="H364" i="12"/>
  <c r="H727" i="12"/>
  <c r="H630" i="12"/>
  <c r="H618" i="12"/>
  <c r="H300" i="12"/>
  <c r="H26" i="12"/>
  <c r="H625" i="12"/>
  <c r="H477" i="12"/>
  <c r="M662" i="12"/>
  <c r="N655" i="12"/>
  <c r="M608" i="12"/>
  <c r="M61" i="12"/>
  <c r="M32" i="12"/>
  <c r="M421" i="12"/>
  <c r="N683" i="12"/>
  <c r="N640" i="12"/>
  <c r="N491" i="12"/>
  <c r="N573" i="12"/>
  <c r="N526" i="12"/>
  <c r="N483" i="12"/>
  <c r="N627" i="12"/>
  <c r="M655" i="12"/>
  <c r="M657" i="12"/>
  <c r="N662" i="12"/>
  <c r="N660" i="12"/>
  <c r="N658" i="12"/>
  <c r="N634" i="12"/>
  <c r="M301" i="12"/>
  <c r="M606" i="12"/>
  <c r="M52" i="12"/>
  <c r="M19" i="12"/>
  <c r="N571" i="12"/>
  <c r="N293" i="12"/>
  <c r="M638" i="12"/>
  <c r="M640" i="12"/>
  <c r="N543" i="12"/>
  <c r="N586" i="12"/>
  <c r="N550" i="12"/>
  <c r="N506" i="12"/>
  <c r="N553" i="12"/>
  <c r="M273" i="12"/>
  <c r="N703" i="12"/>
  <c r="M683" i="12"/>
  <c r="M671" i="12"/>
  <c r="M123" i="12"/>
  <c r="M173" i="12"/>
  <c r="N275" i="12"/>
  <c r="M329" i="12"/>
  <c r="N399" i="12"/>
  <c r="M461" i="12"/>
  <c r="M484" i="12"/>
  <c r="M496" i="12"/>
  <c r="M510" i="12"/>
  <c r="N456" i="12"/>
  <c r="N545" i="12"/>
  <c r="N593" i="12"/>
  <c r="N531" i="12"/>
  <c r="N595" i="12"/>
  <c r="N289" i="12"/>
  <c r="N583" i="12"/>
  <c r="M212" i="12"/>
  <c r="M647" i="12"/>
  <c r="M704" i="12"/>
  <c r="N672" i="12"/>
  <c r="M643" i="12"/>
  <c r="N331" i="12"/>
  <c r="N384" i="12"/>
  <c r="M203" i="12"/>
  <c r="M400" i="12"/>
  <c r="N421" i="12"/>
  <c r="M454" i="12"/>
  <c r="M480" i="12"/>
  <c r="M501" i="12"/>
  <c r="M523" i="12"/>
  <c r="M552" i="12"/>
  <c r="M601" i="12"/>
  <c r="M403" i="12"/>
  <c r="M517" i="12"/>
  <c r="M584" i="12"/>
  <c r="M349" i="12"/>
  <c r="M494" i="12"/>
  <c r="M360" i="12"/>
  <c r="N470" i="12"/>
  <c r="N476" i="12"/>
  <c r="M502" i="12"/>
  <c r="M547" i="12"/>
  <c r="M611" i="12"/>
  <c r="M620" i="12"/>
  <c r="N405" i="12"/>
  <c r="N419" i="12"/>
  <c r="N536" i="12"/>
  <c r="M26" i="12"/>
  <c r="M77" i="12"/>
  <c r="M487" i="12"/>
  <c r="M538" i="12"/>
  <c r="M571" i="12"/>
  <c r="N596" i="12"/>
  <c r="M412" i="12"/>
  <c r="M28" i="12"/>
  <c r="H65" i="12"/>
  <c r="H453" i="12"/>
  <c r="H483" i="12"/>
  <c r="H533" i="12"/>
  <c r="H600" i="12"/>
  <c r="H614" i="12"/>
  <c r="H456" i="12"/>
  <c r="H20" i="12"/>
  <c r="H474" i="12"/>
  <c r="H561" i="12"/>
  <c r="H526" i="12"/>
  <c r="H99" i="12"/>
  <c r="H564" i="12"/>
  <c r="H580" i="12"/>
  <c r="H423" i="12"/>
  <c r="H590" i="12"/>
  <c r="H54" i="12"/>
  <c r="H532" i="12"/>
  <c r="H556" i="12"/>
  <c r="H488" i="12"/>
  <c r="X105" i="7"/>
  <c r="Z105" i="7"/>
  <c r="AA105" i="7" s="1"/>
  <c r="T105" i="7"/>
  <c r="O105" i="7"/>
  <c r="AH18" i="7"/>
  <c r="AH153" i="7"/>
  <c r="AH137" i="7"/>
  <c r="AH95" i="7"/>
  <c r="X113" i="7"/>
  <c r="Z113" i="7" s="1"/>
  <c r="AA113" i="7" s="1"/>
  <c r="S113" i="7"/>
  <c r="X110" i="7"/>
  <c r="Z110" i="7" s="1"/>
  <c r="AA110" i="7" s="1"/>
  <c r="T110" i="7"/>
  <c r="S110" i="7"/>
  <c r="AB110" i="7" s="1"/>
  <c r="X107" i="7"/>
  <c r="Z107" i="7" s="1"/>
  <c r="AA107" i="7" s="1"/>
  <c r="T107" i="7"/>
  <c r="AC107" i="7"/>
  <c r="S83" i="7"/>
  <c r="X83" i="7"/>
  <c r="Z83" i="7" s="1"/>
  <c r="AA83" i="7" s="1"/>
  <c r="T81" i="7"/>
  <c r="T79" i="7"/>
  <c r="AG79" i="7" s="1"/>
  <c r="X77" i="7"/>
  <c r="Z77" i="7" s="1"/>
  <c r="AA77" i="7" s="1"/>
  <c r="S77" i="7"/>
  <c r="AB77" i="7"/>
  <c r="S71" i="7"/>
  <c r="X71" i="7"/>
  <c r="Z71" i="7" s="1"/>
  <c r="AA71" i="7" s="1"/>
  <c r="T69" i="7"/>
  <c r="AC69" i="7"/>
  <c r="T62" i="7"/>
  <c r="X59" i="7"/>
  <c r="Z59" i="7" s="1"/>
  <c r="AA59" i="7" s="1"/>
  <c r="T59" i="7"/>
  <c r="X57" i="7"/>
  <c r="Z57" i="7" s="1"/>
  <c r="AA57" i="7" s="1"/>
  <c r="X55" i="7"/>
  <c r="AH150" i="7"/>
  <c r="AH44" i="7"/>
  <c r="X82" i="7"/>
  <c r="Z82" i="7"/>
  <c r="AA82" i="7" s="1"/>
  <c r="S82" i="7"/>
  <c r="T80" i="7"/>
  <c r="AG80" i="7"/>
  <c r="S78" i="7"/>
  <c r="AF78" i="7"/>
  <c r="X72" i="7"/>
  <c r="Z72" i="7"/>
  <c r="S72" i="7"/>
  <c r="X70" i="7"/>
  <c r="Z70" i="7" s="1"/>
  <c r="AA70" i="7" s="1"/>
  <c r="T70" i="7"/>
  <c r="S68" i="7"/>
  <c r="X60" i="7"/>
  <c r="Z60" i="7"/>
  <c r="AA60" i="7" s="1"/>
  <c r="X58" i="7"/>
  <c r="Z58" i="7" s="1"/>
  <c r="AA58" i="7" s="1"/>
  <c r="X56" i="7"/>
  <c r="Z56" i="7"/>
  <c r="AA56" i="7" s="1"/>
  <c r="H596" i="12"/>
  <c r="H34" i="12"/>
  <c r="H89" i="12"/>
  <c r="H104" i="12"/>
  <c r="H520" i="12"/>
  <c r="H548" i="12"/>
  <c r="H543" i="12"/>
  <c r="H587" i="12"/>
  <c r="H419" i="12"/>
  <c r="H468" i="12"/>
  <c r="H549" i="12"/>
  <c r="H216" i="12"/>
  <c r="H583" i="12"/>
  <c r="H84" i="12"/>
  <c r="H264" i="12"/>
  <c r="H39" i="12"/>
  <c r="H452" i="12"/>
  <c r="H537" i="12"/>
  <c r="H280" i="12"/>
  <c r="H81" i="12"/>
  <c r="H503" i="12"/>
  <c r="H212" i="12"/>
  <c r="H484" i="12"/>
  <c r="H546" i="12"/>
  <c r="H284" i="12"/>
  <c r="H514" i="12"/>
  <c r="H290" i="12"/>
  <c r="H519" i="12"/>
  <c r="H584" i="12"/>
  <c r="H297" i="12"/>
  <c r="H105" i="12"/>
  <c r="H69" i="12"/>
  <c r="H33" i="12"/>
  <c r="H550" i="12"/>
  <c r="H398" i="12"/>
  <c r="H595" i="12"/>
  <c r="H586" i="12"/>
  <c r="H545" i="12"/>
  <c r="H487" i="12"/>
  <c r="H450" i="12"/>
  <c r="H74" i="12"/>
  <c r="H385" i="12"/>
  <c r="H620" i="12"/>
  <c r="H582" i="12"/>
  <c r="H557" i="12"/>
  <c r="H547" i="12"/>
  <c r="H512" i="12"/>
  <c r="H498" i="12"/>
  <c r="H523" i="12"/>
  <c r="H541" i="12"/>
  <c r="H558" i="12"/>
  <c r="H601" i="12"/>
  <c r="H349" i="12"/>
  <c r="H462" i="12"/>
  <c r="H96" i="12"/>
  <c r="H214" i="12"/>
  <c r="H111" i="12"/>
  <c r="H107" i="12"/>
  <c r="H101" i="12"/>
  <c r="H97" i="12"/>
  <c r="H92" i="12"/>
  <c r="H90" i="12"/>
  <c r="H87" i="12"/>
  <c r="H64" i="12"/>
  <c r="H50" i="12"/>
  <c r="H37" i="12"/>
  <c r="H28" i="12"/>
  <c r="H507" i="12"/>
  <c r="H296" i="12"/>
  <c r="H606" i="12"/>
  <c r="H581" i="12"/>
  <c r="H573" i="12"/>
  <c r="H567" i="12"/>
  <c r="H538" i="12"/>
  <c r="H516" i="12"/>
  <c r="H504" i="12"/>
  <c r="H481" i="12"/>
  <c r="H463" i="12"/>
  <c r="H49" i="12"/>
  <c r="H62" i="12"/>
  <c r="H70" i="12"/>
  <c r="H605" i="12"/>
  <c r="H110" i="12"/>
  <c r="H86" i="12"/>
  <c r="H486" i="12"/>
  <c r="H440" i="12"/>
  <c r="H391" i="12"/>
  <c r="H295" i="12"/>
  <c r="H149" i="12"/>
  <c r="H608" i="12"/>
  <c r="H577" i="12"/>
  <c r="H552" i="12"/>
  <c r="H542" i="12"/>
  <c r="H530" i="12"/>
  <c r="H513" i="12"/>
  <c r="H496" i="12"/>
  <c r="H472" i="12"/>
  <c r="H449" i="12"/>
  <c r="H312" i="12"/>
  <c r="H272" i="12"/>
  <c r="H139" i="12"/>
  <c r="H660" i="12"/>
  <c r="H676" i="12"/>
  <c r="H511" i="12"/>
  <c r="H493" i="12"/>
  <c r="H464" i="12"/>
  <c r="H305" i="12"/>
  <c r="H138" i="12"/>
  <c r="C6" i="13"/>
  <c r="H5" i="12"/>
  <c r="O246" i="12" s="1"/>
  <c r="Q243" i="12"/>
  <c r="D7" i="26"/>
  <c r="H9" i="12"/>
  <c r="F192" i="6" s="1"/>
  <c r="H475" i="12"/>
  <c r="H451" i="12"/>
  <c r="H315" i="12"/>
  <c r="H278" i="12"/>
  <c r="H148" i="12"/>
  <c r="H127" i="12"/>
  <c r="H640" i="12"/>
  <c r="H659" i="12"/>
  <c r="H510" i="12"/>
  <c r="H501" i="12"/>
  <c r="H490" i="12"/>
  <c r="H480" i="12"/>
  <c r="H467" i="12"/>
  <c r="H454" i="12"/>
  <c r="H446" i="12"/>
  <c r="H330" i="12"/>
  <c r="H307" i="12"/>
  <c r="H276" i="12"/>
  <c r="H232" i="12"/>
  <c r="H144" i="12"/>
  <c r="H137" i="12"/>
  <c r="H651" i="12"/>
  <c r="H661" i="12"/>
  <c r="H664" i="12"/>
  <c r="H687" i="12"/>
  <c r="H517" i="12"/>
  <c r="H508" i="12"/>
  <c r="H499" i="12"/>
  <c r="H489" i="12"/>
  <c r="H482" i="12"/>
  <c r="H469" i="12"/>
  <c r="H458" i="12"/>
  <c r="H447" i="12"/>
  <c r="H332" i="12"/>
  <c r="H309" i="12"/>
  <c r="H282" i="12"/>
  <c r="H274" i="12"/>
  <c r="H174" i="12"/>
  <c r="H141" i="12"/>
  <c r="H133" i="12"/>
  <c r="H122" i="12"/>
  <c r="H638" i="12"/>
  <c r="H647" i="12"/>
  <c r="N478" i="12"/>
  <c r="M56" i="12"/>
  <c r="N635" i="12"/>
  <c r="N507" i="12"/>
  <c r="M697" i="12"/>
  <c r="N159" i="12"/>
  <c r="N625" i="12"/>
  <c r="M67" i="12"/>
  <c r="N415" i="12"/>
  <c r="N522" i="12"/>
  <c r="M664" i="12"/>
  <c r="M541" i="12"/>
  <c r="M404" i="12"/>
  <c r="M566" i="12"/>
  <c r="N283" i="12"/>
  <c r="M450" i="12"/>
  <c r="M549" i="12"/>
  <c r="N336" i="12"/>
  <c r="M148" i="12"/>
  <c r="N695" i="12"/>
  <c r="N665" i="12"/>
  <c r="M331" i="12"/>
  <c r="M379" i="12"/>
  <c r="M130" i="12"/>
  <c r="M429" i="12"/>
  <c r="M458" i="12"/>
  <c r="M353" i="12"/>
  <c r="M483" i="12"/>
  <c r="M568" i="12"/>
  <c r="M283" i="12"/>
  <c r="M311" i="12"/>
  <c r="N468" i="12"/>
  <c r="M497" i="12"/>
  <c r="M590" i="12"/>
  <c r="M522" i="12"/>
  <c r="M474" i="12"/>
  <c r="M384" i="12"/>
  <c r="M604" i="12"/>
  <c r="M582" i="12"/>
  <c r="M557" i="12"/>
  <c r="M399" i="12"/>
  <c r="M462" i="12"/>
  <c r="M532" i="12"/>
  <c r="N668" i="12"/>
  <c r="N211" i="12"/>
  <c r="M232" i="12"/>
  <c r="N620" i="12"/>
  <c r="N587" i="12"/>
  <c r="N500" i="12"/>
  <c r="N566" i="12"/>
  <c r="N398" i="12"/>
  <c r="M98" i="12"/>
  <c r="M62" i="12"/>
  <c r="M36" i="12"/>
  <c r="M614" i="12"/>
  <c r="M467" i="12"/>
  <c r="M505" i="12"/>
  <c r="N348" i="12"/>
  <c r="M612" i="12"/>
  <c r="M33" i="12"/>
  <c r="N203" i="12"/>
  <c r="M524" i="12"/>
  <c r="M428" i="12"/>
  <c r="M600" i="12"/>
  <c r="M293" i="12"/>
  <c r="N585" i="12"/>
  <c r="C8" i="13"/>
  <c r="N401" i="12"/>
  <c r="M22" i="12"/>
  <c r="N509" i="12"/>
  <c r="M394" i="12"/>
  <c r="M533" i="12"/>
  <c r="M598" i="12"/>
  <c r="M365" i="12"/>
  <c r="M500" i="12"/>
  <c r="M216" i="12"/>
  <c r="M687" i="12"/>
  <c r="M695" i="12"/>
  <c r="N686" i="12"/>
  <c r="N643" i="12"/>
  <c r="N369" i="12"/>
  <c r="N381" i="12"/>
  <c r="M424" i="12"/>
  <c r="M447" i="12"/>
  <c r="M476" i="12"/>
  <c r="M527" i="12"/>
  <c r="M627" i="12"/>
  <c r="N311" i="12"/>
  <c r="M437" i="12"/>
  <c r="M491" i="12"/>
  <c r="M573" i="12"/>
  <c r="N485" i="12"/>
  <c r="M526" i="12"/>
  <c r="N345" i="12"/>
  <c r="N396" i="12"/>
  <c r="N560" i="12"/>
  <c r="N502" i="12"/>
  <c r="N533" i="12"/>
  <c r="N580" i="12"/>
  <c r="N604" i="12"/>
  <c r="N313" i="12"/>
  <c r="M519" i="12"/>
  <c r="N442" i="12"/>
  <c r="M339" i="12"/>
  <c r="N438" i="12"/>
  <c r="M464" i="12"/>
  <c r="N489" i="12"/>
  <c r="N510" i="12"/>
  <c r="M392" i="12"/>
  <c r="M543" i="12"/>
  <c r="M603" i="12"/>
  <c r="M515" i="12"/>
  <c r="M625" i="12"/>
  <c r="M79" i="12"/>
  <c r="M381" i="12"/>
  <c r="M516" i="12"/>
  <c r="M545" i="12"/>
  <c r="M567" i="12"/>
  <c r="M596" i="12"/>
  <c r="M626" i="12"/>
  <c r="M583" i="12"/>
  <c r="N582" i="12"/>
  <c r="M264" i="12"/>
  <c r="M580" i="12"/>
  <c r="M459" i="12"/>
  <c r="N465" i="12"/>
  <c r="M703" i="12"/>
  <c r="N300" i="12"/>
  <c r="N425" i="12"/>
  <c r="M513" i="12"/>
  <c r="M470" i="12"/>
  <c r="M593" i="12"/>
  <c r="M456" i="12"/>
  <c r="M471" i="12"/>
  <c r="M588" i="12"/>
  <c r="N343" i="12"/>
  <c r="N404" i="12"/>
  <c r="N524" i="12"/>
  <c r="N589" i="12"/>
  <c r="N406" i="12"/>
  <c r="M275" i="12"/>
  <c r="N597" i="12"/>
  <c r="M553" i="12"/>
  <c r="M536" i="12"/>
  <c r="M504" i="12"/>
  <c r="M561" i="12"/>
  <c r="N606" i="12"/>
  <c r="M107" i="12"/>
  <c r="N149" i="12"/>
  <c r="N508" i="12"/>
  <c r="N687" i="12"/>
  <c r="N298" i="12"/>
  <c r="N445" i="12"/>
  <c r="N284" i="12"/>
  <c r="N552" i="12"/>
  <c r="N532" i="12"/>
  <c r="N511" i="12"/>
  <c r="N490" i="12"/>
  <c r="N467" i="12"/>
  <c r="N422" i="12"/>
  <c r="N397" i="12"/>
  <c r="M634" i="12"/>
  <c r="N206" i="12"/>
  <c r="M649" i="12"/>
  <c r="M282" i="12"/>
  <c r="M133" i="12"/>
  <c r="N386" i="12"/>
  <c r="N392" i="12"/>
  <c r="N488" i="12"/>
  <c r="N464" i="12"/>
  <c r="M372" i="12"/>
  <c r="M350" i="12"/>
  <c r="N520" i="12"/>
  <c r="N297" i="12"/>
  <c r="M389" i="12"/>
  <c r="M369" i="12"/>
  <c r="N647" i="12"/>
  <c r="N602" i="12"/>
  <c r="N435" i="12"/>
  <c r="M451" i="12"/>
  <c r="N541" i="12"/>
  <c r="N495" i="12"/>
  <c r="M506" i="12"/>
  <c r="M463" i="12"/>
  <c r="M481" i="12"/>
  <c r="M289" i="12"/>
  <c r="M296" i="12"/>
  <c r="M441" i="12"/>
  <c r="N544" i="12"/>
  <c r="M642" i="12"/>
  <c r="N363" i="12"/>
  <c r="N664" i="12"/>
  <c r="N611" i="12"/>
  <c r="N403" i="12"/>
  <c r="N584" i="12"/>
  <c r="N546" i="12"/>
  <c r="N505" i="12"/>
  <c r="N484" i="12"/>
  <c r="N461" i="12"/>
  <c r="N395" i="12"/>
  <c r="N661" i="12"/>
  <c r="M84" i="12"/>
  <c r="M418" i="12"/>
  <c r="M492" i="12"/>
  <c r="M589" i="12"/>
  <c r="N649" i="12"/>
  <c r="N352" i="12"/>
  <c r="M134" i="12"/>
  <c r="N337" i="12"/>
  <c r="M469" i="12"/>
  <c r="N512" i="12"/>
  <c r="N294" i="12"/>
  <c r="N387" i="12"/>
  <c r="M531" i="12"/>
  <c r="M507" i="12"/>
  <c r="M101" i="12"/>
  <c r="N360" i="12"/>
  <c r="N576" i="12"/>
  <c r="N549" i="12"/>
  <c r="M528" i="12"/>
  <c r="M446" i="12"/>
  <c r="N382" i="12"/>
  <c r="N437" i="12"/>
  <c r="M488" i="12"/>
  <c r="M409" i="12"/>
  <c r="N492" i="12"/>
  <c r="M20" i="12"/>
  <c r="N538" i="12"/>
  <c r="M595" i="12"/>
  <c r="M550" i="12"/>
  <c r="N175" i="12"/>
  <c r="M97" i="12"/>
  <c r="N554" i="12"/>
  <c r="N424" i="12"/>
  <c r="M388" i="12"/>
  <c r="M305" i="12"/>
  <c r="M139" i="12"/>
  <c r="N364" i="12"/>
  <c r="N349" i="12"/>
  <c r="N564" i="12"/>
  <c r="N542" i="12"/>
  <c r="N519" i="12"/>
  <c r="N501" i="12"/>
  <c r="N480" i="12"/>
  <c r="N454" i="12"/>
  <c r="N402" i="12"/>
  <c r="N346" i="12"/>
  <c r="M650" i="12"/>
  <c r="M334" i="12"/>
  <c r="M307" i="12"/>
  <c r="M122" i="12"/>
  <c r="N475" i="12"/>
  <c r="N451" i="12"/>
  <c r="N232" i="12"/>
  <c r="N462" i="12"/>
  <c r="N601" i="12"/>
  <c r="N420" i="12"/>
  <c r="N652" i="12"/>
  <c r="M386" i="12"/>
  <c r="N368" i="12"/>
  <c r="N334" i="12"/>
  <c r="M475" i="12"/>
  <c r="M623" i="12"/>
  <c r="M586" i="12"/>
  <c r="M336" i="12"/>
  <c r="M445" i="12"/>
  <c r="N499" i="12"/>
  <c r="M652" i="12"/>
  <c r="N264" i="12"/>
  <c r="N517" i="12"/>
  <c r="N472" i="12"/>
  <c r="N400" i="12"/>
  <c r="M341" i="12"/>
  <c r="M337" i="12"/>
  <c r="N699" i="12"/>
  <c r="M364" i="12"/>
  <c r="M274" i="12"/>
  <c r="M651" i="12"/>
  <c r="N359" i="12"/>
  <c r="N416" i="12"/>
  <c r="N486" i="12"/>
  <c r="N482" i="12"/>
  <c r="N458" i="12"/>
  <c r="N410" i="12"/>
  <c r="M602" i="12"/>
  <c r="N295" i="12"/>
  <c r="N280" i="12"/>
  <c r="M92" i="12"/>
  <c r="M87" i="12"/>
  <c r="M432" i="12"/>
  <c r="N704" i="12"/>
  <c r="N551" i="12"/>
  <c r="N572" i="12"/>
  <c r="N477" i="12"/>
  <c r="M285" i="12"/>
  <c r="N285" i="12"/>
  <c r="M624" i="12"/>
  <c r="N292" i="12"/>
  <c r="N312" i="12"/>
  <c r="M610" i="12"/>
  <c r="M417" i="12"/>
  <c r="M338" i="12"/>
  <c r="N338" i="12"/>
  <c r="M380" i="12"/>
  <c r="M689" i="12"/>
  <c r="M263" i="12"/>
  <c r="M233" i="12"/>
  <c r="N118" i="12"/>
  <c r="M175" i="12"/>
  <c r="M694" i="12"/>
  <c r="N431" i="12"/>
  <c r="N694" i="12"/>
  <c r="N340" i="12"/>
  <c r="M207" i="12"/>
  <c r="N605" i="12"/>
  <c r="M442" i="12"/>
  <c r="N428" i="12"/>
  <c r="M498" i="12"/>
  <c r="N474" i="12"/>
  <c r="N296" i="12"/>
  <c r="M465" i="12"/>
  <c r="N577" i="12"/>
  <c r="N429" i="12"/>
  <c r="M206" i="12"/>
  <c r="N440" i="12"/>
  <c r="N556" i="12"/>
  <c r="N496" i="12"/>
  <c r="N449" i="12"/>
  <c r="N344" i="12"/>
  <c r="N339" i="12"/>
  <c r="N696" i="12"/>
  <c r="M585" i="12"/>
  <c r="N372" i="12"/>
  <c r="M363" i="12"/>
  <c r="M141" i="12"/>
  <c r="M127" i="12"/>
  <c r="N353" i="12"/>
  <c r="N530" i="12"/>
  <c r="N513" i="12"/>
  <c r="N469" i="12"/>
  <c r="N447" i="12"/>
  <c r="N148" i="12"/>
  <c r="N494" i="12"/>
  <c r="N523" i="12"/>
  <c r="N305" i="12"/>
  <c r="M699" i="12"/>
  <c r="N307" i="12"/>
  <c r="N682" i="12"/>
  <c r="N329" i="12"/>
  <c r="M730" i="12"/>
  <c r="N671" i="12"/>
  <c r="N455" i="12"/>
  <c r="M430" i="12"/>
  <c r="M29" i="12"/>
  <c r="N624" i="12"/>
  <c r="M729" i="12"/>
  <c r="M340" i="12"/>
  <c r="M335" i="12"/>
  <c r="M347" i="12"/>
  <c r="M312" i="12"/>
  <c r="N233" i="12"/>
  <c r="M58" i="12"/>
  <c r="N263" i="12"/>
  <c r="N629" i="12"/>
  <c r="D26" i="14"/>
  <c r="D29" i="14"/>
  <c r="M23" i="26"/>
  <c r="Q249" i="12"/>
  <c r="AC105" i="7"/>
  <c r="AG105" i="7"/>
  <c r="AB78" i="7"/>
  <c r="AC80" i="7"/>
  <c r="AC62" i="7"/>
  <c r="AG62" i="7"/>
  <c r="AC79" i="7"/>
  <c r="AG107" i="7"/>
  <c r="AF110" i="7"/>
  <c r="AC70" i="7"/>
  <c r="AG70" i="7"/>
  <c r="AF72" i="7"/>
  <c r="AB72" i="7"/>
  <c r="AB82" i="7"/>
  <c r="AF82" i="7"/>
  <c r="Z55" i="7"/>
  <c r="AA55" i="7" s="1"/>
  <c r="AC59" i="7"/>
  <c r="AG59" i="7"/>
  <c r="AG69" i="7"/>
  <c r="AB71" i="7"/>
  <c r="AF71" i="7"/>
  <c r="AF77" i="7"/>
  <c r="AG81" i="7"/>
  <c r="AC81" i="7"/>
  <c r="AB83" i="7"/>
  <c r="AF83" i="7"/>
  <c r="AC110" i="7"/>
  <c r="AG110" i="7"/>
  <c r="AB113" i="7"/>
  <c r="AF113" i="7"/>
  <c r="AH113" i="7"/>
  <c r="Q257" i="12"/>
  <c r="Q253" i="12"/>
  <c r="H23" i="26"/>
  <c r="H19" i="26"/>
  <c r="H20" i="26"/>
  <c r="Q260" i="12"/>
  <c r="Q267" i="12"/>
  <c r="Q255" i="12"/>
  <c r="Q247" i="12"/>
  <c r="Q251" i="12"/>
  <c r="O262" i="12"/>
  <c r="O257" i="12"/>
  <c r="O253" i="12"/>
  <c r="O249" i="12"/>
  <c r="R249" i="12" s="1"/>
  <c r="O243" i="12"/>
  <c r="O241" i="12"/>
  <c r="O325" i="12"/>
  <c r="Q266" i="12"/>
  <c r="Q258" i="12"/>
  <c r="Q254" i="12"/>
  <c r="Q250" i="12"/>
  <c r="Q246" i="12"/>
  <c r="H56" i="1"/>
  <c r="O256" i="12"/>
  <c r="O248" i="12"/>
  <c r="O323" i="12"/>
  <c r="O261" i="12"/>
  <c r="O242" i="12"/>
  <c r="O254" i="12"/>
  <c r="R246" i="12"/>
  <c r="Q262" i="12"/>
  <c r="Q241" i="12"/>
  <c r="O267" i="12"/>
  <c r="O260" i="12"/>
  <c r="R260" i="12" s="1"/>
  <c r="O255" i="12"/>
  <c r="O251" i="12"/>
  <c r="O247" i="12"/>
  <c r="O268" i="12"/>
  <c r="Q268" i="12"/>
  <c r="Q261" i="12"/>
  <c r="Q256" i="12"/>
  <c r="Q252" i="12"/>
  <c r="Q248" i="12"/>
  <c r="Q242" i="12"/>
  <c r="O322" i="12"/>
  <c r="O266" i="12"/>
  <c r="R266" i="12"/>
  <c r="T137" i="13"/>
  <c r="W137" i="13"/>
  <c r="O252" i="12"/>
  <c r="R252" i="12"/>
  <c r="O258" i="12"/>
  <c r="O250" i="12"/>
  <c r="X122" i="7"/>
  <c r="Z122" i="7"/>
  <c r="O122" i="7"/>
  <c r="O124" i="7"/>
  <c r="X124" i="7"/>
  <c r="Z124" i="7"/>
  <c r="AA124" i="7" s="1"/>
  <c r="H118" i="12"/>
  <c r="G181" i="7"/>
  <c r="G190" i="7"/>
  <c r="M93" i="12"/>
  <c r="M385" i="12"/>
  <c r="N557" i="12"/>
  <c r="M37" i="12"/>
  <c r="N212" i="12"/>
  <c r="N547" i="12"/>
  <c r="N561" i="12"/>
  <c r="N518" i="12"/>
  <c r="N638" i="12"/>
  <c r="M352" i="12"/>
  <c r="M23" i="12"/>
  <c r="M46" i="12"/>
  <c r="M348" i="12"/>
  <c r="M659" i="12"/>
  <c r="M660" i="12"/>
  <c r="H67" i="12"/>
  <c r="H336" i="12"/>
  <c r="H617" i="12"/>
  <c r="H109" i="12"/>
  <c r="H571" i="12"/>
  <c r="H433" i="12"/>
  <c r="H405" i="12"/>
  <c r="H598" i="12"/>
  <c r="H478" i="12"/>
  <c r="H52" i="12"/>
  <c r="H442" i="12"/>
  <c r="H425" i="12"/>
  <c r="H397" i="12"/>
  <c r="H338" i="12"/>
  <c r="H147" i="12"/>
  <c r="H415" i="12"/>
  <c r="H159" i="12"/>
  <c r="H686" i="12"/>
  <c r="H390" i="12"/>
  <c r="H31" i="12"/>
  <c r="H301" i="12"/>
  <c r="H682" i="12"/>
  <c r="H210" i="12"/>
  <c r="H408" i="12"/>
  <c r="H46" i="12"/>
  <c r="H613" i="12"/>
  <c r="H359" i="12"/>
  <c r="H340" i="12"/>
  <c r="H55" i="12"/>
  <c r="H560" i="12"/>
  <c r="H429" i="12"/>
  <c r="H45" i="12"/>
  <c r="H72" i="12"/>
  <c r="H418" i="12"/>
  <c r="H683" i="12"/>
  <c r="H292" i="12"/>
  <c r="H635" i="12"/>
  <c r="H339" i="12"/>
  <c r="H414" i="12"/>
  <c r="H669" i="12"/>
  <c r="N394" i="12"/>
  <c r="M60" i="12"/>
  <c r="M560" i="12"/>
  <c r="M440" i="12"/>
  <c r="N588" i="12"/>
  <c r="N603" i="12"/>
  <c r="N443" i="12"/>
  <c r="M658" i="12"/>
  <c r="M661" i="12"/>
  <c r="M405" i="12"/>
  <c r="M455" i="12"/>
  <c r="M108" i="12"/>
  <c r="M413" i="12"/>
  <c r="M617" i="12"/>
  <c r="M556" i="12"/>
  <c r="M401" i="12"/>
  <c r="M45" i="12"/>
  <c r="N567" i="12"/>
  <c r="N590" i="12"/>
  <c r="M551" i="12"/>
  <c r="N471" i="12"/>
  <c r="M542" i="12"/>
  <c r="M478" i="12"/>
  <c r="M24" i="12"/>
  <c r="M30" i="12"/>
  <c r="M49" i="12"/>
  <c r="M69" i="12"/>
  <c r="M112" i="12"/>
  <c r="M423" i="12"/>
  <c r="H23" i="12"/>
  <c r="H393" i="12"/>
  <c r="H693" i="12"/>
  <c r="H422" i="12"/>
  <c r="H518" i="12"/>
  <c r="H649" i="12"/>
  <c r="H634" i="12"/>
  <c r="H443" i="12"/>
  <c r="H644" i="12"/>
  <c r="H626" i="12"/>
  <c r="H679" i="12"/>
  <c r="H202" i="12"/>
  <c r="H389" i="12"/>
  <c r="H115" i="12"/>
  <c r="H343" i="12"/>
  <c r="H633" i="12"/>
  <c r="H466" i="12"/>
  <c r="H413" i="12"/>
  <c r="H335" i="12"/>
  <c r="H536" i="12"/>
  <c r="H346" i="12"/>
  <c r="H71" i="12"/>
  <c r="H263" i="12"/>
  <c r="H91" i="12"/>
  <c r="H568" i="12"/>
  <c r="H525" i="12"/>
  <c r="H399" i="12"/>
  <c r="H173" i="12"/>
  <c r="H388" i="12"/>
  <c r="H145" i="12"/>
  <c r="H695" i="12"/>
  <c r="H108" i="12"/>
  <c r="H68" i="12"/>
  <c r="H25" i="12"/>
  <c r="H424" i="12"/>
  <c r="H395" i="12"/>
  <c r="H306" i="12"/>
  <c r="H123" i="12"/>
  <c r="H667" i="12"/>
  <c r="H417" i="12"/>
  <c r="H360" i="12"/>
  <c r="H233" i="12"/>
  <c r="H680" i="12"/>
  <c r="H621" i="12"/>
  <c r="H207" i="12"/>
  <c r="H285" i="12"/>
  <c r="H689" i="12"/>
  <c r="H650" i="12"/>
  <c r="H126" i="12"/>
  <c r="H314" i="12"/>
  <c r="H380" i="12"/>
  <c r="H703" i="12"/>
  <c r="H642" i="12"/>
  <c r="H203" i="12"/>
  <c r="H329" i="12"/>
  <c r="H345" i="12"/>
  <c r="H383" i="12"/>
  <c r="H400" i="12"/>
  <c r="H411" i="12"/>
  <c r="H427" i="12"/>
  <c r="H437" i="12"/>
  <c r="H21" i="12"/>
  <c r="H43" i="12"/>
  <c r="H61" i="12"/>
  <c r="R257" i="12"/>
  <c r="R261" i="12"/>
  <c r="M656" i="12"/>
  <c r="N515" i="12"/>
  <c r="M70" i="12"/>
  <c r="M159" i="12"/>
  <c r="M572" i="12"/>
  <c r="N487" i="12"/>
  <c r="N341" i="12"/>
  <c r="M485" i="12"/>
  <c r="N473" i="12"/>
  <c r="N147" i="12"/>
  <c r="M48" i="12"/>
  <c r="N581" i="12"/>
  <c r="M495" i="12"/>
  <c r="N385" i="12"/>
  <c r="N216" i="12"/>
  <c r="N650" i="12"/>
  <c r="N354" i="12"/>
  <c r="M147" i="12"/>
  <c r="M482" i="12"/>
  <c r="M427" i="12"/>
  <c r="M518" i="12"/>
  <c r="M294" i="12"/>
  <c r="N418" i="12"/>
  <c r="M555" i="12"/>
  <c r="N497" i="12"/>
  <c r="M592" i="12"/>
  <c r="M512" i="12"/>
  <c r="M387" i="12"/>
  <c r="N666" i="12"/>
  <c r="N389" i="12"/>
  <c r="N598" i="12"/>
  <c r="M433" i="12"/>
  <c r="N173" i="12"/>
  <c r="M50" i="12"/>
  <c r="M597" i="12"/>
  <c r="N441" i="12"/>
  <c r="M639" i="12"/>
  <c r="N423" i="12"/>
  <c r="M581" i="12"/>
  <c r="M345" i="12"/>
  <c r="N555" i="12"/>
  <c r="M472" i="12"/>
  <c r="N527" i="12"/>
  <c r="N273" i="12"/>
  <c r="N656" i="12"/>
  <c r="N657" i="12"/>
  <c r="M435" i="12"/>
  <c r="N617" i="12"/>
  <c r="N504" i="12"/>
  <c r="N659" i="12"/>
  <c r="N675" i="12"/>
  <c r="M300" i="12"/>
  <c r="N282" i="12"/>
  <c r="M682" i="12"/>
  <c r="M279" i="12"/>
  <c r="M449" i="12"/>
  <c r="N623" i="12"/>
  <c r="M211" i="12"/>
  <c r="M490" i="12"/>
  <c r="M295" i="12"/>
  <c r="N614" i="12"/>
  <c r="M564" i="12"/>
  <c r="N592" i="12"/>
  <c r="M520" i="12"/>
  <c r="M477" i="12"/>
  <c r="N427" i="12"/>
  <c r="M530" i="12"/>
  <c r="M473" i="12"/>
  <c r="M479" i="12"/>
  <c r="M576" i="12"/>
  <c r="N479" i="12"/>
  <c r="M415" i="12"/>
  <c r="M675" i="12"/>
  <c r="N450" i="12"/>
  <c r="M509" i="12"/>
  <c r="M142" i="12"/>
  <c r="M38" i="12"/>
  <c r="M511" i="12"/>
  <c r="N498" i="12"/>
  <c r="M21" i="12"/>
  <c r="N516" i="12"/>
  <c r="M55" i="12"/>
  <c r="M298" i="12"/>
  <c r="N412" i="12"/>
  <c r="N639" i="12"/>
  <c r="N568" i="12"/>
  <c r="M138" i="12"/>
  <c r="N697" i="12"/>
  <c r="N481" i="12"/>
  <c r="M118" i="12"/>
  <c r="M489" i="12"/>
  <c r="N626" i="12"/>
  <c r="M672" i="12"/>
  <c r="N365" i="12"/>
  <c r="M438" i="12"/>
  <c r="M546" i="12"/>
  <c r="N600" i="12"/>
  <c r="M419" i="12"/>
  <c r="M468" i="12"/>
  <c r="M398" i="12"/>
  <c r="M34" i="12"/>
  <c r="M39" i="12"/>
  <c r="M54" i="12"/>
  <c r="M64" i="12"/>
  <c r="M82" i="12"/>
  <c r="M102" i="12"/>
  <c r="N279" i="12"/>
  <c r="N409" i="12"/>
  <c r="H30" i="12"/>
  <c r="H213" i="12"/>
  <c r="H694" i="12"/>
  <c r="H132" i="12"/>
  <c r="H615" i="12"/>
  <c r="H394" i="12"/>
  <c r="H396" i="12"/>
  <c r="H102" i="12"/>
  <c r="H353" i="12"/>
  <c r="H279" i="12"/>
  <c r="H63" i="12"/>
  <c r="H384" i="12"/>
  <c r="H624" i="12"/>
  <c r="H281" i="12"/>
  <c r="H692" i="12"/>
  <c r="H142" i="12"/>
  <c r="H407" i="12"/>
  <c r="H44" i="12"/>
  <c r="H357" i="12"/>
  <c r="H350" i="12"/>
  <c r="H439" i="12"/>
  <c r="H655" i="12"/>
  <c r="H112" i="12"/>
  <c r="H29" i="12"/>
  <c r="H672" i="12"/>
  <c r="H273" i="12"/>
  <c r="H368" i="12"/>
  <c r="H551" i="12"/>
  <c r="H658" i="12"/>
  <c r="H130" i="12"/>
  <c r="H333" i="12"/>
  <c r="H401" i="12"/>
  <c r="H431" i="12"/>
  <c r="H32" i="12"/>
  <c r="H75" i="12"/>
  <c r="H146" i="12"/>
  <c r="H678" i="12"/>
  <c r="H175" i="12"/>
  <c r="H696" i="12"/>
  <c r="H421" i="12"/>
  <c r="H492" i="12"/>
  <c r="H416" i="12"/>
  <c r="H265" i="12"/>
  <c r="H404" i="12"/>
  <c r="H24" i="12"/>
  <c r="H603" i="12"/>
  <c r="H428" i="12"/>
  <c r="H594" i="12"/>
  <c r="H553" i="12"/>
  <c r="H522" i="12"/>
  <c r="H627" i="12"/>
  <c r="H470" i="12"/>
  <c r="H41" i="12"/>
  <c r="H436" i="12"/>
  <c r="H410" i="12"/>
  <c r="H382" i="12"/>
  <c r="H310" i="12"/>
  <c r="H656" i="12"/>
  <c r="H585" i="12"/>
  <c r="H369" i="12"/>
  <c r="H308" i="12"/>
  <c r="H121" i="12"/>
  <c r="H663" i="12"/>
  <c r="H629" i="12"/>
  <c r="H574" i="12"/>
  <c r="H506" i="12"/>
  <c r="H83" i="12"/>
  <c r="H58" i="12"/>
  <c r="H42" i="12"/>
  <c r="H19" i="12"/>
  <c r="H438" i="12"/>
  <c r="H420" i="12"/>
  <c r="H402" i="12"/>
  <c r="H344" i="12"/>
  <c r="H337" i="12"/>
  <c r="H275" i="12"/>
  <c r="H134" i="12"/>
  <c r="H117" i="12"/>
  <c r="H652" i="12"/>
  <c r="H675" i="12"/>
  <c r="H699" i="12"/>
  <c r="H392" i="12"/>
  <c r="H372" i="12"/>
  <c r="H352" i="12"/>
  <c r="H277" i="12"/>
  <c r="H211" i="12"/>
  <c r="H665" i="12"/>
  <c r="H704" i="12"/>
  <c r="H347" i="12"/>
  <c r="H610" i="12"/>
  <c r="H473" i="12"/>
  <c r="H98" i="12"/>
  <c r="H430" i="12"/>
  <c r="H607" i="12"/>
  <c r="H622" i="12"/>
  <c r="H700" i="12"/>
  <c r="H670" i="12"/>
  <c r="H726" i="12"/>
  <c r="H731" i="12"/>
  <c r="H140" i="12"/>
  <c r="H206" i="12"/>
  <c r="H354" i="12"/>
  <c r="H365" i="12"/>
  <c r="H386" i="12"/>
  <c r="H434" i="12"/>
  <c r="H674" i="12"/>
  <c r="H657" i="12"/>
  <c r="H181" i="7"/>
  <c r="H190" i="7"/>
  <c r="B11" i="12"/>
  <c r="T15" i="13"/>
  <c r="B12" i="12"/>
  <c r="O321" i="12"/>
  <c r="G184" i="7"/>
  <c r="G193" i="7"/>
  <c r="B12" i="26"/>
  <c r="P6" i="26"/>
  <c r="H5" i="26"/>
  <c r="D8" i="26"/>
  <c r="J23" i="26" s="1"/>
  <c r="D8" i="12"/>
  <c r="H9" i="26"/>
  <c r="R242" i="12"/>
  <c r="R268" i="12"/>
  <c r="R262" i="12"/>
  <c r="R248" i="12"/>
  <c r="R267" i="12"/>
  <c r="R247" i="12"/>
  <c r="R258" i="12"/>
  <c r="R254" i="12"/>
  <c r="X101" i="7"/>
  <c r="Z101" i="7"/>
  <c r="AA101" i="7" s="1"/>
  <c r="O101" i="7"/>
  <c r="X98" i="7"/>
  <c r="Z98" i="7" s="1"/>
  <c r="AA98" i="7" s="1"/>
  <c r="O98" i="7"/>
  <c r="X93" i="7"/>
  <c r="Z93" i="7"/>
  <c r="AA93" i="7" s="1"/>
  <c r="T93" i="7"/>
  <c r="AC93" i="7" s="1"/>
  <c r="O93" i="7"/>
  <c r="S93" i="7"/>
  <c r="AF93" i="7"/>
  <c r="X104" i="7"/>
  <c r="Z104" i="7"/>
  <c r="AA104" i="7" s="1"/>
  <c r="O104" i="7"/>
  <c r="T104" i="7"/>
  <c r="X99" i="7"/>
  <c r="Z99" i="7" s="1"/>
  <c r="AA99" i="7" s="1"/>
  <c r="O99" i="7"/>
  <c r="X91" i="7"/>
  <c r="T91" i="7"/>
  <c r="O91" i="7"/>
  <c r="X17" i="7"/>
  <c r="Z17" i="7"/>
  <c r="S17" i="7"/>
  <c r="T17" i="7"/>
  <c r="AC17" i="7" s="1"/>
  <c r="O17" i="7"/>
  <c r="AH64" i="7"/>
  <c r="O126" i="7"/>
  <c r="AF131" i="7"/>
  <c r="AG134" i="7"/>
  <c r="AG131" i="7"/>
  <c r="AG154" i="7"/>
  <c r="AH154" i="7" s="1"/>
  <c r="AH112" i="7"/>
  <c r="AH109" i="7"/>
  <c r="X116" i="7"/>
  <c r="Z116" i="7" s="1"/>
  <c r="AA116" i="7" s="1"/>
  <c r="S116" i="7"/>
  <c r="T116" i="7"/>
  <c r="AC116" i="7" s="1"/>
  <c r="O116" i="7"/>
  <c r="T42" i="7"/>
  <c r="X42" i="7"/>
  <c r="Z42" i="7" s="1"/>
  <c r="AA42" i="7" s="1"/>
  <c r="S42" i="7"/>
  <c r="O42" i="7"/>
  <c r="X40" i="7"/>
  <c r="Z40" i="7"/>
  <c r="AA40" i="7" s="1"/>
  <c r="T40" i="7"/>
  <c r="AC40" i="7" s="1"/>
  <c r="S40" i="7"/>
  <c r="O40" i="7"/>
  <c r="X38" i="7"/>
  <c r="Z38" i="7"/>
  <c r="AA38" i="7" s="1"/>
  <c r="T38" i="7"/>
  <c r="AC38" i="7" s="1"/>
  <c r="S38" i="7"/>
  <c r="O38" i="7"/>
  <c r="T35" i="7"/>
  <c r="X35" i="7"/>
  <c r="Z35" i="7" s="1"/>
  <c r="AA35" i="7" s="1"/>
  <c r="O35" i="7"/>
  <c r="T33" i="7"/>
  <c r="AC33" i="7" s="1"/>
  <c r="X33" i="7"/>
  <c r="Z33" i="7"/>
  <c r="AA33" i="7" s="1"/>
  <c r="O33" i="7"/>
  <c r="T31" i="7"/>
  <c r="AG31" i="7" s="1"/>
  <c r="X31" i="7"/>
  <c r="Z31" i="7"/>
  <c r="AA31" i="7" s="1"/>
  <c r="O31" i="7"/>
  <c r="X135" i="7"/>
  <c r="Z135" i="7"/>
  <c r="AA135" i="7" s="1"/>
  <c r="T135" i="7"/>
  <c r="AC135" i="7" s="1"/>
  <c r="O135" i="7"/>
  <c r="S135" i="7"/>
  <c r="AB135" i="7" s="1"/>
  <c r="S41" i="7"/>
  <c r="O41" i="7"/>
  <c r="X41" i="7"/>
  <c r="Z41" i="7"/>
  <c r="AA41" i="7" s="1"/>
  <c r="T41" i="7"/>
  <c r="AC41" i="7" s="1"/>
  <c r="S39" i="7"/>
  <c r="O39" i="7"/>
  <c r="X39" i="7"/>
  <c r="Z39" i="7"/>
  <c r="AA39" i="7" s="1"/>
  <c r="T39" i="7"/>
  <c r="AC39" i="7" s="1"/>
  <c r="X37" i="7"/>
  <c r="Z37" i="7"/>
  <c r="AA37" i="7" s="1"/>
  <c r="S37" i="7"/>
  <c r="AF37" i="7" s="1"/>
  <c r="O37" i="7"/>
  <c r="T37" i="7"/>
  <c r="AG37" i="7" s="1"/>
  <c r="X34" i="7"/>
  <c r="Z34" i="7"/>
  <c r="AA34" i="7" s="1"/>
  <c r="O34" i="7"/>
  <c r="T34" i="7"/>
  <c r="O32" i="7"/>
  <c r="X32" i="7"/>
  <c r="Z32" i="7"/>
  <c r="AA32" i="7" s="1"/>
  <c r="T32" i="7"/>
  <c r="AC32" i="7"/>
  <c r="X30" i="7"/>
  <c r="O30" i="7"/>
  <c r="T30" i="7"/>
  <c r="X145" i="7"/>
  <c r="Z145" i="7" s="1"/>
  <c r="Z156" i="7" s="1"/>
  <c r="T145" i="7"/>
  <c r="K156" i="7"/>
  <c r="O145" i="7"/>
  <c r="S145" i="7"/>
  <c r="T82" i="7"/>
  <c r="O82" i="7"/>
  <c r="O80" i="7"/>
  <c r="X80" i="7"/>
  <c r="Z80" i="7" s="1"/>
  <c r="AA80" i="7"/>
  <c r="S80" i="7"/>
  <c r="O78" i="7"/>
  <c r="X78" i="7"/>
  <c r="Z78" i="7"/>
  <c r="AA78" i="7" s="1"/>
  <c r="T78" i="7"/>
  <c r="O72" i="7"/>
  <c r="P72" i="7"/>
  <c r="T72" i="7"/>
  <c r="O70" i="7"/>
  <c r="P70" i="7" s="1"/>
  <c r="S70" i="7"/>
  <c r="AB70" i="7" s="1"/>
  <c r="K73" i="7"/>
  <c r="O68" i="7"/>
  <c r="P68" i="7" s="1"/>
  <c r="X68" i="7"/>
  <c r="Z68" i="7" s="1"/>
  <c r="T68" i="7"/>
  <c r="O60" i="7"/>
  <c r="T60" i="7"/>
  <c r="O58" i="7"/>
  <c r="T58" i="7"/>
  <c r="O56" i="7"/>
  <c r="T56" i="7"/>
  <c r="X133" i="7"/>
  <c r="Z133" i="7" s="1"/>
  <c r="AA133" i="7"/>
  <c r="O133" i="7"/>
  <c r="S133" i="7"/>
  <c r="AB133" i="7" s="1"/>
  <c r="T133" i="7"/>
  <c r="O83" i="7"/>
  <c r="T83" i="7"/>
  <c r="O81" i="7"/>
  <c r="S81" i="7"/>
  <c r="X81" i="7"/>
  <c r="Z81" i="7" s="1"/>
  <c r="AA81" i="7" s="1"/>
  <c r="O79" i="7"/>
  <c r="S79" i="7"/>
  <c r="X79" i="7"/>
  <c r="Z79" i="7"/>
  <c r="AA79" i="7" s="1"/>
  <c r="O77" i="7"/>
  <c r="K84" i="7"/>
  <c r="T77" i="7"/>
  <c r="AC77" i="7" s="1"/>
  <c r="O71" i="7"/>
  <c r="P71" i="7"/>
  <c r="T71" i="7"/>
  <c r="O69" i="7"/>
  <c r="P69" i="7" s="1"/>
  <c r="S69" i="7"/>
  <c r="X69" i="7"/>
  <c r="Z69" i="7"/>
  <c r="AA69" i="7" s="1"/>
  <c r="O62" i="7"/>
  <c r="S62" i="7"/>
  <c r="X62" i="7"/>
  <c r="O57" i="7"/>
  <c r="T57" i="7"/>
  <c r="AG57" i="7" s="1"/>
  <c r="O55" i="7"/>
  <c r="K63" i="7"/>
  <c r="K168" i="7"/>
  <c r="T55" i="7"/>
  <c r="AG55" i="7" s="1"/>
  <c r="H313" i="12"/>
  <c r="H184" i="7"/>
  <c r="R256" i="12"/>
  <c r="R250" i="12"/>
  <c r="P214" i="12"/>
  <c r="G6" i="8"/>
  <c r="O23" i="26"/>
  <c r="Q23" i="26" s="1"/>
  <c r="T14" i="13"/>
  <c r="U14" i="13" s="1"/>
  <c r="O347" i="12"/>
  <c r="T160" i="13" s="1"/>
  <c r="P671" i="12"/>
  <c r="G188" i="12"/>
  <c r="T50" i="13"/>
  <c r="AB17" i="7"/>
  <c r="AF17" i="7"/>
  <c r="AB93" i="7"/>
  <c r="AG93" i="7"/>
  <c r="AG91" i="7"/>
  <c r="AC91" i="7"/>
  <c r="AC104" i="7"/>
  <c r="AG104" i="7"/>
  <c r="X126" i="7"/>
  <c r="Z126" i="7" s="1"/>
  <c r="AA126" i="7"/>
  <c r="AH131" i="7"/>
  <c r="AB116" i="7"/>
  <c r="AF116" i="7"/>
  <c r="AG116" i="7"/>
  <c r="K118" i="7"/>
  <c r="AC30" i="7"/>
  <c r="AG30" i="7"/>
  <c r="Z30" i="7"/>
  <c r="AB39" i="7"/>
  <c r="AF39" i="7"/>
  <c r="AB41" i="7"/>
  <c r="AF41" i="7"/>
  <c r="AG33" i="7"/>
  <c r="AG38" i="7"/>
  <c r="AG40" i="7"/>
  <c r="X47" i="7"/>
  <c r="Z47" i="7" s="1"/>
  <c r="O47" i="7"/>
  <c r="AG32" i="7"/>
  <c r="AC37" i="7"/>
  <c r="AB37" i="7"/>
  <c r="AH37" i="7"/>
  <c r="AG39" i="7"/>
  <c r="AH39" i="7" s="1"/>
  <c r="AG41" i="7"/>
  <c r="AH41" i="7" s="1"/>
  <c r="AF135" i="7"/>
  <c r="AH135" i="7" s="1"/>
  <c r="AG135" i="7"/>
  <c r="AC31" i="7"/>
  <c r="AG35" i="7"/>
  <c r="AC35" i="7"/>
  <c r="AB38" i="7"/>
  <c r="AF38" i="7"/>
  <c r="AH38" i="7" s="1"/>
  <c r="AB40" i="7"/>
  <c r="AF40" i="7"/>
  <c r="AB42" i="7"/>
  <c r="AF42" i="7"/>
  <c r="AH42" i="7" s="1"/>
  <c r="AG42" i="7"/>
  <c r="AC42" i="7"/>
  <c r="O49" i="7"/>
  <c r="X49" i="7"/>
  <c r="Z49" i="7" s="1"/>
  <c r="X88" i="7"/>
  <c r="Z88" i="7" s="1"/>
  <c r="AA88" i="7"/>
  <c r="O88" i="7"/>
  <c r="AC55" i="7"/>
  <c r="Z62" i="7"/>
  <c r="AA62" i="7" s="1"/>
  <c r="AF81" i="7"/>
  <c r="AH81" i="7"/>
  <c r="AB81" i="7"/>
  <c r="AC83" i="7"/>
  <c r="AG83" i="7"/>
  <c r="AH83" i="7"/>
  <c r="AC133" i="7"/>
  <c r="AG133" i="7"/>
  <c r="AG56" i="7"/>
  <c r="AC56" i="7"/>
  <c r="AG58" i="7"/>
  <c r="AC58" i="7"/>
  <c r="AG60" i="7"/>
  <c r="AC60" i="7"/>
  <c r="AG68" i="7"/>
  <c r="AC68" i="7"/>
  <c r="AF70" i="7"/>
  <c r="AH70" i="7" s="1"/>
  <c r="AG72" i="7"/>
  <c r="AH72" i="7" s="1"/>
  <c r="AC72" i="7"/>
  <c r="AG145" i="7"/>
  <c r="AC145" i="7"/>
  <c r="AB62" i="7"/>
  <c r="AF62" i="7"/>
  <c r="AH62" i="7"/>
  <c r="AG71" i="7"/>
  <c r="AH71" i="7" s="1"/>
  <c r="AC71" i="7"/>
  <c r="AF79" i="7"/>
  <c r="AH79" i="7" s="1"/>
  <c r="AB79" i="7"/>
  <c r="AF133" i="7"/>
  <c r="AH133" i="7" s="1"/>
  <c r="X26" i="7"/>
  <c r="Z26" i="7"/>
  <c r="AA26" i="7" s="1"/>
  <c r="O26" i="7"/>
  <c r="X28" i="7"/>
  <c r="Z28" i="7" s="1"/>
  <c r="AA28" i="7"/>
  <c r="O28" i="7"/>
  <c r="P28" i="7" s="1"/>
  <c r="P158" i="7" s="1"/>
  <c r="X85" i="7"/>
  <c r="AF80" i="7"/>
  <c r="AB80" i="7"/>
  <c r="AC82" i="7"/>
  <c r="AG82" i="7"/>
  <c r="AH82" i="7"/>
  <c r="X87" i="7"/>
  <c r="Z87" i="7"/>
  <c r="O87" i="7"/>
  <c r="AF145" i="7"/>
  <c r="AH145" i="7" s="1"/>
  <c r="AB145" i="7"/>
  <c r="X156" i="7"/>
  <c r="X163" i="7" s="1"/>
  <c r="O123" i="7"/>
  <c r="X123" i="7"/>
  <c r="K137" i="7"/>
  <c r="O52" i="7"/>
  <c r="X52" i="7"/>
  <c r="Z52" i="7" s="1"/>
  <c r="X48" i="7"/>
  <c r="Z48" i="7" s="1"/>
  <c r="AA48" i="7"/>
  <c r="O48" i="7"/>
  <c r="X27" i="7"/>
  <c r="Z27" i="7" s="1"/>
  <c r="AA27" i="7" s="1"/>
  <c r="O27" i="7"/>
  <c r="X21" i="7"/>
  <c r="O21" i="7"/>
  <c r="K43" i="7"/>
  <c r="O15" i="7"/>
  <c r="X15" i="7"/>
  <c r="Z15" i="7"/>
  <c r="AA15" i="7" s="1"/>
  <c r="X24" i="7"/>
  <c r="Z24" i="7" s="1"/>
  <c r="AA24" i="7"/>
  <c r="O24" i="7"/>
  <c r="X89" i="7"/>
  <c r="O89" i="7"/>
  <c r="K94" i="7"/>
  <c r="X22" i="7"/>
  <c r="O22" i="7"/>
  <c r="X97" i="7"/>
  <c r="O97" i="7"/>
  <c r="X50" i="7"/>
  <c r="Z50" i="7"/>
  <c r="AA50" i="7" s="1"/>
  <c r="O50" i="7"/>
  <c r="X46" i="7"/>
  <c r="Z46" i="7" s="1"/>
  <c r="K53" i="7"/>
  <c r="O46" i="7"/>
  <c r="X23" i="7"/>
  <c r="Z23" i="7"/>
  <c r="AA23" i="7" s="1"/>
  <c r="O23" i="7"/>
  <c r="X14" i="7"/>
  <c r="Z14" i="7" s="1"/>
  <c r="K18" i="7"/>
  <c r="K158" i="7"/>
  <c r="O14" i="7"/>
  <c r="K167" i="7"/>
  <c r="X51" i="7"/>
  <c r="Z51" i="7"/>
  <c r="AA51" i="7" s="1"/>
  <c r="O51" i="7"/>
  <c r="O128" i="7"/>
  <c r="X128" i="7"/>
  <c r="Z128" i="7"/>
  <c r="O25" i="7"/>
  <c r="X25" i="7"/>
  <c r="Z25" i="7" s="1"/>
  <c r="AA25" i="7"/>
  <c r="P23" i="26"/>
  <c r="X100" i="7"/>
  <c r="Z100" i="7"/>
  <c r="O100" i="7"/>
  <c r="AH116" i="7"/>
  <c r="S117" i="7"/>
  <c r="X117" i="7"/>
  <c r="Z117" i="7" s="1"/>
  <c r="AA117" i="7" s="1"/>
  <c r="T117" i="7"/>
  <c r="O117" i="7"/>
  <c r="K169" i="7"/>
  <c r="K170" i="7"/>
  <c r="AA30" i="7"/>
  <c r="AA145" i="7"/>
  <c r="X18" i="7"/>
  <c r="Z97" i="7"/>
  <c r="Z89" i="7"/>
  <c r="X95" i="7"/>
  <c r="X64" i="7"/>
  <c r="Z21" i="7"/>
  <c r="Z123" i="7"/>
  <c r="X137" i="7"/>
  <c r="F181" i="6"/>
  <c r="F183" i="6"/>
  <c r="F182" i="6"/>
  <c r="F179" i="6"/>
  <c r="I179" i="6" s="1"/>
  <c r="F178" i="6"/>
  <c r="F180" i="6"/>
  <c r="I180" i="6" s="1"/>
  <c r="F184" i="6"/>
  <c r="F177" i="6"/>
  <c r="I177" i="6" s="1"/>
  <c r="AC117" i="7"/>
  <c r="AG117" i="7"/>
  <c r="AH117" i="7" s="1"/>
  <c r="AB117" i="7"/>
  <c r="AF117" i="7"/>
  <c r="S169" i="7"/>
  <c r="AA123" i="7"/>
  <c r="AA21" i="7"/>
  <c r="AA46" i="7"/>
  <c r="AA89" i="7"/>
  <c r="AA97" i="7"/>
  <c r="D46" i="1"/>
  <c r="D49" i="1" s="1"/>
  <c r="D44" i="1"/>
  <c r="S163" i="7"/>
  <c r="D31" i="1" s="1"/>
  <c r="D47" i="1"/>
  <c r="D48" i="1"/>
  <c r="H181" i="6"/>
  <c r="I181" i="6"/>
  <c r="H182" i="6"/>
  <c r="I182" i="6"/>
  <c r="H183" i="6"/>
  <c r="I183" i="6"/>
  <c r="H184" i="6"/>
  <c r="I184" i="6"/>
  <c r="G26" i="1"/>
  <c r="H177" i="6"/>
  <c r="H179" i="6"/>
  <c r="H180" i="6"/>
  <c r="H178" i="6"/>
  <c r="I178" i="6"/>
  <c r="T163" i="7"/>
  <c r="E31" i="1" s="1"/>
  <c r="AG157" i="7"/>
  <c r="AC157" i="7"/>
  <c r="AA52" i="7"/>
  <c r="I34" i="2"/>
  <c r="E14" i="3" s="1"/>
  <c r="K67" i="2"/>
  <c r="K69" i="2"/>
  <c r="K71" i="2"/>
  <c r="K73" i="2"/>
  <c r="K78" i="2"/>
  <c r="K80" i="2"/>
  <c r="K82" i="2"/>
  <c r="K84" i="2"/>
  <c r="K85" i="2"/>
  <c r="I86" i="2"/>
  <c r="F86" i="2"/>
  <c r="F88" i="2" s="1"/>
  <c r="K10" i="2"/>
  <c r="K13" i="2"/>
  <c r="K15" i="2"/>
  <c r="K17" i="2"/>
  <c r="K19" i="2"/>
  <c r="K23" i="2"/>
  <c r="K25" i="2"/>
  <c r="K27" i="2"/>
  <c r="K29" i="2"/>
  <c r="K31" i="2"/>
  <c r="K33" i="2"/>
  <c r="K36" i="2"/>
  <c r="K38" i="2"/>
  <c r="K40" i="2"/>
  <c r="K44" i="2"/>
  <c r="K46" i="2"/>
  <c r="K48" i="2"/>
  <c r="K52" i="2"/>
  <c r="K54" i="2"/>
  <c r="K56" i="2"/>
  <c r="K58" i="2"/>
  <c r="G18" i="23"/>
  <c r="G3" i="8"/>
  <c r="C37" i="8"/>
  <c r="B42" i="9"/>
  <c r="G192" i="7"/>
  <c r="H192" i="7"/>
  <c r="H183" i="7"/>
  <c r="K16" i="2"/>
  <c r="K47" i="2"/>
  <c r="K59" i="2"/>
  <c r="K26" i="2"/>
  <c r="K30" i="2"/>
  <c r="K43" i="2"/>
  <c r="K45" i="2"/>
  <c r="K83" i="2"/>
  <c r="AH40" i="7"/>
  <c r="AH110" i="7"/>
  <c r="X167" i="7"/>
  <c r="K20" i="2"/>
  <c r="K32" i="2"/>
  <c r="K53" i="2"/>
  <c r="E15" i="3"/>
  <c r="K62" i="2"/>
  <c r="K63" i="2"/>
  <c r="K64" i="2"/>
  <c r="K68" i="2"/>
  <c r="K79" i="2"/>
  <c r="E19" i="3"/>
  <c r="B32" i="1"/>
  <c r="B56" i="1"/>
  <c r="AH80" i="7"/>
  <c r="E13" i="3"/>
  <c r="E18" i="3"/>
  <c r="D16" i="8"/>
  <c r="D18" i="8"/>
  <c r="M24" i="9" s="1"/>
  <c r="D20" i="8"/>
  <c r="D22" i="8"/>
  <c r="M28" i="9" s="1"/>
  <c r="D24" i="8"/>
  <c r="D26" i="8"/>
  <c r="M32" i="9" s="1"/>
  <c r="D28" i="8"/>
  <c r="D30" i="8"/>
  <c r="M36" i="9" s="1"/>
  <c r="D35" i="8"/>
  <c r="D38" i="8"/>
  <c r="M44" i="9" s="1"/>
  <c r="D40" i="8"/>
  <c r="D43" i="8"/>
  <c r="M49" i="9" s="1"/>
  <c r="D32" i="8"/>
  <c r="D34" i="8"/>
  <c r="M40" i="9" s="1"/>
  <c r="AH155" i="7"/>
  <c r="K9" i="2"/>
  <c r="K14" i="2"/>
  <c r="K18" i="2"/>
  <c r="K24" i="2"/>
  <c r="K28" i="2"/>
  <c r="K51" i="2"/>
  <c r="K55" i="2"/>
  <c r="K70" i="2"/>
  <c r="E17" i="3"/>
  <c r="E16" i="3" s="1"/>
  <c r="D15" i="8"/>
  <c r="D17" i="8"/>
  <c r="D19" i="8"/>
  <c r="D21" i="8"/>
  <c r="M27" i="9" s="1"/>
  <c r="D23" i="8"/>
  <c r="D25" i="8"/>
  <c r="M31" i="9" s="1"/>
  <c r="D27" i="8"/>
  <c r="D29" i="8"/>
  <c r="M35" i="9" s="1"/>
  <c r="D31" i="8"/>
  <c r="D36" i="8"/>
  <c r="M42" i="9" s="1"/>
  <c r="D39" i="8"/>
  <c r="D42" i="8"/>
  <c r="M48" i="9" s="1"/>
  <c r="D41" i="8"/>
  <c r="D33" i="8"/>
  <c r="M39" i="9" s="1"/>
  <c r="D44" i="8"/>
  <c r="K163" i="7"/>
  <c r="AA146" i="7"/>
  <c r="AF134" i="7"/>
  <c r="AH134" i="7" s="1"/>
  <c r="AA122" i="7"/>
  <c r="AA72" i="7"/>
  <c r="AA47" i="7"/>
  <c r="AA17" i="7"/>
  <c r="E37" i="8"/>
  <c r="B43" i="9"/>
  <c r="E33" i="8"/>
  <c r="E36" i="8"/>
  <c r="E25" i="8"/>
  <c r="D50" i="8"/>
  <c r="M38" i="9"/>
  <c r="E32" i="8"/>
  <c r="M46" i="9"/>
  <c r="E40" i="8"/>
  <c r="M41" i="9"/>
  <c r="M34" i="9"/>
  <c r="E28" i="8"/>
  <c r="M30" i="9"/>
  <c r="E24" i="8"/>
  <c r="M26" i="9"/>
  <c r="E20" i="8"/>
  <c r="M22" i="9"/>
  <c r="E16" i="8"/>
  <c r="E12" i="3"/>
  <c r="M50" i="9"/>
  <c r="E44" i="8"/>
  <c r="M47" i="9"/>
  <c r="E41" i="8"/>
  <c r="M45" i="9"/>
  <c r="E39" i="8"/>
  <c r="M37" i="9"/>
  <c r="E31" i="8"/>
  <c r="M33" i="9"/>
  <c r="E27" i="8"/>
  <c r="M29" i="9"/>
  <c r="E23" i="8"/>
  <c r="M25" i="9"/>
  <c r="E19" i="8"/>
  <c r="M21" i="9"/>
  <c r="E15" i="8"/>
  <c r="E34" i="8"/>
  <c r="E38" i="8"/>
  <c r="E26" i="8"/>
  <c r="E18" i="8"/>
  <c r="G28" i="23"/>
  <c r="G40" i="23" s="1"/>
  <c r="G48" i="23" s="1"/>
  <c r="Q9" i="9" s="1"/>
  <c r="G182" i="12"/>
  <c r="T49" i="13" s="1"/>
  <c r="G171" i="12"/>
  <c r="T47" i="13" s="1"/>
  <c r="G155" i="12"/>
  <c r="T43" i="13"/>
  <c r="G7" i="13"/>
  <c r="G200" i="12"/>
  <c r="G194" i="12"/>
  <c r="G165" i="12"/>
  <c r="T46" i="13" s="1"/>
  <c r="O659" i="12"/>
  <c r="O701" i="12"/>
  <c r="U137" i="13"/>
  <c r="H432" i="12"/>
  <c r="H528" i="12"/>
  <c r="H491" i="12"/>
  <c r="H611" i="12"/>
  <c r="H85" i="12"/>
  <c r="H435" i="12"/>
  <c r="H381" i="12"/>
  <c r="H668" i="12"/>
  <c r="H730" i="12"/>
  <c r="H460" i="12"/>
  <c r="H387" i="12"/>
  <c r="H341" i="12"/>
  <c r="H457" i="12"/>
  <c r="H671" i="12"/>
  <c r="H76" i="12"/>
  <c r="H93" i="12"/>
  <c r="T83" i="13"/>
  <c r="U83" i="13" s="1"/>
  <c r="J464" i="12"/>
  <c r="O464" i="12" s="1"/>
  <c r="J613" i="12"/>
  <c r="O613" i="12" s="1"/>
  <c r="T93" i="13"/>
  <c r="W93" i="13" s="1"/>
  <c r="J292" i="12"/>
  <c r="J338" i="12"/>
  <c r="P338" i="12"/>
  <c r="T152" i="13" s="1"/>
  <c r="J308" i="12"/>
  <c r="P308" i="12"/>
  <c r="H185" i="7"/>
  <c r="H187" i="7"/>
  <c r="X14" i="13"/>
  <c r="T94" i="13"/>
  <c r="U94" i="13" s="1"/>
  <c r="T85" i="13"/>
  <c r="W85" i="13" s="1"/>
  <c r="T141" i="13"/>
  <c r="U141" i="13" s="1"/>
  <c r="J118" i="12"/>
  <c r="P118" i="12" s="1"/>
  <c r="J90" i="12"/>
  <c r="P90" i="12" s="1"/>
  <c r="J426" i="12"/>
  <c r="J146" i="12"/>
  <c r="J587" i="12"/>
  <c r="O587" i="12"/>
  <c r="T358" i="13" s="1"/>
  <c r="P587" i="12"/>
  <c r="T70" i="13"/>
  <c r="T76" i="13"/>
  <c r="U76" i="13"/>
  <c r="T74" i="13"/>
  <c r="U74" i="13"/>
  <c r="T87" i="13"/>
  <c r="U87" i="13"/>
  <c r="T80" i="13"/>
  <c r="T52" i="13"/>
  <c r="W52" i="13" s="1"/>
  <c r="T51" i="13"/>
  <c r="T399" i="13"/>
  <c r="W399" i="13" s="1"/>
  <c r="T426" i="13"/>
  <c r="J655" i="12"/>
  <c r="T395" i="13"/>
  <c r="J619" i="12"/>
  <c r="J621" i="12"/>
  <c r="J601" i="12"/>
  <c r="J452" i="12"/>
  <c r="O452" i="12"/>
  <c r="V452" i="12" s="1"/>
  <c r="J48" i="12"/>
  <c r="J315" i="12"/>
  <c r="C7" i="13"/>
  <c r="J416" i="12"/>
  <c r="P416" i="12"/>
  <c r="W416" i="12" s="1"/>
  <c r="J69" i="12"/>
  <c r="J406" i="12"/>
  <c r="J638" i="12"/>
  <c r="W74" i="13"/>
  <c r="T411" i="13"/>
  <c r="J50" i="12"/>
  <c r="J608" i="12"/>
  <c r="O608" i="12" s="1"/>
  <c r="J71" i="12"/>
  <c r="J430" i="12"/>
  <c r="J379" i="12"/>
  <c r="J599" i="12"/>
  <c r="J436" i="12"/>
  <c r="J488" i="12"/>
  <c r="J392" i="12"/>
  <c r="O392" i="12"/>
  <c r="J680" i="12"/>
  <c r="J612" i="12"/>
  <c r="J622" i="12"/>
  <c r="O622" i="12" s="1"/>
  <c r="J467" i="12"/>
  <c r="O467" i="12" s="1"/>
  <c r="J54" i="12"/>
  <c r="J63" i="12"/>
  <c r="P63" i="12"/>
  <c r="J447" i="12"/>
  <c r="P447" i="12"/>
  <c r="W447" i="12" s="1"/>
  <c r="J661" i="12"/>
  <c r="J501" i="12"/>
  <c r="J335" i="12"/>
  <c r="J472" i="12"/>
  <c r="J695" i="12"/>
  <c r="J341" i="12"/>
  <c r="J686" i="12"/>
  <c r="J56" i="12"/>
  <c r="J84" i="12"/>
  <c r="J640" i="12"/>
  <c r="O640" i="12" s="1"/>
  <c r="J414" i="12"/>
  <c r="J53" i="12"/>
  <c r="J396" i="12"/>
  <c r="P396" i="12" s="1"/>
  <c r="W396" i="12" s="1"/>
  <c r="J357" i="12"/>
  <c r="J72" i="12"/>
  <c r="P72" i="12" s="1"/>
  <c r="J233" i="12"/>
  <c r="O233" i="12" s="1"/>
  <c r="J647" i="12"/>
  <c r="O647" i="12" s="1"/>
  <c r="T393" i="13" s="1"/>
  <c r="J408" i="12"/>
  <c r="O408" i="12"/>
  <c r="J451" i="12"/>
  <c r="P451" i="12"/>
  <c r="W451" i="12" s="1"/>
  <c r="J475" i="12"/>
  <c r="P475" i="12" s="1"/>
  <c r="W475" i="12" s="1"/>
  <c r="J521" i="12"/>
  <c r="J514" i="12"/>
  <c r="O514" i="12"/>
  <c r="T307" i="13" s="1"/>
  <c r="J101" i="12"/>
  <c r="P101" i="12" s="1"/>
  <c r="J81" i="12"/>
  <c r="O81" i="12" s="1"/>
  <c r="J639" i="12"/>
  <c r="J67" i="12"/>
  <c r="P67" i="12"/>
  <c r="J662" i="12"/>
  <c r="J615" i="12"/>
  <c r="O615" i="12"/>
  <c r="J523" i="12"/>
  <c r="O523" i="12"/>
  <c r="T316" i="13" s="1"/>
  <c r="J346" i="12"/>
  <c r="O346" i="12" s="1"/>
  <c r="T159" i="13" s="1"/>
  <c r="W159" i="13" s="1"/>
  <c r="J511" i="12"/>
  <c r="J657" i="12"/>
  <c r="J82" i="12"/>
  <c r="J629" i="12"/>
  <c r="P629" i="12"/>
  <c r="J729" i="12"/>
  <c r="J602" i="12"/>
  <c r="J513" i="12"/>
  <c r="J132" i="12"/>
  <c r="O132" i="12"/>
  <c r="J207" i="12"/>
  <c r="J278" i="12"/>
  <c r="J656" i="12"/>
  <c r="P656" i="12"/>
  <c r="J29" i="12"/>
  <c r="J487" i="12"/>
  <c r="J429" i="12"/>
  <c r="J280" i="12"/>
  <c r="J210" i="12"/>
  <c r="J422" i="12"/>
  <c r="J93" i="12"/>
  <c r="J214" i="12"/>
  <c r="O214" i="12"/>
  <c r="W87" i="13"/>
  <c r="J312" i="12"/>
  <c r="J431" i="12"/>
  <c r="J329" i="12"/>
  <c r="J144" i="12"/>
  <c r="J148" i="12"/>
  <c r="O148" i="12"/>
  <c r="T41" i="13" s="1"/>
  <c r="J541" i="12"/>
  <c r="J402" i="12"/>
  <c r="J490" i="12"/>
  <c r="J440" i="12"/>
  <c r="J503" i="12"/>
  <c r="J46" i="12"/>
  <c r="J293" i="12"/>
  <c r="J348" i="12"/>
  <c r="J610" i="12"/>
  <c r="O610" i="12"/>
  <c r="J574" i="12"/>
  <c r="J682" i="12"/>
  <c r="J295" i="12"/>
  <c r="J469" i="12"/>
  <c r="J486" i="12"/>
  <c r="J55" i="12"/>
  <c r="J417" i="12"/>
  <c r="J624" i="12"/>
  <c r="J359" i="12"/>
  <c r="J454" i="12"/>
  <c r="J664" i="12"/>
  <c r="J52" i="12"/>
  <c r="J676" i="12"/>
  <c r="J434" i="12"/>
  <c r="J380" i="12"/>
  <c r="J618" i="12"/>
  <c r="J462" i="12"/>
  <c r="J395" i="12"/>
  <c r="J517" i="12"/>
  <c r="J554" i="12"/>
  <c r="J127" i="12"/>
  <c r="O127" i="12"/>
  <c r="J415" i="12"/>
  <c r="J466" i="12"/>
  <c r="J536" i="12"/>
  <c r="J398" i="12"/>
  <c r="J537" i="12"/>
  <c r="J585" i="12"/>
  <c r="J343" i="12"/>
  <c r="J61" i="12"/>
  <c r="J476" i="12"/>
  <c r="J498" i="12"/>
  <c r="O67" i="12"/>
  <c r="S67" i="12"/>
  <c r="T67" i="12" s="1"/>
  <c r="P346" i="12"/>
  <c r="O54" i="12"/>
  <c r="P54" i="12"/>
  <c r="P613" i="12"/>
  <c r="J263" i="12"/>
  <c r="J347" i="12"/>
  <c r="P347" i="12"/>
  <c r="J85" i="12"/>
  <c r="J175" i="12"/>
  <c r="O175" i="12" s="1"/>
  <c r="J432" i="12"/>
  <c r="J605" i="12"/>
  <c r="P605" i="12"/>
  <c r="J420" i="12"/>
  <c r="J410" i="12"/>
  <c r="J458" i="12"/>
  <c r="J482" i="12"/>
  <c r="J530" i="12"/>
  <c r="J353" i="12"/>
  <c r="J97" i="12"/>
  <c r="J666" i="12"/>
  <c r="J658" i="12"/>
  <c r="J633" i="12"/>
  <c r="J285" i="12"/>
  <c r="J277" i="12"/>
  <c r="J494" i="12"/>
  <c r="J443" i="12"/>
  <c r="J397" i="12"/>
  <c r="J480" i="12"/>
  <c r="J349" i="12"/>
  <c r="J493" i="12"/>
  <c r="J64" i="12"/>
  <c r="J606" i="12"/>
  <c r="J138" i="12"/>
  <c r="O138" i="12"/>
  <c r="T32" i="13" s="1"/>
  <c r="W32" i="13" s="1"/>
  <c r="J694" i="12"/>
  <c r="J340" i="12"/>
  <c r="J58" i="12"/>
  <c r="J689" i="12"/>
  <c r="J433" i="12"/>
  <c r="J31" i="12"/>
  <c r="J272" i="12"/>
  <c r="J232" i="12"/>
  <c r="J465" i="12"/>
  <c r="J449" i="12"/>
  <c r="J496" i="12"/>
  <c r="J687" i="12"/>
  <c r="J508" i="12"/>
  <c r="J149" i="12"/>
  <c r="O149" i="12"/>
  <c r="T42" i="13" s="1"/>
  <c r="J284" i="12"/>
  <c r="J699" i="12"/>
  <c r="J489" i="12"/>
  <c r="J630" i="12"/>
  <c r="J450" i="12"/>
  <c r="J115" i="12"/>
  <c r="J345" i="12"/>
  <c r="J547" i="12"/>
  <c r="J283" i="12"/>
  <c r="J522" i="12"/>
  <c r="J38" i="12"/>
  <c r="J504" i="12"/>
  <c r="J291" i="12"/>
  <c r="J354" i="12"/>
  <c r="J675" i="12"/>
  <c r="J683" i="12"/>
  <c r="J580" i="12"/>
  <c r="J589" i="12"/>
  <c r="J265" i="12"/>
  <c r="J550" i="12"/>
  <c r="J20" i="12"/>
  <c r="O20" i="12"/>
  <c r="S20" i="12" s="1"/>
  <c r="T20" i="12" s="1"/>
  <c r="J211" i="12"/>
  <c r="J121" i="12"/>
  <c r="O121" i="12" s="1"/>
  <c r="O124" i="12" s="1"/>
  <c r="T27" i="13" s="1"/>
  <c r="P233" i="12"/>
  <c r="T64" i="13" s="1"/>
  <c r="W64" i="13" s="1"/>
  <c r="P315" i="12"/>
  <c r="O338" i="12"/>
  <c r="P81" i="12"/>
  <c r="T24" i="13"/>
  <c r="J679" i="12"/>
  <c r="J174" i="12"/>
  <c r="J520" i="12"/>
  <c r="J386" i="12"/>
  <c r="J344" i="12"/>
  <c r="J400" i="12"/>
  <c r="J461" i="12"/>
  <c r="J484" i="12"/>
  <c r="J505" i="12"/>
  <c r="J403" i="12"/>
  <c r="J424" i="12"/>
  <c r="J499" i="12"/>
  <c r="J544" i="12"/>
  <c r="J577" i="12"/>
  <c r="J313" i="12"/>
  <c r="J485" i="12"/>
  <c r="J339" i="12"/>
  <c r="J206" i="12"/>
  <c r="J369" i="12"/>
  <c r="J568" i="12"/>
  <c r="J276" i="12"/>
  <c r="J79" i="12"/>
  <c r="J331" i="12"/>
  <c r="J692" i="12"/>
  <c r="J142" i="12"/>
  <c r="O142" i="12"/>
  <c r="T36" i="13" s="1"/>
  <c r="U36" i="13" s="1"/>
  <c r="J310" i="12"/>
  <c r="J409" i="12"/>
  <c r="J502" i="12"/>
  <c r="J572" i="12"/>
  <c r="J603" i="12"/>
  <c r="J405" i="12"/>
  <c r="J24" i="12"/>
  <c r="J455" i="12"/>
  <c r="J595" i="12"/>
  <c r="J23" i="12"/>
  <c r="J62" i="12"/>
  <c r="J665" i="12"/>
  <c r="J413" i="12"/>
  <c r="J558" i="12"/>
  <c r="J111" i="12"/>
  <c r="J381" i="12"/>
  <c r="J593" i="12"/>
  <c r="J693" i="12"/>
  <c r="J387" i="12"/>
  <c r="J203" i="12"/>
  <c r="J418" i="12"/>
  <c r="J419" i="12"/>
  <c r="J112" i="12"/>
  <c r="J22" i="12"/>
  <c r="J650" i="12"/>
  <c r="J337" i="12"/>
  <c r="J481" i="12"/>
  <c r="J644" i="12"/>
  <c r="J596" i="12"/>
  <c r="J643" i="12"/>
  <c r="J350" i="12"/>
  <c r="J212" i="12"/>
  <c r="J560" i="12"/>
  <c r="J674" i="12"/>
  <c r="P622" i="12"/>
  <c r="O101" i="12"/>
  <c r="J471" i="12"/>
  <c r="J581" i="12"/>
  <c r="J216" i="12"/>
  <c r="O216" i="12"/>
  <c r="T60" i="13" s="1"/>
  <c r="W60" i="13" s="1"/>
  <c r="J19" i="12"/>
  <c r="O19" i="12" s="1"/>
  <c r="S19" i="12" s="1"/>
  <c r="T19" i="12" s="1"/>
  <c r="J33" i="12"/>
  <c r="J60" i="12"/>
  <c r="J423" i="12"/>
  <c r="J669" i="12"/>
  <c r="J307" i="12"/>
  <c r="J457" i="12"/>
  <c r="J561" i="12"/>
  <c r="J548" i="12"/>
  <c r="J594" i="12"/>
  <c r="J391" i="12"/>
  <c r="J468" i="12"/>
  <c r="J407" i="12"/>
  <c r="J306" i="12"/>
  <c r="J305" i="12"/>
  <c r="J428" i="12"/>
  <c r="J384" i="12"/>
  <c r="J448" i="12"/>
  <c r="J700" i="12"/>
  <c r="J314" i="12"/>
  <c r="J703" i="12"/>
  <c r="J130" i="12"/>
  <c r="O130" i="12" s="1"/>
  <c r="T29" i="13" s="1"/>
  <c r="U29" i="13" s="1"/>
  <c r="J279" i="12"/>
  <c r="J394" i="12"/>
  <c r="J527" i="12"/>
  <c r="J620" i="12"/>
  <c r="J26" i="12"/>
  <c r="P26" i="12"/>
  <c r="S26" i="12" s="1"/>
  <c r="T26" i="12" s="1"/>
  <c r="J102" i="12"/>
  <c r="J509" i="12"/>
  <c r="J336" i="12"/>
  <c r="J36" i="12"/>
  <c r="J660" i="12"/>
  <c r="J555" i="12"/>
  <c r="J456" i="12"/>
  <c r="J365" i="12"/>
  <c r="J282" i="12"/>
  <c r="J300" i="12"/>
  <c r="J137" i="12"/>
  <c r="O137" i="12"/>
  <c r="T31" i="13" s="1"/>
  <c r="W31" i="13" s="1"/>
  <c r="J117" i="12"/>
  <c r="J39" i="12"/>
  <c r="J635" i="12"/>
  <c r="J264" i="12"/>
  <c r="J368" i="12"/>
  <c r="J435" i="12"/>
  <c r="J510" i="12"/>
  <c r="J507" i="12"/>
  <c r="J231" i="12"/>
  <c r="J442" i="12"/>
  <c r="T81" i="13"/>
  <c r="O63" i="12"/>
  <c r="S63" i="12" s="1"/>
  <c r="T63" i="12" s="1"/>
  <c r="O629" i="12"/>
  <c r="T386" i="13"/>
  <c r="U386" i="13" s="1"/>
  <c r="J483" i="12"/>
  <c r="J557" i="12"/>
  <c r="J598" i="12"/>
  <c r="J385" i="12"/>
  <c r="J625" i="12"/>
  <c r="J77" i="12"/>
  <c r="J98" i="12"/>
  <c r="J108" i="12"/>
  <c r="J459" i="12"/>
  <c r="J573" i="12"/>
  <c r="J626" i="12"/>
  <c r="J441" i="12"/>
  <c r="J32" i="12"/>
  <c r="J600" i="12"/>
  <c r="J634" i="12"/>
  <c r="J141" i="12"/>
  <c r="O141" i="12"/>
  <c r="T35" i="13" s="1"/>
  <c r="J627" i="12"/>
  <c r="J586" i="12"/>
  <c r="J438" i="12"/>
  <c r="J667" i="12"/>
  <c r="J649" i="12"/>
  <c r="J651" i="12"/>
  <c r="J531" i="12"/>
  <c r="J553" i="12"/>
  <c r="J147" i="12"/>
  <c r="O147" i="12" s="1"/>
  <c r="T40" i="13" s="1"/>
  <c r="J545" i="12"/>
  <c r="J704" i="12"/>
  <c r="J213" i="12"/>
  <c r="J275" i="12"/>
  <c r="J604" i="12"/>
  <c r="J549" i="12"/>
  <c r="J37" i="12"/>
  <c r="J460" i="12"/>
  <c r="J145" i="12"/>
  <c r="O145" i="12" s="1"/>
  <c r="T38" i="13" s="1"/>
  <c r="W38" i="13" s="1"/>
  <c r="J552" i="12"/>
  <c r="J382" i="12"/>
  <c r="J87" i="12"/>
  <c r="J495" i="12"/>
  <c r="J519" i="12"/>
  <c r="J652" i="12"/>
  <c r="J668" i="12"/>
  <c r="J289" i="12"/>
  <c r="J726" i="12"/>
  <c r="J727" i="12"/>
  <c r="O727" i="12"/>
  <c r="T19" i="13" s="1"/>
  <c r="J614" i="12"/>
  <c r="J21" i="12"/>
  <c r="O21" i="12" s="1"/>
  <c r="S21" i="12" s="1"/>
  <c r="T21" i="12" s="1"/>
  <c r="J515" i="12"/>
  <c r="J556" i="12"/>
  <c r="J453" i="12"/>
  <c r="J399" i="12"/>
  <c r="T17" i="13"/>
  <c r="H459" i="12"/>
  <c r="H231" i="12"/>
  <c r="H379" i="12"/>
  <c r="J491" i="12"/>
  <c r="U93" i="13"/>
  <c r="O726" i="12"/>
  <c r="T18" i="13" s="1"/>
  <c r="J446" i="12"/>
  <c r="J133" i="12"/>
  <c r="O133" i="12" s="1"/>
  <c r="O135" i="12" s="1"/>
  <c r="T30" i="13" s="1"/>
  <c r="J582" i="12"/>
  <c r="R255" i="12"/>
  <c r="R253" i="12"/>
  <c r="H666" i="12"/>
  <c r="H53" i="12"/>
  <c r="P53" i="12" s="1"/>
  <c r="H331" i="12"/>
  <c r="H448" i="12"/>
  <c r="P655" i="12"/>
  <c r="O451" i="12"/>
  <c r="P647" i="12"/>
  <c r="P640" i="12"/>
  <c r="T391" i="13" s="1"/>
  <c r="U160" i="13"/>
  <c r="W160" i="13"/>
  <c r="P84" i="12"/>
  <c r="O84" i="12"/>
  <c r="O416" i="12"/>
  <c r="V416" i="12" s="1"/>
  <c r="O656" i="12"/>
  <c r="T396" i="13" s="1"/>
  <c r="J567" i="12"/>
  <c r="J617" i="12"/>
  <c r="J334" i="12"/>
  <c r="J672" i="12"/>
  <c r="J126" i="12"/>
  <c r="O126" i="12"/>
  <c r="O128" i="12" s="1"/>
  <c r="T28" i="13" s="1"/>
  <c r="J281" i="12"/>
  <c r="J173" i="12"/>
  <c r="O173" i="12" s="1"/>
  <c r="J470" i="12"/>
  <c r="J524" i="12"/>
  <c r="J294" i="12"/>
  <c r="J497" i="12"/>
  <c r="J571" i="12"/>
  <c r="J412" i="12"/>
  <c r="J30" i="12"/>
  <c r="J70" i="12"/>
  <c r="J516" i="12"/>
  <c r="J479" i="12"/>
  <c r="J404" i="12"/>
  <c r="J202" i="12"/>
  <c r="J731" i="12"/>
  <c r="O731" i="12" s="1"/>
  <c r="T23" i="13" s="1"/>
  <c r="J542" i="12"/>
  <c r="J564" i="12"/>
  <c r="J611" i="12"/>
  <c r="J444" i="12"/>
  <c r="J92" i="12"/>
  <c r="J474" i="12"/>
  <c r="J492" i="12"/>
  <c r="J388" i="12"/>
  <c r="J297" i="12"/>
  <c r="P297" i="12"/>
  <c r="T119" i="13" s="1"/>
  <c r="J439" i="12"/>
  <c r="J425" i="12"/>
  <c r="J696" i="12"/>
  <c r="J389" i="12"/>
  <c r="J401" i="12"/>
  <c r="J332" i="12"/>
  <c r="J122" i="12"/>
  <c r="O122" i="12" s="1"/>
  <c r="J506" i="12"/>
  <c r="J543" i="12"/>
  <c r="J566" i="12"/>
  <c r="J697" i="12"/>
  <c r="J273" i="12"/>
  <c r="J478" i="12"/>
  <c r="J477" i="12"/>
  <c r="J296" i="12"/>
  <c r="J34" i="12"/>
  <c r="J590" i="12"/>
  <c r="J159" i="12"/>
  <c r="J532" i="12"/>
  <c r="J364" i="12"/>
  <c r="J445" i="12"/>
  <c r="J427" i="12"/>
  <c r="J352" i="12"/>
  <c r="O352" i="12" s="1"/>
  <c r="J597" i="12"/>
  <c r="J274" i="12"/>
  <c r="J463" i="12"/>
  <c r="T69" i="13"/>
  <c r="O320" i="12"/>
  <c r="T136" i="13" s="1"/>
  <c r="R243" i="12"/>
  <c r="W83" i="13"/>
  <c r="R241" i="12"/>
  <c r="W141" i="13"/>
  <c r="U85" i="13"/>
  <c r="U51" i="13"/>
  <c r="W51" i="13"/>
  <c r="T184" i="13"/>
  <c r="V392" i="12"/>
  <c r="O396" i="12"/>
  <c r="W426" i="13"/>
  <c r="U426" i="13"/>
  <c r="W15" i="13"/>
  <c r="U15" i="13"/>
  <c r="W94" i="13"/>
  <c r="O436" i="12"/>
  <c r="P615" i="12"/>
  <c r="P610" i="12"/>
  <c r="T86" i="13"/>
  <c r="T138" i="13"/>
  <c r="T71" i="13"/>
  <c r="T78" i="13"/>
  <c r="T16" i="13"/>
  <c r="J20" i="26"/>
  <c r="T59" i="13"/>
  <c r="R251" i="12"/>
  <c r="D59" i="7"/>
  <c r="D155" i="7"/>
  <c r="D116" i="7"/>
  <c r="D50" i="7"/>
  <c r="D47" i="7"/>
  <c r="D51" i="7"/>
  <c r="D145" i="7"/>
  <c r="D27" i="7"/>
  <c r="D117" i="7"/>
  <c r="D87" i="7"/>
  <c r="D150" i="7"/>
  <c r="D128" i="7"/>
  <c r="D25" i="7"/>
  <c r="D24" i="7"/>
  <c r="D126" i="7"/>
  <c r="D124" i="7"/>
  <c r="D122" i="7"/>
  <c r="D100" i="7"/>
  <c r="D151" i="7"/>
  <c r="D62" i="7"/>
  <c r="D89" i="7"/>
  <c r="D52" i="7"/>
  <c r="D146" i="7"/>
  <c r="D149" i="7"/>
  <c r="D23" i="7"/>
  <c r="D97" i="7"/>
  <c r="D123" i="7"/>
  <c r="D98" i="7"/>
  <c r="D147" i="7"/>
  <c r="D46" i="7"/>
  <c r="D22" i="7"/>
  <c r="D21" i="7"/>
  <c r="D154" i="7"/>
  <c r="D83" i="7"/>
  <c r="D99" i="7"/>
  <c r="U411" i="13"/>
  <c r="W411" i="13"/>
  <c r="T79" i="13"/>
  <c r="T369" i="13"/>
  <c r="G6" i="13"/>
  <c r="O324" i="12"/>
  <c r="T140" i="13"/>
  <c r="T77" i="13"/>
  <c r="T92" i="13"/>
  <c r="T88" i="13"/>
  <c r="T75" i="13"/>
  <c r="T82" i="13"/>
  <c r="T84" i="13"/>
  <c r="T139" i="13"/>
  <c r="J659" i="12"/>
  <c r="P659" i="12" s="1"/>
  <c r="J49" i="12"/>
  <c r="J533" i="12"/>
  <c r="J518" i="12"/>
  <c r="J526" i="12"/>
  <c r="J583" i="12"/>
  <c r="J663" i="12"/>
  <c r="J421" i="12"/>
  <c r="J298" i="12"/>
  <c r="J139" i="12"/>
  <c r="O139" i="12" s="1"/>
  <c r="T33" i="13" s="1"/>
  <c r="J642" i="12"/>
  <c r="J437" i="12"/>
  <c r="J528" i="12"/>
  <c r="J363" i="12"/>
  <c r="J512" i="12"/>
  <c r="J372" i="12"/>
  <c r="J538" i="12"/>
  <c r="J107" i="12"/>
  <c r="J309" i="12"/>
  <c r="J584" i="12"/>
  <c r="J546" i="12"/>
  <c r="J730" i="12"/>
  <c r="O730" i="12" s="1"/>
  <c r="T21" i="13" s="1"/>
  <c r="J671" i="12"/>
  <c r="O671" i="12"/>
  <c r="J134" i="12"/>
  <c r="O134" i="12"/>
  <c r="J623" i="12"/>
  <c r="J45" i="12"/>
  <c r="J28" i="12"/>
  <c r="J588" i="12"/>
  <c r="J500" i="12"/>
  <c r="J311" i="12"/>
  <c r="J592" i="12"/>
  <c r="J473" i="12"/>
  <c r="J333" i="12"/>
  <c r="J123" i="12"/>
  <c r="O123" i="12"/>
  <c r="J551" i="12"/>
  <c r="J140" i="12"/>
  <c r="O140" i="12" s="1"/>
  <c r="T34" i="13" s="1"/>
  <c r="J670" i="12"/>
  <c r="J678" i="12"/>
  <c r="J330" i="12"/>
  <c r="J576" i="12"/>
  <c r="J360" i="12"/>
  <c r="P352" i="12"/>
  <c r="G19" i="23"/>
  <c r="D25" i="14"/>
  <c r="D28" i="14" s="1"/>
  <c r="E31" i="5" s="1"/>
  <c r="E32" i="5" s="1"/>
  <c r="E43" i="5"/>
  <c r="E44" i="5"/>
  <c r="E30" i="5"/>
  <c r="O475" i="12"/>
  <c r="P467" i="12"/>
  <c r="W467" i="12"/>
  <c r="W76" i="13"/>
  <c r="U52" i="13"/>
  <c r="P464" i="12"/>
  <c r="W464" i="12" s="1"/>
  <c r="U399" i="13"/>
  <c r="T208" i="13"/>
  <c r="P523" i="12"/>
  <c r="O447" i="12"/>
  <c r="P292" i="12"/>
  <c r="O292" i="12"/>
  <c r="T114" i="13"/>
  <c r="U114" i="13" s="1"/>
  <c r="P392" i="12"/>
  <c r="W392" i="12" s="1"/>
  <c r="D88" i="7"/>
  <c r="D148" i="7"/>
  <c r="U395" i="13"/>
  <c r="W395" i="13"/>
  <c r="P638" i="12"/>
  <c r="T389" i="13" s="1"/>
  <c r="O638" i="12"/>
  <c r="O69" i="12"/>
  <c r="S69" i="12"/>
  <c r="T69" i="12" s="1"/>
  <c r="P69" i="12"/>
  <c r="O601" i="12"/>
  <c r="P601" i="12"/>
  <c r="W80" i="13"/>
  <c r="U80" i="13"/>
  <c r="W70" i="13"/>
  <c r="U70" i="13"/>
  <c r="O341" i="12"/>
  <c r="P341" i="12"/>
  <c r="T155" i="13" s="1"/>
  <c r="P472" i="12"/>
  <c r="W472" i="12" s="1"/>
  <c r="O472" i="12"/>
  <c r="O501" i="12"/>
  <c r="T294" i="13"/>
  <c r="P501" i="12"/>
  <c r="O680" i="12"/>
  <c r="T416" i="13" s="1"/>
  <c r="P488" i="12"/>
  <c r="T281" i="13"/>
  <c r="O488" i="12"/>
  <c r="P430" i="12"/>
  <c r="W430" i="12" s="1"/>
  <c r="O430" i="12"/>
  <c r="P686" i="12"/>
  <c r="O686" i="12"/>
  <c r="T418" i="13" s="1"/>
  <c r="W418" i="13" s="1"/>
  <c r="O695" i="12"/>
  <c r="T424" i="13"/>
  <c r="W424" i="13" s="1"/>
  <c r="P695" i="12"/>
  <c r="P335" i="12"/>
  <c r="T149" i="13"/>
  <c r="O335" i="12"/>
  <c r="O661" i="12"/>
  <c r="T401" i="13" s="1"/>
  <c r="W401" i="13" s="1"/>
  <c r="P661" i="12"/>
  <c r="O71" i="12"/>
  <c r="S71" i="12" s="1"/>
  <c r="T71" i="12" s="1"/>
  <c r="P71" i="12"/>
  <c r="P50" i="12"/>
  <c r="O50" i="12"/>
  <c r="S50" i="12"/>
  <c r="T50" i="12" s="1"/>
  <c r="P93" i="12"/>
  <c r="O93" i="12"/>
  <c r="O280" i="12"/>
  <c r="P280" i="12"/>
  <c r="T104" i="13"/>
  <c r="P487" i="12"/>
  <c r="O487" i="12"/>
  <c r="T280" i="13" s="1"/>
  <c r="P278" i="12"/>
  <c r="O657" i="12"/>
  <c r="T397" i="13"/>
  <c r="W397" i="13" s="1"/>
  <c r="P657" i="12"/>
  <c r="V408" i="12"/>
  <c r="T200" i="13"/>
  <c r="P357" i="12"/>
  <c r="T165" i="13"/>
  <c r="O357" i="12"/>
  <c r="V447" i="12"/>
  <c r="T239" i="13"/>
  <c r="P422" i="12"/>
  <c r="O422" i="12"/>
  <c r="V422" i="12"/>
  <c r="P429" i="12"/>
  <c r="W429" i="12" s="1"/>
  <c r="O429" i="12"/>
  <c r="P29" i="12"/>
  <c r="O29" i="12"/>
  <c r="S29" i="12" s="1"/>
  <c r="T29" i="12" s="1"/>
  <c r="O207" i="12"/>
  <c r="P207" i="12"/>
  <c r="O513" i="12"/>
  <c r="T306" i="13"/>
  <c r="P513" i="12"/>
  <c r="O511" i="12"/>
  <c r="T304" i="13" s="1"/>
  <c r="P511" i="12"/>
  <c r="P498" i="12"/>
  <c r="O498" i="12"/>
  <c r="T291" i="13"/>
  <c r="O61" i="12"/>
  <c r="S61" i="12"/>
  <c r="T61" i="12" s="1"/>
  <c r="P585" i="12"/>
  <c r="O585" i="12"/>
  <c r="T356" i="13" s="1"/>
  <c r="P398" i="12"/>
  <c r="W398" i="12" s="1"/>
  <c r="O398" i="12"/>
  <c r="P395" i="12"/>
  <c r="W395" i="12"/>
  <c r="O395" i="12"/>
  <c r="P618" i="12"/>
  <c r="P434" i="12"/>
  <c r="P52" i="12"/>
  <c r="O52" i="12"/>
  <c r="S52" i="12" s="1"/>
  <c r="T52" i="12" s="1"/>
  <c r="O454" i="12"/>
  <c r="P454" i="12"/>
  <c r="W454" i="12" s="1"/>
  <c r="O624" i="12"/>
  <c r="P624" i="12"/>
  <c r="T379" i="13"/>
  <c r="P55" i="12"/>
  <c r="O55" i="12"/>
  <c r="O486" i="12"/>
  <c r="T279" i="13"/>
  <c r="P486" i="12"/>
  <c r="P295" i="12"/>
  <c r="O295" i="12"/>
  <c r="T117" i="13"/>
  <c r="O574" i="12"/>
  <c r="T349" i="13"/>
  <c r="P46" i="12"/>
  <c r="O46" i="12"/>
  <c r="P440" i="12"/>
  <c r="W440" i="12" s="1"/>
  <c r="O440" i="12"/>
  <c r="P402" i="12"/>
  <c r="W402" i="12"/>
  <c r="O402" i="12"/>
  <c r="O329" i="12"/>
  <c r="P329" i="12"/>
  <c r="T143" i="13"/>
  <c r="P312" i="12"/>
  <c r="O312" i="12"/>
  <c r="T131" i="13" s="1"/>
  <c r="P343" i="12"/>
  <c r="O343" i="12"/>
  <c r="T156" i="13" s="1"/>
  <c r="O537" i="12"/>
  <c r="O536" i="12"/>
  <c r="P536" i="12"/>
  <c r="T323" i="13"/>
  <c r="O415" i="12"/>
  <c r="P415" i="12"/>
  <c r="W415" i="12" s="1"/>
  <c r="P517" i="12"/>
  <c r="O517" i="12"/>
  <c r="T310" i="13" s="1"/>
  <c r="O462" i="12"/>
  <c r="P462" i="12"/>
  <c r="W462" i="12"/>
  <c r="O380" i="12"/>
  <c r="V380" i="12"/>
  <c r="P380" i="12"/>
  <c r="O664" i="12"/>
  <c r="T404" i="13" s="1"/>
  <c r="P664" i="12"/>
  <c r="P359" i="12"/>
  <c r="O359" i="12"/>
  <c r="O417" i="12"/>
  <c r="V417" i="12"/>
  <c r="P417" i="12"/>
  <c r="O469" i="12"/>
  <c r="P469" i="12"/>
  <c r="W469" i="12"/>
  <c r="P682" i="12"/>
  <c r="O682" i="12"/>
  <c r="O503" i="12"/>
  <c r="T296" i="13"/>
  <c r="P490" i="12"/>
  <c r="O490" i="12"/>
  <c r="T283" i="13" s="1"/>
  <c r="P541" i="12"/>
  <c r="T325" i="13" s="1"/>
  <c r="O541" i="12"/>
  <c r="O431" i="12"/>
  <c r="V431" i="12"/>
  <c r="P431" i="12"/>
  <c r="P211" i="12"/>
  <c r="O211" i="12"/>
  <c r="T56" i="13"/>
  <c r="P550" i="12"/>
  <c r="O550" i="12"/>
  <c r="T334" i="13" s="1"/>
  <c r="O683" i="12"/>
  <c r="P683" i="12"/>
  <c r="P354" i="12"/>
  <c r="O354" i="12"/>
  <c r="O504" i="12"/>
  <c r="T297" i="13" s="1"/>
  <c r="P504" i="12"/>
  <c r="O522" i="12"/>
  <c r="T315" i="13"/>
  <c r="P522" i="12"/>
  <c r="O345" i="12"/>
  <c r="T158" i="13"/>
  <c r="P345" i="12"/>
  <c r="O450" i="12"/>
  <c r="P450" i="12"/>
  <c r="W450" i="12"/>
  <c r="O489" i="12"/>
  <c r="P489" i="12"/>
  <c r="T282" i="13" s="1"/>
  <c r="P284" i="12"/>
  <c r="T108" i="13" s="1"/>
  <c r="O284" i="12"/>
  <c r="O508" i="12"/>
  <c r="T301" i="13"/>
  <c r="P508" i="12"/>
  <c r="O496" i="12"/>
  <c r="T289" i="13" s="1"/>
  <c r="P496" i="12"/>
  <c r="P272" i="12"/>
  <c r="P58" i="12"/>
  <c r="S58" i="12"/>
  <c r="T58" i="12" s="1"/>
  <c r="O58" i="12"/>
  <c r="P694" i="12"/>
  <c r="O694" i="12"/>
  <c r="T423" i="13" s="1"/>
  <c r="W423" i="13" s="1"/>
  <c r="P606" i="12"/>
  <c r="O606" i="12"/>
  <c r="P349" i="12"/>
  <c r="O349" i="12"/>
  <c r="T162" i="13"/>
  <c r="O397" i="12"/>
  <c r="P397" i="12"/>
  <c r="W397" i="12" s="1"/>
  <c r="P285" i="12"/>
  <c r="O285" i="12"/>
  <c r="T109" i="13" s="1"/>
  <c r="O658" i="12"/>
  <c r="T398" i="13" s="1"/>
  <c r="P658" i="12"/>
  <c r="P97" i="12"/>
  <c r="O97" i="12"/>
  <c r="O530" i="12"/>
  <c r="P530" i="12"/>
  <c r="O458" i="12"/>
  <c r="P458" i="12"/>
  <c r="W458" i="12" s="1"/>
  <c r="O420" i="12"/>
  <c r="P420" i="12"/>
  <c r="W420" i="12"/>
  <c r="P85" i="12"/>
  <c r="O263" i="12"/>
  <c r="T89" i="13"/>
  <c r="P263" i="12"/>
  <c r="P265" i="12"/>
  <c r="O580" i="12"/>
  <c r="T351" i="13"/>
  <c r="P580" i="12"/>
  <c r="P675" i="12"/>
  <c r="O675" i="12"/>
  <c r="P547" i="12"/>
  <c r="O547" i="12"/>
  <c r="T331" i="13" s="1"/>
  <c r="P115" i="12"/>
  <c r="O115" i="12"/>
  <c r="T25" i="13"/>
  <c r="O699" i="12"/>
  <c r="P699" i="12"/>
  <c r="O687" i="12"/>
  <c r="T419" i="13"/>
  <c r="P687" i="12"/>
  <c r="O449" i="12"/>
  <c r="P449" i="12"/>
  <c r="W449" i="12"/>
  <c r="P232" i="12"/>
  <c r="O232" i="12"/>
  <c r="T63" i="13" s="1"/>
  <c r="P31" i="12"/>
  <c r="P340" i="12"/>
  <c r="T154" i="13" s="1"/>
  <c r="O340" i="12"/>
  <c r="U32" i="13"/>
  <c r="O64" i="12"/>
  <c r="S64" i="12"/>
  <c r="T64" i="12" s="1"/>
  <c r="P64" i="12"/>
  <c r="O493" i="12"/>
  <c r="T286" i="13" s="1"/>
  <c r="P480" i="12"/>
  <c r="W480" i="12" s="1"/>
  <c r="O480" i="12"/>
  <c r="P443" i="12"/>
  <c r="W443" i="12"/>
  <c r="O443" i="12"/>
  <c r="P277" i="12"/>
  <c r="T101" i="13" s="1"/>
  <c r="O353" i="12"/>
  <c r="P353" i="12"/>
  <c r="O482" i="12"/>
  <c r="T275" i="13"/>
  <c r="P482" i="12"/>
  <c r="P410" i="12"/>
  <c r="W410" i="12" s="1"/>
  <c r="O410" i="12"/>
  <c r="U159" i="13"/>
  <c r="O212" i="12"/>
  <c r="P212" i="12"/>
  <c r="T57" i="13" s="1"/>
  <c r="P337" i="12"/>
  <c r="T151" i="13" s="1"/>
  <c r="O337" i="12"/>
  <c r="O419" i="12"/>
  <c r="P419" i="12"/>
  <c r="W419" i="12" s="1"/>
  <c r="P203" i="12"/>
  <c r="O203" i="12"/>
  <c r="O111" i="12"/>
  <c r="P111" i="12"/>
  <c r="O413" i="12"/>
  <c r="V413" i="12" s="1"/>
  <c r="P413" i="12"/>
  <c r="W413" i="12" s="1"/>
  <c r="O62" i="12"/>
  <c r="S62" i="12" s="1"/>
  <c r="T62" i="12" s="1"/>
  <c r="P62" i="12"/>
  <c r="P595" i="12"/>
  <c r="O595" i="12"/>
  <c r="T364" i="13"/>
  <c r="O405" i="12"/>
  <c r="P405" i="12"/>
  <c r="W405" i="12" s="1"/>
  <c r="W36" i="13"/>
  <c r="P276" i="12"/>
  <c r="T100" i="13" s="1"/>
  <c r="O206" i="12"/>
  <c r="P206" i="12"/>
  <c r="P208" i="12"/>
  <c r="O313" i="12"/>
  <c r="T132" i="13" s="1"/>
  <c r="P313" i="12"/>
  <c r="O424" i="12"/>
  <c r="P424" i="12"/>
  <c r="W424" i="12"/>
  <c r="O344" i="12"/>
  <c r="T157" i="13"/>
  <c r="P344" i="12"/>
  <c r="P386" i="12"/>
  <c r="W386" i="12" s="1"/>
  <c r="O386" i="12"/>
  <c r="U24" i="13"/>
  <c r="W24" i="13"/>
  <c r="U64" i="13"/>
  <c r="O560" i="12"/>
  <c r="P560" i="12"/>
  <c r="P350" i="12"/>
  <c r="T163" i="13"/>
  <c r="O350" i="12"/>
  <c r="P596" i="12"/>
  <c r="T365" i="13" s="1"/>
  <c r="O596" i="12"/>
  <c r="P481" i="12"/>
  <c r="W481" i="12"/>
  <c r="O481" i="12"/>
  <c r="O650" i="12"/>
  <c r="P650" i="12"/>
  <c r="P112" i="12"/>
  <c r="O112" i="12"/>
  <c r="O418" i="12"/>
  <c r="P418" i="12"/>
  <c r="W418" i="12"/>
  <c r="P387" i="12"/>
  <c r="W387" i="12"/>
  <c r="O387" i="12"/>
  <c r="P381" i="12"/>
  <c r="W381" i="12"/>
  <c r="O381" i="12"/>
  <c r="O558" i="12"/>
  <c r="T342" i="13" s="1"/>
  <c r="O665" i="12"/>
  <c r="T405" i="13"/>
  <c r="P665" i="12"/>
  <c r="P23" i="12"/>
  <c r="O23" i="12"/>
  <c r="S23" i="12"/>
  <c r="T23" i="12" s="1"/>
  <c r="P24" i="12"/>
  <c r="O24" i="12"/>
  <c r="S24" i="12" s="1"/>
  <c r="T24" i="12" s="1"/>
  <c r="P603" i="12"/>
  <c r="O603" i="12"/>
  <c r="P310" i="12"/>
  <c r="T129" i="13" s="1"/>
  <c r="O692" i="12"/>
  <c r="T421" i="13"/>
  <c r="O568" i="12"/>
  <c r="P568" i="12"/>
  <c r="O369" i="12"/>
  <c r="P369" i="12"/>
  <c r="P339" i="12"/>
  <c r="T153" i="13" s="1"/>
  <c r="O339" i="12"/>
  <c r="O577" i="12"/>
  <c r="P577" i="12"/>
  <c r="O499" i="12"/>
  <c r="T292" i="13" s="1"/>
  <c r="P499" i="12"/>
  <c r="O484" i="12"/>
  <c r="T277" i="13" s="1"/>
  <c r="P484" i="12"/>
  <c r="O400" i="12"/>
  <c r="P400" i="12"/>
  <c r="W400" i="12" s="1"/>
  <c r="O520" i="12"/>
  <c r="T313" i="13" s="1"/>
  <c r="P520" i="12"/>
  <c r="U81" i="13"/>
  <c r="W81" i="13"/>
  <c r="P507" i="12"/>
  <c r="O507" i="12"/>
  <c r="T300" i="13" s="1"/>
  <c r="P435" i="12"/>
  <c r="W435" i="12" s="1"/>
  <c r="O435" i="12"/>
  <c r="O264" i="12"/>
  <c r="T90" i="13"/>
  <c r="P264" i="12"/>
  <c r="P39" i="12"/>
  <c r="O39" i="12"/>
  <c r="O300" i="12"/>
  <c r="P300" i="12"/>
  <c r="T121" i="13"/>
  <c r="O365" i="12"/>
  <c r="P365" i="12"/>
  <c r="P279" i="12"/>
  <c r="O279" i="12"/>
  <c r="T103" i="13"/>
  <c r="P703" i="12"/>
  <c r="O703" i="12"/>
  <c r="T427" i="13" s="1"/>
  <c r="W427" i="13"/>
  <c r="O428" i="12"/>
  <c r="V428" i="12"/>
  <c r="P428" i="12"/>
  <c r="P306" i="12"/>
  <c r="O468" i="12"/>
  <c r="P468" i="12"/>
  <c r="W468" i="12" s="1"/>
  <c r="O594" i="12"/>
  <c r="T363" i="13"/>
  <c r="O561" i="12"/>
  <c r="O562" i="12"/>
  <c r="T343" i="13" s="1"/>
  <c r="P561" i="12"/>
  <c r="P307" i="12"/>
  <c r="T126" i="13"/>
  <c r="O307" i="12"/>
  <c r="O423" i="12"/>
  <c r="P423" i="12"/>
  <c r="W423" i="12"/>
  <c r="P33" i="12"/>
  <c r="O33" i="12"/>
  <c r="S33" i="12" s="1"/>
  <c r="T33" i="12"/>
  <c r="U60" i="13"/>
  <c r="V475" i="12"/>
  <c r="T267" i="13"/>
  <c r="O442" i="12"/>
  <c r="P442" i="12"/>
  <c r="W442" i="12"/>
  <c r="P510" i="12"/>
  <c r="T303" i="13"/>
  <c r="O510" i="12"/>
  <c r="O368" i="12"/>
  <c r="P368" i="12"/>
  <c r="P370" i="12"/>
  <c r="T168" i="13" s="1"/>
  <c r="P635" i="12"/>
  <c r="O635" i="12"/>
  <c r="U31" i="13"/>
  <c r="O282" i="12"/>
  <c r="P282" i="12"/>
  <c r="T106" i="13"/>
  <c r="O456" i="12"/>
  <c r="P456" i="12"/>
  <c r="W456" i="12" s="1"/>
  <c r="O660" i="12"/>
  <c r="T400" i="13" s="1"/>
  <c r="P660" i="12"/>
  <c r="O336" i="12"/>
  <c r="P336" i="12"/>
  <c r="T150" i="13" s="1"/>
  <c r="P102" i="12"/>
  <c r="O102" i="12"/>
  <c r="O620" i="12"/>
  <c r="T375" i="13" s="1"/>
  <c r="P620" i="12"/>
  <c r="P394" i="12"/>
  <c r="W394" i="12"/>
  <c r="O394" i="12"/>
  <c r="W29" i="13"/>
  <c r="P314" i="12"/>
  <c r="P384" i="12"/>
  <c r="W384" i="12"/>
  <c r="O384" i="12"/>
  <c r="P305" i="12"/>
  <c r="T124" i="13" s="1"/>
  <c r="O305" i="12"/>
  <c r="O407" i="12"/>
  <c r="V407" i="12" s="1"/>
  <c r="O391" i="12"/>
  <c r="O548" i="12"/>
  <c r="T332" i="13"/>
  <c r="O669" i="12"/>
  <c r="T409" i="13"/>
  <c r="O581" i="12"/>
  <c r="T352" i="13" s="1"/>
  <c r="P581" i="12"/>
  <c r="U17" i="13"/>
  <c r="X17" i="13"/>
  <c r="P614" i="12"/>
  <c r="O614" i="12"/>
  <c r="O668" i="12"/>
  <c r="T408" i="13"/>
  <c r="P668" i="12"/>
  <c r="O652" i="12"/>
  <c r="P652" i="12"/>
  <c r="O382" i="12"/>
  <c r="P382" i="12"/>
  <c r="W382" i="12" s="1"/>
  <c r="U38" i="13"/>
  <c r="P37" i="12"/>
  <c r="O37" i="12"/>
  <c r="P549" i="12"/>
  <c r="O549" i="12"/>
  <c r="T333" i="13"/>
  <c r="P275" i="12"/>
  <c r="T99" i="13"/>
  <c r="O275" i="12"/>
  <c r="O704" i="12"/>
  <c r="T428" i="13"/>
  <c r="P704" i="12"/>
  <c r="W40" i="13"/>
  <c r="U40" i="13"/>
  <c r="O649" i="12"/>
  <c r="P649" i="12"/>
  <c r="O438" i="12"/>
  <c r="V438" i="12" s="1"/>
  <c r="P438" i="12"/>
  <c r="P627" i="12"/>
  <c r="O627" i="12"/>
  <c r="T382" i="13" s="1"/>
  <c r="P634" i="12"/>
  <c r="O634" i="12"/>
  <c r="O636" i="12"/>
  <c r="T388" i="13" s="1"/>
  <c r="O573" i="12"/>
  <c r="T348" i="13"/>
  <c r="P573" i="12"/>
  <c r="O108" i="12"/>
  <c r="P108" i="12"/>
  <c r="O385" i="12"/>
  <c r="P385" i="12"/>
  <c r="W385" i="12"/>
  <c r="O557" i="12"/>
  <c r="T341" i="13"/>
  <c r="P557" i="12"/>
  <c r="P399" i="12"/>
  <c r="W399" i="12" s="1"/>
  <c r="O399" i="12"/>
  <c r="P556" i="12"/>
  <c r="O556" i="12"/>
  <c r="T340" i="13" s="1"/>
  <c r="U19" i="13"/>
  <c r="W19" i="13"/>
  <c r="P519" i="12"/>
  <c r="T312" i="13"/>
  <c r="O519" i="12"/>
  <c r="P87" i="12"/>
  <c r="O87" i="12"/>
  <c r="O552" i="12"/>
  <c r="T336" i="13" s="1"/>
  <c r="P552" i="12"/>
  <c r="O213" i="12"/>
  <c r="P213" i="12"/>
  <c r="T58" i="13"/>
  <c r="O545" i="12"/>
  <c r="T329" i="13"/>
  <c r="P545" i="12"/>
  <c r="O553" i="12"/>
  <c r="T337" i="13" s="1"/>
  <c r="P553" i="12"/>
  <c r="O651" i="12"/>
  <c r="P651" i="12"/>
  <c r="O667" i="12"/>
  <c r="T407" i="13"/>
  <c r="P586" i="12"/>
  <c r="O586" i="12"/>
  <c r="T357" i="13"/>
  <c r="W35" i="13"/>
  <c r="U35" i="13"/>
  <c r="O600" i="12"/>
  <c r="P600" i="12"/>
  <c r="O602" i="12" s="1"/>
  <c r="T367" i="13" s="1"/>
  <c r="P32" i="12"/>
  <c r="O32" i="12"/>
  <c r="S32" i="12" s="1"/>
  <c r="T32" i="12" s="1"/>
  <c r="O626" i="12"/>
  <c r="T381" i="13"/>
  <c r="P626" i="12"/>
  <c r="P98" i="12"/>
  <c r="O98" i="12"/>
  <c r="P625" i="12"/>
  <c r="T380" i="13" s="1"/>
  <c r="O625" i="12"/>
  <c r="O598" i="12"/>
  <c r="P598" i="12"/>
  <c r="O483" i="12"/>
  <c r="T276" i="13"/>
  <c r="P483" i="12"/>
  <c r="O379" i="12"/>
  <c r="P379" i="12"/>
  <c r="W379" i="12"/>
  <c r="O459" i="12"/>
  <c r="V459" i="12"/>
  <c r="P231" i="12"/>
  <c r="O491" i="12"/>
  <c r="T284" i="13"/>
  <c r="P491" i="12"/>
  <c r="O446" i="12"/>
  <c r="V446" i="12" s="1"/>
  <c r="P446" i="12"/>
  <c r="O582" i="12"/>
  <c r="T353" i="13"/>
  <c r="P582" i="12"/>
  <c r="P331" i="12"/>
  <c r="T145" i="13" s="1"/>
  <c r="O331" i="12"/>
  <c r="P666" i="12"/>
  <c r="O666" i="12"/>
  <c r="T406" i="13" s="1"/>
  <c r="O53" i="12"/>
  <c r="S53" i="12"/>
  <c r="T53" i="12" s="1"/>
  <c r="W28" i="13"/>
  <c r="U28" i="13"/>
  <c r="P463" i="12"/>
  <c r="W463" i="12" s="1"/>
  <c r="O463" i="12"/>
  <c r="P427" i="12"/>
  <c r="W427" i="12"/>
  <c r="O427" i="12"/>
  <c r="P364" i="12"/>
  <c r="O364" i="12"/>
  <c r="O159" i="12"/>
  <c r="P159" i="12"/>
  <c r="O34" i="12"/>
  <c r="S34" i="12" s="1"/>
  <c r="T34" i="12" s="1"/>
  <c r="P34" i="12"/>
  <c r="P477" i="12"/>
  <c r="O477" i="12"/>
  <c r="V477" i="12"/>
  <c r="P273" i="12"/>
  <c r="T97" i="13"/>
  <c r="O273" i="12"/>
  <c r="O506" i="12"/>
  <c r="T299" i="13" s="1"/>
  <c r="P506" i="12"/>
  <c r="P332" i="12"/>
  <c r="T146" i="13" s="1"/>
  <c r="O389" i="12"/>
  <c r="V389" i="12" s="1"/>
  <c r="P389" i="12"/>
  <c r="O696" i="12"/>
  <c r="T425" i="13"/>
  <c r="W425" i="13" s="1"/>
  <c r="P696" i="12"/>
  <c r="O439" i="12"/>
  <c r="V439" i="12" s="1"/>
  <c r="O388" i="12"/>
  <c r="V388" i="12" s="1"/>
  <c r="P388" i="12"/>
  <c r="O474" i="12"/>
  <c r="P474" i="12"/>
  <c r="W474" i="12" s="1"/>
  <c r="O564" i="12"/>
  <c r="T344" i="13"/>
  <c r="P564" i="12"/>
  <c r="U23" i="13"/>
  <c r="W23" i="13"/>
  <c r="O404" i="12"/>
  <c r="P404" i="12"/>
  <c r="W404" i="12"/>
  <c r="O516" i="12"/>
  <c r="T309" i="13"/>
  <c r="P516" i="12"/>
  <c r="P30" i="12"/>
  <c r="O30" i="12"/>
  <c r="S30" i="12"/>
  <c r="T30" i="12" s="1"/>
  <c r="O571" i="12"/>
  <c r="T346" i="13" s="1"/>
  <c r="P571" i="12"/>
  <c r="O470" i="12"/>
  <c r="V470" i="12"/>
  <c r="P470" i="12"/>
  <c r="P281" i="12"/>
  <c r="T105" i="13" s="1"/>
  <c r="O281" i="12"/>
  <c r="O672" i="12"/>
  <c r="T412" i="13"/>
  <c r="P672" i="12"/>
  <c r="P617" i="12"/>
  <c r="O617" i="12"/>
  <c r="T243" i="13"/>
  <c r="V451" i="12"/>
  <c r="U136" i="13"/>
  <c r="W136" i="13"/>
  <c r="W69" i="13"/>
  <c r="U69" i="13"/>
  <c r="P274" i="12"/>
  <c r="T98" i="13" s="1"/>
  <c r="O274" i="12"/>
  <c r="P532" i="12"/>
  <c r="O532" i="12"/>
  <c r="P590" i="12"/>
  <c r="O590" i="12"/>
  <c r="O296" i="12"/>
  <c r="T118" i="13" s="1"/>
  <c r="P296" i="12"/>
  <c r="P478" i="12"/>
  <c r="W478" i="12"/>
  <c r="O478" i="12"/>
  <c r="O697" i="12"/>
  <c r="P697" i="12"/>
  <c r="P543" i="12"/>
  <c r="O543" i="12"/>
  <c r="T327" i="13"/>
  <c r="O401" i="12"/>
  <c r="P401" i="12"/>
  <c r="W401" i="12" s="1"/>
  <c r="P425" i="12"/>
  <c r="W425" i="12" s="1"/>
  <c r="O425" i="12"/>
  <c r="O492" i="12"/>
  <c r="T285" i="13"/>
  <c r="P492" i="12"/>
  <c r="P92" i="12"/>
  <c r="O92" i="12"/>
  <c r="P611" i="12"/>
  <c r="O611" i="12"/>
  <c r="P612" i="12"/>
  <c r="P542" i="12"/>
  <c r="O542" i="12"/>
  <c r="T326" i="13" s="1"/>
  <c r="P70" i="12"/>
  <c r="O70" i="12"/>
  <c r="S70" i="12" s="1"/>
  <c r="T70" i="12" s="1"/>
  <c r="O567" i="12"/>
  <c r="P567" i="12"/>
  <c r="U391" i="13"/>
  <c r="W391" i="13"/>
  <c r="V396" i="12"/>
  <c r="T188" i="13"/>
  <c r="U184" i="13"/>
  <c r="W184" i="13"/>
  <c r="W208" i="13"/>
  <c r="U208" i="13"/>
  <c r="P20" i="26"/>
  <c r="O20" i="26"/>
  <c r="Q20" i="26" s="1"/>
  <c r="X16" i="13"/>
  <c r="U16" i="13"/>
  <c r="U71" i="13"/>
  <c r="W71" i="13"/>
  <c r="W86" i="13"/>
  <c r="U86" i="13"/>
  <c r="U59" i="13"/>
  <c r="W59" i="13"/>
  <c r="U78" i="13"/>
  <c r="W78" i="13"/>
  <c r="W138" i="13"/>
  <c r="U138" i="13"/>
  <c r="V436" i="12"/>
  <c r="T228" i="13"/>
  <c r="P330" i="12"/>
  <c r="T144" i="13" s="1"/>
  <c r="O551" i="12"/>
  <c r="T335" i="13"/>
  <c r="P551" i="12"/>
  <c r="O28" i="12"/>
  <c r="S28" i="12"/>
  <c r="T28" i="12" s="1"/>
  <c r="P28" i="12"/>
  <c r="O107" i="12"/>
  <c r="P107" i="12"/>
  <c r="P437" i="12"/>
  <c r="W437" i="12"/>
  <c r="O437" i="12"/>
  <c r="P421" i="12"/>
  <c r="W421" i="12" s="1"/>
  <c r="O421" i="12"/>
  <c r="P518" i="12"/>
  <c r="O518" i="12"/>
  <c r="T311" i="13" s="1"/>
  <c r="P49" i="12"/>
  <c r="O49" i="12"/>
  <c r="S49" i="12"/>
  <c r="T49" i="12" s="1"/>
  <c r="W84" i="13"/>
  <c r="U84" i="13"/>
  <c r="W140" i="13"/>
  <c r="U140" i="13"/>
  <c r="W369" i="13"/>
  <c r="U369" i="13"/>
  <c r="R154" i="7"/>
  <c r="V154" i="7" s="1"/>
  <c r="G154" i="7"/>
  <c r="U34" i="13"/>
  <c r="W34" i="13"/>
  <c r="W27" i="13"/>
  <c r="U27" i="13"/>
  <c r="P473" i="12"/>
  <c r="O473" i="12"/>
  <c r="V473" i="12"/>
  <c r="P45" i="12"/>
  <c r="O45" i="12"/>
  <c r="S45" i="12" s="1"/>
  <c r="T45" i="12" s="1"/>
  <c r="U30" i="13"/>
  <c r="W30" i="13"/>
  <c r="U21" i="13"/>
  <c r="W21" i="13"/>
  <c r="P546" i="12"/>
  <c r="O546" i="12"/>
  <c r="T330" i="13"/>
  <c r="O309" i="12"/>
  <c r="T128" i="13"/>
  <c r="P309" i="12"/>
  <c r="O538" i="12"/>
  <c r="O539" i="12" s="1"/>
  <c r="T324" i="13" s="1"/>
  <c r="P538" i="12"/>
  <c r="O512" i="12"/>
  <c r="T305" i="13" s="1"/>
  <c r="P512" i="12"/>
  <c r="O528" i="12"/>
  <c r="P528" i="12"/>
  <c r="T321" i="13" s="1"/>
  <c r="O642" i="12"/>
  <c r="P642" i="12"/>
  <c r="O663" i="12"/>
  <c r="T403" i="13" s="1"/>
  <c r="O526" i="12"/>
  <c r="T319" i="13"/>
  <c r="P526" i="12"/>
  <c r="P533" i="12"/>
  <c r="O533" i="12"/>
  <c r="W139" i="13"/>
  <c r="U139" i="13"/>
  <c r="W82" i="13"/>
  <c r="U82" i="13"/>
  <c r="U88" i="13"/>
  <c r="W88" i="13"/>
  <c r="U77" i="13"/>
  <c r="W77" i="13"/>
  <c r="F88" i="6"/>
  <c r="I88" i="6" s="1"/>
  <c r="R83" i="7"/>
  <c r="V83" i="7" s="1"/>
  <c r="G83" i="7"/>
  <c r="R21" i="7"/>
  <c r="F20" i="6"/>
  <c r="F168" i="6"/>
  <c r="I168" i="6"/>
  <c r="R147" i="7"/>
  <c r="V147" i="7"/>
  <c r="G147" i="7"/>
  <c r="D130" i="7"/>
  <c r="F139" i="6"/>
  <c r="F145" i="6"/>
  <c r="I145" i="6" s="1"/>
  <c r="R123" i="7"/>
  <c r="D38" i="7"/>
  <c r="D31" i="7"/>
  <c r="R23" i="7"/>
  <c r="F22" i="6"/>
  <c r="R146" i="7"/>
  <c r="V146" i="7"/>
  <c r="F167" i="6"/>
  <c r="I167" i="6"/>
  <c r="G146" i="7"/>
  <c r="R89" i="7"/>
  <c r="F97" i="6"/>
  <c r="F172" i="6"/>
  <c r="I172" i="6" s="1"/>
  <c r="R151" i="7"/>
  <c r="V151" i="7" s="1"/>
  <c r="G151" i="7"/>
  <c r="R122" i="7"/>
  <c r="F138" i="6"/>
  <c r="F146" i="6" s="1"/>
  <c r="I146" i="6" s="1"/>
  <c r="D131" i="7"/>
  <c r="F141" i="6"/>
  <c r="F149" i="6" s="1"/>
  <c r="I149" i="6" s="1"/>
  <c r="D134" i="7"/>
  <c r="R126" i="7"/>
  <c r="D15" i="7"/>
  <c r="R15" i="7"/>
  <c r="D40" i="7"/>
  <c r="F24" i="6"/>
  <c r="D33" i="7"/>
  <c r="R25" i="7"/>
  <c r="F171" i="6"/>
  <c r="I171" i="6"/>
  <c r="R150" i="7"/>
  <c r="V150" i="7"/>
  <c r="G150" i="7"/>
  <c r="R117" i="7"/>
  <c r="V117" i="7" s="1"/>
  <c r="F200" i="6"/>
  <c r="I200" i="6" s="1"/>
  <c r="G117" i="7"/>
  <c r="F166" i="6"/>
  <c r="I166" i="6"/>
  <c r="R145" i="7"/>
  <c r="G145" i="7"/>
  <c r="F55" i="6"/>
  <c r="F61" i="6"/>
  <c r="D57" i="7"/>
  <c r="D82" i="7"/>
  <c r="R51" i="7"/>
  <c r="D60" i="7"/>
  <c r="F51" i="6"/>
  <c r="R47" i="7"/>
  <c r="D56" i="7"/>
  <c r="F54" i="6"/>
  <c r="F60" i="6"/>
  <c r="D81" i="7"/>
  <c r="R50" i="7"/>
  <c r="R116" i="7"/>
  <c r="V116" i="7" s="1"/>
  <c r="F130" i="6"/>
  <c r="I130" i="6" s="1"/>
  <c r="F199" i="6"/>
  <c r="I199" i="6" s="1"/>
  <c r="G116" i="7"/>
  <c r="G155" i="7"/>
  <c r="R155" i="7"/>
  <c r="V155" i="7" s="1"/>
  <c r="F63" i="6"/>
  <c r="R59" i="7"/>
  <c r="P360" i="12"/>
  <c r="O360" i="12"/>
  <c r="O361" i="12" s="1"/>
  <c r="T166" i="13" s="1"/>
  <c r="P333" i="12"/>
  <c r="T147" i="13" s="1"/>
  <c r="O584" i="12"/>
  <c r="T355" i="13" s="1"/>
  <c r="P584" i="12"/>
  <c r="O372" i="12"/>
  <c r="P372" i="12"/>
  <c r="T169" i="13" s="1"/>
  <c r="W33" i="13"/>
  <c r="U33" i="13"/>
  <c r="O583" i="12"/>
  <c r="T354" i="13" s="1"/>
  <c r="P583" i="12"/>
  <c r="W75" i="13"/>
  <c r="U75" i="13"/>
  <c r="U92" i="13"/>
  <c r="W92" i="13"/>
  <c r="W79" i="13"/>
  <c r="U79" i="13"/>
  <c r="R99" i="7"/>
  <c r="D105" i="7"/>
  <c r="F112" i="6"/>
  <c r="F119" i="6"/>
  <c r="D110" i="7"/>
  <c r="D30" i="7"/>
  <c r="D37" i="7"/>
  <c r="F21" i="6"/>
  <c r="R22" i="7"/>
  <c r="R46" i="7"/>
  <c r="F50" i="6"/>
  <c r="D77" i="7"/>
  <c r="D113" i="7"/>
  <c r="R98" i="7"/>
  <c r="F111" i="6"/>
  <c r="R97" i="7"/>
  <c r="F110" i="6"/>
  <c r="F118" i="6"/>
  <c r="D109" i="7"/>
  <c r="D104" i="7"/>
  <c r="R149" i="7"/>
  <c r="V149" i="7"/>
  <c r="F170" i="6"/>
  <c r="I170" i="6"/>
  <c r="G149" i="7"/>
  <c r="R52" i="7"/>
  <c r="F56" i="6"/>
  <c r="F62" i="6"/>
  <c r="D58" i="7"/>
  <c r="F66" i="6"/>
  <c r="I66" i="6"/>
  <c r="R62" i="7"/>
  <c r="V62" i="7"/>
  <c r="G62" i="7"/>
  <c r="D111" i="7"/>
  <c r="F113" i="6"/>
  <c r="F120" i="6"/>
  <c r="D106" i="7"/>
  <c r="R100" i="7"/>
  <c r="R124" i="7"/>
  <c r="D132" i="7"/>
  <c r="F140" i="6"/>
  <c r="F147" i="6"/>
  <c r="I147" i="6" s="1"/>
  <c r="D17" i="7"/>
  <c r="D39" i="7"/>
  <c r="D14" i="7"/>
  <c r="R14" i="7" s="1"/>
  <c r="F23" i="6"/>
  <c r="D32" i="7"/>
  <c r="R24" i="7"/>
  <c r="R128" i="7"/>
  <c r="F142" i="6"/>
  <c r="F150" i="6" s="1"/>
  <c r="I150" i="6" s="1"/>
  <c r="D135" i="7"/>
  <c r="F95" i="6"/>
  <c r="R87" i="7"/>
  <c r="F26" i="6"/>
  <c r="R27" i="7"/>
  <c r="D42" i="7"/>
  <c r="D35" i="7"/>
  <c r="E35" i="5"/>
  <c r="E36" i="5" s="1"/>
  <c r="E37" i="5" s="1"/>
  <c r="F39" i="5" s="1"/>
  <c r="E34" i="5"/>
  <c r="E45" i="5"/>
  <c r="F47" i="5" s="1"/>
  <c r="D38" i="23" s="1"/>
  <c r="O355" i="12"/>
  <c r="T164" i="13" s="1"/>
  <c r="R148" i="7"/>
  <c r="V148" i="7" s="1"/>
  <c r="G148" i="7"/>
  <c r="F169" i="6"/>
  <c r="I169" i="6"/>
  <c r="F96" i="6"/>
  <c r="R88" i="7"/>
  <c r="D91" i="7"/>
  <c r="D93" i="7"/>
  <c r="W389" i="13"/>
  <c r="U389" i="13"/>
  <c r="O684" i="12"/>
  <c r="T417" i="13"/>
  <c r="W417" i="13" s="1"/>
  <c r="V430" i="12"/>
  <c r="T222" i="13"/>
  <c r="V472" i="12"/>
  <c r="T264" i="13"/>
  <c r="U155" i="13"/>
  <c r="W155" i="13"/>
  <c r="U149" i="13"/>
  <c r="W149" i="13"/>
  <c r="W281" i="13"/>
  <c r="U281" i="13"/>
  <c r="W416" i="13"/>
  <c r="U416" i="13"/>
  <c r="W294" i="13"/>
  <c r="U294" i="13"/>
  <c r="V429" i="12"/>
  <c r="T221" i="13"/>
  <c r="U239" i="13"/>
  <c r="W239" i="13"/>
  <c r="W200" i="13"/>
  <c r="U200" i="13"/>
  <c r="W280" i="13"/>
  <c r="U280" i="13"/>
  <c r="U104" i="13"/>
  <c r="W104" i="13"/>
  <c r="W304" i="13"/>
  <c r="U304" i="13"/>
  <c r="U306" i="13"/>
  <c r="W306" i="13"/>
  <c r="T214" i="13"/>
  <c r="W422" i="12"/>
  <c r="U165" i="13"/>
  <c r="W165" i="13"/>
  <c r="W325" i="13"/>
  <c r="U325" i="13"/>
  <c r="V469" i="12"/>
  <c r="T261" i="13"/>
  <c r="U404" i="13"/>
  <c r="W404" i="13"/>
  <c r="V462" i="12"/>
  <c r="T254" i="13"/>
  <c r="V415" i="12"/>
  <c r="T207" i="13"/>
  <c r="W349" i="13"/>
  <c r="U349" i="13"/>
  <c r="U279" i="13"/>
  <c r="W279" i="13"/>
  <c r="V454" i="12"/>
  <c r="T246" i="13"/>
  <c r="W431" i="12"/>
  <c r="T223" i="13"/>
  <c r="U283" i="13"/>
  <c r="W283" i="13"/>
  <c r="U296" i="13"/>
  <c r="W296" i="13"/>
  <c r="T209" i="13"/>
  <c r="W417" i="12"/>
  <c r="T172" i="13"/>
  <c r="W380" i="12"/>
  <c r="W310" i="13"/>
  <c r="U310" i="13"/>
  <c r="U323" i="13"/>
  <c r="W323" i="13"/>
  <c r="U156" i="13"/>
  <c r="W156" i="13"/>
  <c r="W131" i="13"/>
  <c r="U131" i="13"/>
  <c r="U143" i="13"/>
  <c r="W143" i="13"/>
  <c r="V402" i="12"/>
  <c r="T194" i="13"/>
  <c r="T232" i="13"/>
  <c r="V440" i="12"/>
  <c r="W117" i="13"/>
  <c r="U117" i="13"/>
  <c r="U379" i="13"/>
  <c r="W379" i="13"/>
  <c r="T226" i="13"/>
  <c r="W434" i="12"/>
  <c r="T187" i="13"/>
  <c r="V395" i="12"/>
  <c r="T190" i="13"/>
  <c r="V398" i="12"/>
  <c r="U356" i="13"/>
  <c r="W356" i="13"/>
  <c r="U291" i="13"/>
  <c r="W291" i="13"/>
  <c r="T202" i="13"/>
  <c r="V410" i="12"/>
  <c r="T235" i="13"/>
  <c r="V443" i="12"/>
  <c r="V480" i="12"/>
  <c r="T273" i="13"/>
  <c r="W286" i="13"/>
  <c r="U286" i="13"/>
  <c r="U63" i="13"/>
  <c r="W63" i="13"/>
  <c r="W25" i="13"/>
  <c r="U25" i="13"/>
  <c r="W331" i="13"/>
  <c r="U331" i="13"/>
  <c r="U109" i="13"/>
  <c r="W109" i="13"/>
  <c r="W162" i="13"/>
  <c r="U162" i="13"/>
  <c r="W282" i="13"/>
  <c r="U282" i="13"/>
  <c r="U334" i="13"/>
  <c r="W334" i="13"/>
  <c r="U56" i="13"/>
  <c r="W56" i="13"/>
  <c r="U275" i="13"/>
  <c r="W275" i="13"/>
  <c r="U101" i="13"/>
  <c r="W101" i="13"/>
  <c r="W154" i="13"/>
  <c r="U154" i="13"/>
  <c r="V449" i="12"/>
  <c r="T241" i="13"/>
  <c r="W419" i="13"/>
  <c r="U419" i="13"/>
  <c r="W351" i="13"/>
  <c r="U351" i="13"/>
  <c r="W89" i="13"/>
  <c r="U89" i="13"/>
  <c r="T212" i="13"/>
  <c r="V420" i="12"/>
  <c r="T250" i="13"/>
  <c r="V458" i="12"/>
  <c r="U398" i="13"/>
  <c r="W398" i="13"/>
  <c r="V397" i="12"/>
  <c r="T189" i="13"/>
  <c r="U289" i="13"/>
  <c r="W289" i="13"/>
  <c r="U301" i="13"/>
  <c r="W301" i="13"/>
  <c r="U108" i="13"/>
  <c r="W108" i="13"/>
  <c r="V450" i="12"/>
  <c r="T242" i="13"/>
  <c r="W158" i="13"/>
  <c r="U158" i="13"/>
  <c r="U315" i="13"/>
  <c r="W315" i="13"/>
  <c r="U297" i="13"/>
  <c r="W297" i="13"/>
  <c r="T173" i="13"/>
  <c r="V381" i="12"/>
  <c r="V387" i="12"/>
  <c r="T179" i="13"/>
  <c r="V481" i="12"/>
  <c r="T274" i="13"/>
  <c r="V386" i="12"/>
  <c r="T178" i="13"/>
  <c r="U364" i="13"/>
  <c r="W364" i="13"/>
  <c r="W57" i="13"/>
  <c r="U57" i="13"/>
  <c r="W313" i="13"/>
  <c r="U313" i="13"/>
  <c r="V400" i="12"/>
  <c r="T192" i="13"/>
  <c r="U277" i="13"/>
  <c r="W277" i="13"/>
  <c r="W292" i="13"/>
  <c r="U292" i="13"/>
  <c r="W153" i="13"/>
  <c r="U153" i="13"/>
  <c r="W421" i="13"/>
  <c r="U421" i="13"/>
  <c r="U129" i="13"/>
  <c r="W129" i="13"/>
  <c r="U405" i="13"/>
  <c r="W405" i="13"/>
  <c r="U342" i="13"/>
  <c r="W342" i="13"/>
  <c r="T210" i="13"/>
  <c r="V418" i="12"/>
  <c r="W365" i="13"/>
  <c r="U365" i="13"/>
  <c r="U163" i="13"/>
  <c r="W163" i="13"/>
  <c r="U157" i="13"/>
  <c r="W157" i="13"/>
  <c r="V424" i="12"/>
  <c r="T216" i="13"/>
  <c r="U132" i="13"/>
  <c r="W132" i="13"/>
  <c r="W100" i="13"/>
  <c r="U100" i="13"/>
  <c r="V405" i="12"/>
  <c r="T197" i="13"/>
  <c r="T211" i="13"/>
  <c r="V419" i="12"/>
  <c r="U151" i="13"/>
  <c r="W151" i="13"/>
  <c r="V384" i="12"/>
  <c r="T176" i="13"/>
  <c r="V394" i="12"/>
  <c r="T186" i="13"/>
  <c r="U150" i="13"/>
  <c r="W150" i="13"/>
  <c r="W106" i="13"/>
  <c r="U106" i="13"/>
  <c r="U168" i="13"/>
  <c r="W168" i="13"/>
  <c r="W267" i="13"/>
  <c r="U267" i="13"/>
  <c r="U363" i="13"/>
  <c r="W363" i="13"/>
  <c r="T220" i="13"/>
  <c r="W428" i="12"/>
  <c r="W103" i="13"/>
  <c r="U103" i="13"/>
  <c r="D140" i="7"/>
  <c r="W121" i="13"/>
  <c r="U121" i="13"/>
  <c r="V435" i="12"/>
  <c r="T227" i="13"/>
  <c r="W300" i="13"/>
  <c r="U300" i="13"/>
  <c r="W352" i="13"/>
  <c r="U352" i="13"/>
  <c r="W409" i="13"/>
  <c r="U409" i="13"/>
  <c r="W332" i="13"/>
  <c r="U332" i="13"/>
  <c r="T183" i="13"/>
  <c r="V391" i="12"/>
  <c r="U124" i="13"/>
  <c r="W124" i="13"/>
  <c r="W375" i="13"/>
  <c r="U375" i="13"/>
  <c r="W400" i="13"/>
  <c r="U400" i="13"/>
  <c r="T248" i="13"/>
  <c r="V456" i="12"/>
  <c r="W303" i="13"/>
  <c r="U303" i="13"/>
  <c r="V442" i="12"/>
  <c r="T234" i="13"/>
  <c r="T215" i="13"/>
  <c r="V423" i="12"/>
  <c r="W126" i="13"/>
  <c r="U126" i="13"/>
  <c r="U343" i="13"/>
  <c r="W343" i="13"/>
  <c r="T260" i="13"/>
  <c r="V468" i="12"/>
  <c r="U90" i="13"/>
  <c r="W90" i="13"/>
  <c r="W357" i="13"/>
  <c r="U357" i="13"/>
  <c r="U58" i="13"/>
  <c r="W58" i="13"/>
  <c r="V399" i="12"/>
  <c r="T191" i="13"/>
  <c r="W438" i="12"/>
  <c r="T230" i="13"/>
  <c r="U333" i="13"/>
  <c r="W333" i="13"/>
  <c r="U276" i="13"/>
  <c r="W276" i="13"/>
  <c r="W381" i="13"/>
  <c r="U381" i="13"/>
  <c r="W407" i="13"/>
  <c r="U407" i="13"/>
  <c r="W329" i="13"/>
  <c r="U329" i="13"/>
  <c r="W312" i="13"/>
  <c r="U312" i="13"/>
  <c r="W341" i="13"/>
  <c r="U341" i="13"/>
  <c r="T177" i="13"/>
  <c r="V385" i="12"/>
  <c r="U348" i="13"/>
  <c r="W348" i="13"/>
  <c r="O653" i="12"/>
  <c r="T394" i="13"/>
  <c r="U428" i="13"/>
  <c r="W428" i="13"/>
  <c r="U99" i="13"/>
  <c r="W99" i="13"/>
  <c r="V382" i="12"/>
  <c r="T174" i="13"/>
  <c r="U408" i="13"/>
  <c r="W408" i="13"/>
  <c r="V379" i="12"/>
  <c r="T171" i="13"/>
  <c r="U284" i="13"/>
  <c r="W284" i="13"/>
  <c r="T238" i="13"/>
  <c r="W446" i="12"/>
  <c r="W353" i="13"/>
  <c r="U353" i="13"/>
  <c r="T45" i="13"/>
  <c r="T372" i="13"/>
  <c r="W285" i="13"/>
  <c r="U285" i="13"/>
  <c r="V401" i="12"/>
  <c r="T193" i="13"/>
  <c r="U243" i="13"/>
  <c r="W243" i="13"/>
  <c r="U412" i="13"/>
  <c r="W412" i="13"/>
  <c r="U346" i="13"/>
  <c r="W346" i="13"/>
  <c r="U309" i="13"/>
  <c r="W309" i="13"/>
  <c r="T196" i="13"/>
  <c r="V404" i="12"/>
  <c r="W344" i="13"/>
  <c r="U344" i="13"/>
  <c r="V474" i="12"/>
  <c r="T266" i="13"/>
  <c r="U97" i="13"/>
  <c r="W97" i="13"/>
  <c r="W477" i="12"/>
  <c r="T269" i="13"/>
  <c r="T217" i="13"/>
  <c r="V425" i="12"/>
  <c r="W327" i="13"/>
  <c r="U327" i="13"/>
  <c r="T271" i="13"/>
  <c r="V478" i="12"/>
  <c r="T262" i="13"/>
  <c r="W470" i="12"/>
  <c r="T180" i="13"/>
  <c r="W388" i="12"/>
  <c r="T181" i="13"/>
  <c r="W389" i="12"/>
  <c r="V427" i="12"/>
  <c r="T219" i="13"/>
  <c r="T255" i="13"/>
  <c r="V463" i="12"/>
  <c r="W188" i="13"/>
  <c r="U188" i="13"/>
  <c r="W228" i="13"/>
  <c r="U228" i="13"/>
  <c r="R42" i="7"/>
  <c r="V42" i="7"/>
  <c r="G42" i="7"/>
  <c r="F43" i="6"/>
  <c r="I43" i="6" s="1"/>
  <c r="F35" i="6"/>
  <c r="F15" i="6"/>
  <c r="I15" i="6" s="1"/>
  <c r="F40" i="6"/>
  <c r="I40" i="6" s="1"/>
  <c r="F32" i="6"/>
  <c r="F13" i="6"/>
  <c r="R39" i="7"/>
  <c r="V39" i="7"/>
  <c r="G39" i="7"/>
  <c r="R106" i="7"/>
  <c r="R111" i="7"/>
  <c r="V111" i="7"/>
  <c r="G111" i="7"/>
  <c r="R58" i="7"/>
  <c r="D78" i="7"/>
  <c r="R104" i="7"/>
  <c r="F124" i="6"/>
  <c r="I124" i="6"/>
  <c r="R113" i="7"/>
  <c r="V113" i="7" s="1"/>
  <c r="F128" i="6"/>
  <c r="I128" i="6" s="1"/>
  <c r="G113" i="7"/>
  <c r="F38" i="6"/>
  <c r="I38" i="6"/>
  <c r="F30" i="6"/>
  <c r="R30" i="7"/>
  <c r="L155" i="7"/>
  <c r="J155" i="7"/>
  <c r="H155" i="7"/>
  <c r="R81" i="7"/>
  <c r="V81" i="7" s="1"/>
  <c r="F86" i="6"/>
  <c r="I86" i="6" s="1"/>
  <c r="G81" i="7"/>
  <c r="R56" i="7"/>
  <c r="R57" i="7"/>
  <c r="J145" i="7"/>
  <c r="H145" i="7"/>
  <c r="L145" i="7"/>
  <c r="J150" i="7"/>
  <c r="L150" i="7"/>
  <c r="H150" i="7"/>
  <c r="R33" i="7"/>
  <c r="R40" i="7"/>
  <c r="V40" i="7" s="1"/>
  <c r="G40" i="7"/>
  <c r="H151" i="7"/>
  <c r="L151" i="7"/>
  <c r="J151" i="7"/>
  <c r="F39" i="6"/>
  <c r="I39" i="6" s="1"/>
  <c r="F31" i="6"/>
  <c r="R31" i="7"/>
  <c r="R130" i="7"/>
  <c r="V130" i="7"/>
  <c r="G130" i="7"/>
  <c r="J83" i="7"/>
  <c r="L83" i="7"/>
  <c r="H83" i="7"/>
  <c r="W319" i="13"/>
  <c r="U319" i="13"/>
  <c r="W128" i="13"/>
  <c r="U128" i="13"/>
  <c r="W473" i="12"/>
  <c r="T265" i="13"/>
  <c r="V421" i="12"/>
  <c r="T213" i="13"/>
  <c r="T229" i="13"/>
  <c r="V437" i="12"/>
  <c r="R35" i="7"/>
  <c r="R135" i="7"/>
  <c r="V135" i="7"/>
  <c r="G135" i="7"/>
  <c r="R32" i="7"/>
  <c r="G17" i="7"/>
  <c r="R17" i="7"/>
  <c r="R132" i="7"/>
  <c r="V132" i="7"/>
  <c r="G132" i="7"/>
  <c r="F126" i="6"/>
  <c r="I126" i="6" s="1"/>
  <c r="H62" i="7"/>
  <c r="L62" i="7"/>
  <c r="J62" i="7"/>
  <c r="J149" i="7"/>
  <c r="L149" i="7"/>
  <c r="H149" i="7"/>
  <c r="R109" i="7"/>
  <c r="V109" i="7"/>
  <c r="G109" i="7"/>
  <c r="R77" i="7"/>
  <c r="V77" i="7" s="1"/>
  <c r="F82" i="6"/>
  <c r="I82" i="6" s="1"/>
  <c r="G77" i="7"/>
  <c r="G37" i="7"/>
  <c r="R37" i="7"/>
  <c r="V37" i="7" s="1"/>
  <c r="R110" i="7"/>
  <c r="V110" i="7" s="1"/>
  <c r="G110" i="7"/>
  <c r="R105" i="7"/>
  <c r="J116" i="7"/>
  <c r="H116" i="7"/>
  <c r="L116" i="7"/>
  <c r="F64" i="6"/>
  <c r="R60" i="7"/>
  <c r="F87" i="6"/>
  <c r="I87" i="6" s="1"/>
  <c r="R82" i="7"/>
  <c r="V82" i="7" s="1"/>
  <c r="G82" i="7"/>
  <c r="V145" i="7"/>
  <c r="J117" i="7"/>
  <c r="L117" i="7"/>
  <c r="H117" i="7"/>
  <c r="F14" i="6"/>
  <c r="F41" i="6"/>
  <c r="I41" i="6" s="1"/>
  <c r="F33" i="6"/>
  <c r="G134" i="7"/>
  <c r="R134" i="7"/>
  <c r="V134" i="7"/>
  <c r="R131" i="7"/>
  <c r="V131" i="7"/>
  <c r="G131" i="7"/>
  <c r="J146" i="7"/>
  <c r="L146" i="7"/>
  <c r="H146" i="7"/>
  <c r="G38" i="7"/>
  <c r="R38" i="7"/>
  <c r="V38" i="7" s="1"/>
  <c r="H147" i="7"/>
  <c r="J147" i="7"/>
  <c r="L147" i="7"/>
  <c r="U330" i="13"/>
  <c r="W330" i="13"/>
  <c r="J154" i="7"/>
  <c r="H154" i="7"/>
  <c r="L154" i="7"/>
  <c r="U335" i="13"/>
  <c r="W335" i="13"/>
  <c r="R91" i="7"/>
  <c r="F100" i="6"/>
  <c r="F103" i="6"/>
  <c r="I103" i="6" s="1"/>
  <c r="R93" i="7"/>
  <c r="V93" i="7" s="1"/>
  <c r="G93" i="7"/>
  <c r="H148" i="7"/>
  <c r="L148" i="7"/>
  <c r="J148" i="7"/>
  <c r="W264" i="13"/>
  <c r="U264" i="13"/>
  <c r="W222" i="13"/>
  <c r="U222" i="13"/>
  <c r="W221" i="13"/>
  <c r="U221" i="13"/>
  <c r="W214" i="13"/>
  <c r="U214" i="13"/>
  <c r="W194" i="13"/>
  <c r="U194" i="13"/>
  <c r="W223" i="13"/>
  <c r="U223" i="13"/>
  <c r="U246" i="13"/>
  <c r="W246" i="13"/>
  <c r="U207" i="13"/>
  <c r="W207" i="13"/>
  <c r="U254" i="13"/>
  <c r="W254" i="13"/>
  <c r="W261" i="13"/>
  <c r="U261" i="13"/>
  <c r="U190" i="13"/>
  <c r="W190" i="13"/>
  <c r="W187" i="13"/>
  <c r="U187" i="13"/>
  <c r="W226" i="13"/>
  <c r="U226" i="13"/>
  <c r="U232" i="13"/>
  <c r="W232" i="13"/>
  <c r="W172" i="13"/>
  <c r="U172" i="13"/>
  <c r="U209" i="13"/>
  <c r="W209" i="13"/>
  <c r="W242" i="13"/>
  <c r="U242" i="13"/>
  <c r="U189" i="13"/>
  <c r="W189" i="13"/>
  <c r="W241" i="13"/>
  <c r="U241" i="13"/>
  <c r="W273" i="13"/>
  <c r="U273" i="13"/>
  <c r="W250" i="13"/>
  <c r="U250" i="13"/>
  <c r="W212" i="13"/>
  <c r="U212" i="13"/>
  <c r="U235" i="13"/>
  <c r="W235" i="13"/>
  <c r="U202" i="13"/>
  <c r="W202" i="13"/>
  <c r="W211" i="13"/>
  <c r="U211" i="13"/>
  <c r="W210" i="13"/>
  <c r="U210" i="13"/>
  <c r="W178" i="13"/>
  <c r="U178" i="13"/>
  <c r="W274" i="13"/>
  <c r="U274" i="13"/>
  <c r="U179" i="13"/>
  <c r="W179" i="13"/>
  <c r="W197" i="13"/>
  <c r="U197" i="13"/>
  <c r="U216" i="13"/>
  <c r="W216" i="13"/>
  <c r="W192" i="13"/>
  <c r="U192" i="13"/>
  <c r="U173" i="13"/>
  <c r="W173" i="13"/>
  <c r="U260" i="13"/>
  <c r="W260" i="13"/>
  <c r="U215" i="13"/>
  <c r="W215" i="13"/>
  <c r="W248" i="13"/>
  <c r="U248" i="13"/>
  <c r="U183" i="13"/>
  <c r="W183" i="13"/>
  <c r="U186" i="13"/>
  <c r="W186" i="13"/>
  <c r="U176" i="13"/>
  <c r="W176" i="13"/>
  <c r="U234" i="13"/>
  <c r="W234" i="13"/>
  <c r="W227" i="13"/>
  <c r="U227" i="13"/>
  <c r="G140" i="7"/>
  <c r="F158" i="6"/>
  <c r="I158" i="6"/>
  <c r="R140" i="7"/>
  <c r="U220" i="13"/>
  <c r="W220" i="13"/>
  <c r="U230" i="13"/>
  <c r="W230" i="13"/>
  <c r="W191" i="13"/>
  <c r="U191" i="13"/>
  <c r="W174" i="13"/>
  <c r="U174" i="13"/>
  <c r="U394" i="13"/>
  <c r="W394" i="13"/>
  <c r="W177" i="13"/>
  <c r="U177" i="13"/>
  <c r="W171" i="13"/>
  <c r="U171" i="13"/>
  <c r="W238" i="13"/>
  <c r="U238" i="13"/>
  <c r="W255" i="13"/>
  <c r="U255" i="13"/>
  <c r="U181" i="13"/>
  <c r="W181" i="13"/>
  <c r="W180" i="13"/>
  <c r="U180" i="13"/>
  <c r="W262" i="13"/>
  <c r="U262" i="13"/>
  <c r="W271" i="13"/>
  <c r="U271" i="13"/>
  <c r="W217" i="13"/>
  <c r="U217" i="13"/>
  <c r="W266" i="13"/>
  <c r="U266" i="13"/>
  <c r="U193" i="13"/>
  <c r="W193" i="13"/>
  <c r="W372" i="13"/>
  <c r="U372" i="13"/>
  <c r="U219" i="13"/>
  <c r="W219" i="13"/>
  <c r="U269" i="13"/>
  <c r="W269" i="13"/>
  <c r="W196" i="13"/>
  <c r="U196" i="13"/>
  <c r="W45" i="13"/>
  <c r="U45" i="13"/>
  <c r="J134" i="7"/>
  <c r="L134" i="7"/>
  <c r="H134" i="7"/>
  <c r="J37" i="7"/>
  <c r="L37" i="7"/>
  <c r="H37" i="7"/>
  <c r="H77" i="7"/>
  <c r="L77" i="7"/>
  <c r="J77" i="7"/>
  <c r="J17" i="7"/>
  <c r="H17" i="7"/>
  <c r="L17" i="7"/>
  <c r="J135" i="7"/>
  <c r="L135" i="7"/>
  <c r="H135" i="7"/>
  <c r="W213" i="13"/>
  <c r="U213" i="13"/>
  <c r="W265" i="13"/>
  <c r="U265" i="13"/>
  <c r="L130" i="7"/>
  <c r="H130" i="7"/>
  <c r="J130" i="7"/>
  <c r="L113" i="7"/>
  <c r="J113" i="7"/>
  <c r="H113" i="7"/>
  <c r="H111" i="7"/>
  <c r="J111" i="7"/>
  <c r="L111" i="7"/>
  <c r="H39" i="7"/>
  <c r="J39" i="7"/>
  <c r="L39" i="7"/>
  <c r="H42" i="7"/>
  <c r="J42" i="7"/>
  <c r="L42" i="7"/>
  <c r="L38" i="7"/>
  <c r="J38" i="7"/>
  <c r="H38" i="7"/>
  <c r="J131" i="7"/>
  <c r="H131" i="7"/>
  <c r="L131" i="7"/>
  <c r="L82" i="7"/>
  <c r="J82" i="7"/>
  <c r="H82" i="7"/>
  <c r="J110" i="7"/>
  <c r="L110" i="7"/>
  <c r="H110" i="7"/>
  <c r="L109" i="7"/>
  <c r="H109" i="7"/>
  <c r="J109" i="7"/>
  <c r="J132" i="7"/>
  <c r="H132" i="7"/>
  <c r="L132" i="7"/>
  <c r="V17" i="7"/>
  <c r="W229" i="13"/>
  <c r="U229" i="13"/>
  <c r="J40" i="7"/>
  <c r="H40" i="7"/>
  <c r="L40" i="7"/>
  <c r="H81" i="7"/>
  <c r="L81" i="7"/>
  <c r="J81" i="7"/>
  <c r="G78" i="7"/>
  <c r="H78" i="7" s="1"/>
  <c r="F83" i="6"/>
  <c r="I83" i="6"/>
  <c r="R78" i="7"/>
  <c r="V78" i="7"/>
  <c r="J93" i="7"/>
  <c r="L93" i="7"/>
  <c r="H93" i="7"/>
  <c r="V140" i="7"/>
  <c r="H140" i="7"/>
  <c r="J140" i="7"/>
  <c r="L140" i="7"/>
  <c r="J78" i="7"/>
  <c r="L78" i="7"/>
  <c r="U43" i="13"/>
  <c r="W43" i="13"/>
  <c r="I390" i="12"/>
  <c r="K390" i="12" s="1"/>
  <c r="M390" i="12" s="1"/>
  <c r="F628" i="12"/>
  <c r="I628" i="12"/>
  <c r="J628" i="12" s="1"/>
  <c r="H628" i="12"/>
  <c r="W49" i="13"/>
  <c r="U49" i="13"/>
  <c r="U383" i="13"/>
  <c r="W383" i="13"/>
  <c r="W50" i="13"/>
  <c r="U50" i="13"/>
  <c r="W384" i="13"/>
  <c r="U384" i="13"/>
  <c r="H235" i="12"/>
  <c r="G235" i="12"/>
  <c r="L235" i="12" s="1"/>
  <c r="N235" i="12" s="1"/>
  <c r="F235" i="12"/>
  <c r="I235" i="12"/>
  <c r="J235" i="12" s="1"/>
  <c r="P235" i="12" s="1"/>
  <c r="H244" i="12"/>
  <c r="I244" i="12"/>
  <c r="J244" i="12"/>
  <c r="J390" i="12"/>
  <c r="L628" i="12"/>
  <c r="N628" i="12" s="1"/>
  <c r="K244" i="12"/>
  <c r="M244" i="12" s="1"/>
  <c r="L244" i="12"/>
  <c r="N244" i="12"/>
  <c r="H728" i="12"/>
  <c r="O728" i="12" s="1"/>
  <c r="T20" i="13" s="1"/>
  <c r="I728" i="12"/>
  <c r="J728" i="12"/>
  <c r="I441" i="13"/>
  <c r="I447" i="13"/>
  <c r="K728" i="12"/>
  <c r="M728" i="12"/>
  <c r="F125" i="6"/>
  <c r="I125" i="6"/>
  <c r="D26" i="7"/>
  <c r="D156" i="7"/>
  <c r="R156" i="7"/>
  <c r="D101" i="7"/>
  <c r="D144" i="7"/>
  <c r="D114" i="7"/>
  <c r="D49" i="7"/>
  <c r="D48" i="7"/>
  <c r="D153" i="7"/>
  <c r="D133" i="7"/>
  <c r="D152" i="7"/>
  <c r="AA100" i="7"/>
  <c r="Z119" i="7"/>
  <c r="AA128" i="7"/>
  <c r="Z137" i="7"/>
  <c r="AA119" i="7"/>
  <c r="AA137" i="7"/>
  <c r="AA87" i="7"/>
  <c r="AA49" i="7"/>
  <c r="Z64" i="7"/>
  <c r="Z91" i="7"/>
  <c r="X168" i="7"/>
  <c r="AB68" i="7"/>
  <c r="AF68" i="7"/>
  <c r="AH68" i="7"/>
  <c r="F196" i="7"/>
  <c r="H193" i="7"/>
  <c r="H194" i="7" s="1"/>
  <c r="H196" i="7" s="1"/>
  <c r="AG151" i="7"/>
  <c r="AH151" i="7"/>
  <c r="AG144" i="7"/>
  <c r="AH144" i="7"/>
  <c r="AA91" i="7"/>
  <c r="Z168" i="7"/>
  <c r="F148" i="6"/>
  <c r="I148" i="6"/>
  <c r="R133" i="7"/>
  <c r="V133" i="7"/>
  <c r="G133" i="7"/>
  <c r="F52" i="6"/>
  <c r="R48" i="7"/>
  <c r="D79" i="7"/>
  <c r="R114" i="7"/>
  <c r="V114" i="7" s="1"/>
  <c r="F129" i="6"/>
  <c r="I129" i="6" s="1"/>
  <c r="G114" i="7"/>
  <c r="D112" i="7"/>
  <c r="R101" i="7"/>
  <c r="D107" i="7"/>
  <c r="F114" i="6"/>
  <c r="D34" i="7"/>
  <c r="R26" i="7"/>
  <c r="D41" i="7"/>
  <c r="G41" i="7" s="1"/>
  <c r="F25" i="6"/>
  <c r="AA95" i="7"/>
  <c r="Z95" i="7"/>
  <c r="AA64" i="7"/>
  <c r="F173" i="6"/>
  <c r="I173" i="6"/>
  <c r="R152" i="7"/>
  <c r="V152" i="7"/>
  <c r="G152" i="7"/>
  <c r="F174" i="6"/>
  <c r="I174" i="6" s="1"/>
  <c r="R153" i="7"/>
  <c r="V153" i="7" s="1"/>
  <c r="G153" i="7"/>
  <c r="D55" i="7"/>
  <c r="D80" i="7"/>
  <c r="R49" i="7"/>
  <c r="F53" i="6"/>
  <c r="R144" i="7"/>
  <c r="G144" i="7"/>
  <c r="J144" i="7" s="1"/>
  <c r="F165" i="6"/>
  <c r="I165" i="6"/>
  <c r="V144" i="7"/>
  <c r="R41" i="7"/>
  <c r="H144" i="7"/>
  <c r="L144" i="7"/>
  <c r="R55" i="7"/>
  <c r="J152" i="7"/>
  <c r="H152" i="7"/>
  <c r="L152" i="7"/>
  <c r="F34" i="6"/>
  <c r="F42" i="6"/>
  <c r="I42" i="6"/>
  <c r="R34" i="7"/>
  <c r="R107" i="7"/>
  <c r="J114" i="7"/>
  <c r="L114" i="7"/>
  <c r="H114" i="7"/>
  <c r="G79" i="7"/>
  <c r="F84" i="6"/>
  <c r="I84" i="6"/>
  <c r="R79" i="7"/>
  <c r="V79" i="7"/>
  <c r="AA168" i="7"/>
  <c r="F59" i="6"/>
  <c r="R80" i="7"/>
  <c r="V80" i="7" s="1"/>
  <c r="F85" i="6"/>
  <c r="I85" i="6" s="1"/>
  <c r="G80" i="7"/>
  <c r="L80" i="7" s="1"/>
  <c r="L153" i="7"/>
  <c r="J153" i="7"/>
  <c r="H153" i="7"/>
  <c r="F121" i="6"/>
  <c r="F127" i="6" s="1"/>
  <c r="I127" i="6" s="1"/>
  <c r="R112" i="7"/>
  <c r="V112" i="7"/>
  <c r="G112" i="7"/>
  <c r="L133" i="7"/>
  <c r="H133" i="7"/>
  <c r="J133" i="7"/>
  <c r="H112" i="7"/>
  <c r="L112" i="7"/>
  <c r="J112" i="7"/>
  <c r="J80" i="7"/>
  <c r="R168" i="7"/>
  <c r="L79" i="7"/>
  <c r="L84" i="7" s="1"/>
  <c r="H79" i="7"/>
  <c r="J79" i="7"/>
  <c r="H156" i="7"/>
  <c r="V41" i="7"/>
  <c r="U20" i="13" l="1"/>
  <c r="W20" i="13"/>
  <c r="P628" i="12"/>
  <c r="H41" i="7"/>
  <c r="J41" i="7"/>
  <c r="L41" i="7"/>
  <c r="D72" i="7"/>
  <c r="D28" i="7"/>
  <c r="D71" i="7"/>
  <c r="D69" i="7"/>
  <c r="D102" i="7"/>
  <c r="D68" i="7"/>
  <c r="D70" i="7"/>
  <c r="P244" i="12"/>
  <c r="U164" i="13"/>
  <c r="W164" i="13"/>
  <c r="U169" i="13"/>
  <c r="W169" i="13"/>
  <c r="U147" i="13"/>
  <c r="W147" i="13"/>
  <c r="U321" i="13"/>
  <c r="W321" i="13"/>
  <c r="U311" i="13"/>
  <c r="W311" i="13"/>
  <c r="U326" i="13"/>
  <c r="W326" i="13"/>
  <c r="W105" i="13"/>
  <c r="U105" i="13"/>
  <c r="U146" i="13"/>
  <c r="W146" i="13"/>
  <c r="W299" i="13"/>
  <c r="U299" i="13"/>
  <c r="U406" i="13"/>
  <c r="W406" i="13"/>
  <c r="U380" i="13"/>
  <c r="W380" i="13"/>
  <c r="W367" i="13"/>
  <c r="U367" i="13"/>
  <c r="U337" i="13"/>
  <c r="W337" i="13"/>
  <c r="U336" i="13"/>
  <c r="W336" i="13"/>
  <c r="U340" i="13"/>
  <c r="W340" i="13"/>
  <c r="W382" i="13"/>
  <c r="U382" i="13"/>
  <c r="H80" i="7"/>
  <c r="H84" i="7" s="1"/>
  <c r="K235" i="12"/>
  <c r="M235" i="12" s="1"/>
  <c r="K628" i="12"/>
  <c r="M628" i="12" s="1"/>
  <c r="O628" i="12" s="1"/>
  <c r="L390" i="12"/>
  <c r="N390" i="12" s="1"/>
  <c r="P390" i="12" s="1"/>
  <c r="W390" i="12" s="1"/>
  <c r="D34" i="23"/>
  <c r="D40" i="23" s="1"/>
  <c r="F50" i="5"/>
  <c r="B10" i="9" s="1"/>
  <c r="W354" i="13"/>
  <c r="U354" i="13"/>
  <c r="U355" i="13"/>
  <c r="W355" i="13"/>
  <c r="U166" i="13"/>
  <c r="W166" i="13"/>
  <c r="U403" i="13"/>
  <c r="W403" i="13"/>
  <c r="U305" i="13"/>
  <c r="W305" i="13"/>
  <c r="W324" i="13"/>
  <c r="U324" i="13"/>
  <c r="U144" i="13"/>
  <c r="W144" i="13"/>
  <c r="W118" i="13"/>
  <c r="U118" i="13"/>
  <c r="W98" i="13"/>
  <c r="U98" i="13"/>
  <c r="U145" i="13"/>
  <c r="W145" i="13"/>
  <c r="U388" i="13"/>
  <c r="W388" i="13"/>
  <c r="W396" i="13"/>
  <c r="U396" i="13"/>
  <c r="W41" i="13"/>
  <c r="U41" i="13"/>
  <c r="T256" i="13"/>
  <c r="V464" i="12"/>
  <c r="IV49" i="1"/>
  <c r="D50" i="1"/>
  <c r="W119" i="13"/>
  <c r="U119" i="13"/>
  <c r="W18" i="13"/>
  <c r="U18" i="13"/>
  <c r="W42" i="13"/>
  <c r="U42" i="13"/>
  <c r="U316" i="13"/>
  <c r="W316" i="13"/>
  <c r="U307" i="13"/>
  <c r="W307" i="13"/>
  <c r="W393" i="13"/>
  <c r="U393" i="13"/>
  <c r="V467" i="12"/>
  <c r="T259" i="13"/>
  <c r="U358" i="13"/>
  <c r="W358" i="13"/>
  <c r="U152" i="13"/>
  <c r="W152" i="13"/>
  <c r="O616" i="12"/>
  <c r="T373" i="13" s="1"/>
  <c r="U46" i="13"/>
  <c r="W46" i="13"/>
  <c r="W47" i="13"/>
  <c r="U47" i="13"/>
  <c r="M51" i="9"/>
  <c r="M23" i="9"/>
  <c r="E17" i="8"/>
  <c r="D45" i="8"/>
  <c r="AA156" i="7"/>
  <c r="AA163" i="7" s="1"/>
  <c r="B31" i="1" s="1"/>
  <c r="AA14" i="7"/>
  <c r="Z19" i="7"/>
  <c r="O158" i="7"/>
  <c r="K162" i="7"/>
  <c r="AG34" i="7"/>
  <c r="AC34" i="7"/>
  <c r="AC168" i="7" s="1"/>
  <c r="K619" i="12"/>
  <c r="M619" i="12" s="1"/>
  <c r="L619" i="12"/>
  <c r="N619" i="12" s="1"/>
  <c r="C20" i="11"/>
  <c r="D19" i="11"/>
  <c r="K633" i="12"/>
  <c r="M633" i="12" s="1"/>
  <c r="L633" i="12"/>
  <c r="N633" i="12" s="1"/>
  <c r="C13" i="3"/>
  <c r="L144" i="12"/>
  <c r="N144" i="12" s="1"/>
  <c r="K144" i="12"/>
  <c r="M144" i="12" s="1"/>
  <c r="O144" i="12" s="1"/>
  <c r="T37" i="13" s="1"/>
  <c r="K276" i="12"/>
  <c r="M276" i="12" s="1"/>
  <c r="O276" i="12" s="1"/>
  <c r="L276" i="12"/>
  <c r="N276" i="12" s="1"/>
  <c r="L278" i="12"/>
  <c r="N278" i="12" s="1"/>
  <c r="K278" i="12"/>
  <c r="M278" i="12" s="1"/>
  <c r="O278" i="12" s="1"/>
  <c r="T102" i="13" s="1"/>
  <c r="L315" i="12"/>
  <c r="N315" i="12" s="1"/>
  <c r="K315" i="12"/>
  <c r="M315" i="12" s="1"/>
  <c r="O315" i="12" s="1"/>
  <c r="T134" i="13" s="1"/>
  <c r="J19" i="26"/>
  <c r="K19" i="26"/>
  <c r="M19" i="26" s="1"/>
  <c r="L693" i="12"/>
  <c r="N693" i="12" s="1"/>
  <c r="P693" i="12" s="1"/>
  <c r="K693" i="12"/>
  <c r="M693" i="12" s="1"/>
  <c r="O693" i="12" s="1"/>
  <c r="T422" i="13" s="1"/>
  <c r="W422" i="13" s="1"/>
  <c r="L670" i="12"/>
  <c r="N670" i="12" s="1"/>
  <c r="P670" i="12" s="1"/>
  <c r="K670" i="12"/>
  <c r="M670" i="12" s="1"/>
  <c r="O670" i="12" s="1"/>
  <c r="T410" i="13" s="1"/>
  <c r="K277" i="12"/>
  <c r="M277" i="12" s="1"/>
  <c r="O277" i="12" s="1"/>
  <c r="L277" i="12"/>
  <c r="N277" i="12" s="1"/>
  <c r="K308" i="12"/>
  <c r="M308" i="12" s="1"/>
  <c r="O308" i="12" s="1"/>
  <c r="T127" i="13" s="1"/>
  <c r="L308" i="12"/>
  <c r="N308" i="12" s="1"/>
  <c r="L674" i="12"/>
  <c r="N674" i="12" s="1"/>
  <c r="P674" i="12" s="1"/>
  <c r="K674" i="12"/>
  <c r="M674" i="12" s="1"/>
  <c r="O674" i="12" s="1"/>
  <c r="O676" i="12" s="1"/>
  <c r="T413" i="13" s="1"/>
  <c r="K210" i="12"/>
  <c r="M210" i="12" s="1"/>
  <c r="O210" i="12" s="1"/>
  <c r="L210" i="12"/>
  <c r="N210" i="12" s="1"/>
  <c r="P210" i="12" s="1"/>
  <c r="T55" i="13" s="1"/>
  <c r="L265" i="12"/>
  <c r="N265" i="12" s="1"/>
  <c r="K265" i="12"/>
  <c r="M265" i="12" s="1"/>
  <c r="O265" i="12" s="1"/>
  <c r="T91" i="13" s="1"/>
  <c r="L306" i="12"/>
  <c r="N306" i="12" s="1"/>
  <c r="K306" i="12"/>
  <c r="M306" i="12" s="1"/>
  <c r="O306" i="12" s="1"/>
  <c r="T125" i="13" s="1"/>
  <c r="K310" i="12"/>
  <c r="M310" i="12" s="1"/>
  <c r="O310" i="12" s="1"/>
  <c r="L310" i="12"/>
  <c r="N310" i="12" s="1"/>
  <c r="K453" i="12"/>
  <c r="M453" i="12" s="1"/>
  <c r="O453" i="12" s="1"/>
  <c r="L453" i="12"/>
  <c r="N453" i="12" s="1"/>
  <c r="P453" i="12" s="1"/>
  <c r="W453" i="12" s="1"/>
  <c r="L460" i="12"/>
  <c r="N460" i="12" s="1"/>
  <c r="P460" i="12" s="1"/>
  <c r="W460" i="12" s="1"/>
  <c r="K460" i="12"/>
  <c r="M460" i="12" s="1"/>
  <c r="O460" i="12" s="1"/>
  <c r="O118" i="12"/>
  <c r="T244" i="13"/>
  <c r="O90" i="12"/>
  <c r="E22" i="8"/>
  <c r="E30" i="8"/>
  <c r="E43" i="8"/>
  <c r="E21" i="8"/>
  <c r="E29" i="8"/>
  <c r="E42" i="8"/>
  <c r="Z169" i="7"/>
  <c r="I88" i="2"/>
  <c r="E20" i="3"/>
  <c r="E21" i="3" s="1"/>
  <c r="X169" i="7"/>
  <c r="X170" i="7" s="1"/>
  <c r="Z22" i="7"/>
  <c r="X44" i="7"/>
  <c r="X162" i="7" s="1"/>
  <c r="X164" i="7" s="1"/>
  <c r="AG77" i="7"/>
  <c r="AH77" i="7" s="1"/>
  <c r="AC57" i="7"/>
  <c r="AF69" i="7"/>
  <c r="AH69" i="7" s="1"/>
  <c r="AB69" i="7"/>
  <c r="AB169" i="7" s="1"/>
  <c r="AA68" i="7"/>
  <c r="Z85" i="7"/>
  <c r="AG78" i="7"/>
  <c r="AH78" i="7" s="1"/>
  <c r="AC78" i="7"/>
  <c r="AC169" i="7" s="1"/>
  <c r="AH93" i="7"/>
  <c r="L621" i="12"/>
  <c r="N621" i="12" s="1"/>
  <c r="P621" i="12" s="1"/>
  <c r="K621" i="12"/>
  <c r="M621" i="12" s="1"/>
  <c r="O621" i="12" s="1"/>
  <c r="T376" i="13" s="1"/>
  <c r="K679" i="12"/>
  <c r="M679" i="12" s="1"/>
  <c r="O679" i="12" s="1"/>
  <c r="T415" i="13" s="1"/>
  <c r="W415" i="13" s="1"/>
  <c r="L679" i="12"/>
  <c r="N679" i="12" s="1"/>
  <c r="P679" i="12" s="1"/>
  <c r="K146" i="12"/>
  <c r="M146" i="12" s="1"/>
  <c r="O146" i="12" s="1"/>
  <c r="T39" i="13" s="1"/>
  <c r="L146" i="12"/>
  <c r="N146" i="12" s="1"/>
  <c r="K174" i="12"/>
  <c r="M174" i="12" s="1"/>
  <c r="O174" i="12" s="1"/>
  <c r="O176" i="12" s="1"/>
  <c r="T48" i="13" s="1"/>
  <c r="L174" i="12"/>
  <c r="N174" i="12" s="1"/>
  <c r="K272" i="12"/>
  <c r="M272" i="12" s="1"/>
  <c r="O272" i="12" s="1"/>
  <c r="T96" i="13" s="1"/>
  <c r="L272" i="12"/>
  <c r="N272" i="12" s="1"/>
  <c r="L330" i="12"/>
  <c r="N330" i="12" s="1"/>
  <c r="K330" i="12"/>
  <c r="M330" i="12" s="1"/>
  <c r="O330" i="12" s="1"/>
  <c r="K332" i="12"/>
  <c r="M332" i="12" s="1"/>
  <c r="O332" i="12" s="1"/>
  <c r="L332" i="12"/>
  <c r="N332" i="12" s="1"/>
  <c r="K700" i="12"/>
  <c r="M700" i="12" s="1"/>
  <c r="O700" i="12" s="1"/>
  <c r="L700" i="12"/>
  <c r="N700" i="12" s="1"/>
  <c r="P700" i="12" s="1"/>
  <c r="L678" i="12"/>
  <c r="N678" i="12" s="1"/>
  <c r="P678" i="12" s="1"/>
  <c r="K678" i="12"/>
  <c r="M678" i="12" s="1"/>
  <c r="O678" i="12" s="1"/>
  <c r="T414" i="13" s="1"/>
  <c r="L644" i="12"/>
  <c r="N644" i="12" s="1"/>
  <c r="P644" i="12" s="1"/>
  <c r="K644" i="12"/>
  <c r="M644" i="12" s="1"/>
  <c r="O644" i="12" s="1"/>
  <c r="K202" i="12"/>
  <c r="M202" i="12" s="1"/>
  <c r="O202" i="12" s="1"/>
  <c r="L202" i="12"/>
  <c r="N202" i="12" s="1"/>
  <c r="P202" i="12" s="1"/>
  <c r="P204" i="12" s="1"/>
  <c r="T53" i="13" s="1"/>
  <c r="L281" i="12"/>
  <c r="N281" i="12" s="1"/>
  <c r="L301" i="12"/>
  <c r="N301" i="12" s="1"/>
  <c r="J301" i="12"/>
  <c r="K314" i="12"/>
  <c r="M314" i="12" s="1"/>
  <c r="O314" i="12" s="1"/>
  <c r="T133" i="13" s="1"/>
  <c r="L314" i="12"/>
  <c r="N314" i="12" s="1"/>
  <c r="L692" i="12"/>
  <c r="N692" i="12" s="1"/>
  <c r="P692" i="12" s="1"/>
  <c r="L630" i="12"/>
  <c r="N630" i="12" s="1"/>
  <c r="P630" i="12" s="1"/>
  <c r="T385" i="13" s="1"/>
  <c r="U385" i="13" s="1"/>
  <c r="K630" i="12"/>
  <c r="M630" i="12" s="1"/>
  <c r="O630" i="12" s="1"/>
  <c r="L117" i="12"/>
  <c r="N117" i="12" s="1"/>
  <c r="P117" i="12" s="1"/>
  <c r="K117" i="12"/>
  <c r="M117" i="12" s="1"/>
  <c r="O117" i="12" s="1"/>
  <c r="P119" i="12" s="1"/>
  <c r="T26" i="13" s="1"/>
  <c r="K231" i="12"/>
  <c r="M231" i="12" s="1"/>
  <c r="O231" i="12" s="1"/>
  <c r="T62" i="13" s="1"/>
  <c r="L231" i="12"/>
  <c r="N231" i="12" s="1"/>
  <c r="K333" i="12"/>
  <c r="M333" i="12" s="1"/>
  <c r="O333" i="12" s="1"/>
  <c r="L333" i="12"/>
  <c r="N333" i="12" s="1"/>
  <c r="L448" i="12"/>
  <c r="N448" i="12" s="1"/>
  <c r="P448" i="12" s="1"/>
  <c r="W448" i="12" s="1"/>
  <c r="K448" i="12"/>
  <c r="M448" i="12" s="1"/>
  <c r="O448" i="12" s="1"/>
  <c r="K457" i="12"/>
  <c r="M457" i="12" s="1"/>
  <c r="O457" i="12" s="1"/>
  <c r="L457" i="12"/>
  <c r="N457" i="12" s="1"/>
  <c r="P457" i="12" s="1"/>
  <c r="W457" i="12" s="1"/>
  <c r="L466" i="12"/>
  <c r="N466" i="12" s="1"/>
  <c r="P466" i="12" s="1"/>
  <c r="W466" i="12" s="1"/>
  <c r="K466" i="12"/>
  <c r="M466" i="12" s="1"/>
  <c r="O466" i="12" s="1"/>
  <c r="L574" i="12"/>
  <c r="N574" i="12" s="1"/>
  <c r="P574" i="12" s="1"/>
  <c r="F110" i="12"/>
  <c r="G110" i="12"/>
  <c r="F105" i="12"/>
  <c r="G105" i="12"/>
  <c r="F100" i="12"/>
  <c r="G100" i="12"/>
  <c r="F96" i="12"/>
  <c r="G96" i="12"/>
  <c r="F89" i="12"/>
  <c r="G89" i="12"/>
  <c r="F86" i="12"/>
  <c r="G86" i="12"/>
  <c r="I83" i="12"/>
  <c r="J83" i="12" s="1"/>
  <c r="K83" i="12"/>
  <c r="M83" i="12" s="1"/>
  <c r="G75" i="12"/>
  <c r="F75" i="12"/>
  <c r="X119" i="7"/>
  <c r="T169" i="7"/>
  <c r="T168" i="7"/>
  <c r="AG17" i="7"/>
  <c r="AH17" i="7" s="1"/>
  <c r="T73" i="13"/>
  <c r="H572" i="12"/>
  <c r="H592" i="12"/>
  <c r="H283" i="12"/>
  <c r="H479" i="12"/>
  <c r="H293" i="12"/>
  <c r="H471" i="12"/>
  <c r="H500" i="12"/>
  <c r="H555" i="12"/>
  <c r="H589" i="12"/>
  <c r="H289" i="12"/>
  <c r="H441" i="12"/>
  <c r="H22" i="12"/>
  <c r="O22" i="12" s="1"/>
  <c r="S22" i="12" s="1"/>
  <c r="T22" i="12" s="1"/>
  <c r="H38" i="12"/>
  <c r="H298" i="12"/>
  <c r="H445" i="12"/>
  <c r="H597" i="12"/>
  <c r="H544" i="12"/>
  <c r="H60" i="12"/>
  <c r="H599" i="12"/>
  <c r="H406" i="12"/>
  <c r="H602" i="12"/>
  <c r="P602" i="12" s="1"/>
  <c r="H521" i="12"/>
  <c r="H334" i="12"/>
  <c r="H662" i="12"/>
  <c r="H348" i="12"/>
  <c r="H688" i="12"/>
  <c r="H505" i="12"/>
  <c r="H612" i="12"/>
  <c r="O612" i="12" s="1"/>
  <c r="H616" i="12"/>
  <c r="H554" i="12"/>
  <c r="H494" i="12"/>
  <c r="H36" i="12"/>
  <c r="H412" i="12"/>
  <c r="H588" i="12"/>
  <c r="H497" i="12"/>
  <c r="H79" i="12"/>
  <c r="H623" i="12"/>
  <c r="H566" i="12"/>
  <c r="H495" i="12"/>
  <c r="H291" i="12"/>
  <c r="H114" i="12"/>
  <c r="H94" i="12"/>
  <c r="H56" i="12"/>
  <c r="H465" i="12"/>
  <c r="H461" i="12"/>
  <c r="H100" i="12"/>
  <c r="H403" i="12"/>
  <c r="H485" i="12"/>
  <c r="H531" i="12"/>
  <c r="H311" i="12"/>
  <c r="H502" i="12"/>
  <c r="H619" i="12"/>
  <c r="P619" i="12" s="1"/>
  <c r="H82" i="12"/>
  <c r="H576" i="12"/>
  <c r="H509" i="12"/>
  <c r="H455" i="12"/>
  <c r="H515" i="12"/>
  <c r="H294" i="12"/>
  <c r="H604" i="12"/>
  <c r="H593" i="12"/>
  <c r="H524" i="12"/>
  <c r="H476" i="12"/>
  <c r="H77" i="12"/>
  <c r="H639" i="12"/>
  <c r="H48" i="12"/>
  <c r="H527" i="12"/>
  <c r="H409" i="12"/>
  <c r="H363" i="12"/>
  <c r="H643" i="12"/>
  <c r="H444" i="12"/>
  <c r="H426" i="12"/>
  <c r="H729" i="12"/>
  <c r="O729" i="12" s="1"/>
  <c r="T22" i="13" s="1"/>
  <c r="K434" i="12"/>
  <c r="M434" i="12" s="1"/>
  <c r="O434" i="12" s="1"/>
  <c r="V434" i="12" s="1"/>
  <c r="K31" i="12"/>
  <c r="M31" i="12" s="1"/>
  <c r="O31" i="12" s="1"/>
  <c r="S31" i="12" s="1"/>
  <c r="T31" i="12" s="1"/>
  <c r="L414" i="12"/>
  <c r="N414" i="12" s="1"/>
  <c r="P414" i="12" s="1"/>
  <c r="W414" i="12" s="1"/>
  <c r="K72" i="12"/>
  <c r="M72" i="12" s="1"/>
  <c r="O72" i="12" s="1"/>
  <c r="S72" i="12" s="1"/>
  <c r="T72" i="12" s="1"/>
  <c r="K618" i="12"/>
  <c r="M618" i="12" s="1"/>
  <c r="O618" i="12" s="1"/>
  <c r="O619" i="12" s="1"/>
  <c r="T374" i="13" s="1"/>
  <c r="F616" i="12"/>
  <c r="I607" i="12"/>
  <c r="K85" i="12"/>
  <c r="M85" i="12" s="1"/>
  <c r="O85" i="12" s="1"/>
  <c r="L599" i="12"/>
  <c r="N599" i="12" s="1"/>
  <c r="L407" i="12"/>
  <c r="N407" i="12" s="1"/>
  <c r="P407" i="12" s="1"/>
  <c r="L408" i="12"/>
  <c r="N408" i="12" s="1"/>
  <c r="P408" i="12" s="1"/>
  <c r="W408" i="12" s="1"/>
  <c r="L436" i="12"/>
  <c r="N436" i="12" s="1"/>
  <c r="P436" i="12" s="1"/>
  <c r="W436" i="12" s="1"/>
  <c r="L521" i="12"/>
  <c r="N521" i="12" s="1"/>
  <c r="L452" i="12"/>
  <c r="N452" i="12" s="1"/>
  <c r="P452" i="12" s="1"/>
  <c r="W452" i="12" s="1"/>
  <c r="L514" i="12"/>
  <c r="N514" i="12" s="1"/>
  <c r="P514" i="12" s="1"/>
  <c r="L214" i="12"/>
  <c r="N214" i="12" s="1"/>
  <c r="L439" i="12"/>
  <c r="N439" i="12" s="1"/>
  <c r="P439" i="12" s="1"/>
  <c r="L309" i="12"/>
  <c r="N309" i="12" s="1"/>
  <c r="L426" i="12"/>
  <c r="N426" i="12" s="1"/>
  <c r="L444" i="12"/>
  <c r="N444" i="12" s="1"/>
  <c r="L493" i="12"/>
  <c r="N493" i="12" s="1"/>
  <c r="P493" i="12" s="1"/>
  <c r="L503" i="12"/>
  <c r="N503" i="12" s="1"/>
  <c r="P503" i="12" s="1"/>
  <c r="L537" i="12"/>
  <c r="N537" i="12" s="1"/>
  <c r="P537" i="12" s="1"/>
  <c r="L548" i="12"/>
  <c r="N548" i="12" s="1"/>
  <c r="P548" i="12" s="1"/>
  <c r="L558" i="12"/>
  <c r="N558" i="12" s="1"/>
  <c r="P558" i="12" s="1"/>
  <c r="L594" i="12"/>
  <c r="N594" i="12" s="1"/>
  <c r="P594" i="12" s="1"/>
  <c r="L291" i="12"/>
  <c r="N291" i="12" s="1"/>
  <c r="L391" i="12"/>
  <c r="N391" i="12" s="1"/>
  <c r="P391" i="12" s="1"/>
  <c r="W391" i="12" s="1"/>
  <c r="L667" i="12"/>
  <c r="N667" i="12" s="1"/>
  <c r="P667" i="12" s="1"/>
  <c r="L669" i="12"/>
  <c r="N669" i="12" s="1"/>
  <c r="P669" i="12" s="1"/>
  <c r="L663" i="12"/>
  <c r="N663" i="12" s="1"/>
  <c r="P663" i="12" s="1"/>
  <c r="L680" i="12"/>
  <c r="N680" i="12" s="1"/>
  <c r="P680" i="12" s="1"/>
  <c r="L459" i="12"/>
  <c r="N459" i="12" s="1"/>
  <c r="P459" i="12" s="1"/>
  <c r="G290" i="12"/>
  <c r="F290" i="12"/>
  <c r="F114" i="12"/>
  <c r="G114" i="12"/>
  <c r="F109" i="12"/>
  <c r="G109" i="12"/>
  <c r="F104" i="12"/>
  <c r="G104" i="12"/>
  <c r="F99" i="12"/>
  <c r="G99" i="12"/>
  <c r="F94" i="12"/>
  <c r="G94" i="12"/>
  <c r="F91" i="12"/>
  <c r="G91" i="12"/>
  <c r="F76" i="12"/>
  <c r="G76" i="12"/>
  <c r="F74" i="12"/>
  <c r="G74" i="12"/>
  <c r="K68" i="12"/>
  <c r="M68" i="12" s="1"/>
  <c r="I68" i="12"/>
  <c r="J68" i="12" s="1"/>
  <c r="G44" i="12"/>
  <c r="F44" i="12"/>
  <c r="G42" i="12"/>
  <c r="F42" i="12"/>
  <c r="F41" i="12"/>
  <c r="G41" i="12"/>
  <c r="F525" i="12"/>
  <c r="G525" i="12"/>
  <c r="G393" i="12"/>
  <c r="F393" i="12"/>
  <c r="G433" i="12"/>
  <c r="L433" i="12" s="1"/>
  <c r="N433" i="12" s="1"/>
  <c r="P433" i="12" s="1"/>
  <c r="W433" i="12" s="1"/>
  <c r="G432" i="12"/>
  <c r="L432" i="12" s="1"/>
  <c r="N432" i="12" s="1"/>
  <c r="P432" i="12" s="1"/>
  <c r="W432" i="12" s="1"/>
  <c r="F65" i="12"/>
  <c r="G61" i="12"/>
  <c r="P61" i="12" s="1"/>
  <c r="F43" i="12"/>
  <c r="G43" i="12"/>
  <c r="G25" i="12"/>
  <c r="F25" i="12"/>
  <c r="G411" i="12"/>
  <c r="F411" i="12"/>
  <c r="G383" i="12"/>
  <c r="F383" i="12"/>
  <c r="F688" i="12"/>
  <c r="G688" i="12"/>
  <c r="B653" i="12"/>
  <c r="K34" i="2"/>
  <c r="D88" i="2"/>
  <c r="C88" i="2"/>
  <c r="H88" i="2"/>
  <c r="AH139" i="7"/>
  <c r="AH136" i="7"/>
  <c r="AH127" i="7"/>
  <c r="AH121" i="7"/>
  <c r="AH118" i="7"/>
  <c r="AH108" i="7"/>
  <c r="AH96" i="7"/>
  <c r="AH92" i="7"/>
  <c r="AH86" i="7"/>
  <c r="AH76" i="7"/>
  <c r="AH74" i="7"/>
  <c r="AH67" i="7"/>
  <c r="AH65" i="7"/>
  <c r="AH61" i="7"/>
  <c r="AH53" i="7"/>
  <c r="AH43" i="7"/>
  <c r="AH29" i="7"/>
  <c r="AH16" i="7"/>
  <c r="AH149" i="7"/>
  <c r="F35" i="1"/>
  <c r="E88" i="2"/>
  <c r="B29" i="4"/>
  <c r="C35" i="8" s="1"/>
  <c r="G221" i="12"/>
  <c r="J86" i="2"/>
  <c r="J88" i="2" s="1"/>
  <c r="AC149" i="7"/>
  <c r="G157" i="12"/>
  <c r="T44" i="13" s="1"/>
  <c r="W48" i="13" l="1"/>
  <c r="U48" i="13"/>
  <c r="W37" i="13"/>
  <c r="U37" i="13"/>
  <c r="T368" i="13"/>
  <c r="H221" i="12"/>
  <c r="I383" i="12"/>
  <c r="J383" i="12" s="1"/>
  <c r="K383" i="12"/>
  <c r="M383" i="12" s="1"/>
  <c r="I411" i="12"/>
  <c r="J411" i="12" s="1"/>
  <c r="K411" i="12"/>
  <c r="M411" i="12" s="1"/>
  <c r="I25" i="12"/>
  <c r="J25" i="12" s="1"/>
  <c r="K25" i="12"/>
  <c r="M25" i="12" s="1"/>
  <c r="I393" i="12"/>
  <c r="J393" i="12" s="1"/>
  <c r="K393" i="12"/>
  <c r="M393" i="12" s="1"/>
  <c r="I42" i="12"/>
  <c r="J42" i="12" s="1"/>
  <c r="I44" i="12"/>
  <c r="J44" i="12" s="1"/>
  <c r="O68" i="12"/>
  <c r="S68" i="12" s="1"/>
  <c r="T68" i="12" s="1"/>
  <c r="P68" i="12"/>
  <c r="I290" i="12"/>
  <c r="J290" i="12" s="1"/>
  <c r="W459" i="12"/>
  <c r="T251" i="13"/>
  <c r="W439" i="12"/>
  <c r="T231" i="13"/>
  <c r="L607" i="12"/>
  <c r="N607" i="12" s="1"/>
  <c r="J607" i="12"/>
  <c r="W374" i="13"/>
  <c r="U374" i="13"/>
  <c r="W22" i="13"/>
  <c r="U22" i="13"/>
  <c r="P444" i="12"/>
  <c r="W444" i="12" s="1"/>
  <c r="O444" i="12"/>
  <c r="P363" i="12"/>
  <c r="O366" i="12" s="1"/>
  <c r="T167" i="13" s="1"/>
  <c r="O363" i="12"/>
  <c r="O527" i="12"/>
  <c r="T320" i="13" s="1"/>
  <c r="P527" i="12"/>
  <c r="P639" i="12"/>
  <c r="T390" i="13" s="1"/>
  <c r="O639" i="12"/>
  <c r="O476" i="12"/>
  <c r="V476" i="12" s="1"/>
  <c r="P476" i="12"/>
  <c r="O593" i="12"/>
  <c r="T362" i="13" s="1"/>
  <c r="P593" i="12"/>
  <c r="P294" i="12"/>
  <c r="O294" i="12"/>
  <c r="T116" i="13" s="1"/>
  <c r="P455" i="12"/>
  <c r="O455" i="12"/>
  <c r="V455" i="12" s="1"/>
  <c r="O576" i="12"/>
  <c r="O578" i="12" s="1"/>
  <c r="T350" i="13" s="1"/>
  <c r="P576" i="12"/>
  <c r="O311" i="12"/>
  <c r="T130" i="13" s="1"/>
  <c r="P311" i="12"/>
  <c r="O485" i="12"/>
  <c r="T278" i="13" s="1"/>
  <c r="P485" i="12"/>
  <c r="P465" i="12"/>
  <c r="O465" i="12"/>
  <c r="V465" i="12" s="1"/>
  <c r="O291" i="12"/>
  <c r="T113" i="13" s="1"/>
  <c r="P291" i="12"/>
  <c r="O566" i="12"/>
  <c r="O569" i="12" s="1"/>
  <c r="T345" i="13" s="1"/>
  <c r="P566" i="12"/>
  <c r="O79" i="12"/>
  <c r="S79" i="12" s="1"/>
  <c r="T79" i="12" s="1"/>
  <c r="P79" i="12"/>
  <c r="P588" i="12"/>
  <c r="O588" i="12"/>
  <c r="T359" i="13" s="1"/>
  <c r="O36" i="12"/>
  <c r="P36" i="12"/>
  <c r="O554" i="12"/>
  <c r="T338" i="13" s="1"/>
  <c r="P554" i="12"/>
  <c r="P662" i="12"/>
  <c r="O662" i="12"/>
  <c r="T402" i="13" s="1"/>
  <c r="O521" i="12"/>
  <c r="T314" i="13" s="1"/>
  <c r="P521" i="12"/>
  <c r="P406" i="12"/>
  <c r="W406" i="12" s="1"/>
  <c r="O406" i="12"/>
  <c r="O60" i="12"/>
  <c r="S60" i="12" s="1"/>
  <c r="T60" i="12" s="1"/>
  <c r="P60" i="12"/>
  <c r="P597" i="12"/>
  <c r="O599" i="12" s="1"/>
  <c r="T366" i="13" s="1"/>
  <c r="O597" i="12"/>
  <c r="O298" i="12"/>
  <c r="P298" i="12"/>
  <c r="P289" i="12"/>
  <c r="O289" i="12"/>
  <c r="T111" i="13" s="1"/>
  <c r="P555" i="12"/>
  <c r="O555" i="12"/>
  <c r="T339" i="13" s="1"/>
  <c r="O471" i="12"/>
  <c r="P471" i="12"/>
  <c r="W471" i="12" s="1"/>
  <c r="O479" i="12"/>
  <c r="V479" i="12" s="1"/>
  <c r="P479" i="12"/>
  <c r="O592" i="12"/>
  <c r="T361" i="13" s="1"/>
  <c r="P592" i="12"/>
  <c r="W73" i="13"/>
  <c r="U73" i="13"/>
  <c r="O83" i="12"/>
  <c r="P83" i="12"/>
  <c r="I86" i="12"/>
  <c r="J86" i="12" s="1"/>
  <c r="K86" i="12"/>
  <c r="M86" i="12" s="1"/>
  <c r="I89" i="12"/>
  <c r="J89" i="12" s="1"/>
  <c r="I96" i="12"/>
  <c r="J96" i="12" s="1"/>
  <c r="K96" i="12"/>
  <c r="M96" i="12" s="1"/>
  <c r="I100" i="12"/>
  <c r="J100" i="12" s="1"/>
  <c r="P100" i="12" s="1"/>
  <c r="K100" i="12"/>
  <c r="M100" i="12" s="1"/>
  <c r="I105" i="12"/>
  <c r="J105" i="12" s="1"/>
  <c r="I110" i="12"/>
  <c r="J110" i="12" s="1"/>
  <c r="K110" i="12"/>
  <c r="M110" i="12" s="1"/>
  <c r="T258" i="13"/>
  <c r="V466" i="12"/>
  <c r="V448" i="12"/>
  <c r="T240" i="13"/>
  <c r="U26" i="13"/>
  <c r="W26" i="13"/>
  <c r="U133" i="13"/>
  <c r="W133" i="13"/>
  <c r="W53" i="13"/>
  <c r="U53" i="13"/>
  <c r="U414" i="13"/>
  <c r="W414" i="13"/>
  <c r="X158" i="7"/>
  <c r="T245" i="13"/>
  <c r="V453" i="12"/>
  <c r="W127" i="13"/>
  <c r="U127" i="13"/>
  <c r="P19" i="26"/>
  <c r="O19" i="26"/>
  <c r="Q19" i="26" s="1"/>
  <c r="C21" i="11"/>
  <c r="D20" i="11"/>
  <c r="K164" i="7"/>
  <c r="K160" i="7"/>
  <c r="AA19" i="7"/>
  <c r="W373" i="13"/>
  <c r="U373" i="13"/>
  <c r="G68" i="7"/>
  <c r="R68" i="7"/>
  <c r="F73" i="6"/>
  <c r="I73" i="6" s="1"/>
  <c r="G69" i="7"/>
  <c r="F74" i="6"/>
  <c r="I74" i="6" s="1"/>
  <c r="R69" i="7"/>
  <c r="V69" i="7" s="1"/>
  <c r="F27" i="6"/>
  <c r="R28" i="7"/>
  <c r="W44" i="13"/>
  <c r="U44" i="13"/>
  <c r="B41" i="9"/>
  <c r="E35" i="8"/>
  <c r="I688" i="12"/>
  <c r="J688" i="12" s="1"/>
  <c r="F690" i="12"/>
  <c r="L383" i="12"/>
  <c r="N383" i="12" s="1"/>
  <c r="L411" i="12"/>
  <c r="N411" i="12" s="1"/>
  <c r="I43" i="12"/>
  <c r="J43" i="12" s="1"/>
  <c r="K43" i="12"/>
  <c r="M43" i="12" s="1"/>
  <c r="I65" i="12"/>
  <c r="J65" i="12" s="1"/>
  <c r="K65" i="12"/>
  <c r="M65" i="12" s="1"/>
  <c r="L393" i="12"/>
  <c r="N393" i="12" s="1"/>
  <c r="K525" i="12"/>
  <c r="M525" i="12" s="1"/>
  <c r="I525" i="12"/>
  <c r="J525" i="12" s="1"/>
  <c r="I41" i="12"/>
  <c r="J41" i="12" s="1"/>
  <c r="I74" i="12"/>
  <c r="J74" i="12" s="1"/>
  <c r="K76" i="12"/>
  <c r="M76" i="12" s="1"/>
  <c r="I76" i="12"/>
  <c r="J76" i="12" s="1"/>
  <c r="I91" i="12"/>
  <c r="J91" i="12" s="1"/>
  <c r="I94" i="12"/>
  <c r="J94" i="12" s="1"/>
  <c r="I99" i="12"/>
  <c r="J99" i="12" s="1"/>
  <c r="I104" i="12"/>
  <c r="J104" i="12" s="1"/>
  <c r="I109" i="12"/>
  <c r="J109" i="12" s="1"/>
  <c r="I114" i="12"/>
  <c r="J114" i="12" s="1"/>
  <c r="L290" i="12"/>
  <c r="N290" i="12" s="1"/>
  <c r="W407" i="12"/>
  <c r="T199" i="13"/>
  <c r="I616" i="12"/>
  <c r="K616" i="12"/>
  <c r="M616" i="12" s="1"/>
  <c r="K607" i="12"/>
  <c r="M607" i="12" s="1"/>
  <c r="P426" i="12"/>
  <c r="W426" i="12" s="1"/>
  <c r="O426" i="12"/>
  <c r="O643" i="12"/>
  <c r="O645" i="12" s="1"/>
  <c r="P643" i="12"/>
  <c r="P645" i="12" s="1"/>
  <c r="T392" i="13" s="1"/>
  <c r="P409" i="12"/>
  <c r="W409" i="12" s="1"/>
  <c r="O409" i="12"/>
  <c r="P48" i="12"/>
  <c r="O48" i="12"/>
  <c r="S48" i="12" s="1"/>
  <c r="T48" i="12" s="1"/>
  <c r="P77" i="12"/>
  <c r="O77" i="12"/>
  <c r="S77" i="12" s="1"/>
  <c r="T77" i="12" s="1"/>
  <c r="O524" i="12"/>
  <c r="T317" i="13" s="1"/>
  <c r="P524" i="12"/>
  <c r="P604" i="12"/>
  <c r="O604" i="12"/>
  <c r="O605" i="12" s="1"/>
  <c r="T370" i="13" s="1"/>
  <c r="O515" i="12"/>
  <c r="T308" i="13" s="1"/>
  <c r="P515" i="12"/>
  <c r="O509" i="12"/>
  <c r="T302" i="13" s="1"/>
  <c r="P509" i="12"/>
  <c r="O82" i="12"/>
  <c r="P82" i="12"/>
  <c r="P502" i="12"/>
  <c r="O502" i="12"/>
  <c r="T295" i="13" s="1"/>
  <c r="P531" i="12"/>
  <c r="O531" i="12"/>
  <c r="O534" i="12" s="1"/>
  <c r="T322" i="13" s="1"/>
  <c r="O403" i="12"/>
  <c r="P403" i="12"/>
  <c r="W403" i="12" s="1"/>
  <c r="O461" i="12"/>
  <c r="P461" i="12"/>
  <c r="W461" i="12" s="1"/>
  <c r="O56" i="12"/>
  <c r="P56" i="12"/>
  <c r="P114" i="12"/>
  <c r="O495" i="12"/>
  <c r="T288" i="13" s="1"/>
  <c r="P495" i="12"/>
  <c r="O623" i="12"/>
  <c r="T378" i="13" s="1"/>
  <c r="P623" i="12"/>
  <c r="O497" i="12"/>
  <c r="P497" i="12"/>
  <c r="T290" i="13" s="1"/>
  <c r="O412" i="12"/>
  <c r="V412" i="12" s="1"/>
  <c r="P412" i="12"/>
  <c r="O494" i="12"/>
  <c r="T287" i="13" s="1"/>
  <c r="P494" i="12"/>
  <c r="P505" i="12"/>
  <c r="O505" i="12"/>
  <c r="T298" i="13" s="1"/>
  <c r="P348" i="12"/>
  <c r="O348" i="12"/>
  <c r="T161" i="13" s="1"/>
  <c r="O334" i="12"/>
  <c r="P334" i="12"/>
  <c r="T148" i="13" s="1"/>
  <c r="P599" i="12"/>
  <c r="P544" i="12"/>
  <c r="O544" i="12"/>
  <c r="T328" i="13" s="1"/>
  <c r="O445" i="12"/>
  <c r="V445" i="12" s="1"/>
  <c r="P445" i="12"/>
  <c r="P38" i="12"/>
  <c r="O38" i="12"/>
  <c r="O441" i="12"/>
  <c r="P441" i="12"/>
  <c r="W441" i="12" s="1"/>
  <c r="O589" i="12"/>
  <c r="P591" i="12" s="1"/>
  <c r="T360" i="13" s="1"/>
  <c r="P589" i="12"/>
  <c r="O500" i="12"/>
  <c r="T293" i="13" s="1"/>
  <c r="P500" i="12"/>
  <c r="P293" i="12"/>
  <c r="O293" i="12"/>
  <c r="T115" i="13" s="1"/>
  <c r="U115" i="13" s="1"/>
  <c r="P283" i="12"/>
  <c r="T107" i="13" s="1"/>
  <c r="O283" i="12"/>
  <c r="O572" i="12"/>
  <c r="P572" i="12"/>
  <c r="T347" i="13" s="1"/>
  <c r="I75" i="12"/>
  <c r="J75" i="12" s="1"/>
  <c r="T249" i="13"/>
  <c r="V457" i="12"/>
  <c r="U62" i="13"/>
  <c r="W62" i="13"/>
  <c r="O301" i="12"/>
  <c r="P301" i="12"/>
  <c r="T122" i="13" s="1"/>
  <c r="W96" i="13"/>
  <c r="U96" i="13"/>
  <c r="U39" i="13"/>
  <c r="W39" i="13"/>
  <c r="W376" i="13"/>
  <c r="U376" i="13"/>
  <c r="AA169" i="7"/>
  <c r="AA85" i="7"/>
  <c r="AA22" i="7"/>
  <c r="AA44" i="7" s="1"/>
  <c r="Z44" i="7"/>
  <c r="Z167" i="7"/>
  <c r="Z170" i="7" s="1"/>
  <c r="K86" i="2"/>
  <c r="K88" i="2" s="1"/>
  <c r="U244" i="13"/>
  <c r="W244" i="13"/>
  <c r="V460" i="12"/>
  <c r="T252" i="13"/>
  <c r="W125" i="13"/>
  <c r="U125" i="13"/>
  <c r="U91" i="13"/>
  <c r="W91" i="13"/>
  <c r="U55" i="13"/>
  <c r="W55" i="13"/>
  <c r="U413" i="13"/>
  <c r="W413" i="13"/>
  <c r="W410" i="13"/>
  <c r="U410" i="13"/>
  <c r="W134" i="13"/>
  <c r="U134" i="13"/>
  <c r="W102" i="13"/>
  <c r="U102" i="13"/>
  <c r="C17" i="3"/>
  <c r="Z158" i="7"/>
  <c r="F45" i="8"/>
  <c r="F47" i="8" s="1"/>
  <c r="F49" i="8" s="1"/>
  <c r="W259" i="13"/>
  <c r="U259" i="13"/>
  <c r="U256" i="13"/>
  <c r="W256" i="13"/>
  <c r="R70" i="7"/>
  <c r="V70" i="7" s="1"/>
  <c r="F75" i="6"/>
  <c r="I75" i="6" s="1"/>
  <c r="G70" i="7"/>
  <c r="F115" i="6"/>
  <c r="R102" i="7"/>
  <c r="R71" i="7"/>
  <c r="V71" i="7" s="1"/>
  <c r="F76" i="6"/>
  <c r="I76" i="6" s="1"/>
  <c r="G71" i="7"/>
  <c r="F77" i="6"/>
  <c r="I77" i="6" s="1"/>
  <c r="R72" i="7"/>
  <c r="V72" i="7" s="1"/>
  <c r="G72" i="7"/>
  <c r="P75" i="12" l="1"/>
  <c r="U293" i="13"/>
  <c r="W293" i="13"/>
  <c r="H72" i="7"/>
  <c r="J72" i="7"/>
  <c r="L72" i="7"/>
  <c r="C45" i="9"/>
  <c r="D45" i="9" s="1"/>
  <c r="C33" i="9"/>
  <c r="D33" i="9" s="1"/>
  <c r="C21" i="9"/>
  <c r="D21" i="9" s="1"/>
  <c r="C44" i="9"/>
  <c r="D44" i="9" s="1"/>
  <c r="C23" i="9"/>
  <c r="D23" i="9" s="1"/>
  <c r="C43" i="9"/>
  <c r="D43" i="9" s="1"/>
  <c r="C46" i="9"/>
  <c r="D46" i="9" s="1"/>
  <c r="C38" i="9"/>
  <c r="D38" i="9" s="1"/>
  <c r="C40" i="9"/>
  <c r="D40" i="9" s="1"/>
  <c r="C37" i="9"/>
  <c r="D37" i="9" s="1"/>
  <c r="C29" i="9"/>
  <c r="D29" i="9" s="1"/>
  <c r="C48" i="9"/>
  <c r="D48" i="9" s="1"/>
  <c r="C24" i="9"/>
  <c r="D24" i="9" s="1"/>
  <c r="C47" i="9"/>
  <c r="D47" i="9" s="1"/>
  <c r="C50" i="9"/>
  <c r="D50" i="9" s="1"/>
  <c r="C42" i="9"/>
  <c r="D42" i="9" s="1"/>
  <c r="C25" i="9"/>
  <c r="D25" i="9" s="1"/>
  <c r="C22" i="9"/>
  <c r="D22" i="9" s="1"/>
  <c r="C49" i="9"/>
  <c r="D49" i="9" s="1"/>
  <c r="C30" i="9"/>
  <c r="D30" i="9" s="1"/>
  <c r="C31" i="9"/>
  <c r="D31" i="9" s="1"/>
  <c r="C35" i="9"/>
  <c r="D35" i="9" s="1"/>
  <c r="C32" i="9"/>
  <c r="D32" i="9" s="1"/>
  <c r="C36" i="9"/>
  <c r="D36" i="9" s="1"/>
  <c r="C26" i="9"/>
  <c r="D26" i="9" s="1"/>
  <c r="C27" i="9"/>
  <c r="D27" i="9" s="1"/>
  <c r="C39" i="9"/>
  <c r="D39" i="9" s="1"/>
  <c r="C41" i="9"/>
  <c r="C34" i="9"/>
  <c r="D34" i="9" s="1"/>
  <c r="C28" i="9"/>
  <c r="D28" i="9" s="1"/>
  <c r="W252" i="13"/>
  <c r="U252" i="13"/>
  <c r="D141" i="7"/>
  <c r="W122" i="13"/>
  <c r="U122" i="13"/>
  <c r="K75" i="12"/>
  <c r="M75" i="12" s="1"/>
  <c r="O75" i="12" s="1"/>
  <c r="S75" i="12" s="1"/>
  <c r="T75" i="12" s="1"/>
  <c r="W347" i="13"/>
  <c r="U347" i="13"/>
  <c r="W445" i="12"/>
  <c r="T237" i="13"/>
  <c r="U328" i="13"/>
  <c r="W328" i="13"/>
  <c r="W412" i="12"/>
  <c r="T204" i="13"/>
  <c r="W290" i="13"/>
  <c r="U290" i="13"/>
  <c r="W322" i="13"/>
  <c r="U322" i="13"/>
  <c r="W295" i="13"/>
  <c r="U295" i="13"/>
  <c r="U370" i="13"/>
  <c r="W370" i="13"/>
  <c r="V409" i="12"/>
  <c r="T201" i="13"/>
  <c r="W392" i="13"/>
  <c r="U392" i="13"/>
  <c r="T218" i="13"/>
  <c r="V426" i="12"/>
  <c r="L616" i="12"/>
  <c r="N616" i="12" s="1"/>
  <c r="J616" i="12"/>
  <c r="K114" i="12"/>
  <c r="M114" i="12" s="1"/>
  <c r="O114" i="12" s="1"/>
  <c r="K109" i="12"/>
  <c r="M109" i="12" s="1"/>
  <c r="K104" i="12"/>
  <c r="M104" i="12" s="1"/>
  <c r="K99" i="12"/>
  <c r="M99" i="12" s="1"/>
  <c r="K94" i="12"/>
  <c r="M94" i="12" s="1"/>
  <c r="O94" i="12" s="1"/>
  <c r="K91" i="12"/>
  <c r="M91" i="12" s="1"/>
  <c r="P76" i="12"/>
  <c r="O76" i="12"/>
  <c r="S76" i="12" s="1"/>
  <c r="T76" i="12" s="1"/>
  <c r="K74" i="12"/>
  <c r="M74" i="12" s="1"/>
  <c r="K41" i="12"/>
  <c r="M41" i="12" s="1"/>
  <c r="P65" i="12"/>
  <c r="O65" i="12"/>
  <c r="S65" i="12" s="1"/>
  <c r="T65" i="12" s="1"/>
  <c r="O43" i="12"/>
  <c r="S43" i="12" s="1"/>
  <c r="T43" i="12" s="1"/>
  <c r="P43" i="12"/>
  <c r="K688" i="12"/>
  <c r="M688" i="12" s="1"/>
  <c r="R162" i="7"/>
  <c r="R167" i="7"/>
  <c r="L68" i="7"/>
  <c r="H68" i="7"/>
  <c r="J68" i="7"/>
  <c r="AA167" i="7"/>
  <c r="AA170" i="7" s="1"/>
  <c r="C18" i="3"/>
  <c r="W258" i="13"/>
  <c r="U258" i="13"/>
  <c r="P110" i="12"/>
  <c r="O110" i="12"/>
  <c r="K105" i="12"/>
  <c r="M105" i="12" s="1"/>
  <c r="P96" i="12"/>
  <c r="O96" i="12"/>
  <c r="K89" i="12"/>
  <c r="M89" i="12" s="1"/>
  <c r="P86" i="12"/>
  <c r="O86" i="12"/>
  <c r="W361" i="13"/>
  <c r="U361" i="13"/>
  <c r="V471" i="12"/>
  <c r="T263" i="13"/>
  <c r="W366" i="13"/>
  <c r="U366" i="13"/>
  <c r="W314" i="13"/>
  <c r="U314" i="13"/>
  <c r="W359" i="13"/>
  <c r="U359" i="13"/>
  <c r="P94" i="12"/>
  <c r="O100" i="12"/>
  <c r="W116" i="13"/>
  <c r="U116" i="13"/>
  <c r="T268" i="13"/>
  <c r="W476" i="12"/>
  <c r="T236" i="13"/>
  <c r="V444" i="12"/>
  <c r="O607" i="12"/>
  <c r="P608" i="12" s="1"/>
  <c r="P607" i="12"/>
  <c r="U231" i="13"/>
  <c r="W231" i="13"/>
  <c r="U251" i="13"/>
  <c r="W251" i="13"/>
  <c r="K290" i="12"/>
  <c r="M290" i="12" s="1"/>
  <c r="K44" i="12"/>
  <c r="M44" i="12" s="1"/>
  <c r="K42" i="12"/>
  <c r="M42" i="12" s="1"/>
  <c r="L525" i="12"/>
  <c r="N525" i="12" s="1"/>
  <c r="P525" i="12" s="1"/>
  <c r="O393" i="12"/>
  <c r="V393" i="12" s="1"/>
  <c r="P393" i="12"/>
  <c r="O25" i="12"/>
  <c r="S25" i="12" s="1"/>
  <c r="T25" i="12" s="1"/>
  <c r="P25" i="12"/>
  <c r="O411" i="12"/>
  <c r="V411" i="12" s="1"/>
  <c r="P411" i="12"/>
  <c r="O383" i="12"/>
  <c r="V383" i="12" s="1"/>
  <c r="P383" i="12"/>
  <c r="J71" i="7"/>
  <c r="L71" i="7"/>
  <c r="H71" i="7"/>
  <c r="J70" i="7"/>
  <c r="H70" i="7"/>
  <c r="L70" i="7"/>
  <c r="W249" i="13"/>
  <c r="U249" i="13"/>
  <c r="U107" i="13"/>
  <c r="W107" i="13"/>
  <c r="W360" i="13"/>
  <c r="U360" i="13"/>
  <c r="T233" i="13"/>
  <c r="V441" i="12"/>
  <c r="U148" i="13"/>
  <c r="W148" i="13"/>
  <c r="U161" i="13"/>
  <c r="W161" i="13"/>
  <c r="W298" i="13"/>
  <c r="U298" i="13"/>
  <c r="W287" i="13"/>
  <c r="U287" i="13"/>
  <c r="W378" i="13"/>
  <c r="U378" i="13"/>
  <c r="W288" i="13"/>
  <c r="U288" i="13"/>
  <c r="V461" i="12"/>
  <c r="T253" i="13"/>
  <c r="T195" i="13"/>
  <c r="V403" i="12"/>
  <c r="W302" i="13"/>
  <c r="U302" i="13"/>
  <c r="W308" i="13"/>
  <c r="U308" i="13"/>
  <c r="W317" i="13"/>
  <c r="U317" i="13"/>
  <c r="W199" i="13"/>
  <c r="U199" i="13"/>
  <c r="P109" i="12"/>
  <c r="O109" i="12"/>
  <c r="P104" i="12"/>
  <c r="O104" i="12"/>
  <c r="O99" i="12"/>
  <c r="P99" i="12"/>
  <c r="P91" i="12"/>
  <c r="O91" i="12"/>
  <c r="O74" i="12"/>
  <c r="S74" i="12" s="1"/>
  <c r="T74" i="12" s="1"/>
  <c r="P74" i="12"/>
  <c r="P41" i="12"/>
  <c r="O41" i="12"/>
  <c r="S41" i="12" s="1"/>
  <c r="T41" i="12" s="1"/>
  <c r="D41" i="9"/>
  <c r="H69" i="7"/>
  <c r="L69" i="7"/>
  <c r="J69" i="7"/>
  <c r="V68" i="7"/>
  <c r="V169" i="7" s="1"/>
  <c r="R169" i="7"/>
  <c r="AA162" i="7"/>
  <c r="AA158" i="7"/>
  <c r="B54" i="1" s="1"/>
  <c r="B58" i="1" s="1"/>
  <c r="C22" i="11"/>
  <c r="D21" i="11"/>
  <c r="W245" i="13"/>
  <c r="U245" i="13"/>
  <c r="W240" i="13"/>
  <c r="U240" i="13"/>
  <c r="P105" i="12"/>
  <c r="O105" i="12"/>
  <c r="O89" i="12"/>
  <c r="P89" i="12"/>
  <c r="T272" i="13"/>
  <c r="W479" i="12"/>
  <c r="U339" i="13"/>
  <c r="W339" i="13"/>
  <c r="W111" i="13"/>
  <c r="U111" i="13"/>
  <c r="T198" i="13"/>
  <c r="V406" i="12"/>
  <c r="U402" i="13"/>
  <c r="W402" i="13"/>
  <c r="W338" i="13"/>
  <c r="U338" i="13"/>
  <c r="U345" i="13"/>
  <c r="W345" i="13"/>
  <c r="U113" i="13"/>
  <c r="W113" i="13"/>
  <c r="T257" i="13"/>
  <c r="W465" i="12"/>
  <c r="W278" i="13"/>
  <c r="U278" i="13"/>
  <c r="U130" i="13"/>
  <c r="W130" i="13"/>
  <c r="U350" i="13"/>
  <c r="W350" i="13"/>
  <c r="T247" i="13"/>
  <c r="W455" i="12"/>
  <c r="U362" i="13"/>
  <c r="W362" i="13"/>
  <c r="W390" i="13"/>
  <c r="U390" i="13"/>
  <c r="W320" i="13"/>
  <c r="U320" i="13"/>
  <c r="W167" i="13"/>
  <c r="U167" i="13"/>
  <c r="O290" i="12"/>
  <c r="T112" i="13" s="1"/>
  <c r="U112" i="13" s="1"/>
  <c r="P290" i="12"/>
  <c r="P44" i="12"/>
  <c r="O44" i="12"/>
  <c r="S44" i="12" s="1"/>
  <c r="T44" i="12" s="1"/>
  <c r="P42" i="12"/>
  <c r="O42" i="12"/>
  <c r="S42" i="12" s="1"/>
  <c r="T42" i="12" s="1"/>
  <c r="L688" i="12"/>
  <c r="N688" i="12" s="1"/>
  <c r="N690" i="12" s="1"/>
  <c r="O688" i="12" s="1"/>
  <c r="T420" i="13" s="1"/>
  <c r="W420" i="13" s="1"/>
  <c r="U368" i="13"/>
  <c r="W368" i="13"/>
  <c r="E56" i="1" l="1"/>
  <c r="F56" i="1" s="1"/>
  <c r="I56" i="1" s="1"/>
  <c r="C22" i="1" s="1"/>
  <c r="E54" i="1"/>
  <c r="F54" i="1" s="1"/>
  <c r="U253" i="13"/>
  <c r="W253" i="13"/>
  <c r="T371" i="13"/>
  <c r="T54" i="13"/>
  <c r="U236" i="13"/>
  <c r="W236" i="13"/>
  <c r="U268" i="13"/>
  <c r="W268" i="13"/>
  <c r="L73" i="7"/>
  <c r="C30" i="1"/>
  <c r="P616" i="12"/>
  <c r="W201" i="13"/>
  <c r="U201" i="13"/>
  <c r="U204" i="13"/>
  <c r="W204" i="13"/>
  <c r="U237" i="13"/>
  <c r="W237" i="13"/>
  <c r="E28" i="9"/>
  <c r="F28" i="9"/>
  <c r="O28" i="9" s="1"/>
  <c r="E27" i="9"/>
  <c r="F27" i="9"/>
  <c r="O27" i="9" s="1"/>
  <c r="E36" i="9"/>
  <c r="F36" i="9"/>
  <c r="O36" i="9" s="1"/>
  <c r="E35" i="9"/>
  <c r="F35" i="9"/>
  <c r="O35" i="9" s="1"/>
  <c r="E30" i="9"/>
  <c r="F30" i="9"/>
  <c r="O30" i="9" s="1"/>
  <c r="E22" i="9"/>
  <c r="F22" i="9"/>
  <c r="O22" i="9" s="1"/>
  <c r="E42" i="9"/>
  <c r="F42" i="9"/>
  <c r="O42" i="9" s="1"/>
  <c r="E47" i="9"/>
  <c r="F47" i="9"/>
  <c r="O47" i="9" s="1"/>
  <c r="E48" i="9"/>
  <c r="F48" i="9"/>
  <c r="O48" i="9" s="1"/>
  <c r="E37" i="9"/>
  <c r="F37" i="9"/>
  <c r="O37" i="9" s="1"/>
  <c r="E38" i="9"/>
  <c r="F38" i="9"/>
  <c r="O38" i="9" s="1"/>
  <c r="E43" i="9"/>
  <c r="F43" i="9"/>
  <c r="O43" i="9" s="1"/>
  <c r="E44" i="9"/>
  <c r="F44" i="9"/>
  <c r="O44" i="9" s="1"/>
  <c r="E33" i="9"/>
  <c r="F33" i="9"/>
  <c r="O33" i="9" s="1"/>
  <c r="P688" i="12"/>
  <c r="W247" i="13"/>
  <c r="U247" i="13"/>
  <c r="W257" i="13"/>
  <c r="U257" i="13"/>
  <c r="W198" i="13"/>
  <c r="U198" i="13"/>
  <c r="U272" i="13"/>
  <c r="W272" i="13"/>
  <c r="C23" i="11"/>
  <c r="D23" i="11" s="1"/>
  <c r="D22" i="11"/>
  <c r="AA164" i="7"/>
  <c r="B30" i="1"/>
  <c r="B33" i="1" s="1"/>
  <c r="I33" i="1" s="1"/>
  <c r="J33" i="1" s="1"/>
  <c r="E41" i="9"/>
  <c r="F41" i="9"/>
  <c r="O41" i="9" s="1"/>
  <c r="W195" i="13"/>
  <c r="U195" i="13"/>
  <c r="W233" i="13"/>
  <c r="U233" i="13"/>
  <c r="T175" i="13"/>
  <c r="W383" i="12"/>
  <c r="T203" i="13"/>
  <c r="W411" i="12"/>
  <c r="T185" i="13"/>
  <c r="W393" i="12"/>
  <c r="U263" i="13"/>
  <c r="W263" i="13"/>
  <c r="H73" i="7"/>
  <c r="R170" i="7"/>
  <c r="U218" i="13"/>
  <c r="W218" i="13"/>
  <c r="F159" i="6"/>
  <c r="I159" i="6" s="1"/>
  <c r="R141" i="7"/>
  <c r="G141" i="7"/>
  <c r="F34" i="9"/>
  <c r="O34" i="9" s="1"/>
  <c r="E34" i="9"/>
  <c r="E39" i="9"/>
  <c r="F39" i="9"/>
  <c r="O39" i="9" s="1"/>
  <c r="F26" i="9"/>
  <c r="O26" i="9" s="1"/>
  <c r="E26" i="9"/>
  <c r="E32" i="9"/>
  <c r="F32" i="9"/>
  <c r="O32" i="9" s="1"/>
  <c r="F31" i="9"/>
  <c r="O31" i="9" s="1"/>
  <c r="E31" i="9"/>
  <c r="E49" i="9"/>
  <c r="F49" i="9"/>
  <c r="O49" i="9" s="1"/>
  <c r="F25" i="9"/>
  <c r="O25" i="9" s="1"/>
  <c r="E25" i="9"/>
  <c r="E50" i="9"/>
  <c r="F50" i="9"/>
  <c r="O50" i="9" s="1"/>
  <c r="F24" i="9"/>
  <c r="O24" i="9" s="1"/>
  <c r="E24" i="9"/>
  <c r="E29" i="9"/>
  <c r="F29" i="9"/>
  <c r="O29" i="9" s="1"/>
  <c r="F40" i="9"/>
  <c r="O40" i="9" s="1"/>
  <c r="E40" i="9"/>
  <c r="E46" i="9"/>
  <c r="F46" i="9"/>
  <c r="O46" i="9" s="1"/>
  <c r="F23" i="9"/>
  <c r="O23" i="9" s="1"/>
  <c r="E23" i="9"/>
  <c r="E21" i="9"/>
  <c r="F21" i="9"/>
  <c r="O21" i="9" s="1"/>
  <c r="O51" i="9" s="1"/>
  <c r="F45" i="9"/>
  <c r="O45" i="9" s="1"/>
  <c r="E45" i="9"/>
  <c r="H40" i="9" l="1"/>
  <c r="N40" i="9"/>
  <c r="H24" i="9"/>
  <c r="N24" i="9"/>
  <c r="N21" i="9"/>
  <c r="H21" i="9"/>
  <c r="N46" i="9"/>
  <c r="H46" i="9"/>
  <c r="N29" i="9"/>
  <c r="H29" i="9"/>
  <c r="N50" i="9"/>
  <c r="H50" i="9"/>
  <c r="N49" i="9"/>
  <c r="H49" i="9"/>
  <c r="N32" i="9"/>
  <c r="H32" i="9"/>
  <c r="N39" i="9"/>
  <c r="H39" i="9"/>
  <c r="V141" i="7"/>
  <c r="V163" i="7" s="1"/>
  <c r="R163" i="7"/>
  <c r="R158" i="7"/>
  <c r="E13" i="11"/>
  <c r="F13" i="11" s="1"/>
  <c r="E14" i="11"/>
  <c r="F14" i="11" s="1"/>
  <c r="E15" i="11"/>
  <c r="F15" i="11" s="1"/>
  <c r="C15" i="3"/>
  <c r="E18" i="11"/>
  <c r="F18" i="11" s="1"/>
  <c r="E16" i="11"/>
  <c r="F16" i="11" s="1"/>
  <c r="E17" i="11"/>
  <c r="F17" i="11" s="1"/>
  <c r="E19" i="11"/>
  <c r="F19" i="11" s="1"/>
  <c r="E20" i="11"/>
  <c r="F20" i="11" s="1"/>
  <c r="N33" i="9"/>
  <c r="H33" i="9"/>
  <c r="H44" i="9"/>
  <c r="N44" i="9"/>
  <c r="N43" i="9"/>
  <c r="H43" i="9"/>
  <c r="H38" i="9"/>
  <c r="N38" i="9"/>
  <c r="N37" i="9"/>
  <c r="H37" i="9"/>
  <c r="H48" i="9"/>
  <c r="N48" i="9"/>
  <c r="N47" i="9"/>
  <c r="H47" i="9"/>
  <c r="H42" i="9"/>
  <c r="N42" i="9"/>
  <c r="N22" i="9"/>
  <c r="H22" i="9"/>
  <c r="H30" i="9"/>
  <c r="N30" i="9"/>
  <c r="N35" i="9"/>
  <c r="H35" i="9"/>
  <c r="H36" i="9"/>
  <c r="N36" i="9"/>
  <c r="N27" i="9"/>
  <c r="H27" i="9"/>
  <c r="N28" i="9"/>
  <c r="H28" i="9"/>
  <c r="W371" i="13"/>
  <c r="U371" i="13"/>
  <c r="B71" i="1"/>
  <c r="E71" i="1" s="1"/>
  <c r="G22" i="1"/>
  <c r="H45" i="9"/>
  <c r="N45" i="9"/>
  <c r="H23" i="9"/>
  <c r="N23" i="9"/>
  <c r="H25" i="9"/>
  <c r="N25" i="9"/>
  <c r="H31" i="9"/>
  <c r="N31" i="9"/>
  <c r="H26" i="9"/>
  <c r="N26" i="9"/>
  <c r="H34" i="9"/>
  <c r="N34" i="9"/>
  <c r="L141" i="7"/>
  <c r="J141" i="7"/>
  <c r="H141" i="7"/>
  <c r="H142" i="7" s="1"/>
  <c r="W185" i="13"/>
  <c r="U185" i="13"/>
  <c r="W203" i="13"/>
  <c r="U203" i="13"/>
  <c r="U175" i="13"/>
  <c r="W175" i="13"/>
  <c r="H41" i="9"/>
  <c r="N41" i="9"/>
  <c r="C19" i="3"/>
  <c r="E23" i="11"/>
  <c r="F23" i="11" s="1"/>
  <c r="W54" i="13"/>
  <c r="U54" i="13"/>
  <c r="I54" i="1"/>
  <c r="C18" i="1" s="1"/>
  <c r="F58" i="1"/>
  <c r="E21" i="11"/>
  <c r="F21" i="11" s="1"/>
  <c r="B66" i="1" l="1"/>
  <c r="E66" i="1" s="1"/>
  <c r="G18" i="1"/>
  <c r="Q41" i="9"/>
  <c r="Q28" i="9"/>
  <c r="Q27" i="9"/>
  <c r="Q35" i="9"/>
  <c r="Q22" i="9"/>
  <c r="Q47" i="9"/>
  <c r="Q37" i="9"/>
  <c r="Q43" i="9"/>
  <c r="Q33" i="9"/>
  <c r="C31" i="1"/>
  <c r="D41" i="1"/>
  <c r="R164" i="7"/>
  <c r="Q39" i="9"/>
  <c r="Q32" i="9"/>
  <c r="Q49" i="9"/>
  <c r="Q50" i="9"/>
  <c r="Q29" i="9"/>
  <c r="Q46" i="9"/>
  <c r="Q21" i="9"/>
  <c r="Q34" i="9"/>
  <c r="Q26" i="9"/>
  <c r="Q31" i="9"/>
  <c r="Q25" i="9"/>
  <c r="Q23" i="9"/>
  <c r="Q45" i="9"/>
  <c r="Q36" i="9"/>
  <c r="Q30" i="9"/>
  <c r="Q42" i="9"/>
  <c r="Q48" i="9"/>
  <c r="Q38" i="9"/>
  <c r="Q44" i="9"/>
  <c r="D17" i="3"/>
  <c r="F17" i="3" s="1"/>
  <c r="D13" i="3"/>
  <c r="F13" i="3" s="1"/>
  <c r="D15" i="3"/>
  <c r="F15" i="3" s="1"/>
  <c r="D18" i="3"/>
  <c r="F18" i="3" s="1"/>
  <c r="D12" i="3"/>
  <c r="F12" i="3" s="1"/>
  <c r="D20" i="3"/>
  <c r="F20" i="3" s="1"/>
  <c r="D14" i="3"/>
  <c r="F14" i="3" s="1"/>
  <c r="D16" i="3"/>
  <c r="F16" i="3" s="1"/>
  <c r="D19" i="3"/>
  <c r="F19" i="3" s="1"/>
  <c r="C14" i="1"/>
  <c r="B64" i="1"/>
  <c r="N51" i="9"/>
  <c r="Q24" i="9"/>
  <c r="Q40" i="9"/>
  <c r="F21" i="3" l="1"/>
  <c r="C16" i="1"/>
  <c r="C20" i="1"/>
  <c r="Q51" i="9"/>
  <c r="Q8" i="9" s="1"/>
  <c r="Q10" i="9" s="1"/>
  <c r="G31" i="1"/>
  <c r="B68" i="1"/>
  <c r="I36" i="9" l="1"/>
  <c r="J36" i="9" s="1"/>
  <c r="I24" i="9"/>
  <c r="J24" i="9" s="1"/>
  <c r="I33" i="9"/>
  <c r="J33" i="9" s="1"/>
  <c r="I25" i="9"/>
  <c r="J25" i="9" s="1"/>
  <c r="I31" i="9"/>
  <c r="J31" i="9" s="1"/>
  <c r="I50" i="9"/>
  <c r="J50" i="9" s="1"/>
  <c r="I40" i="9"/>
  <c r="J40" i="9" s="1"/>
  <c r="I28" i="9"/>
  <c r="J28" i="9" s="1"/>
  <c r="I46" i="9"/>
  <c r="J46" i="9" s="1"/>
  <c r="I37" i="9"/>
  <c r="J37" i="9" s="1"/>
  <c r="I38" i="9"/>
  <c r="J38" i="9" s="1"/>
  <c r="I49" i="9"/>
  <c r="J49" i="9" s="1"/>
  <c r="I47" i="9"/>
  <c r="J47" i="9" s="1"/>
  <c r="I48" i="9"/>
  <c r="J48" i="9" s="1"/>
  <c r="I23" i="9"/>
  <c r="J23" i="9" s="1"/>
  <c r="I34" i="9"/>
  <c r="J34" i="9" s="1"/>
  <c r="I41" i="9"/>
  <c r="J41" i="9" s="1"/>
  <c r="I32" i="9"/>
  <c r="J32" i="9" s="1"/>
  <c r="I45" i="9"/>
  <c r="J45" i="9" s="1"/>
  <c r="I44" i="9"/>
  <c r="J44" i="9" s="1"/>
  <c r="I26" i="9"/>
  <c r="J26" i="9" s="1"/>
  <c r="I30" i="9"/>
  <c r="J30" i="9" s="1"/>
  <c r="I27" i="9"/>
  <c r="J27" i="9" s="1"/>
  <c r="I42" i="9"/>
  <c r="J42" i="9" s="1"/>
  <c r="I43" i="9"/>
  <c r="J43" i="9" s="1"/>
  <c r="I35" i="9"/>
  <c r="J35" i="9" s="1"/>
  <c r="I22" i="9"/>
  <c r="J22" i="9" s="1"/>
  <c r="I21" i="9"/>
  <c r="J21" i="9" s="1"/>
  <c r="I29" i="9"/>
  <c r="J29" i="9" s="1"/>
  <c r="I39" i="9"/>
  <c r="J39" i="9" s="1"/>
  <c r="A27" i="3"/>
  <c r="D27" i="3"/>
  <c r="K29" i="9" l="1"/>
  <c r="F27" i="7" s="1"/>
  <c r="R29" i="9"/>
  <c r="K22" i="9"/>
  <c r="F15" i="7" s="1"/>
  <c r="T15" i="7" s="1"/>
  <c r="R22" i="9"/>
  <c r="K43" i="9"/>
  <c r="R43" i="9"/>
  <c r="K27" i="9"/>
  <c r="F25" i="7" s="1"/>
  <c r="R27" i="9"/>
  <c r="K26" i="9"/>
  <c r="F24" i="7" s="1"/>
  <c r="R26" i="9"/>
  <c r="K45" i="9"/>
  <c r="F87" i="7" s="1"/>
  <c r="R45" i="9"/>
  <c r="K41" i="9"/>
  <c r="F97" i="7" s="1"/>
  <c r="R41" i="9"/>
  <c r="K23" i="9"/>
  <c r="F21" i="7" s="1"/>
  <c r="R23" i="9"/>
  <c r="K47" i="9"/>
  <c r="R47" i="9"/>
  <c r="K38" i="9"/>
  <c r="F99" i="7" s="1"/>
  <c r="R38" i="9"/>
  <c r="K46" i="9"/>
  <c r="F88" i="7" s="1"/>
  <c r="R46" i="9"/>
  <c r="K40" i="9"/>
  <c r="F101" i="7" s="1"/>
  <c r="R40" i="9"/>
  <c r="K31" i="9"/>
  <c r="F46" i="7" s="1"/>
  <c r="R31" i="9"/>
  <c r="K33" i="9"/>
  <c r="F48" i="7" s="1"/>
  <c r="R33" i="9"/>
  <c r="K36" i="9"/>
  <c r="F51" i="7" s="1"/>
  <c r="R36" i="9"/>
  <c r="G19" i="3"/>
  <c r="H19" i="3" s="1"/>
  <c r="G16" i="3"/>
  <c r="H16" i="3" s="1"/>
  <c r="G18" i="3"/>
  <c r="H18" i="3" s="1"/>
  <c r="G20" i="3"/>
  <c r="H20" i="3" s="1"/>
  <c r="G15" i="3"/>
  <c r="H15" i="3" s="1"/>
  <c r="G13" i="3"/>
  <c r="H13" i="3" s="1"/>
  <c r="G14" i="3"/>
  <c r="H14" i="3" s="1"/>
  <c r="G12" i="3"/>
  <c r="H12" i="3" s="1"/>
  <c r="G17" i="3"/>
  <c r="H17" i="3" s="1"/>
  <c r="E122" i="7" s="1"/>
  <c r="K39" i="9"/>
  <c r="R39" i="9"/>
  <c r="K21" i="9"/>
  <c r="F14" i="7" s="1"/>
  <c r="T14" i="7" s="1"/>
  <c r="R21" i="9"/>
  <c r="K35" i="9"/>
  <c r="F50" i="7" s="1"/>
  <c r="R35" i="9"/>
  <c r="R42" i="9"/>
  <c r="K42" i="9"/>
  <c r="K30" i="9"/>
  <c r="F28" i="7" s="1"/>
  <c r="R30" i="9"/>
  <c r="K44" i="9"/>
  <c r="F89" i="7" s="1"/>
  <c r="R44" i="9"/>
  <c r="K32" i="9"/>
  <c r="F47" i="7" s="1"/>
  <c r="R32" i="9"/>
  <c r="R34" i="9"/>
  <c r="K34" i="9"/>
  <c r="F49" i="7" s="1"/>
  <c r="K48" i="9"/>
  <c r="F122" i="7" s="1"/>
  <c r="R48" i="9"/>
  <c r="K49" i="9"/>
  <c r="R49" i="9"/>
  <c r="K37" i="9"/>
  <c r="F52" i="7" s="1"/>
  <c r="R37" i="9"/>
  <c r="K28" i="9"/>
  <c r="F26" i="7" s="1"/>
  <c r="R28" i="9"/>
  <c r="R50" i="9"/>
  <c r="K50" i="9"/>
  <c r="K25" i="9"/>
  <c r="F23" i="7" s="1"/>
  <c r="R25" i="9"/>
  <c r="K24" i="9"/>
  <c r="F22" i="7" s="1"/>
  <c r="R24" i="9"/>
  <c r="H21" i="6" l="1"/>
  <c r="T22" i="7"/>
  <c r="T26" i="7"/>
  <c r="H25" i="6"/>
  <c r="H56" i="6"/>
  <c r="T52" i="7"/>
  <c r="H153" i="6"/>
  <c r="F123" i="7"/>
  <c r="H138" i="6"/>
  <c r="T122" i="7"/>
  <c r="H51" i="6"/>
  <c r="T47" i="7"/>
  <c r="H97" i="6"/>
  <c r="T89" i="7"/>
  <c r="H27" i="6"/>
  <c r="T28" i="7"/>
  <c r="H54" i="6"/>
  <c r="T50" i="7"/>
  <c r="AC14" i="7"/>
  <c r="AG14" i="7"/>
  <c r="F102" i="7"/>
  <c r="F100" i="7"/>
  <c r="E21" i="7"/>
  <c r="E35" i="7"/>
  <c r="E26" i="7"/>
  <c r="E25" i="7"/>
  <c r="E23" i="7"/>
  <c r="E24" i="7"/>
  <c r="E31" i="7"/>
  <c r="E33" i="7"/>
  <c r="E32" i="7"/>
  <c r="E34" i="7"/>
  <c r="E27" i="7"/>
  <c r="E28" i="7"/>
  <c r="E30" i="7"/>
  <c r="E22" i="7"/>
  <c r="E126" i="7"/>
  <c r="E124" i="7"/>
  <c r="E128" i="7"/>
  <c r="H22" i="6"/>
  <c r="T23" i="7"/>
  <c r="T49" i="7"/>
  <c r="H53" i="6"/>
  <c r="O390" i="12"/>
  <c r="F98" i="7"/>
  <c r="R51" i="9"/>
  <c r="E14" i="1" s="1"/>
  <c r="S122" i="7"/>
  <c r="G138" i="6"/>
  <c r="I138" i="6" s="1"/>
  <c r="G122" i="7"/>
  <c r="E52" i="7"/>
  <c r="E59" i="7"/>
  <c r="E51" i="7"/>
  <c r="E46" i="7"/>
  <c r="E57" i="7"/>
  <c r="E48" i="7"/>
  <c r="E58" i="7"/>
  <c r="E56" i="7"/>
  <c r="E49" i="7"/>
  <c r="E60" i="7"/>
  <c r="E47" i="7"/>
  <c r="E50" i="7"/>
  <c r="E55" i="7"/>
  <c r="E100" i="7"/>
  <c r="E98" i="7"/>
  <c r="E104" i="7"/>
  <c r="E99" i="7"/>
  <c r="E97" i="7"/>
  <c r="E107" i="7"/>
  <c r="E101" i="7"/>
  <c r="E105" i="7"/>
  <c r="E102" i="7"/>
  <c r="E106" i="7"/>
  <c r="X72" i="13"/>
  <c r="T205" i="13"/>
  <c r="G153" i="6"/>
  <c r="I153" i="6" s="1"/>
  <c r="E123" i="7"/>
  <c r="E88" i="7"/>
  <c r="E89" i="7"/>
  <c r="E91" i="7"/>
  <c r="E87" i="7"/>
  <c r="H55" i="6"/>
  <c r="T51" i="7"/>
  <c r="T48" i="7"/>
  <c r="H52" i="6"/>
  <c r="H50" i="6"/>
  <c r="T46" i="7"/>
  <c r="T101" i="7"/>
  <c r="H114" i="6"/>
  <c r="H96" i="6"/>
  <c r="T88" i="7"/>
  <c r="H112" i="6"/>
  <c r="T99" i="7"/>
  <c r="F124" i="7"/>
  <c r="F128" i="7"/>
  <c r="F126" i="7"/>
  <c r="T21" i="7"/>
  <c r="H20" i="6"/>
  <c r="H110" i="6"/>
  <c r="T97" i="7"/>
  <c r="H95" i="6"/>
  <c r="T87" i="7"/>
  <c r="T24" i="7"/>
  <c r="H23" i="6"/>
  <c r="H13" i="6" s="1"/>
  <c r="H24" i="6"/>
  <c r="H14" i="6" s="1"/>
  <c r="T25" i="7"/>
  <c r="O244" i="12"/>
  <c r="T72" i="13" s="1"/>
  <c r="O235" i="12"/>
  <c r="T66" i="13" s="1"/>
  <c r="X205" i="13"/>
  <c r="AC15" i="7"/>
  <c r="AG15" i="7"/>
  <c r="T27" i="7"/>
  <c r="H26" i="6"/>
  <c r="AC21" i="7" l="1"/>
  <c r="AG21" i="7"/>
  <c r="AG27" i="7"/>
  <c r="AC27" i="7"/>
  <c r="U66" i="13"/>
  <c r="X66" i="13"/>
  <c r="AG25" i="7"/>
  <c r="AC25" i="7"/>
  <c r="AG87" i="7"/>
  <c r="AC87" i="7"/>
  <c r="AC97" i="7"/>
  <c r="AG97" i="7"/>
  <c r="H141" i="6"/>
  <c r="T126" i="7"/>
  <c r="H140" i="6"/>
  <c r="T124" i="7"/>
  <c r="AG101" i="7"/>
  <c r="AC101" i="7"/>
  <c r="AG48" i="7"/>
  <c r="AC48" i="7"/>
  <c r="S91" i="7"/>
  <c r="G91" i="7"/>
  <c r="G96" i="6"/>
  <c r="S88" i="7"/>
  <c r="G88" i="7"/>
  <c r="S102" i="7"/>
  <c r="G115" i="6"/>
  <c r="G102" i="7"/>
  <c r="G114" i="6"/>
  <c r="S101" i="7"/>
  <c r="G101" i="7"/>
  <c r="G110" i="6"/>
  <c r="S97" i="7"/>
  <c r="G97" i="7"/>
  <c r="S104" i="7"/>
  <c r="G104" i="7"/>
  <c r="G113" i="6"/>
  <c r="S100" i="7"/>
  <c r="G100" i="7"/>
  <c r="O433" i="12"/>
  <c r="G54" i="6"/>
  <c r="S50" i="7"/>
  <c r="G50" i="7"/>
  <c r="S60" i="7"/>
  <c r="G64" i="6"/>
  <c r="I64" i="6" s="1"/>
  <c r="G60" i="7"/>
  <c r="S56" i="7"/>
  <c r="G56" i="7"/>
  <c r="S48" i="7"/>
  <c r="G52" i="6"/>
  <c r="I52" i="6" s="1"/>
  <c r="G48" i="7"/>
  <c r="S46" i="7"/>
  <c r="G50" i="6"/>
  <c r="I50" i="6" s="1"/>
  <c r="G46" i="7"/>
  <c r="G63" i="6"/>
  <c r="I63" i="6" s="1"/>
  <c r="S59" i="7"/>
  <c r="G59" i="7"/>
  <c r="H122" i="7"/>
  <c r="J122" i="7"/>
  <c r="L122" i="7"/>
  <c r="AF122" i="7"/>
  <c r="AB122" i="7"/>
  <c r="V122" i="7"/>
  <c r="H111" i="6"/>
  <c r="T98" i="7"/>
  <c r="AG23" i="7"/>
  <c r="AC23" i="7"/>
  <c r="S128" i="7"/>
  <c r="G142" i="6"/>
  <c r="G128" i="7"/>
  <c r="G141" i="6"/>
  <c r="I141" i="6" s="1"/>
  <c r="S126" i="7"/>
  <c r="G126" i="7"/>
  <c r="S30" i="7"/>
  <c r="G30" i="7"/>
  <c r="G26" i="6"/>
  <c r="S27" i="7"/>
  <c r="G27" i="7"/>
  <c r="S32" i="7"/>
  <c r="G32" i="7"/>
  <c r="S31" i="7"/>
  <c r="G31" i="7"/>
  <c r="G22" i="6"/>
  <c r="S23" i="7"/>
  <c r="G23" i="7"/>
  <c r="O432" i="12"/>
  <c r="G25" i="6"/>
  <c r="S26" i="7"/>
  <c r="G26" i="7"/>
  <c r="G20" i="6"/>
  <c r="I20" i="6" s="1"/>
  <c r="S21" i="7"/>
  <c r="G21" i="7"/>
  <c r="T102" i="7"/>
  <c r="H115" i="6"/>
  <c r="AG50" i="7"/>
  <c r="AC50" i="7"/>
  <c r="AG28" i="7"/>
  <c r="AC28" i="7"/>
  <c r="AC89" i="7"/>
  <c r="AG89" i="7"/>
  <c r="AC47" i="7"/>
  <c r="AG47" i="7"/>
  <c r="AG122" i="7"/>
  <c r="AC122" i="7"/>
  <c r="T123" i="7"/>
  <c r="H139" i="6"/>
  <c r="AG52" i="7"/>
  <c r="AC52" i="7"/>
  <c r="AG22" i="7"/>
  <c r="AC22" i="7"/>
  <c r="W72" i="13"/>
  <c r="U72" i="13"/>
  <c r="AG24" i="7"/>
  <c r="AC24" i="7"/>
  <c r="H142" i="6"/>
  <c r="T128" i="7"/>
  <c r="AC99" i="7"/>
  <c r="AG99" i="7"/>
  <c r="AG88" i="7"/>
  <c r="AC88" i="7"/>
  <c r="AG46" i="7"/>
  <c r="AC46" i="7"/>
  <c r="AC51" i="7"/>
  <c r="AG51" i="7"/>
  <c r="G95" i="6"/>
  <c r="I95" i="6" s="1"/>
  <c r="S87" i="7"/>
  <c r="G87" i="7"/>
  <c r="S89" i="7"/>
  <c r="G97" i="6"/>
  <c r="I97" i="6" s="1"/>
  <c r="G89" i="7"/>
  <c r="S123" i="7"/>
  <c r="G139" i="6"/>
  <c r="I139" i="6" s="1"/>
  <c r="O525" i="12"/>
  <c r="T318" i="13" s="1"/>
  <c r="G123" i="7"/>
  <c r="U205" i="13"/>
  <c r="W205" i="13"/>
  <c r="S106" i="7"/>
  <c r="G106" i="7"/>
  <c r="S105" i="7"/>
  <c r="G105" i="7"/>
  <c r="S107" i="7"/>
  <c r="G107" i="7"/>
  <c r="G112" i="6"/>
  <c r="S99" i="7"/>
  <c r="G99" i="7"/>
  <c r="G111" i="6"/>
  <c r="I111" i="6" s="1"/>
  <c r="S98" i="7"/>
  <c r="G98" i="7"/>
  <c r="S55" i="7"/>
  <c r="G55" i="7"/>
  <c r="G51" i="6"/>
  <c r="I51" i="6" s="1"/>
  <c r="S47" i="7"/>
  <c r="G47" i="7"/>
  <c r="G53" i="6"/>
  <c r="S49" i="7"/>
  <c r="G49" i="7"/>
  <c r="S58" i="7"/>
  <c r="G58" i="7"/>
  <c r="S57" i="7"/>
  <c r="G57" i="7"/>
  <c r="G55" i="6"/>
  <c r="S51" i="7"/>
  <c r="G51" i="7"/>
  <c r="G56" i="6"/>
  <c r="S52" i="7"/>
  <c r="G52" i="7"/>
  <c r="E16" i="1"/>
  <c r="E20" i="1"/>
  <c r="E25" i="1" s="1"/>
  <c r="E27" i="1" s="1"/>
  <c r="V390" i="12"/>
  <c r="T182" i="13"/>
  <c r="AG49" i="7"/>
  <c r="AC49" i="7"/>
  <c r="G140" i="6"/>
  <c r="I140" i="6" s="1"/>
  <c r="S124" i="7"/>
  <c r="G124" i="7"/>
  <c r="S22" i="7"/>
  <c r="G21" i="6"/>
  <c r="O414" i="12"/>
  <c r="G22" i="7"/>
  <c r="S28" i="7"/>
  <c r="G27" i="6"/>
  <c r="I27" i="6" s="1"/>
  <c r="G28" i="7"/>
  <c r="S34" i="7"/>
  <c r="G34" i="7"/>
  <c r="S33" i="7"/>
  <c r="G33" i="7"/>
  <c r="G23" i="6"/>
  <c r="E14" i="7"/>
  <c r="S24" i="7"/>
  <c r="G24" i="7"/>
  <c r="E15" i="7"/>
  <c r="G24" i="6"/>
  <c r="S25" i="7"/>
  <c r="G25" i="7"/>
  <c r="S35" i="7"/>
  <c r="G35" i="7"/>
  <c r="T100" i="7"/>
  <c r="T162" i="7" s="1"/>
  <c r="H113" i="6"/>
  <c r="T158" i="7"/>
  <c r="D64" i="1" s="1"/>
  <c r="D68" i="1" s="1"/>
  <c r="D73" i="1" s="1"/>
  <c r="AC26" i="7"/>
  <c r="AG26" i="7"/>
  <c r="E30" i="1" l="1"/>
  <c r="E33" i="1" s="1"/>
  <c r="E35" i="1" s="1"/>
  <c r="T164" i="7"/>
  <c r="J35" i="7"/>
  <c r="H35" i="7"/>
  <c r="L35" i="7"/>
  <c r="G14" i="6"/>
  <c r="I14" i="6" s="1"/>
  <c r="G33" i="6"/>
  <c r="I33" i="6" s="1"/>
  <c r="I24" i="6"/>
  <c r="J24" i="7"/>
  <c r="L24" i="7"/>
  <c r="H24" i="7"/>
  <c r="S14" i="7"/>
  <c r="G14" i="7"/>
  <c r="H33" i="7"/>
  <c r="J33" i="7"/>
  <c r="L33" i="7"/>
  <c r="J34" i="7"/>
  <c r="H34" i="7"/>
  <c r="L34" i="7"/>
  <c r="H28" i="7"/>
  <c r="L28" i="7"/>
  <c r="J28" i="7"/>
  <c r="AB28" i="7"/>
  <c r="AF28" i="7"/>
  <c r="AH28" i="7" s="1"/>
  <c r="V28" i="7"/>
  <c r="T206" i="13"/>
  <c r="V414" i="12"/>
  <c r="AF22" i="7"/>
  <c r="AH22" i="7" s="1"/>
  <c r="V22" i="7"/>
  <c r="AB22" i="7"/>
  <c r="AF124" i="7"/>
  <c r="V124" i="7"/>
  <c r="AB124" i="7"/>
  <c r="X182" i="13"/>
  <c r="U182" i="13"/>
  <c r="L52" i="7"/>
  <c r="J52" i="7"/>
  <c r="H52" i="7"/>
  <c r="G62" i="6"/>
  <c r="I62" i="6" s="1"/>
  <c r="I56" i="6"/>
  <c r="AB51" i="7"/>
  <c r="AF51" i="7"/>
  <c r="AH51" i="7" s="1"/>
  <c r="V51" i="7"/>
  <c r="J57" i="7"/>
  <c r="L57" i="7"/>
  <c r="H57" i="7"/>
  <c r="J58" i="7"/>
  <c r="L58" i="7"/>
  <c r="H58" i="7"/>
  <c r="J49" i="7"/>
  <c r="L49" i="7"/>
  <c r="H49" i="7"/>
  <c r="G59" i="6"/>
  <c r="I59" i="6" s="1"/>
  <c r="I53" i="6"/>
  <c r="AF47" i="7"/>
  <c r="AH47" i="7" s="1"/>
  <c r="AB47" i="7"/>
  <c r="V47" i="7"/>
  <c r="H55" i="7"/>
  <c r="L55" i="7"/>
  <c r="J55" i="7"/>
  <c r="J98" i="7"/>
  <c r="L98" i="7"/>
  <c r="H98" i="7"/>
  <c r="AF99" i="7"/>
  <c r="AH99" i="7" s="1"/>
  <c r="V99" i="7"/>
  <c r="AB99" i="7"/>
  <c r="H107" i="7"/>
  <c r="L107" i="7"/>
  <c r="J107" i="7"/>
  <c r="L105" i="7"/>
  <c r="J105" i="7"/>
  <c r="H105" i="7"/>
  <c r="J106" i="7"/>
  <c r="H106" i="7"/>
  <c r="L106" i="7"/>
  <c r="L123" i="7"/>
  <c r="H123" i="7"/>
  <c r="J123" i="7"/>
  <c r="L89" i="7"/>
  <c r="H89" i="7"/>
  <c r="J89" i="7"/>
  <c r="AF89" i="7"/>
  <c r="AH89" i="7" s="1"/>
  <c r="AB89" i="7"/>
  <c r="V89" i="7"/>
  <c r="AF87" i="7"/>
  <c r="AH87" i="7" s="1"/>
  <c r="AB87" i="7"/>
  <c r="V87" i="7"/>
  <c r="AG128" i="7"/>
  <c r="AC128" i="7"/>
  <c r="L21" i="7"/>
  <c r="J21" i="7"/>
  <c r="H21" i="7"/>
  <c r="AB26" i="7"/>
  <c r="AF26" i="7"/>
  <c r="AH26" i="7" s="1"/>
  <c r="V26" i="7"/>
  <c r="V432" i="12"/>
  <c r="T224" i="13"/>
  <c r="AF23" i="7"/>
  <c r="AH23" i="7" s="1"/>
  <c r="AB23" i="7"/>
  <c r="V23" i="7"/>
  <c r="J31" i="7"/>
  <c r="H31" i="7"/>
  <c r="L31" i="7"/>
  <c r="J32" i="7"/>
  <c r="L32" i="7"/>
  <c r="H32" i="7"/>
  <c r="L27" i="7"/>
  <c r="H27" i="7"/>
  <c r="J27" i="7"/>
  <c r="G35" i="6"/>
  <c r="I35" i="6" s="1"/>
  <c r="I26" i="6"/>
  <c r="AF30" i="7"/>
  <c r="AH30" i="7" s="1"/>
  <c r="AB30" i="7"/>
  <c r="V30" i="7"/>
  <c r="AB126" i="7"/>
  <c r="AF126" i="7"/>
  <c r="V126" i="7"/>
  <c r="L128" i="7"/>
  <c r="H128" i="7"/>
  <c r="J128" i="7"/>
  <c r="AF128" i="7"/>
  <c r="AH128" i="7" s="1"/>
  <c r="V128" i="7"/>
  <c r="AB128" i="7"/>
  <c r="AF59" i="7"/>
  <c r="AH59" i="7" s="1"/>
  <c r="AB59" i="7"/>
  <c r="V59" i="7"/>
  <c r="H46" i="7"/>
  <c r="L46" i="7"/>
  <c r="J46" i="7"/>
  <c r="AF46" i="7"/>
  <c r="AH46" i="7" s="1"/>
  <c r="AB46" i="7"/>
  <c r="V46" i="7"/>
  <c r="J56" i="7"/>
  <c r="H56" i="7"/>
  <c r="L56" i="7"/>
  <c r="H60" i="7"/>
  <c r="L60" i="7"/>
  <c r="J60" i="7"/>
  <c r="AF60" i="7"/>
  <c r="AH60" i="7" s="1"/>
  <c r="AB60" i="7"/>
  <c r="V60" i="7"/>
  <c r="AB50" i="7"/>
  <c r="AF50" i="7"/>
  <c r="AH50" i="7" s="1"/>
  <c r="V50" i="7"/>
  <c r="T225" i="13"/>
  <c r="V433" i="12"/>
  <c r="AF100" i="7"/>
  <c r="V100" i="7"/>
  <c r="AB100" i="7"/>
  <c r="J104" i="7"/>
  <c r="L104" i="7"/>
  <c r="H104" i="7"/>
  <c r="H97" i="7"/>
  <c r="L97" i="7"/>
  <c r="J97" i="7"/>
  <c r="G118" i="6"/>
  <c r="I118" i="6" s="1"/>
  <c r="I110" i="6"/>
  <c r="AB101" i="7"/>
  <c r="AF101" i="7"/>
  <c r="AH101" i="7" s="1"/>
  <c r="V101" i="7"/>
  <c r="H102" i="7"/>
  <c r="L102" i="7"/>
  <c r="J102" i="7"/>
  <c r="AF102" i="7"/>
  <c r="AB102" i="7"/>
  <c r="V102" i="7"/>
  <c r="AB88" i="7"/>
  <c r="AF88" i="7"/>
  <c r="AH88" i="7" s="1"/>
  <c r="V88" i="7"/>
  <c r="J91" i="7"/>
  <c r="L91" i="7"/>
  <c r="H91" i="7"/>
  <c r="AG124" i="7"/>
  <c r="AC124" i="7"/>
  <c r="AG126" i="7"/>
  <c r="AC126" i="7"/>
  <c r="H25" i="7"/>
  <c r="J25" i="7"/>
  <c r="L25" i="7"/>
  <c r="AG100" i="7"/>
  <c r="AC100" i="7"/>
  <c r="AF35" i="7"/>
  <c r="AH35" i="7" s="1"/>
  <c r="AB35" i="7"/>
  <c r="V35" i="7"/>
  <c r="AB25" i="7"/>
  <c r="AF25" i="7"/>
  <c r="AH25" i="7" s="1"/>
  <c r="V25" i="7"/>
  <c r="S15" i="7"/>
  <c r="G15" i="7"/>
  <c r="AB24" i="7"/>
  <c r="AF24" i="7"/>
  <c r="AH24" i="7" s="1"/>
  <c r="V24" i="7"/>
  <c r="G13" i="6"/>
  <c r="I13" i="6" s="1"/>
  <c r="G32" i="6"/>
  <c r="I32" i="6" s="1"/>
  <c r="I23" i="6"/>
  <c r="AB33" i="7"/>
  <c r="AF33" i="7"/>
  <c r="AH33" i="7" s="1"/>
  <c r="V33" i="7"/>
  <c r="AB34" i="7"/>
  <c r="AF34" i="7"/>
  <c r="AH34" i="7" s="1"/>
  <c r="V34" i="7"/>
  <c r="H22" i="7"/>
  <c r="L22" i="7"/>
  <c r="J22" i="7"/>
  <c r="G30" i="6"/>
  <c r="I30" i="6" s="1"/>
  <c r="I21" i="6"/>
  <c r="J124" i="7"/>
  <c r="L124" i="7"/>
  <c r="L137" i="7" s="1"/>
  <c r="H124" i="7"/>
  <c r="H137" i="7" s="1"/>
  <c r="AF52" i="7"/>
  <c r="AH52" i="7" s="1"/>
  <c r="AB52" i="7"/>
  <c r="V52" i="7"/>
  <c r="L51" i="7"/>
  <c r="H51" i="7"/>
  <c r="J51" i="7"/>
  <c r="G61" i="6"/>
  <c r="I61" i="6" s="1"/>
  <c r="I55" i="6"/>
  <c r="AB57" i="7"/>
  <c r="AF57" i="7"/>
  <c r="AH57" i="7" s="1"/>
  <c r="V57" i="7"/>
  <c r="AF58" i="7"/>
  <c r="AH58" i="7" s="1"/>
  <c r="AB58" i="7"/>
  <c r="V58" i="7"/>
  <c r="AF49" i="7"/>
  <c r="AH49" i="7" s="1"/>
  <c r="AB49" i="7"/>
  <c r="V49" i="7"/>
  <c r="H47" i="7"/>
  <c r="J47" i="7"/>
  <c r="L47" i="7"/>
  <c r="AF55" i="7"/>
  <c r="AH55" i="7" s="1"/>
  <c r="AB55" i="7"/>
  <c r="V55" i="7"/>
  <c r="AF98" i="7"/>
  <c r="AB98" i="7"/>
  <c r="V98" i="7"/>
  <c r="L99" i="7"/>
  <c r="J99" i="7"/>
  <c r="H99" i="7"/>
  <c r="G119" i="6"/>
  <c r="I119" i="6" s="1"/>
  <c r="I112" i="6"/>
  <c r="AF107" i="7"/>
  <c r="AH107" i="7" s="1"/>
  <c r="AB107" i="7"/>
  <c r="V107" i="7"/>
  <c r="AF105" i="7"/>
  <c r="AH105" i="7" s="1"/>
  <c r="AB105" i="7"/>
  <c r="V105" i="7"/>
  <c r="AF106" i="7"/>
  <c r="AH106" i="7" s="1"/>
  <c r="AB106" i="7"/>
  <c r="V106" i="7"/>
  <c r="X318" i="13"/>
  <c r="W318" i="13"/>
  <c r="U318" i="13"/>
  <c r="AF123" i="7"/>
  <c r="AB123" i="7"/>
  <c r="V123" i="7"/>
  <c r="J87" i="7"/>
  <c r="H87" i="7"/>
  <c r="L87" i="7"/>
  <c r="AG123" i="7"/>
  <c r="AC123" i="7"/>
  <c r="T167" i="7"/>
  <c r="T170" i="7" s="1"/>
  <c r="AG102" i="7"/>
  <c r="AC102" i="7"/>
  <c r="AF21" i="7"/>
  <c r="AH21" i="7" s="1"/>
  <c r="AB21" i="7"/>
  <c r="V21" i="7"/>
  <c r="L26" i="7"/>
  <c r="H26" i="7"/>
  <c r="J26" i="7"/>
  <c r="G34" i="6"/>
  <c r="I34" i="6" s="1"/>
  <c r="I25" i="6"/>
  <c r="J23" i="7"/>
  <c r="H23" i="7"/>
  <c r="L23" i="7"/>
  <c r="G31" i="6"/>
  <c r="I31" i="6" s="1"/>
  <c r="I22" i="6"/>
  <c r="AF31" i="7"/>
  <c r="AH31" i="7" s="1"/>
  <c r="AB31" i="7"/>
  <c r="V31" i="7"/>
  <c r="AF32" i="7"/>
  <c r="AH32" i="7" s="1"/>
  <c r="AB32" i="7"/>
  <c r="V32" i="7"/>
  <c r="AB27" i="7"/>
  <c r="AF27" i="7"/>
  <c r="AH27" i="7" s="1"/>
  <c r="V27" i="7"/>
  <c r="J30" i="7"/>
  <c r="H30" i="7"/>
  <c r="L30" i="7"/>
  <c r="J126" i="7"/>
  <c r="H126" i="7"/>
  <c r="L126" i="7"/>
  <c r="I142" i="6"/>
  <c r="AG98" i="7"/>
  <c r="AG158" i="7" s="1"/>
  <c r="AC98" i="7"/>
  <c r="AC158" i="7" s="1"/>
  <c r="D54" i="1" s="1"/>
  <c r="D58" i="1" s="1"/>
  <c r="AH122" i="7"/>
  <c r="L59" i="7"/>
  <c r="J59" i="7"/>
  <c r="H59" i="7"/>
  <c r="L48" i="7"/>
  <c r="H48" i="7"/>
  <c r="J48" i="7"/>
  <c r="AF48" i="7"/>
  <c r="AH48" i="7" s="1"/>
  <c r="AB48" i="7"/>
  <c r="V48" i="7"/>
  <c r="AF56" i="7"/>
  <c r="AH56" i="7" s="1"/>
  <c r="AB56" i="7"/>
  <c r="V56" i="7"/>
  <c r="L50" i="7"/>
  <c r="H50" i="7"/>
  <c r="J50" i="7"/>
  <c r="G60" i="6"/>
  <c r="I60" i="6" s="1"/>
  <c r="I54" i="6"/>
  <c r="H100" i="7"/>
  <c r="J100" i="7"/>
  <c r="L100" i="7"/>
  <c r="G120" i="6"/>
  <c r="I120" i="6" s="1"/>
  <c r="I113" i="6"/>
  <c r="AF104" i="7"/>
  <c r="AH104" i="7" s="1"/>
  <c r="AB104" i="7"/>
  <c r="V104" i="7"/>
  <c r="AB97" i="7"/>
  <c r="AF97" i="7"/>
  <c r="AH97" i="7" s="1"/>
  <c r="V97" i="7"/>
  <c r="L101" i="7"/>
  <c r="J101" i="7"/>
  <c r="H101" i="7"/>
  <c r="G121" i="6"/>
  <c r="I121" i="6" s="1"/>
  <c r="I114" i="6"/>
  <c r="I115" i="6"/>
  <c r="L88" i="7"/>
  <c r="H88" i="7"/>
  <c r="J88" i="7"/>
  <c r="G100" i="6"/>
  <c r="I100" i="6" s="1"/>
  <c r="I96" i="6"/>
  <c r="S168" i="7"/>
  <c r="AF91" i="7"/>
  <c r="AH91" i="7" s="1"/>
  <c r="V91" i="7"/>
  <c r="V168" i="7" s="1"/>
  <c r="AB91" i="7"/>
  <c r="AB168" i="7" s="1"/>
  <c r="H94" i="7" l="1"/>
  <c r="AH123" i="7"/>
  <c r="AH98" i="7"/>
  <c r="L15" i="7"/>
  <c r="H15" i="7"/>
  <c r="J15" i="7"/>
  <c r="AH102" i="7"/>
  <c r="L118" i="7"/>
  <c r="L53" i="7"/>
  <c r="AH126" i="7"/>
  <c r="H43" i="7"/>
  <c r="L43" i="7"/>
  <c r="H63" i="7"/>
  <c r="X206" i="13"/>
  <c r="U206" i="13"/>
  <c r="AF14" i="7"/>
  <c r="AB14" i="7"/>
  <c r="S167" i="7"/>
  <c r="S170" i="7" s="1"/>
  <c r="S162" i="7"/>
  <c r="S158" i="7"/>
  <c r="V14" i="7"/>
  <c r="AC167" i="7"/>
  <c r="AC170" i="7" s="1"/>
  <c r="L94" i="7"/>
  <c r="V15" i="7"/>
  <c r="AB15" i="7"/>
  <c r="AF15" i="7"/>
  <c r="AH15" i="7" s="1"/>
  <c r="H118" i="7"/>
  <c r="AH100" i="7"/>
  <c r="X225" i="13"/>
  <c r="U225" i="13"/>
  <c r="H53" i="7"/>
  <c r="X224" i="13"/>
  <c r="U224" i="13"/>
  <c r="L63" i="7"/>
  <c r="AH124" i="7"/>
  <c r="J14" i="7"/>
  <c r="H14" i="7"/>
  <c r="L14" i="7"/>
  <c r="L18" i="7" s="1"/>
  <c r="H18" i="7" l="1"/>
  <c r="H158" i="7"/>
  <c r="V167" i="7"/>
  <c r="V170" i="7" s="1"/>
  <c r="V158" i="7"/>
  <c r="V162" i="7"/>
  <c r="V164" i="7" s="1"/>
  <c r="D30" i="1"/>
  <c r="S164" i="7"/>
  <c r="AB158" i="7"/>
  <c r="C54" i="1" s="1"/>
  <c r="C58" i="1" s="1"/>
  <c r="AB167" i="7"/>
  <c r="AB170" i="7" s="1"/>
  <c r="X443" i="13"/>
  <c r="D14" i="1"/>
  <c r="C64" i="1"/>
  <c r="AH14" i="7"/>
  <c r="AH158" i="7" s="1"/>
  <c r="AF158" i="7"/>
  <c r="AG160" i="7" s="1"/>
  <c r="W206" i="13"/>
  <c r="W441" i="13" s="1"/>
  <c r="W443" i="13" s="1"/>
  <c r="C68" i="1" l="1"/>
  <c r="E64" i="1"/>
  <c r="D33" i="1"/>
  <c r="G30" i="1"/>
  <c r="W445" i="13"/>
  <c r="C21" i="1"/>
  <c r="D20" i="1"/>
  <c r="D16" i="1"/>
  <c r="G16" i="1" s="1"/>
  <c r="G14" i="1"/>
  <c r="D25" i="1" l="1"/>
  <c r="D27" i="1" s="1"/>
  <c r="D35" i="1" s="1"/>
  <c r="G20" i="1"/>
  <c r="G21" i="1"/>
  <c r="B70" i="1"/>
  <c r="C32" i="1"/>
  <c r="C25" i="1"/>
  <c r="H31" i="1"/>
  <c r="C73" i="1"/>
  <c r="E68" i="1"/>
  <c r="G25" i="1" l="1"/>
  <c r="I25" i="1" s="1"/>
  <c r="J25" i="1" s="1"/>
  <c r="C27" i="1"/>
  <c r="G27" i="1" s="1"/>
  <c r="E70" i="1"/>
  <c r="B73" i="1"/>
  <c r="E73" i="1" s="1"/>
  <c r="G32" i="1"/>
  <c r="G33" i="1" s="1"/>
  <c r="G35" i="1" s="1"/>
  <c r="E37" i="1" s="1"/>
  <c r="C33" i="1"/>
  <c r="C35" i="1" s="1"/>
</calcChain>
</file>

<file path=xl/comments1.xml><?xml version="1.0" encoding="utf-8"?>
<comments xmlns="http://schemas.openxmlformats.org/spreadsheetml/2006/main">
  <authors>
    <author>Clarissa Jamieson</author>
  </authors>
  <commentList>
    <comment ref="D18" authorId="0">
      <text>
        <r>
          <rPr>
            <b/>
            <sz val="8"/>
            <color indexed="81"/>
            <rFont val="Tahoma"/>
            <family val="2"/>
          </rPr>
          <t>Clarissa Jamieson:</t>
        </r>
        <r>
          <rPr>
            <sz val="8"/>
            <color indexed="81"/>
            <rFont val="Tahoma"/>
            <family val="2"/>
          </rPr>
          <t xml:space="preserve">
No impact as result of DSM - Streetlighting fixtures not changing substantially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Clarissa Jamieson:</t>
        </r>
        <r>
          <rPr>
            <sz val="8"/>
            <color indexed="81"/>
            <rFont val="Tahoma"/>
            <family val="2"/>
          </rPr>
          <t xml:space="preserve">
No impact as result of DSM - Streetlighting fixtures not changing substantially</t>
        </r>
      </text>
    </comment>
  </commentList>
</comments>
</file>

<file path=xl/comments2.xml><?xml version="1.0" encoding="utf-8"?>
<comments xmlns="http://schemas.openxmlformats.org/spreadsheetml/2006/main">
  <authors>
    <author>AD854</author>
  </authors>
  <commentList>
    <comment ref="G8" authorId="0">
      <text>
        <r>
          <rPr>
            <b/>
            <sz val="8"/>
            <color indexed="81"/>
            <rFont val="Tahoma"/>
            <family val="2"/>
          </rPr>
          <t>AD854:</t>
        </r>
        <r>
          <rPr>
            <sz val="8"/>
            <color indexed="81"/>
            <rFont val="Tahoma"/>
            <family val="2"/>
          </rPr>
          <t xml:space="preserve">
should be linked to the source file
</t>
        </r>
      </text>
    </comment>
  </commentList>
</comments>
</file>

<file path=xl/comments3.xml><?xml version="1.0" encoding="utf-8"?>
<comments xmlns="http://schemas.openxmlformats.org/spreadsheetml/2006/main">
  <authors>
    <author>AJ111</author>
    <author>AD854</author>
  </authors>
  <commentList>
    <comment ref="B61" authorId="0">
      <text>
        <r>
          <rPr>
            <b/>
            <sz val="8"/>
            <color indexed="81"/>
            <rFont val="Tahoma"/>
            <family val="2"/>
          </rPr>
          <t>AJ111:</t>
        </r>
        <r>
          <rPr>
            <sz val="8"/>
            <color indexed="81"/>
            <rFont val="Tahoma"/>
            <family val="2"/>
          </rPr>
          <t xml:space="preserve">
used COSS file</t>
        </r>
      </text>
    </comment>
    <comment ref="C61" authorId="0">
      <text>
        <r>
          <rPr>
            <b/>
            <sz val="8"/>
            <color indexed="81"/>
            <rFont val="Tahoma"/>
            <family val="2"/>
          </rPr>
          <t>AJ111:</t>
        </r>
        <r>
          <rPr>
            <sz val="8"/>
            <color indexed="81"/>
            <rFont val="Tahoma"/>
            <family val="2"/>
          </rPr>
          <t xml:space="preserve">
used COSS file</t>
        </r>
      </text>
    </comment>
    <comment ref="C62" authorId="1">
      <text>
        <r>
          <rPr>
            <b/>
            <sz val="8"/>
            <color indexed="81"/>
            <rFont val="Tahoma"/>
            <family val="2"/>
          </rPr>
          <t>AD854:</t>
        </r>
        <r>
          <rPr>
            <sz val="8"/>
            <color indexed="81"/>
            <rFont val="Tahoma"/>
            <family val="2"/>
          </rPr>
          <t xml:space="preserve">
should be linked to the source file.  Temp. calc. using YE value adj. for depr of 5.33%.</t>
        </r>
      </text>
    </comment>
  </commentList>
</comments>
</file>

<file path=xl/comments4.xml><?xml version="1.0" encoding="utf-8"?>
<comments xmlns="http://schemas.openxmlformats.org/spreadsheetml/2006/main">
  <authors>
    <author>Clarissa Jamieson</author>
    <author>AJ111</author>
  </authors>
  <commentList>
    <comment ref="B642" authorId="0">
      <text>
        <r>
          <rPr>
            <b/>
            <sz val="8"/>
            <color indexed="81"/>
            <rFont val="Tahoma"/>
            <family val="2"/>
          </rPr>
          <t>Clarissa Jamieson:</t>
        </r>
        <r>
          <rPr>
            <sz val="8"/>
            <color indexed="81"/>
            <rFont val="Tahoma"/>
            <family val="2"/>
          </rPr>
          <t xml:space="preserve">
Average of consumption band as agreed upon by Voytek on July 3, 2009</t>
        </r>
      </text>
    </comment>
    <comment ref="O701" authorId="1">
      <text>
        <r>
          <rPr>
            <b/>
            <sz val="8"/>
            <color indexed="81"/>
            <rFont val="Tahoma"/>
            <family val="2"/>
          </rPr>
          <t>AJ111:</t>
        </r>
        <r>
          <rPr>
            <sz val="8"/>
            <color indexed="81"/>
            <rFont val="Tahoma"/>
            <family val="2"/>
          </rPr>
          <t xml:space="preserve">
should be $12.65</t>
        </r>
      </text>
    </comment>
  </commentList>
</comments>
</file>

<file path=xl/sharedStrings.xml><?xml version="1.0" encoding="utf-8"?>
<sst xmlns="http://schemas.openxmlformats.org/spreadsheetml/2006/main" count="2367" uniqueCount="1259">
  <si>
    <t>CONTROL 240V ELECT PHOTOCELL</t>
  </si>
  <si>
    <t>0057602960</t>
  </si>
  <si>
    <t>GUARD  WIRE FOR ST-LITE</t>
  </si>
  <si>
    <t>0057603800</t>
  </si>
  <si>
    <t>REFRACTOR GLASS</t>
  </si>
  <si>
    <t>0057603900</t>
  </si>
  <si>
    <t>REFRACTORS POLYCARBON #</t>
  </si>
  <si>
    <t>0057604020</t>
  </si>
  <si>
    <t>REFRACTOR POLY LU B2214</t>
  </si>
  <si>
    <t>0057604050</t>
  </si>
  <si>
    <t>REFRACTOR POLY LU B2217</t>
  </si>
  <si>
    <t>0057604080</t>
  </si>
  <si>
    <t>REFRACTOR POLYCARBON #9</t>
  </si>
  <si>
    <t>0057604170</t>
  </si>
  <si>
    <t>0057604200</t>
  </si>
  <si>
    <t>REFRACTOR ACRYLIC VB15</t>
  </si>
  <si>
    <t>Depreciation Rate</t>
  </si>
  <si>
    <t># of Years</t>
  </si>
  <si>
    <t>0057604210</t>
  </si>
  <si>
    <t>REFRACTOR POLY LUM VB15</t>
  </si>
  <si>
    <t>0057604220</t>
  </si>
  <si>
    <t>REFRACTOR AREA LIGHT</t>
  </si>
  <si>
    <t>0057604240</t>
  </si>
  <si>
    <t>REFRACTOR GLASS  OV15</t>
  </si>
  <si>
    <t>0057604250</t>
  </si>
  <si>
    <t>REFRACTOR POLY LUM 0V15</t>
  </si>
  <si>
    <t>0057604255</t>
  </si>
  <si>
    <t>REFRACTOR STREETLIGHT OV</t>
  </si>
  <si>
    <t>0057604270</t>
  </si>
  <si>
    <t>REFRACTOR GLASS OV25</t>
  </si>
  <si>
    <t>0057604280</t>
  </si>
  <si>
    <t>REFRACTOR POLY  OV25</t>
  </si>
  <si>
    <t>0057604300</t>
  </si>
  <si>
    <t>REFRACTOR GLASS  OV50</t>
  </si>
  <si>
    <t>0057605800</t>
  </si>
  <si>
    <t>REDUCER  LAMPHOLDER,</t>
  </si>
  <si>
    <t>0057606100</t>
  </si>
  <si>
    <t>REFRACTOR   125 W   M V</t>
  </si>
  <si>
    <t>0057606500</t>
  </si>
  <si>
    <t>REFRACTOR   FOR SODIUM</t>
  </si>
  <si>
    <t>0057606550</t>
  </si>
  <si>
    <t>0057606700</t>
  </si>
  <si>
    <t>REFRACTOR   250 W   M V</t>
  </si>
  <si>
    <t>0057606950</t>
  </si>
  <si>
    <t>REFRACTOR   400 W   M V</t>
  </si>
  <si>
    <t>0057607300</t>
  </si>
  <si>
    <t>RELAY 30 AMP 110 V MURC</t>
  </si>
  <si>
    <t>0057607330</t>
  </si>
  <si>
    <t>RELAY 30 AMP 125 V</t>
  </si>
  <si>
    <t>0057607400</t>
  </si>
  <si>
    <t>RELAY 60 AMP 115 V</t>
  </si>
  <si>
    <t>0057607440</t>
  </si>
  <si>
    <t>RELAY 60 AMP 250 V</t>
  </si>
  <si>
    <t>0057608690</t>
  </si>
  <si>
    <t>STARTERS HPS LUMINAIRES</t>
  </si>
  <si>
    <t>0057608700</t>
  </si>
  <si>
    <t>STARTER FOR HPS 70-150W</t>
  </si>
  <si>
    <t>0057608703</t>
  </si>
  <si>
    <t>STARTER FOR HPS 55V</t>
  </si>
  <si>
    <t>0057608710</t>
  </si>
  <si>
    <t>STARTER FOR SODIUM</t>
  </si>
  <si>
    <t xml:space="preserve">  Subtotal</t>
  </si>
  <si>
    <t>Subtotal</t>
  </si>
  <si>
    <t>Gross-up factor for tax purposes (LED only)</t>
  </si>
  <si>
    <t>Costs</t>
  </si>
  <si>
    <t>0057608713</t>
  </si>
  <si>
    <t>STARTER KIT HPS 55V 70/</t>
  </si>
  <si>
    <t>0057608720</t>
  </si>
  <si>
    <t>STARTER FOR HPS 150-400</t>
  </si>
  <si>
    <t>0057608722</t>
  </si>
  <si>
    <t>STARTER FOR HPS 100V</t>
  </si>
  <si>
    <t>0057608730</t>
  </si>
  <si>
    <t>0065734220</t>
  </si>
  <si>
    <t>CABLE CU ST-LITE 2C #12</t>
  </si>
  <si>
    <t>SCHEDULE 8</t>
  </si>
  <si>
    <t>LAMP LIFE ANALYSIS</t>
  </si>
  <si>
    <t>September 2005</t>
  </si>
  <si>
    <t>Assumptions:</t>
  </si>
  <si>
    <t>Total annual photocell operating time is based on 4,000 hours per year or 333 hours per month.</t>
  </si>
  <si>
    <t>All Average Rated Life Spans are as indicated in the IES Lighting Handbook, 1981 Edition</t>
  </si>
  <si>
    <t>(IES = Illuminating Engineering Society)</t>
  </si>
  <si>
    <t>Average</t>
  </si>
  <si>
    <t>Burning Hours</t>
  </si>
  <si>
    <t>Service Life</t>
  </si>
  <si>
    <t>Life Relative</t>
  </si>
  <si>
    <t>Replacements Relative</t>
  </si>
  <si>
    <t>Life (Hrs)</t>
  </si>
  <si>
    <t>per Year</t>
  </si>
  <si>
    <t>(Years)</t>
  </si>
  <si>
    <t>to 100W HPS</t>
  </si>
  <si>
    <t>Flourescent (48 in., T12, Recess Base)</t>
  </si>
  <si>
    <t>Mercury Vapour 125W  *See Note</t>
  </si>
  <si>
    <t>Metal Halide 175W</t>
  </si>
  <si>
    <t>Metal Halide 250W</t>
  </si>
  <si>
    <t>Metal Halide 400W</t>
  </si>
  <si>
    <t>Metal Halide 1000W</t>
  </si>
  <si>
    <t>* No Average life data was available for this lamp size in the references listed above. 75% of the quoted life for all Mercury Lamps was used.</t>
  </si>
  <si>
    <t xml:space="preserve">This is gives a life that is consistent with previous rate calculations. </t>
  </si>
  <si>
    <t>LED 44 Watts</t>
  </si>
  <si>
    <t>LED 66 Watts</t>
  </si>
  <si>
    <t>LED 88 Watts</t>
  </si>
  <si>
    <t>532/538</t>
  </si>
  <si>
    <t>Miscellaneous Small Loads Rate</t>
  </si>
  <si>
    <t>Demand Charge</t>
  </si>
  <si>
    <t>$/kW</t>
  </si>
  <si>
    <t>Block 1 Energy</t>
  </si>
  <si>
    <t xml:space="preserve">   Base cost of fuel</t>
  </si>
  <si>
    <t>¢/kWh</t>
  </si>
  <si>
    <t xml:space="preserve">   Non-fuel</t>
  </si>
  <si>
    <t xml:space="preserve">   AA</t>
  </si>
  <si>
    <t xml:space="preserve">   BA</t>
  </si>
  <si>
    <t>Total Energy Charge, block 1 (first 200kWh * demand)</t>
  </si>
  <si>
    <t>Block 2 Energy</t>
  </si>
  <si>
    <t>Total Energy Charge, block 2</t>
  </si>
  <si>
    <t>Lighting Emitting Diode 44 Watts</t>
  </si>
  <si>
    <t>Lighting Emitting Diode 66 Watts</t>
  </si>
  <si>
    <t>Lighting Emitting Diode 88 Watts</t>
  </si>
  <si>
    <t>2011 Proposed Revenue (Using Actual Feb 2010 Inv. Level)</t>
  </si>
  <si>
    <t>2011 Proposed Revenue (Using Est. 2010 Inv. Level)</t>
  </si>
  <si>
    <t>Components of Small General Tariff</t>
  </si>
  <si>
    <t>CALCULATION OF UNMETERED SERVICE RATES</t>
  </si>
  <si>
    <t>RATE INC./(DEC.):</t>
  </si>
  <si>
    <t>Components of Misc. Small Loads Rate</t>
  </si>
  <si>
    <t>Customer Charge</t>
  </si>
  <si>
    <t>Recreational Area Lighting Rate:</t>
  </si>
  <si>
    <t>Large Industrial Tariff:</t>
  </si>
  <si>
    <t>1st Block Energy Charge @ 200 kW.h</t>
  </si>
  <si>
    <t>All Additional kW.h Energy Charge</t>
  </si>
  <si>
    <t>Energy Charge</t>
  </si>
  <si>
    <t>Minimum Charge</t>
  </si>
  <si>
    <t>/ month</t>
  </si>
  <si>
    <t>Minimum Bill</t>
  </si>
  <si>
    <t>Demand</t>
  </si>
  <si>
    <t>Ballast</t>
  </si>
  <si>
    <t>Energy per Month</t>
  </si>
  <si>
    <t>1st Block</t>
  </si>
  <si>
    <t>All Addional Energy</t>
  </si>
  <si>
    <t>All Add. Energy Charge</t>
  </si>
  <si>
    <t>Total Monthly Charge</t>
  </si>
  <si>
    <t>Wattage</t>
  </si>
  <si>
    <t>in KW</t>
  </si>
  <si>
    <t>%</t>
  </si>
  <si>
    <t>incl. Ballast</t>
  </si>
  <si>
    <t>Charge</t>
  </si>
  <si>
    <t>Energy Chg.</t>
  </si>
  <si>
    <t>DEMAND &amp; ENERGY CALCULATION ONLY FOR 100, 200 &amp; 300 SERIES RATE CODES</t>
  </si>
  <si>
    <t>Pwr. &amp; Eng. Component of Published Rate</t>
  </si>
  <si>
    <t>??? Current Rate is $43.46. Energy OK</t>
  </si>
  <si>
    <t>??? Current Rate is $5.92. Energy OK</t>
  </si>
  <si>
    <t>??? Current Rate is $32.55. Energy OK</t>
  </si>
  <si>
    <t>??? Current Rate is $22.72. Energy OK</t>
  </si>
  <si>
    <t>UNM LED Capital BTL (levelized)</t>
  </si>
  <si>
    <t>PROPOSED NEW RATES - EFFECTIVE JANUARY 1, 2012</t>
  </si>
  <si>
    <t>??? Current Rate is $4.76. Energy OK</t>
  </si>
  <si>
    <t>??? Current Rate is $6.31. Energy OK</t>
  </si>
  <si>
    <t>??? Current Rate is $8.89. Energy OK</t>
  </si>
  <si>
    <t>??? Current Rate is $3.61. Energy OK</t>
  </si>
  <si>
    <t>??? Current Rate is $20.02. Energy OK</t>
  </si>
  <si>
    <t>??? Current Rate is $13.92. Energy OK</t>
  </si>
  <si>
    <t>??? Current Rate is $26.63. Energy OK</t>
  </si>
  <si>
    <t>??? Current Rate is $4.13. Energy OK</t>
  </si>
  <si>
    <t>??? Current Rate is $4.25. Energy is 47 kW.h</t>
  </si>
  <si>
    <t>??? Current Rate is $13.91. Energy OK</t>
  </si>
  <si>
    <t>??? Current Rate is $9.28. Energy OK</t>
  </si>
  <si>
    <t>??? Current Rate is $33.58. Energy OK</t>
  </si>
  <si>
    <t>??? Current Rate is $10.38. Energy OK</t>
  </si>
  <si>
    <t>??? Current Rate is $7.12. Energy OK</t>
  </si>
  <si>
    <t>Subject to Min. Bill (Actual Charge was $1.27)</t>
  </si>
  <si>
    <t>Additional</t>
  </si>
  <si>
    <t>Customer</t>
  </si>
  <si>
    <t>Based on Fixed energy level of 710 kWh/month</t>
  </si>
  <si>
    <t>Based on Fixed energy level of 2190 kWh/year</t>
  </si>
  <si>
    <t>??? Current Rate is $42.69. Energy OK</t>
  </si>
  <si>
    <t>DEMAND &amp; ENERGY CALCULATION ONLY FOR 400 SERIES &amp; Kentville Electric RATE CODES</t>
  </si>
  <si>
    <t>??? Current Rate is $2.48. Energy OK</t>
  </si>
  <si>
    <t>??? Current Rate is $4.95. Energy OK</t>
  </si>
  <si>
    <t>Maint. &amp; Capital Charge is          /month</t>
  </si>
  <si>
    <t>Kentville Electric Unmetered Service Rates</t>
  </si>
  <si>
    <t>??? Current Rate is $61.30/month</t>
  </si>
  <si>
    <t>Maint. &amp; Capital is $13.37/month</t>
  </si>
  <si>
    <t>??? Current Rate is $5.79/month</t>
  </si>
  <si>
    <t>??? Current Rate is $4.91/month</t>
  </si>
  <si>
    <t>??? Current Rate is $4.41/month</t>
  </si>
  <si>
    <t>Fixture Count Fcst Multiplier</t>
  </si>
  <si>
    <t>% imbalance</t>
  </si>
  <si>
    <t xml:space="preserve">   Energy Only</t>
  </si>
  <si>
    <t xml:space="preserve">   Maintenance</t>
  </si>
  <si>
    <t xml:space="preserve">   Capital</t>
  </si>
  <si>
    <t xml:space="preserve">   Total</t>
  </si>
  <si>
    <t>Maintenance &amp; Capital</t>
  </si>
  <si>
    <t>Maintenance only</t>
  </si>
  <si>
    <t>Unaccounted for</t>
  </si>
  <si>
    <t>DEMAND &amp; ENERGY CALCULATION ONLY FOR 500 SERIES (Traffic Control Lights)</t>
  </si>
  <si>
    <t>501 (69W)</t>
  </si>
  <si>
    <t>??? Current Rate is $1.26. Energy OK</t>
  </si>
  <si>
    <t>502 (80W)</t>
  </si>
  <si>
    <t>??? Current Rate is $1.46. Energy is 20 kW.h</t>
  </si>
  <si>
    <t>503 (100W)</t>
  </si>
  <si>
    <t>??? Current Rate is $1.78. Energy is 25 kW.h</t>
  </si>
  <si>
    <t>504 (116W)</t>
  </si>
  <si>
    <t>??? Current Rate is $2.06. Energy is 29 kW.h</t>
  </si>
  <si>
    <t>505 (150W)</t>
  </si>
  <si>
    <t>??? Current Rate is $2.62. Energy OK</t>
  </si>
  <si>
    <t>508 (60W)</t>
  </si>
  <si>
    <t>??? Current Rate is $1.06. Energy OK</t>
  </si>
  <si>
    <t>509 (135W)</t>
  </si>
  <si>
    <t>??? Current Rate is $2.34. Energy OK</t>
  </si>
  <si>
    <t>510 (20W)</t>
  </si>
  <si>
    <t>??? Current Rate is $0.36. Energy OK</t>
  </si>
  <si>
    <t>511 (50W)</t>
  </si>
  <si>
    <t>512 (75W)</t>
  </si>
  <si>
    <t>NEW LED TRAFFIC CONTROL SIGNALS</t>
  </si>
  <si>
    <t>520 (8" Red)</t>
  </si>
  <si>
    <t>521 (8" Green)</t>
  </si>
  <si>
    <t>522 (12" Red)</t>
  </si>
  <si>
    <t>523 (12" Arrows)</t>
  </si>
  <si>
    <t>524 (12" Green)</t>
  </si>
  <si>
    <t>525 (8" Amber)</t>
  </si>
  <si>
    <t>526 (12" Red)</t>
  </si>
  <si>
    <t>527 (12" Amber)</t>
  </si>
  <si>
    <t>528 (Directional Signal)</t>
  </si>
  <si>
    <t>529 (12" Walk/Don't Walk)</t>
  </si>
  <si>
    <t>530 Non-Cont. LED TCS</t>
  </si>
  <si>
    <t>531 Cont. LED TCS</t>
  </si>
  <si>
    <t>DEMAND &amp; ENERGY CALCULATION ONLY FOR 600 SERIES (Miscellaneous Lighting)</t>
  </si>
  <si>
    <t>??? Current Rate is $15.49. Energy OK</t>
  </si>
  <si>
    <t>??? Current Rate is $135.22. Energy OK</t>
  </si>
  <si>
    <t>DEMAND &amp; ENERGY CALCULATION ONLY FOR 700 SERIES (Police Sirens)</t>
  </si>
  <si>
    <t>DEMAND &amp; ENERGY CALCULATION ONLY FOR 800 SERIES (CATV Power Supply)</t>
  </si>
  <si>
    <t>??? Current Rate is $12.95. Energy is 182 kW.h</t>
  </si>
  <si>
    <t>??? Current Rate is $18.12. Energy is 255 kW.h</t>
  </si>
  <si>
    <t>??? Current Rate is $23.32. Energy is 328 kW.h</t>
  </si>
  <si>
    <t>??? Current Rate is $28.50. Energy is 401 kW.h</t>
  </si>
  <si>
    <t>??? Current Rate is $33.69. Energy is 474 kW.h</t>
  </si>
  <si>
    <t>Subject to Min. Bill (Actual Charge was $2.06)</t>
  </si>
  <si>
    <t>Subject to Min. Bill Provision under Rate 10</t>
  </si>
  <si>
    <t>DEMAND &amp; ENERGY CALCULATION ONLY FOR 900 SERIES RATE CODES</t>
  </si>
  <si>
    <t>cents/kW.h</t>
  </si>
  <si>
    <t>Capital &amp; Maintenance Only (400 HPS)</t>
  </si>
  <si>
    <t>Assumed Growth Factor in 2012</t>
  </si>
  <si>
    <t>SCHEDULE 5A</t>
  </si>
  <si>
    <t>Depreciation Expense</t>
  </si>
  <si>
    <t>TOTAL CAPITAL COST EXPENSE</t>
  </si>
  <si>
    <t>Capital Cost Expenses (Net Plant Value)</t>
  </si>
  <si>
    <t>Load</t>
  </si>
  <si>
    <t>???? Minimum monthly chg. $2.53</t>
  </si>
  <si>
    <t>Current energy is 73 kW.h/month</t>
  </si>
  <si>
    <t>???? Current rate is $2.67/mo. Energy OK</t>
  </si>
  <si>
    <t>???? Current rate is $63.60/mo. Energy OK</t>
  </si>
  <si>
    <t>???? Current rate is $88.85/mo. Energy OK</t>
  </si>
  <si>
    <t>???? Current rate is $6.11/mo. Energy OK</t>
  </si>
  <si>
    <t>???? Current rate is $52.91/mo. Energy OK</t>
  </si>
  <si>
    <t>Rate includes Cap. &amp; Maint. Of $13.37/month</t>
  </si>
  <si>
    <t>Capital &amp; Maintenance Charge (125 MV)</t>
  </si>
  <si>
    <t>???? Current energy is 2467 kW.h</t>
  </si>
  <si>
    <t>Current rate $67.98/mo. Energy is OK</t>
  </si>
  <si>
    <t>Current rate $40.01/mo. Energy is OK</t>
  </si>
  <si>
    <t>Current rate $10.54/mo. Energy is OK</t>
  </si>
  <si>
    <t>???? Current energy is OK. Min. Charge $2.53</t>
  </si>
  <si>
    <t>Power Charges amounts to $8.16/month</t>
  </si>
  <si>
    <t>Capital &amp; Maintenance Charge (175 MV)</t>
  </si>
  <si>
    <t>Capital &amp; Maintenance Charge (100 HPS)</t>
  </si>
  <si>
    <t>Current Rate OK. Current energy is 182 kW.h</t>
  </si>
  <si>
    <t>Current rate is $2.97/mo. Energy OK</t>
  </si>
  <si>
    <t>???? Current rate is $10.54/mo. Energy OK</t>
  </si>
  <si>
    <t>Non Led</t>
  </si>
  <si>
    <t xml:space="preserve">Tax Adjusted Weighted Average Cost of Capital </t>
  </si>
  <si>
    <t>Salvage Rate (% of Depreciation)</t>
  </si>
  <si>
    <t>Salvage Rate incl in Depr. Rate for 2012</t>
  </si>
  <si>
    <t>Current rate is OK. Current energy is 799 kW.h</t>
  </si>
  <si>
    <t>???? Current rate is $5.95/mo. Energy OK</t>
  </si>
  <si>
    <t>???? Current rate is $23.07/mo. Energy OK</t>
  </si>
  <si>
    <t>???? Current rate is $7.67/mo. Energy OK</t>
  </si>
  <si>
    <t>???? Current rate is $45.70/mo. Energy OK</t>
  </si>
  <si>
    <t>1001</t>
  </si>
  <si>
    <t>Capital &amp; Maint. Charge (250 &amp; 400 M/A)</t>
  </si>
  <si>
    <t xml:space="preserve">   Energy adjusted from standard hours of 4000/year for photocell and 8760/year for continuous</t>
  </si>
  <si>
    <t>STND1</t>
  </si>
  <si>
    <t>FIXED CHARGE</t>
  </si>
  <si>
    <t>STND3</t>
  </si>
  <si>
    <t>STND4</t>
  </si>
  <si>
    <t>28 d. Month</t>
  </si>
  <si>
    <t>29 d. Month</t>
  </si>
  <si>
    <t>30 d. Month</t>
  </si>
  <si>
    <t>31 d. Month</t>
  </si>
  <si>
    <t>STND2:</t>
  </si>
  <si>
    <t>Hrs./ day</t>
  </si>
  <si>
    <t>Days/ Mo.</t>
  </si>
  <si>
    <t>kW.h</t>
  </si>
  <si>
    <t>Tnfr. Loss</t>
  </si>
  <si>
    <t>Adj. kW.h</t>
  </si>
  <si>
    <t>Eng. Chg.</t>
  </si>
  <si>
    <t>XMAS</t>
  </si>
  <si>
    <t>XMAS1</t>
  </si>
  <si>
    <t>XMAS2</t>
  </si>
  <si>
    <t>XMSCW</t>
  </si>
  <si>
    <t>Non-LED Street Lighting Equipment, 2012 Average</t>
  </si>
  <si>
    <t>XMSCS</t>
  </si>
  <si>
    <t>XMSCB</t>
  </si>
  <si>
    <t>UNMETERED SERVICE - MISC. SMALL LOADS RATES</t>
  </si>
  <si>
    <t>UNPUBLISHED RATES</t>
  </si>
  <si>
    <t>Components of Misc. Small Loads Rate:</t>
  </si>
  <si>
    <t xml:space="preserve">Minimum Charge </t>
  </si>
  <si>
    <t xml:space="preserve">Minimum Bill </t>
  </si>
  <si>
    <t>January 1, 2011</t>
  </si>
  <si>
    <t>Current CIS Information</t>
  </si>
  <si>
    <t>Inv. Level</t>
  </si>
  <si>
    <t>Calculated Information</t>
  </si>
  <si>
    <t>Difference</t>
  </si>
  <si>
    <t>NEW RATES</t>
  </si>
  <si>
    <t>Increase</t>
  </si>
  <si>
    <t>EXPLANATION</t>
  </si>
  <si>
    <t>Elect. Rev.</t>
  </si>
  <si>
    <t>C&amp;M. Rev.</t>
  </si>
  <si>
    <t>Standby Transformer Capital Charge</t>
  </si>
  <si>
    <t>Fixed capital charge no inc. required</t>
  </si>
  <si>
    <t>STND2</t>
  </si>
  <si>
    <t>Standby Transformer Energy Charge (30 day bill)</t>
  </si>
  <si>
    <t>Based on Lg. Industrial energy rate</t>
  </si>
  <si>
    <t>Amherst Christmas Lighting - Incandescent</t>
  </si>
  <si>
    <t>Amherst Christmas Lighting - LED</t>
  </si>
  <si>
    <t>Misc. Christmas Lighting</t>
  </si>
  <si>
    <t>Pictou Christmas Stars</t>
  </si>
  <si>
    <t>Stellarton Christmas Wreaths</t>
  </si>
  <si>
    <t>CBRM Christmas Lights</t>
  </si>
  <si>
    <t>Telephone Booths</t>
  </si>
  <si>
    <t>Pre-tax WACC</t>
  </si>
  <si>
    <t>Benefit</t>
  </si>
  <si>
    <t>Conversion Fee</t>
  </si>
  <si>
    <t>Fluorescent Sign - Photocell</t>
  </si>
  <si>
    <t>Misc. Crosswalk Sign</t>
  </si>
  <si>
    <t>RA-5 Crosswalk /w Fluorescent</t>
  </si>
  <si>
    <t>RA-5 Crosswalk</t>
  </si>
  <si>
    <t>Crosswalk /w 2 - 175W - Photocell</t>
  </si>
  <si>
    <t>Water PRV Control</t>
  </si>
  <si>
    <t>Water Reservoir Control</t>
  </si>
  <si>
    <t>Water Fill Station</t>
  </si>
  <si>
    <t>Baseball Scoreboard</t>
  </si>
  <si>
    <t>Water Fountain Motor - Windsor</t>
  </si>
  <si>
    <t>Manhole Flow Meter</t>
  </si>
  <si>
    <t>Minimum Charge applied</t>
  </si>
  <si>
    <t>MTT Booster Box - Unmetered</t>
  </si>
  <si>
    <t>Calculated using Small General tariff</t>
  </si>
  <si>
    <t>DFO Lighthouse - Victoria Beach</t>
  </si>
  <si>
    <t>Aliant #52B Power Cable Cabinet</t>
  </si>
  <si>
    <t>DFO Lighthouse - Torbay</t>
  </si>
  <si>
    <t>DFO Lighthouse - Wallace</t>
  </si>
  <si>
    <t>DFO Lighthouse - Cape Sharpe</t>
  </si>
  <si>
    <t>DFO Lighthouse - Fourchu Head</t>
  </si>
  <si>
    <t>DFO Lighthouse - Candlebox Is.</t>
  </si>
  <si>
    <t>DFO Lighthouse - Bunker Is.</t>
  </si>
  <si>
    <t>Aliant #51B Power Cable Cabinet</t>
  </si>
  <si>
    <t>Aliant 51B AC Pwr Cab (1Unit)</t>
  </si>
  <si>
    <t>150W Eastlink Cell Tower - Cont.</t>
  </si>
  <si>
    <t>1500W Heater HRM (8hrs/day)</t>
  </si>
  <si>
    <t>325W Bus Shelter Sydney - Cont.</t>
  </si>
  <si>
    <t>Annual scaled</t>
  </si>
  <si>
    <t>348W Chemical Detector - HPA</t>
  </si>
  <si>
    <t>Misc. Unmetered - Gazebo</t>
  </si>
  <si>
    <t>Fixed at Minimum Bill Charge</t>
  </si>
  <si>
    <t>MTT Cable Dryers</t>
  </si>
  <si>
    <t>CN Level Crossing Signal</t>
  </si>
  <si>
    <t>CN Level Crossing Signal/Gate</t>
  </si>
  <si>
    <t>Manually Adjusted by 0.26% Rate Increase</t>
  </si>
  <si>
    <t>CN Train Signal</t>
  </si>
  <si>
    <t>Metallic Additive (Capital &amp; Maint.)</t>
  </si>
  <si>
    <t xml:space="preserve">Cap. &amp; Maint. Chg. for 1000W M/A Light </t>
  </si>
  <si>
    <t>Kentville Electric Unmetered Service Rates:</t>
  </si>
  <si>
    <t>Lift Station</t>
  </si>
  <si>
    <t>Flow Meters</t>
  </si>
  <si>
    <t>Entrance Sign</t>
  </si>
  <si>
    <t>HPS - Photocell</t>
  </si>
  <si>
    <t>+ Cap. &amp; Maint. Chg. for 1000 HPS Light</t>
  </si>
  <si>
    <t>Sign</t>
  </si>
  <si>
    <t>Flat Rate</t>
  </si>
  <si>
    <t>Window Lighting</t>
  </si>
  <si>
    <t>Mercury Vapour Light - Photocell</t>
  </si>
  <si>
    <t>High Pressure Sodium - Photocell</t>
  </si>
  <si>
    <t>Street Lighting - New Minas</t>
  </si>
  <si>
    <t>No longer applicable - Lights transferred</t>
  </si>
  <si>
    <t>Traffic Control Lights</t>
  </si>
  <si>
    <t>8" LED Red Traffic Light</t>
  </si>
  <si>
    <t>8" LED Green Traffic Light</t>
  </si>
  <si>
    <t>12" LED Red Traffic Light</t>
  </si>
  <si>
    <t>12" LED Arrows Traffic Light</t>
  </si>
  <si>
    <t>12" LED Green Traffic Light</t>
  </si>
  <si>
    <t>8" LED Amber Traffic Light</t>
  </si>
  <si>
    <t>12" LED Amber Traffic Light</t>
  </si>
  <si>
    <t>Directional signal (Continuous)</t>
  </si>
  <si>
    <t>Non-Continuous LED TCS Light</t>
  </si>
  <si>
    <t>Continuous LED TCS Light</t>
  </si>
  <si>
    <t>Range Light - Continuous</t>
  </si>
  <si>
    <t>Misc. Unmetered - Photocell  "same as RC997"</t>
  </si>
  <si>
    <t>Misc. Unmetered - Photocell</t>
  </si>
  <si>
    <t>Range Light - Photocell</t>
  </si>
  <si>
    <t>Range Light (Continuous)</t>
  </si>
  <si>
    <t>Misc. Small Loads Rate</t>
  </si>
  <si>
    <t>Misc Unmetered - Photocell</t>
  </si>
  <si>
    <t>Police Telephones</t>
  </si>
  <si>
    <t>Police Sirens 2 HP</t>
  </si>
  <si>
    <t>Police Sirens 3 HP</t>
  </si>
  <si>
    <t>Police Sirens 5 HP</t>
  </si>
  <si>
    <t>Police Sirens 1/4 HP</t>
  </si>
  <si>
    <t>Misc. Unmetered - Continuous</t>
  </si>
  <si>
    <t>Cable Vision Power Supplies</t>
  </si>
  <si>
    <t>Weather Camera Station - DOT</t>
  </si>
  <si>
    <t>HI-VOL Air Quality Monitor</t>
  </si>
  <si>
    <t>900W Misc. Unmetered - Reduced</t>
  </si>
  <si>
    <t>38.4W Misc. Unmetered - Continuous</t>
  </si>
  <si>
    <t>Fire Pump - 75 HP</t>
  </si>
  <si>
    <t>LED 110 Watts</t>
  </si>
  <si>
    <t>LED 48 Watts</t>
  </si>
  <si>
    <t>LED 72 Watts</t>
  </si>
  <si>
    <t>Lighting Emitting Diode 48 Watts</t>
  </si>
  <si>
    <t>Lighting Emitting Diode 72 Watts</t>
  </si>
  <si>
    <t>3248W U/G Surge Chamber - Reduced</t>
  </si>
  <si>
    <t>CN Video Surveillance Camera</t>
  </si>
  <si>
    <t>Remote Cabinet - Eastlink</t>
  </si>
  <si>
    <t>U/G Valve Chamber - Reduced</t>
  </si>
  <si>
    <t>Vehicle Card Scanner</t>
  </si>
  <si>
    <t>1HP Vehicle Card Scanner</t>
  </si>
  <si>
    <t>3140W 216C &amp; 800 Pwr. Cab.</t>
  </si>
  <si>
    <t>Pictou - Town Clock</t>
  </si>
  <si>
    <t>Park &amp; Pay Machine - Cont.</t>
  </si>
  <si>
    <t>Misc. Unmetered - 6 hrs / day</t>
  </si>
  <si>
    <t>Misc. Unmetered - 1 hr / day</t>
  </si>
  <si>
    <t>Misc. Unmetered - Capital &amp; Maint.</t>
  </si>
  <si>
    <t xml:space="preserve">Cap. &amp; Maint. Chg. for 400W HPS Light </t>
  </si>
  <si>
    <t>Misc. Unmetered - DO NOT USE</t>
  </si>
  <si>
    <t>F48T12 Fluor - Photo</t>
  </si>
  <si>
    <t>F48T12 Fluor - Cont</t>
  </si>
  <si>
    <t>F96T12VHO Fluorescent - Photocell</t>
  </si>
  <si>
    <t>F96T12/HO Fluor - 6 hrs / day</t>
  </si>
  <si>
    <t>F64T12HO Fluorescent - Photocell</t>
  </si>
  <si>
    <t>F96T12/HO Fluor - Photo</t>
  </si>
  <si>
    <t>Misc. Unmetered - 8 hrs / day</t>
  </si>
  <si>
    <t>Misc. Unmetered - Flashing</t>
  </si>
  <si>
    <t>Misc. Unmetered - Photocell ( + Capital &amp; Maint.)</t>
  </si>
  <si>
    <t>Cap. &amp; Maint. Chg. for 125W MV Light</t>
  </si>
  <si>
    <t>Misc. Unmetered - 1hp Motor</t>
  </si>
  <si>
    <t>Subject to 10% Billing Load Factor Cap</t>
  </si>
  <si>
    <t>Misc. Unmetered - 1 hp</t>
  </si>
  <si>
    <t>Cap. &amp; Maint. Chg. for 175W MV Light</t>
  </si>
  <si>
    <t>Cap. &amp; Maint. Chg. for 100W HPS Light</t>
  </si>
  <si>
    <t>Misc. Unmetered - Dynamite Blaster</t>
  </si>
  <si>
    <t>Misc. Unmetered - Gas Pump 1/3 hp</t>
  </si>
  <si>
    <t>Misc. Unmetered - 30 hrs / week</t>
  </si>
  <si>
    <t>Misc. Unmetered - 528 hrs / month</t>
  </si>
  <si>
    <t>Misc. Unmetered - 152 hrs / month</t>
  </si>
  <si>
    <t>Misc. Unmetered - 195 hrs / month</t>
  </si>
  <si>
    <t>Misc. Unmetered - 7 hrs per day</t>
  </si>
  <si>
    <t>Misc. Unmetered - 56 hrs / month</t>
  </si>
  <si>
    <t>Misc. Unmetered - 3 hp</t>
  </si>
  <si>
    <t>Misc. Unmetered - 198 hrs / month</t>
  </si>
  <si>
    <t>Misc. Unmetered - DMS IU Pwr. Cabinet</t>
  </si>
  <si>
    <t>HIS Decorative Light - Photocell</t>
  </si>
  <si>
    <t>HIS Sign - Photocell</t>
  </si>
  <si>
    <t>Sign - Continuous</t>
  </si>
  <si>
    <t>Misc. Unmetered Fluor - Photo</t>
  </si>
  <si>
    <t>Misc Unmetered - Min. Energy</t>
  </si>
  <si>
    <t>DSLAM Power Cabinet</t>
  </si>
  <si>
    <t>Misc Unmetered - Flashing</t>
  </si>
  <si>
    <t>Misc Unmetered - Seasonal</t>
  </si>
  <si>
    <t>Misc Unmetered - 12 hrs/day</t>
  </si>
  <si>
    <t>Misc Unmetered - Continuous</t>
  </si>
  <si>
    <t>Misc. Unmetered - 12hr/day</t>
  </si>
  <si>
    <t>250 &amp; 400 M/A Light ( Maint. &amp; Cap. Only)</t>
  </si>
  <si>
    <t>Cap. &amp; Maint. Chg. for 250W M/A Light</t>
  </si>
  <si>
    <t>CN Rail - Switch at Parrsborro</t>
  </si>
  <si>
    <t>Fixed - Based on minimum charge</t>
  </si>
  <si>
    <t>IGNORE 1053, 1065, 1074, and 1087</t>
  </si>
  <si>
    <t>PER MONTH =</t>
  </si>
  <si>
    <t>CN Railway Switch - Londonberry</t>
  </si>
  <si>
    <t>CN Railway Switch - Parrsboro</t>
  </si>
  <si>
    <t>24W Misc Unmetered - Continuous</t>
  </si>
  <si>
    <t>1560W Miscellnaeous Unmetered</t>
  </si>
  <si>
    <t>1680W Misc Unmetered - Continuous</t>
  </si>
  <si>
    <t>Misc Crosswalk 700W - Continuous</t>
  </si>
  <si>
    <t>Halifax Bridge Commission - Signage</t>
  </si>
  <si>
    <t>Miscellaneous Unmetered 935W Photocell</t>
  </si>
  <si>
    <t>1510W Miscellaneous Unmetered - Photocell</t>
  </si>
  <si>
    <t>Misc Unmetered - 180W  Photocell</t>
  </si>
  <si>
    <t>Misc Unmetered - 82W</t>
  </si>
  <si>
    <t>1200W Misc Unmetered Photocell</t>
  </si>
  <si>
    <t>0057350835</t>
  </si>
  <si>
    <t>January 2010</t>
  </si>
  <si>
    <t>Determination of Assigned and Average Fixed Assets</t>
  </si>
  <si>
    <t>End of year</t>
  </si>
  <si>
    <t>AVERAGE</t>
  </si>
  <si>
    <t>Current &amp; Long Term Assets</t>
  </si>
  <si>
    <t>Accounts Receivable</t>
  </si>
  <si>
    <t>Materials Inventory</t>
  </si>
  <si>
    <t>Prepaid Expenses</t>
  </si>
  <si>
    <t>Due From Associated Companies</t>
  </si>
  <si>
    <t>Deferred Charges</t>
  </si>
  <si>
    <t>Deferred Credits</t>
  </si>
  <si>
    <t>Accounts Payable</t>
  </si>
  <si>
    <t>Dividends Payable</t>
  </si>
  <si>
    <t>Income Taxes Payable</t>
  </si>
  <si>
    <t>Total Assigned to Fixed Assets</t>
  </si>
  <si>
    <t>AVG COST 2011</t>
  </si>
  <si>
    <t>March 2011</t>
  </si>
  <si>
    <t>Dusk-to-Dawn 70W HPS</t>
  </si>
  <si>
    <t>Dusk-to-Dawn 100W HPS</t>
  </si>
  <si>
    <t>Inventory Prices as of March 2011</t>
  </si>
  <si>
    <t>Additional Deferred Chgs. &amp; W/C assigned to Street Lighting</t>
  </si>
  <si>
    <t>Rate Base</t>
  </si>
  <si>
    <t>GPV - Steam Production</t>
  </si>
  <si>
    <t>GPV - Hydro</t>
  </si>
  <si>
    <t>GPV - Wind</t>
  </si>
  <si>
    <t>GPV - Gas Turbine</t>
  </si>
  <si>
    <t>GPV - LM 6000</t>
  </si>
  <si>
    <t>GPV Transmission</t>
  </si>
  <si>
    <t>GPV Distribution</t>
  </si>
  <si>
    <t xml:space="preserve">  -- Street Lighting</t>
  </si>
  <si>
    <t>GPV General Property</t>
  </si>
  <si>
    <t>% of Street Lighting to Dist. Assets</t>
  </si>
  <si>
    <t>Total GPV of Fixed Assets</t>
  </si>
  <si>
    <t>% Street Lighting to Total Assets</t>
  </si>
  <si>
    <t>NPV - Steam Production</t>
  </si>
  <si>
    <t>NPV - Hydro</t>
  </si>
  <si>
    <t>NPV - Wind</t>
  </si>
  <si>
    <t>NPV - Gas Turbine</t>
  </si>
  <si>
    <t>NPV - LM 6000</t>
  </si>
  <si>
    <t>NPV Transmission</t>
  </si>
  <si>
    <t>NPV Distribution</t>
  </si>
  <si>
    <t>NPV General Property</t>
  </si>
  <si>
    <t>Total NPV of Fixed Assets</t>
  </si>
  <si>
    <t>Provincial capital tax (2011)</t>
  </si>
  <si>
    <t>Federal capital tax (2011)</t>
  </si>
  <si>
    <t>Light Emitting Diode - Traffic Lights</t>
  </si>
  <si>
    <t>COSS</t>
  </si>
  <si>
    <t>2009 CF Average Rate ($/kWh)</t>
  </si>
  <si>
    <t>40W Traffic Camera</t>
  </si>
  <si>
    <t>Miscellaneous Sign - 3234W</t>
  </si>
  <si>
    <t>*</t>
  </si>
  <si>
    <t>Light Emitting Diode 4.6 Watts</t>
  </si>
  <si>
    <t>Light Emitting Diode 7.5 Watts</t>
  </si>
  <si>
    <t>Reduced Misc. Lighting Revenue</t>
  </si>
  <si>
    <t>Lighting Emitting Diode 105 Watts</t>
  </si>
  <si>
    <t>Lighting Emitting Diode 170 Watts</t>
  </si>
  <si>
    <t>Lighting Emitting Diode 92 Watts</t>
  </si>
  <si>
    <t>F</t>
  </si>
  <si>
    <t>2009 CF Revenues</t>
  </si>
  <si>
    <t>Current Proposed Revenue</t>
  </si>
  <si>
    <t>Power &amp; Energy Reduction ($)</t>
  </si>
  <si>
    <t xml:space="preserve">Maintenance </t>
  </si>
  <si>
    <t>Rates Use</t>
  </si>
  <si>
    <t>"PROPOSED RATES - EFFECTIVE JANUARY 1, 2011"</t>
  </si>
  <si>
    <t>440.5W Misc Unmtrd - Photocell</t>
  </si>
  <si>
    <t>2420W Misc Unmetered-Photocell</t>
  </si>
  <si>
    <t>Misc Sign 860W - Photocell</t>
  </si>
  <si>
    <t>4380W Misc Unmetered Photocell</t>
  </si>
  <si>
    <t>1530W Misc Unmetered Photocell</t>
  </si>
  <si>
    <t>Misc. Sign 425W Photocell</t>
  </si>
  <si>
    <t>Misc. Sign 240W - Photocell</t>
  </si>
  <si>
    <t>Misc. Sign 1890W - Photocell</t>
  </si>
  <si>
    <t>Misc. Sign 84 - Continous</t>
  </si>
  <si>
    <t>Misc Sign Unmetered - Photocell</t>
  </si>
  <si>
    <t>Misc Auto Port</t>
  </si>
  <si>
    <t>Misc Wireless Camera</t>
  </si>
  <si>
    <t>Misc Pylon Sign</t>
  </si>
  <si>
    <t>Mis Flashing Detour Sign</t>
  </si>
  <si>
    <t>Misc LED Sign</t>
  </si>
  <si>
    <t>2090W Misc Unmetered Sign</t>
  </si>
  <si>
    <t>2316 Pylon Sign</t>
  </si>
  <si>
    <t>Water Level Sensor</t>
  </si>
  <si>
    <t>82w Individual Decorative Light</t>
  </si>
  <si>
    <t>230W Misc LED Lights</t>
  </si>
  <si>
    <t>450W Sign</t>
  </si>
  <si>
    <t>800W Sign</t>
  </si>
  <si>
    <t>1 - 129W LED Street Light</t>
  </si>
  <si>
    <t>200W Business Sign - Continuous</t>
  </si>
  <si>
    <t>January 1, 2012</t>
  </si>
  <si>
    <t>2400W Misc Lights</t>
  </si>
  <si>
    <t>8 - 250W High Pressure Sodium Lights - Photocell</t>
  </si>
  <si>
    <t>110W Misc Unmetered - Photocell</t>
  </si>
  <si>
    <t>2011 FAM AA/BA</t>
  </si>
  <si>
    <t>Bundled Cost</t>
  </si>
  <si>
    <t>Unbundled Cost</t>
  </si>
  <si>
    <t>440W Misc. Unmetered - Photocell</t>
  </si>
  <si>
    <t>204W Misc Unmetered Continuous</t>
  </si>
  <si>
    <t>660W Misc Unmetered - Photocell</t>
  </si>
  <si>
    <t>For 2012 Street Light Rates</t>
  </si>
  <si>
    <t>Depreciation Rate for 2012</t>
  </si>
  <si>
    <t>LED 65 Watts</t>
  </si>
  <si>
    <t>LED 55 Watts</t>
  </si>
  <si>
    <t>LED 83 Watts</t>
  </si>
  <si>
    <t>HPS</t>
  </si>
  <si>
    <t>2012 Unmetered Sales (kWh)</t>
  </si>
  <si>
    <t>Proposed 2012 Average rate ($/kWh)</t>
  </si>
  <si>
    <t>Reduction in Forecasted S/L Revenue using 2012 Load Forecast</t>
  </si>
  <si>
    <t>Adjusted 2012 Prop. S/L Revenue</t>
  </si>
  <si>
    <t>Reduce Forecasted Misc. Revenue using 2012 Load Forecast</t>
  </si>
  <si>
    <t>Proposed Street &amp; Crosswalk Rate Revenue using Feb 2011 Inventory</t>
  </si>
  <si>
    <t>Lighting Emitting Diode 55 Watts</t>
  </si>
  <si>
    <t>Lighting Emitting Diode 83 Watts</t>
  </si>
  <si>
    <t>Total  # of light types being displaced by LED</t>
  </si>
  <si>
    <t>Light Emitting Diode (Energy Only)</t>
  </si>
  <si>
    <t>LED Sat-48-44W</t>
  </si>
  <si>
    <t>LED Sat-48-55W</t>
  </si>
  <si>
    <t>LED Sat-48-87W</t>
  </si>
  <si>
    <t>LED Sat-96-88W</t>
  </si>
  <si>
    <t>LED Sat-96-173W</t>
  </si>
  <si>
    <t>LED Sat-96-110W</t>
  </si>
  <si>
    <t>LED Sat-72-65W</t>
  </si>
  <si>
    <t>LED Sat-48-74W</t>
  </si>
  <si>
    <t>(Power &amp; Capital)</t>
  </si>
  <si>
    <t>Before Correction Factor</t>
  </si>
  <si>
    <t>Correction Factor</t>
  </si>
  <si>
    <t>Aligned with COSS results</t>
  </si>
  <si>
    <t>2012 Forecast</t>
  </si>
  <si>
    <t># of fixtures</t>
  </si>
  <si>
    <t>depreciation expense</t>
  </si>
  <si>
    <t>cost of capital</t>
  </si>
  <si>
    <t>revenue</t>
  </si>
  <si>
    <t>UNM ATL balanced with COSS</t>
  </si>
  <si>
    <t>COSTS</t>
  </si>
  <si>
    <t>REVENUES</t>
  </si>
  <si>
    <t>UNM NON-LED STREET LIGHTS</t>
  </si>
  <si>
    <t>UNM LED STREET LIGHTS</t>
  </si>
  <si>
    <t>MISC LOADS</t>
  </si>
  <si>
    <t>LED Capital Deferral</t>
  </si>
  <si>
    <t>Electric Service rate increase</t>
  </si>
  <si>
    <t>Imbalance</t>
  </si>
  <si>
    <t>Total Sales based on Feb / 2012 inventories (kWh)</t>
  </si>
  <si>
    <t>Maintenance Energy based on Feb / 2012 inventories (kWh)</t>
  </si>
  <si>
    <t>Capital Energy based on Feb / 2012 inventories (kWh)</t>
  </si>
  <si>
    <t>(from 2012 COSS, Exhibit 6A)</t>
  </si>
  <si>
    <t>Non LED</t>
  </si>
  <si>
    <t xml:space="preserve">     Financing</t>
  </si>
  <si>
    <t xml:space="preserve">  Electric Service</t>
  </si>
  <si>
    <t xml:space="preserve">Reduced 2012 Street &amp; Crosswalk Lighting Revenue </t>
  </si>
  <si>
    <t>Proposed 2012 Sreet &amp; Crosswalk Lighting Revenue</t>
  </si>
  <si>
    <t>Net Plant Value (YA)</t>
  </si>
  <si>
    <t>Proposed 2012 Misc. Lighting Revenue using Feb 2011 Inventory</t>
  </si>
  <si>
    <t>"PROPOSED STREET &amp; CROSSWALK LIGHTING RATES - EFFECTIVE JANUARY 1, 2012"</t>
  </si>
  <si>
    <t>Lighting Emitting Diode 110 Watts</t>
  </si>
  <si>
    <t>Lighting Emitting Diode 65 Watts</t>
  </si>
  <si>
    <t>EFFECTIVE JANUARY 1, 2012</t>
  </si>
  <si>
    <t>2012 New</t>
  </si>
  <si>
    <t>2011</t>
  </si>
  <si>
    <t>STREET / CROSSWALK AND MISCELLANEOUS LIGHTING</t>
  </si>
  <si>
    <t>DETERMINATION OF PROPOSED 2011 REVENUE AND SALES</t>
  </si>
  <si>
    <t>Power &amp;</t>
  </si>
  <si>
    <t>Energy</t>
  </si>
  <si>
    <t>Maintenance</t>
  </si>
  <si>
    <t>Capital</t>
  </si>
  <si>
    <t>Total</t>
  </si>
  <si>
    <t>Variance</t>
  </si>
  <si>
    <t>Prop. Misc. Lighting Revenue</t>
  </si>
  <si>
    <t>Sales Growth (kWh)</t>
  </si>
  <si>
    <t>Street &amp; Crosswalk Lighting</t>
  </si>
  <si>
    <t>Misc. Lighting</t>
  </si>
  <si>
    <t>Total Proposed Unmetered Revenue</t>
  </si>
  <si>
    <t>STREET / CROSSWALK LIGHTING STUDY</t>
  </si>
  <si>
    <t>Rate Code</t>
  </si>
  <si>
    <t>Description</t>
  </si>
  <si>
    <t>Full Charge</t>
  </si>
  <si>
    <t>Energy &amp; Maint</t>
  </si>
  <si>
    <t>Energy Only</t>
  </si>
  <si>
    <t>001/003</t>
  </si>
  <si>
    <t>Incandescent &lt; 300 Watts</t>
  </si>
  <si>
    <t>CCA</t>
  </si>
  <si>
    <t>MARCH 2011 (Quantity)</t>
  </si>
  <si>
    <t>002</t>
  </si>
  <si>
    <t>Incandescent &gt; 300 Watts</t>
  </si>
  <si>
    <t>100</t>
  </si>
  <si>
    <t>Mercury Vapour 100 Watts</t>
  </si>
  <si>
    <t>101/201/301</t>
  </si>
  <si>
    <t>Mercury Vapour 125 Watts</t>
  </si>
  <si>
    <t>102/202/302</t>
  </si>
  <si>
    <t>Mercury Vapour 175 Watts</t>
  </si>
  <si>
    <t>103/203/303</t>
  </si>
  <si>
    <t>Mercury Vapour 250 Watts</t>
  </si>
  <si>
    <t>104/204/304</t>
  </si>
  <si>
    <t>Mercury Vapour 400 Watts</t>
  </si>
  <si>
    <t>105/205/305</t>
  </si>
  <si>
    <t>Mercury Vapour 700 Watts</t>
  </si>
  <si>
    <t>106/206/306</t>
  </si>
  <si>
    <t>Mercury Vapour 1000 Watts</t>
  </si>
  <si>
    <t>107</t>
  </si>
  <si>
    <t>Mercury Vapour 250 Watt Cont. Oper.</t>
  </si>
  <si>
    <t>110</t>
  </si>
  <si>
    <t>Fluorescent  2x24"  70 Watts</t>
  </si>
  <si>
    <t>111</t>
  </si>
  <si>
    <t>Fluorescent  2x48"  220 Watts</t>
  </si>
  <si>
    <t>112</t>
  </si>
  <si>
    <t>Fluorescent  2x72"  300 Watts</t>
  </si>
  <si>
    <t>113/213</t>
  </si>
  <si>
    <t>Fluorescent  4x72"  600 Watts</t>
  </si>
  <si>
    <t>114/214</t>
  </si>
  <si>
    <t>Fluorescent  1x96"  110 Watts</t>
  </si>
  <si>
    <t>115/215</t>
  </si>
  <si>
    <t>Fluorescent  1x72"  150 Watts</t>
  </si>
  <si>
    <t>116</t>
  </si>
  <si>
    <t>Fluorescent  4x48"  440 Watts</t>
  </si>
  <si>
    <t>Fluorescent  1x48"</t>
  </si>
  <si>
    <t>Fluorescent  2x48"</t>
  </si>
  <si>
    <t>Fluorescent 4x35"</t>
  </si>
  <si>
    <t>Fluorescent 4x96"</t>
  </si>
  <si>
    <t>Fluorescent  Crosswalk Cont. 4x72"</t>
  </si>
  <si>
    <t>Fluorescent  Crosswalk Cont. 2x24"</t>
  </si>
  <si>
    <t>Fluorescent  Crosswalk Cont. 4x48"</t>
  </si>
  <si>
    <t>Fluorescent  Crosswalk Cont. 2x96"</t>
  </si>
  <si>
    <t>Fluorescent  Crosswalk Cont. 4x96"</t>
  </si>
  <si>
    <t>Fluorescent  Crosswalk 2x24"</t>
  </si>
  <si>
    <t>Fluorescent  Crosswalk 4x48"</t>
  </si>
  <si>
    <t>Fluorescent  Crosswalk 2x72"</t>
  </si>
  <si>
    <t>Fluorescent  Crosswalk 4x72"</t>
  </si>
  <si>
    <t>Fluorescent  Crosswalk 1x96"</t>
  </si>
  <si>
    <t>Fluorescent  Crosswalk 1x72"</t>
  </si>
  <si>
    <t>121/221/321</t>
  </si>
  <si>
    <t>High Pressure Sodium  250 Watts</t>
  </si>
  <si>
    <t>122/326</t>
  </si>
  <si>
    <t>High Pressure Sodium  400 Watts</t>
  </si>
  <si>
    <t>123/222/322</t>
  </si>
  <si>
    <t>High Pressure Sodium  70 Watts</t>
  </si>
  <si>
    <t>124/223/323</t>
  </si>
  <si>
    <t>High Pressure Sodium  100 Watts</t>
  </si>
  <si>
    <t>125/224/324</t>
  </si>
  <si>
    <t>High Pressure Sodium  150 Watts</t>
  </si>
  <si>
    <t>HP Sodium 100 Watts - Cont. Oper.</t>
  </si>
  <si>
    <t>High Pressure Sodium  500 Watts</t>
  </si>
  <si>
    <t>High Pressure Sodium  1000 Watts</t>
  </si>
  <si>
    <t>130</t>
  </si>
  <si>
    <t>Low Pressure Sodium  135 Watts</t>
  </si>
  <si>
    <t>131/231/331</t>
  </si>
  <si>
    <t>Low Pressure Sodium  180 Watts</t>
  </si>
  <si>
    <t>Low Pressure Sodium  90 Watts</t>
  </si>
  <si>
    <t>140/342</t>
  </si>
  <si>
    <t>Metallic Arc  400 Watts</t>
  </si>
  <si>
    <t>141/341</t>
  </si>
  <si>
    <t>Metallic Arc  1000 Watts</t>
  </si>
  <si>
    <t>142/343</t>
  </si>
  <si>
    <t>Metallic Arc  250 Watts</t>
  </si>
  <si>
    <t>Metallic Arc  150 Watts</t>
  </si>
  <si>
    <t>Metallic Arc  100 Watts</t>
  </si>
  <si>
    <t>Metallic Arc  175 Watts</t>
  </si>
  <si>
    <t>TOTAL</t>
  </si>
  <si>
    <t>SCHEDULE 2</t>
  </si>
  <si>
    <t>CALCULATION OF MAINTENANCE COSTS BY FIXTURE TYPE</t>
  </si>
  <si>
    <t>(A)</t>
  </si>
  <si>
    <t>(B)</t>
  </si>
  <si>
    <t>(C)</t>
  </si>
  <si>
    <t>(D)</t>
  </si>
  <si>
    <t>(E)</t>
  </si>
  <si>
    <t>(F)</t>
  </si>
  <si>
    <t>(G)</t>
  </si>
  <si>
    <t>(H)</t>
  </si>
  <si>
    <t># of Full Chg</t>
  </si>
  <si>
    <t>Service</t>
  </si>
  <si>
    <t>&amp; Eng.+Maint.</t>
  </si>
  <si>
    <t>Weighting</t>
  </si>
  <si>
    <t>Cost</t>
  </si>
  <si>
    <t>Code</t>
  </si>
  <si>
    <t>Lamp Type</t>
  </si>
  <si>
    <t>Life (Years)</t>
  </si>
  <si>
    <t>Weighting Factors</t>
  </si>
  <si>
    <t>Fixtures</t>
  </si>
  <si>
    <t>Per Year</t>
  </si>
  <si>
    <t>Per Month</t>
  </si>
  <si>
    <t>A</t>
  </si>
  <si>
    <t>Mercury Vapour</t>
  </si>
  <si>
    <t>B</t>
  </si>
  <si>
    <t>Mercury Vapour - 125W</t>
  </si>
  <si>
    <t>C</t>
  </si>
  <si>
    <t>Fluorescent</t>
  </si>
  <si>
    <t>D</t>
  </si>
  <si>
    <t>High Pressure Sodium (Note1)</t>
  </si>
  <si>
    <t>E</t>
  </si>
  <si>
    <t>Incandescent</t>
  </si>
  <si>
    <t>G</t>
  </si>
  <si>
    <t>Metallic Arc  100W, 150W &amp; 250W</t>
  </si>
  <si>
    <t>H</t>
  </si>
  <si>
    <t>Metallic Arc  400W</t>
  </si>
  <si>
    <t>I</t>
  </si>
  <si>
    <t>Metallic Arc  1000W</t>
  </si>
  <si>
    <t>Low Pressure Sodium</t>
  </si>
  <si>
    <t>LED</t>
  </si>
  <si>
    <t>Street Lighting Maint. Expenses</t>
  </si>
  <si>
    <t>Annual Cost of High Pressure Sodium</t>
  </si>
  <si>
    <t>Note 1:</t>
  </si>
  <si>
    <t>Maintenance weighting factors relative to High Pressure Sodium fixture, index = 1.0</t>
  </si>
  <si>
    <t>Factor is: HPS service life / various fixture service lives</t>
  </si>
  <si>
    <t>SCHEDULE 6</t>
  </si>
  <si>
    <t>AREA LIGHTING MATERIAL COST ANALYSIS</t>
  </si>
  <si>
    <t>June 2007</t>
  </si>
  <si>
    <t>Light Type</t>
  </si>
  <si>
    <t>Material</t>
  </si>
  <si>
    <t>Fixture</t>
  </si>
  <si>
    <t>Lamp</t>
  </si>
  <si>
    <t>Photocell</t>
  </si>
  <si>
    <t>Davit</t>
  </si>
  <si>
    <t>Wire</t>
  </si>
  <si>
    <t>Connectors</t>
  </si>
  <si>
    <t>Fasteners</t>
  </si>
  <si>
    <t>Street Lights</t>
  </si>
  <si>
    <t>High Pressure Sodium 70W</t>
  </si>
  <si>
    <t>High Pressure Sodium 100W</t>
  </si>
  <si>
    <t>High Pressure Sodium 150W</t>
  </si>
  <si>
    <t>Low Pressure Sodium 90W</t>
  </si>
  <si>
    <t>Metallic Additive 250W</t>
  </si>
  <si>
    <t>Flood Lights</t>
  </si>
  <si>
    <t>HIS 150W</t>
  </si>
  <si>
    <t>High Intensity Sodium  250 Watts</t>
  </si>
  <si>
    <t>High Intensity Sodium  400 Watts</t>
  </si>
  <si>
    <t>a) Weighted Average Cost of Capital - Pretax</t>
  </si>
  <si>
    <t>Proportion</t>
  </si>
  <si>
    <t>Extended</t>
  </si>
  <si>
    <t>ST Debt</t>
  </si>
  <si>
    <t>LT Debt</t>
  </si>
  <si>
    <t>Preferred</t>
  </si>
  <si>
    <t>Common</t>
  </si>
  <si>
    <t>WACC - pretax cost</t>
  </si>
  <si>
    <t>b) Additional income tax for common equity</t>
  </si>
  <si>
    <t>Extended equity cost</t>
  </si>
  <si>
    <t>Income tax</t>
  </si>
  <si>
    <t>WACC - equity tax cost</t>
  </si>
  <si>
    <t>c) Large Corporations Tax</t>
  </si>
  <si>
    <t>Ave. NBV - Street Lighting</t>
  </si>
  <si>
    <t>Ave. NBV - Assigned GP Plt.</t>
  </si>
  <si>
    <t>Ave. Deferred Chgs &amp; W/C</t>
  </si>
  <si>
    <t>NPV - Total Street Lighting</t>
  </si>
  <si>
    <t>Provincial capital tax</t>
  </si>
  <si>
    <t>Federal capital tax</t>
  </si>
  <si>
    <t>Percentage of NBV</t>
  </si>
  <si>
    <t>WACC - Large Corporations Tax</t>
  </si>
  <si>
    <t>d) Grants in Lieu of Property Tax</t>
  </si>
  <si>
    <t>St. Lgts. % of Total Electric Plant</t>
  </si>
  <si>
    <t>St. Lgts. Allocated Amount</t>
  </si>
  <si>
    <t>WACC - Grants in Lieu of Property Tax</t>
  </si>
  <si>
    <t>Subtotal Financing Expense</t>
  </si>
  <si>
    <t>Total WACC - Interest / Carrying Cost</t>
  </si>
  <si>
    <t>Rate Increase/(Decrease):</t>
  </si>
  <si>
    <t>NOVA SCOTIA POWER INC.</t>
  </si>
  <si>
    <t>STREET LIGHTING RATES - BY COST COMPONENT</t>
  </si>
  <si>
    <t>Rate</t>
  </si>
  <si>
    <t>Number of</t>
  </si>
  <si>
    <t>Bulbs</t>
  </si>
  <si>
    <t>kW.h / Month</t>
  </si>
  <si>
    <t>1)</t>
  </si>
  <si>
    <t>Incandescent:</t>
  </si>
  <si>
    <t>300 Watts and Less</t>
  </si>
  <si>
    <t>001</t>
  </si>
  <si>
    <t>Greater than 300 Watts</t>
  </si>
  <si>
    <t>003</t>
  </si>
  <si>
    <t>2)</t>
  </si>
  <si>
    <t>Mercury Vapour:</t>
  </si>
  <si>
    <t>Full Charge Rate (Operating, Maintenance &amp; Capital)</t>
  </si>
  <si>
    <t>100 Watts</t>
  </si>
  <si>
    <t>125 Watts</t>
  </si>
  <si>
    <t>175 Watts</t>
  </si>
  <si>
    <t>250 Watts</t>
  </si>
  <si>
    <t>400 Watts</t>
  </si>
  <si>
    <t>700 Watts</t>
  </si>
  <si>
    <t>1000 Watts</t>
  </si>
  <si>
    <t>Continuous Operation</t>
  </si>
  <si>
    <t>Operating &amp; Maintenance Only</t>
  </si>
  <si>
    <t>Operating &amp; Maint. Only</t>
  </si>
  <si>
    <t>Operating Only</t>
  </si>
  <si>
    <t>3)</t>
  </si>
  <si>
    <t>Fluorescent:</t>
  </si>
  <si>
    <t>Bulb Length</t>
  </si>
  <si>
    <t>24"</t>
  </si>
  <si>
    <t>48"</t>
  </si>
  <si>
    <t>72"</t>
  </si>
  <si>
    <t>96"</t>
  </si>
  <si>
    <t>35"</t>
  </si>
  <si>
    <t>4)</t>
  </si>
  <si>
    <t>Fluorescent Crosswalk:</t>
  </si>
  <si>
    <t>A) Continuous Burning - Operating Only</t>
  </si>
  <si>
    <t>B) Photocell Operation - Operating Only</t>
  </si>
  <si>
    <t>5)</t>
  </si>
  <si>
    <t>Low Pressure Sodium:</t>
  </si>
  <si>
    <t>Watts</t>
  </si>
  <si>
    <t>135</t>
  </si>
  <si>
    <t>180</t>
  </si>
  <si>
    <t>090</t>
  </si>
  <si>
    <t>6)</t>
  </si>
  <si>
    <t>High Pressure Sodium:</t>
  </si>
  <si>
    <t>250</t>
  </si>
  <si>
    <t>400</t>
  </si>
  <si>
    <t>070</t>
  </si>
  <si>
    <t>150</t>
  </si>
  <si>
    <t>70</t>
  </si>
  <si>
    <t>7)</t>
  </si>
  <si>
    <t>Metallic Additive:</t>
  </si>
  <si>
    <t>Full Charge Rate ( Operating, Maintenance &amp; Capital)</t>
  </si>
  <si>
    <t>0400</t>
  </si>
  <si>
    <t>1000</t>
  </si>
  <si>
    <t>0250</t>
  </si>
  <si>
    <t>0150</t>
  </si>
  <si>
    <t>0100</t>
  </si>
  <si>
    <t>Maintenance and Capital Only</t>
  </si>
  <si>
    <t>8)</t>
  </si>
  <si>
    <t>Light Emitting Diode (LED) Less than 30 Watts for Traffic Control Signals only:</t>
  </si>
  <si>
    <t>Non- Continuous</t>
  </si>
  <si>
    <t>Continuous</t>
  </si>
  <si>
    <t>9)</t>
  </si>
  <si>
    <t>Light Emitting Diode (LED) - Pilot Streelighting Project</t>
  </si>
  <si>
    <t>RATE CODE 41</t>
  </si>
  <si>
    <t>Outdoor Recreational Lighting Tariff:</t>
  </si>
  <si>
    <t>kWh</t>
  </si>
  <si>
    <t>UNPUBLISHED STREET LIGHT RATES:</t>
  </si>
  <si>
    <t>RATE COUNT:</t>
  </si>
  <si>
    <t>ANALYSIS &amp; COMPARISON OF PROPOSED  VS  CURRENT STREET LIGHTING RATES</t>
  </si>
  <si>
    <t>DETAIL BY COST COMPONENT</t>
  </si>
  <si>
    <t>DETAIL OF STREET LIGHT ENERGY USAGE</t>
  </si>
  <si>
    <t>Power</t>
  </si>
  <si>
    <t>Proposed</t>
  </si>
  <si>
    <t>Current</t>
  </si>
  <si>
    <t>Percent</t>
  </si>
  <si>
    <t>Revenue</t>
  </si>
  <si>
    <t>Connected</t>
  </si>
  <si>
    <t>&amp; Energy</t>
  </si>
  <si>
    <t>Total Monthly</t>
  </si>
  <si>
    <t>Total Annual</t>
  </si>
  <si>
    <t>kW.h/Mo.</t>
  </si>
  <si>
    <t>Rates</t>
  </si>
  <si>
    <t>Change</t>
  </si>
  <si>
    <t>Units</t>
  </si>
  <si>
    <t>Load (kW)</t>
  </si>
  <si>
    <t>UNITS</t>
  </si>
  <si>
    <t>Usage/Mo.</t>
  </si>
  <si>
    <t>kWh Usage</t>
  </si>
  <si>
    <t>Incandescent :</t>
  </si>
  <si>
    <t>Incandescent &lt; 300 Watts - Note 1</t>
  </si>
  <si>
    <t>Incandescent &gt; 300 Watts - Note 1</t>
  </si>
  <si>
    <t>Mercury Vapour :</t>
  </si>
  <si>
    <t>Fluorescent :</t>
  </si>
  <si>
    <t>Fluorescent  1x48"  120 Watts</t>
  </si>
  <si>
    <t>Fluorescent  4x35"</t>
  </si>
  <si>
    <t>Fluorescent Crosswalk - Continuous</t>
  </si>
  <si>
    <t>Burning - Customer Owned :</t>
  </si>
  <si>
    <t>Fluorescent  4x72" 600 Watts</t>
  </si>
  <si>
    <t>Fluorescent  2x24" 70 Watts</t>
  </si>
  <si>
    <t>Fluorescent  4x48" 440 Watts</t>
  </si>
  <si>
    <t>Fluorescent  2x96"</t>
  </si>
  <si>
    <t>Fluorescent  4x96"</t>
  </si>
  <si>
    <t>Fluorescent Crosswalk - Photocell</t>
  </si>
  <si>
    <t>Fluorescent  2x72" 300 Watts</t>
  </si>
  <si>
    <t>Fluorescent  1x96" 110 Watts</t>
  </si>
  <si>
    <t>Fluorescent  1x72" 150 Watts</t>
  </si>
  <si>
    <t>Low Pressure Sodium :</t>
  </si>
  <si>
    <t>Low Pressure Sodium  180 Watts E&amp;M</t>
  </si>
  <si>
    <t>Low Pressure Sodium  180 Watts E/O</t>
  </si>
  <si>
    <t>High Pressure Sodium :</t>
  </si>
  <si>
    <t>Tax-related Gross-up Depreciation factor</t>
  </si>
  <si>
    <t>HP Sodium  100 Watts - Cont. Oper.</t>
  </si>
  <si>
    <t>High Pressure Sodium  1500 Watts</t>
  </si>
  <si>
    <t>.</t>
  </si>
  <si>
    <t>Metallic Additive :</t>
  </si>
  <si>
    <t>TOTALS</t>
  </si>
  <si>
    <t xml:space="preserve">Count =  </t>
  </si>
  <si>
    <t>Note 1 - Red highligted P&amp;E charges relate to calculated rounding differences using Misc. Small Loads Tariff.</t>
  </si>
  <si>
    <t>Note 2 - Incandescent rates were set at 250W and 400W Mercury Vapour</t>
  </si>
  <si>
    <t>Calculation of Power &amp; Energy Rate :</t>
  </si>
  <si>
    <t>Based on Misc. Small Loads Tariff Rate Components &amp; 1kW lighting load</t>
  </si>
  <si>
    <t>Photocell Operation (4000 burning hours per year)</t>
  </si>
  <si>
    <t>Energy Charge :</t>
  </si>
  <si>
    <t>1st Block : 1st 200 kW.h (annual)</t>
  </si>
  <si>
    <t>2nd Block : All additional (annual)</t>
  </si>
  <si>
    <t>Rate per kW.h</t>
  </si>
  <si>
    <t>Continuous Burning (8760 burning hours per year)</t>
  </si>
  <si>
    <r>
      <t xml:space="preserve">Effective tax rate </t>
    </r>
    <r>
      <rPr>
        <sz val="9"/>
        <rFont val="Arial"/>
        <family val="2"/>
      </rPr>
      <t>(excluding surtax)</t>
    </r>
  </si>
  <si>
    <t>SCHEDULE 3</t>
  </si>
  <si>
    <t/>
  </si>
  <si>
    <t>CAPITAL COST</t>
  </si>
  <si>
    <t>Gross Plant Value (including installation costs) less Retirements of</t>
  </si>
  <si>
    <t>Unit Cost</t>
  </si>
  <si>
    <t>Mar/1977</t>
  </si>
  <si>
    <t>Value</t>
  </si>
  <si>
    <t>N/A</t>
  </si>
  <si>
    <t>Metallic Additive  250 Watts</t>
  </si>
  <si>
    <t>Metallic Additive  400 Watts</t>
  </si>
  <si>
    <t>Metallic Additive  1000 Watts</t>
  </si>
  <si>
    <t>Metallic Additive  100 Watts</t>
  </si>
  <si>
    <t>Total Installation Costs ( Labour )</t>
  </si>
  <si>
    <t>Installation Costs per Fixture</t>
  </si>
  <si>
    <t xml:space="preserve">  -- Street Lights (Non LED)</t>
  </si>
  <si>
    <t xml:space="preserve">  -- Street Lights (LED)</t>
  </si>
  <si>
    <t>Non-LED</t>
  </si>
  <si>
    <t>% Non LED Street Lighting to Total Assets</t>
  </si>
  <si>
    <t xml:space="preserve"> % Allocated To Non LED Street Lighting</t>
  </si>
  <si>
    <t xml:space="preserve"> % Allocated To LED Street Lighting</t>
  </si>
  <si>
    <t>Additional Deferred Chgs. &amp; W/C assigned to Non LED Street Lighting</t>
  </si>
  <si>
    <t>Escalation Factor (Incandescent)</t>
  </si>
  <si>
    <t>Escalation Factor (Fluorescent)</t>
  </si>
  <si>
    <t>Note: 2007 costs are based on stores material inventory cost as of June 2007 with the exception</t>
  </si>
  <si>
    <t xml:space="preserve">         of Incandescent and fluorescent which have been assumed at 130% of 1977 costs.</t>
  </si>
  <si>
    <t>Sample Material Cost - 100 Watt High Intensity (Pressure) Sodium :</t>
  </si>
  <si>
    <t>Fixture, Ballast &amp; Photocell</t>
  </si>
  <si>
    <t>Bracket Assembly (Davit)</t>
  </si>
  <si>
    <t>Miscellaneous Hardware</t>
  </si>
  <si>
    <t>Lamp Replacement</t>
  </si>
  <si>
    <t>SCHEDULE 4</t>
  </si>
  <si>
    <t>Capital Cost Rate Component Calculation</t>
  </si>
  <si>
    <t>Material Cost</t>
  </si>
  <si>
    <t>Labour</t>
  </si>
  <si>
    <t>Depreciation</t>
  </si>
  <si>
    <t>Cost of</t>
  </si>
  <si>
    <t>Annual</t>
  </si>
  <si>
    <t>Monthly</t>
  </si>
  <si>
    <t>Expense</t>
  </si>
  <si>
    <t>Demand Charge $/kW (annual)</t>
  </si>
  <si>
    <t>SCHEDULE 7</t>
  </si>
  <si>
    <t>ITEM</t>
  </si>
  <si>
    <t>DESCRIPTION</t>
  </si>
  <si>
    <t>Location</t>
  </si>
  <si>
    <t>0000386440</t>
  </si>
  <si>
    <t>LAMP FLUORESCENT 40W 48</t>
  </si>
  <si>
    <t>0000386450</t>
  </si>
  <si>
    <t>0000386700</t>
  </si>
  <si>
    <t>LAMP FLUORESCENT 75W 96</t>
  </si>
  <si>
    <t>0000386710</t>
  </si>
  <si>
    <t>LAMP FLUORESCENT 205W</t>
  </si>
  <si>
    <t>0000387070</t>
  </si>
  <si>
    <t>LAMP FLUORESCENT 35W 24</t>
  </si>
  <si>
    <t>0000387190</t>
  </si>
  <si>
    <t>LAMP FLUORESCENT 60W 48</t>
  </si>
  <si>
    <t>0000387360</t>
  </si>
  <si>
    <t>LAMP FLUORESCENT 85W 72</t>
  </si>
  <si>
    <t>0000388000</t>
  </si>
  <si>
    <t>LAMP 100 WATT M.V.</t>
  </si>
  <si>
    <t>0000388180</t>
  </si>
  <si>
    <t>LAMP 125 WATT M.V.</t>
  </si>
  <si>
    <t>0000388330</t>
  </si>
  <si>
    <t>LAMP 175 WATT M.V.</t>
  </si>
  <si>
    <t>0000388500</t>
  </si>
  <si>
    <t>LAMP 250 WATT M.V.</t>
  </si>
  <si>
    <t>0000388660</t>
  </si>
  <si>
    <t>LAMP 400 WATT M.V.</t>
  </si>
  <si>
    <t>0000388770</t>
  </si>
  <si>
    <t>LAMP 700 WATT M.V.</t>
  </si>
  <si>
    <t>0000388980</t>
  </si>
  <si>
    <t>LAMP 1000 WATT MV</t>
  </si>
  <si>
    <t>0000388990</t>
  </si>
  <si>
    <t>LAMP  70 WATT H.P.S.</t>
  </si>
  <si>
    <t>0000389000</t>
  </si>
  <si>
    <t>LAMP 100 WATT H.P.S.</t>
  </si>
  <si>
    <t>0000389030</t>
  </si>
  <si>
    <t>LAMP 135 WATT L.P.S.</t>
  </si>
  <si>
    <t>0000389040</t>
  </si>
  <si>
    <t>LAMP 150 WATT HPS 100V</t>
  </si>
  <si>
    <t>0000389060</t>
  </si>
  <si>
    <t>LAMP 150 WATT H.P.S.55V</t>
  </si>
  <si>
    <t>0000389090</t>
  </si>
  <si>
    <t>LAMP 180 WATT L.P.S.</t>
  </si>
  <si>
    <t>0000389250</t>
  </si>
  <si>
    <t>LAMP 250 WATT H.P.S.</t>
  </si>
  <si>
    <t>0000389400</t>
  </si>
  <si>
    <t>LAMP 400 WATT H.P.S.</t>
  </si>
  <si>
    <t>0000389450</t>
  </si>
  <si>
    <t>LAMP 1000W HPS</t>
  </si>
  <si>
    <t>0000389700</t>
  </si>
  <si>
    <t>LAMP HALIDE  250W</t>
  </si>
  <si>
    <t>0000389770</t>
  </si>
  <si>
    <t>LAMP HALIDE  400W</t>
  </si>
  <si>
    <t>0000389810</t>
  </si>
  <si>
    <t>LAMP HALIDE  1000W</t>
  </si>
  <si>
    <t>0000389900</t>
  </si>
  <si>
    <t>LAMP STREET LITE SIGNAL</t>
  </si>
  <si>
    <t>0002103270</t>
  </si>
  <si>
    <t>CONDUIT FLEX BLK 1/2"</t>
  </si>
  <si>
    <t>0050091540</t>
  </si>
  <si>
    <t>BOLT LAG 1/2"X 4" GALV</t>
  </si>
  <si>
    <t>0050103120</t>
  </si>
  <si>
    <t>BOLT MACHINE 5/8" X 12"</t>
  </si>
  <si>
    <t>0054223510</t>
  </si>
  <si>
    <t>CRIMPIT #2/0- #8 WR139</t>
  </si>
  <si>
    <t>0057151000</t>
  </si>
  <si>
    <t>BRACKET 10'L</t>
  </si>
  <si>
    <t>0057152040</t>
  </si>
  <si>
    <t>BRACKET 1 1/4"X4' FIXED</t>
  </si>
  <si>
    <t>0057152220</t>
  </si>
  <si>
    <t>BRACKET 4'X 2' 16" TEN</t>
  </si>
  <si>
    <t>0057154060</t>
  </si>
  <si>
    <t>BRACKET 1 1/4"X6' LOWER</t>
  </si>
  <si>
    <t>0057155060</t>
  </si>
  <si>
    <t>BRACKET SWIVEL 1 1/4 X6</t>
  </si>
  <si>
    <t>0057155720</t>
  </si>
  <si>
    <t>BRACKET TAPERED 6' X 2"</t>
  </si>
  <si>
    <t>0057155723</t>
  </si>
  <si>
    <t>BRACKET TAPERED 8'</t>
  </si>
  <si>
    <t>0057155725</t>
  </si>
  <si>
    <t>BRACKET TAPERED 2"X10'</t>
  </si>
  <si>
    <t>0057156020</t>
  </si>
  <si>
    <t>BRACKET LOWER 2" X 6'</t>
  </si>
  <si>
    <t>0057156080</t>
  </si>
  <si>
    <t>BRACKET FIXED 2" X 8'</t>
  </si>
  <si>
    <t>0057157010</t>
  </si>
  <si>
    <t>BRACKET TAPERED  12'L</t>
  </si>
  <si>
    <t>0057158140</t>
  </si>
  <si>
    <t>PLATE POLE ST LITE 1 1/</t>
  </si>
  <si>
    <t>0057158220</t>
  </si>
  <si>
    <t>PLATE POLE ST LIGHT 2"</t>
  </si>
  <si>
    <t>0057350350</t>
  </si>
  <si>
    <t>LUMINAIRE LPS 135W</t>
  </si>
  <si>
    <t>0057350720</t>
  </si>
  <si>
    <t>LUM LPS 180W 120/240/347 V</t>
  </si>
  <si>
    <t>R04B</t>
  </si>
  <si>
    <t>0057350750</t>
  </si>
  <si>
    <t>LUMINAIRE LPS 180W 240V</t>
  </si>
  <si>
    <t>XX</t>
  </si>
  <si>
    <t>0057350800</t>
  </si>
  <si>
    <t>LUMINAIRE LPS 180W 347V</t>
  </si>
  <si>
    <t>0057350830</t>
  </si>
  <si>
    <t>LUMINAIRE HPS 70W  POLY</t>
  </si>
  <si>
    <t>LUM. 70W POLY C/W LAMP</t>
  </si>
  <si>
    <t>0057350836</t>
  </si>
  <si>
    <t>LUM 70W POLY ALUM.ALLOY</t>
  </si>
  <si>
    <t>0057350837</t>
  </si>
  <si>
    <t>LUMINAIRE 70W HPS CWA ACRYLIC</t>
  </si>
  <si>
    <t>C01A</t>
  </si>
  <si>
    <t>0057350850</t>
  </si>
  <si>
    <t>LUMINAIRE HPS 70W GLASS</t>
  </si>
  <si>
    <t>Salvage Rate</t>
  </si>
  <si>
    <t>Salvage Incl. in Depreciation Rate</t>
  </si>
  <si>
    <t>0057350855</t>
  </si>
  <si>
    <t>LUM. 70W GLASS C/W LAMP</t>
  </si>
  <si>
    <t>C03A</t>
  </si>
  <si>
    <t>0057350856</t>
  </si>
  <si>
    <t>LUM 70W GLASS AL. ALLOY</t>
  </si>
  <si>
    <t>M12D</t>
  </si>
  <si>
    <t>0057350857</t>
  </si>
  <si>
    <t>LUM. 70W GLASS CWI BAL.</t>
  </si>
  <si>
    <t>M08A</t>
  </si>
  <si>
    <t>0057350860</t>
  </si>
  <si>
    <t>LUM 100W  HPS POLY</t>
  </si>
  <si>
    <t>0057350865</t>
  </si>
  <si>
    <t>LUM. 100W POLY C/W LAMP</t>
  </si>
  <si>
    <t>0057350866</t>
  </si>
  <si>
    <t>LUMINAIRE 100W ACRYLIC HPS CWA</t>
  </si>
  <si>
    <t>C07A</t>
  </si>
  <si>
    <t>0057350867</t>
  </si>
  <si>
    <t>LUM 100W POLY AL. ALLOY</t>
  </si>
  <si>
    <t>0057350875</t>
  </si>
  <si>
    <t>LUM. 100W GLASS C/WLAMP</t>
  </si>
  <si>
    <t>0057350877</t>
  </si>
  <si>
    <t>LUM. 100W GLASS CWI BAL</t>
  </si>
  <si>
    <t>0057350880</t>
  </si>
  <si>
    <t>LUMINAIRE HPS 150W GLAS</t>
  </si>
  <si>
    <t>0057350885</t>
  </si>
  <si>
    <t>LUM. 150W GLASS C/WLAMP</t>
  </si>
  <si>
    <t>0057350886</t>
  </si>
  <si>
    <t>LUMINAIRE 150W HPS CWI GLASS</t>
  </si>
  <si>
    <t>M05A</t>
  </si>
  <si>
    <t>0057350887</t>
  </si>
  <si>
    <t>LUM. 150W HPS 240V GLAS</t>
  </si>
  <si>
    <t>C09A</t>
  </si>
  <si>
    <t>0057350890</t>
  </si>
  <si>
    <t>LUMINAIRE HPS 150W POLY</t>
  </si>
  <si>
    <t>0057350895</t>
  </si>
  <si>
    <t>LUM. 150W POLY C/W LAMP</t>
  </si>
  <si>
    <t>0057351315</t>
  </si>
  <si>
    <t>LUMINAIRE 250W HPS CWI GLASS</t>
  </si>
  <si>
    <t>0057351400</t>
  </si>
  <si>
    <t>LUMINAIRE 250W HPS CWI 347V</t>
  </si>
  <si>
    <t>C05A</t>
  </si>
  <si>
    <t>0057351710</t>
  </si>
  <si>
    <t xml:space="preserve">         Cost of Capital</t>
  </si>
  <si>
    <t xml:space="preserve">         Capital Cost Allowance</t>
  </si>
  <si>
    <t xml:space="preserve">         Subtotal (Financing)</t>
  </si>
  <si>
    <t xml:space="preserve">  Capital-related Costs</t>
  </si>
  <si>
    <t xml:space="preserve">   Subtotal (Depr. + Capital)</t>
  </si>
  <si>
    <t>Gross Plant Value (YA)</t>
  </si>
  <si>
    <t>Tax-Adjusted Weighted Average Cost of Capital Rate by Components</t>
  </si>
  <si>
    <t>Tax-Adjusted Weighted Average Cost of Capital Amounts by Components</t>
  </si>
  <si>
    <t xml:space="preserve">     Depreciation</t>
  </si>
  <si>
    <t xml:space="preserve">         Balancing Adj.</t>
  </si>
  <si>
    <t>LUMINAIRE HPS 400W GLAS</t>
  </si>
  <si>
    <t>0057351715</t>
  </si>
  <si>
    <t>LUMINAIRE 400W HPS CWI 120/240</t>
  </si>
  <si>
    <t>M12A</t>
  </si>
  <si>
    <t>0057351720</t>
  </si>
  <si>
    <t>LUMINAIRE HPS 400W 240V</t>
  </si>
  <si>
    <t>0057351730</t>
  </si>
  <si>
    <t>LUMINAIRE HPS 400W 347V</t>
  </si>
  <si>
    <t>0057351760</t>
  </si>
  <si>
    <t>LUMINAIRE 400W 600V HPS CWI GL</t>
  </si>
  <si>
    <t>0057353330</t>
  </si>
  <si>
    <t>LUMINAIRE MTL-HLDE 400W</t>
  </si>
  <si>
    <t>0057353500</t>
  </si>
  <si>
    <t>LUMINAIRE HALIDE 1000 W</t>
  </si>
  <si>
    <t>0057353550</t>
  </si>
  <si>
    <t>T01C</t>
  </si>
  <si>
    <t>0057400920</t>
  </si>
  <si>
    <t>AREA LIGHT MV 125 W</t>
  </si>
  <si>
    <t>0057401200</t>
  </si>
  <si>
    <t>LUMINAIRES 70W H-P.S.</t>
  </si>
  <si>
    <t>D14B</t>
  </si>
  <si>
    <t>0057401205</t>
  </si>
  <si>
    <t>DUSK-T-DAWN 70W HPS CWA</t>
  </si>
  <si>
    <t>D08B</t>
  </si>
  <si>
    <t>0057402020</t>
  </si>
  <si>
    <t>AREA LIGHT MV 175 W</t>
  </si>
  <si>
    <t>0057402100</t>
  </si>
  <si>
    <t>LUMINAIRES 100W H.P.S.</t>
  </si>
  <si>
    <t>0057402105</t>
  </si>
  <si>
    <t>DUSK-T-DAWN 100W HPS CWA</t>
  </si>
  <si>
    <t>C15A</t>
  </si>
  <si>
    <t>0057402150</t>
  </si>
  <si>
    <t>FLOODLIGHT 150W HPS CWI</t>
  </si>
  <si>
    <t>C17A</t>
  </si>
  <si>
    <t>0057402240</t>
  </si>
  <si>
    <t>FLOODLIGHT  M.V. 175W</t>
  </si>
  <si>
    <t>0057403330</t>
  </si>
  <si>
    <t>FLOODLIGHT M V    250 W</t>
  </si>
  <si>
    <t>0057403500</t>
  </si>
  <si>
    <t>FLOODLIGHT 250W HPS CWI</t>
  </si>
  <si>
    <t>0057404050</t>
  </si>
  <si>
    <t>FLOODLIGHT M V    400 W</t>
  </si>
  <si>
    <t>0057404600</t>
  </si>
  <si>
    <t>FLOODLIGHT 400W HPS CWI</t>
  </si>
  <si>
    <t>C11A</t>
  </si>
  <si>
    <t>0057408250</t>
  </si>
  <si>
    <t>FLOODLIGHT MTL HAL.250W</t>
  </si>
  <si>
    <t>D05B</t>
  </si>
  <si>
    <t>0057408500</t>
  </si>
  <si>
    <t>FLOODLIGHT 400W MTL-HAL CWI</t>
  </si>
  <si>
    <t>D03A</t>
  </si>
  <si>
    <t>0057409000</t>
  </si>
  <si>
    <t>FLOODLIGHT 1000W MH CWI</t>
  </si>
  <si>
    <t>0057409380</t>
  </si>
  <si>
    <t>FLOODLIGHT M V   1000 W</t>
  </si>
  <si>
    <t>0057600450</t>
  </si>
  <si>
    <t>BRACKET &amp; ADAPTORS</t>
  </si>
  <si>
    <t>0057601010</t>
  </si>
  <si>
    <t>CAP SHORTING TWIST LOCK</t>
  </si>
  <si>
    <t>0057601200</t>
  </si>
  <si>
    <t>CONTROL 120 V PHOTO</t>
  </si>
  <si>
    <t>0057601400</t>
  </si>
  <si>
    <t>CONTROL ELECT 120V PHOTOCELL</t>
  </si>
  <si>
    <t>0057602000</t>
  </si>
  <si>
    <t>PHOTO CONTROL 120V HD</t>
  </si>
  <si>
    <t>0057602400</t>
  </si>
  <si>
    <t xml:space="preserve">  Gross up for Tax Purposes</t>
  </si>
  <si>
    <t>Total Depreciation Expense including Gross up for Tax Purposes</t>
  </si>
  <si>
    <t>Imbalance - to capital</t>
  </si>
  <si>
    <t>Total 2012 Forecasted Expense</t>
  </si>
  <si>
    <t>Inventory Level as of MARCH 2011</t>
  </si>
  <si>
    <t>SCHEDULE 1</t>
  </si>
  <si>
    <t>SCHEDULE 5</t>
  </si>
  <si>
    <t>Revenue Correction Factor</t>
  </si>
  <si>
    <t>Simulated at current meth.</t>
  </si>
  <si>
    <t>Total cost per COSS (and adjusted for energy)</t>
  </si>
  <si>
    <t>Revenue Correction factor</t>
  </si>
  <si>
    <t>Appendix - Interim Full Service LED Streetlight Rates</t>
  </si>
  <si>
    <t>Submission from May 13th</t>
  </si>
  <si>
    <t>Compliance Filing</t>
  </si>
  <si>
    <t>kWh/Mo</t>
  </si>
  <si>
    <t>Power &amp; Energy</t>
  </si>
  <si>
    <t>2012 Proposed Rates</t>
  </si>
  <si>
    <t xml:space="preserve">Capital reduced by 15% </t>
  </si>
  <si>
    <t>Schedule 10</t>
  </si>
  <si>
    <t>SCHEDULE 9</t>
  </si>
  <si>
    <t>FORECAST 2012 (Quantity)</t>
  </si>
  <si>
    <t>Forecast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</si>
</sst>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"/>
    <numFmt numFmtId="165" formatCode="[$$-1009]#,##0.00"/>
    <numFmt numFmtId="166" formatCode="[$$-1009]#,##0"/>
    <numFmt numFmtId="167" formatCode="#,##0.0_);\(#,##0.0\)"/>
    <numFmt numFmtId="168" formatCode="0.0000"/>
    <numFmt numFmtId="169" formatCode="&quot;$&quot;#,##0.00"/>
    <numFmt numFmtId="170" formatCode="0.0"/>
    <numFmt numFmtId="171" formatCode="0.00_);\(0.00\)"/>
    <numFmt numFmtId="172" formatCode="&quot;$&quot;#,##0.0000"/>
    <numFmt numFmtId="173" formatCode="0.0%"/>
    <numFmt numFmtId="174" formatCode="#,##0.000_);\(#,##0.000\)"/>
    <numFmt numFmtId="175" formatCode="&quot;$&quot;#,##0"/>
    <numFmt numFmtId="176" formatCode="[$$-1009]#,##0.00000"/>
    <numFmt numFmtId="177" formatCode="[$$-1009]#,##0.0000000"/>
    <numFmt numFmtId="178" formatCode="&quot;$&quot;#,##0.000"/>
    <numFmt numFmtId="179" formatCode="#,##0.000"/>
    <numFmt numFmtId="180" formatCode="&quot;$&quot;#,##0.0000_);\(&quot;$&quot;#,##0.0000\)"/>
    <numFmt numFmtId="181" formatCode="&quot;$&quot;#,##0.000_);\(&quot;$&quot;#,##0.000\)"/>
    <numFmt numFmtId="182" formatCode="0.000%"/>
    <numFmt numFmtId="183" formatCode="_(* #,##0_);_(* \(#,##0\);_(* &quot;-&quot;??_);_(@_)"/>
    <numFmt numFmtId="184" formatCode="_(* #,##0.0_);_(* \(#,##0.0\);_(* &quot;-&quot;?_);_(@_)"/>
    <numFmt numFmtId="185" formatCode="&quot;$&quot;#,##0.00000_);\(&quot;$&quot;#,##0.00000\)"/>
    <numFmt numFmtId="186" formatCode="0.00000"/>
    <numFmt numFmtId="187" formatCode="0.00_);[Red]\(0.00\)"/>
    <numFmt numFmtId="188" formatCode="[$$-1009]#,##0.0000"/>
    <numFmt numFmtId="189" formatCode="_(* #,##0.000_);_(* \(#,##0.000\);_(* &quot;-&quot;??_);_(@_)"/>
    <numFmt numFmtId="190" formatCode="_(&quot;$&quot;* #,##0.0000_);_(&quot;$&quot;* \(#,##0.0000\);_(&quot;$&quot;* &quot;-&quot;????_);_(@_)"/>
    <numFmt numFmtId="191" formatCode="[$$-1009]#,##0.000"/>
    <numFmt numFmtId="192" formatCode="_(* #,##0.0000_);_(* \(#,##0.0000\);_(* &quot;-&quot;??_);_(@_)"/>
    <numFmt numFmtId="193" formatCode="[$$-C09]#,##0.00;[Red][$$-C09]#,##0.00"/>
    <numFmt numFmtId="194" formatCode="_(&quot;$&quot;* #,##0_);_(&quot;$&quot;* \(#,##0\);_(&quot;$&quot;* &quot;-&quot;??_);_(@_)"/>
    <numFmt numFmtId="195" formatCode="_([$€-2]* #,##0.00_);_([$€-2]* \(#,##0.00\);_([$€-2]* &quot;-&quot;??_)"/>
    <numFmt numFmtId="196" formatCode="General_)"/>
    <numFmt numFmtId="197" formatCode="&quot;$&quot;#,##0.0"/>
    <numFmt numFmtId="198" formatCode="0.00000%"/>
  </numFmts>
  <fonts count="109">
    <font>
      <sz val="12"/>
      <name val="Arial"/>
    </font>
    <font>
      <b/>
      <sz val="10"/>
      <name val="Arial"/>
    </font>
    <font>
      <b/>
      <i/>
      <sz val="10"/>
      <name val="Arial"/>
    </font>
    <font>
      <sz val="8.0500000000000007"/>
      <color indexed="8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sz val="12"/>
      <color indexed="10"/>
      <name val="Arial"/>
      <family val="2"/>
    </font>
    <font>
      <b/>
      <u val="double"/>
      <sz val="12"/>
      <name val="Arial"/>
      <family val="2"/>
    </font>
    <font>
      <b/>
      <u/>
      <sz val="12"/>
      <name val="Arial"/>
      <family val="2"/>
    </font>
    <font>
      <sz val="8"/>
      <name val="MS Sans Serif"/>
      <family val="2"/>
    </font>
    <font>
      <b/>
      <sz val="10"/>
      <color indexed="8"/>
      <name val="MS Sans Serif"/>
      <family val="2"/>
    </font>
    <font>
      <b/>
      <sz val="12"/>
      <color indexed="8"/>
      <name val="Arial"/>
      <family val="2"/>
    </font>
    <font>
      <b/>
      <sz val="10"/>
      <color indexed="8"/>
      <name val="MS Sans Serif"/>
      <family val="2"/>
    </font>
    <font>
      <sz val="10"/>
      <name val="MS Sans Serif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u val="double"/>
      <sz val="10"/>
      <color indexed="10"/>
      <name val="Arial"/>
      <family val="2"/>
    </font>
    <font>
      <b/>
      <i/>
      <sz val="10"/>
      <color indexed="10"/>
      <name val="Arial"/>
      <family val="2"/>
    </font>
    <font>
      <b/>
      <i/>
      <u/>
      <sz val="10"/>
      <color indexed="10"/>
      <name val="Arial"/>
      <family val="2"/>
    </font>
    <font>
      <b/>
      <sz val="14"/>
      <color indexed="8"/>
      <name val="Arial MT"/>
    </font>
    <font>
      <b/>
      <sz val="16"/>
      <name val="Arial"/>
      <family val="2"/>
    </font>
    <font>
      <b/>
      <sz val="16"/>
      <name val="Arial"/>
      <family val="2"/>
    </font>
    <font>
      <b/>
      <sz val="12"/>
      <color indexed="8"/>
      <name val="Arial MT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i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i/>
      <sz val="12"/>
      <name val="Arial"/>
      <family val="2"/>
    </font>
    <font>
      <b/>
      <sz val="10"/>
      <color indexed="8"/>
      <name val="Arial"/>
      <family val="2"/>
    </font>
    <font>
      <b/>
      <sz val="14"/>
      <color indexed="8"/>
      <name val="Arial"/>
      <family val="2"/>
    </font>
    <font>
      <b/>
      <u/>
      <sz val="10"/>
      <color indexed="8"/>
      <name val="Arial"/>
      <family val="2"/>
    </font>
    <font>
      <sz val="14"/>
      <name val="Arial"/>
      <family val="2"/>
    </font>
    <font>
      <b/>
      <sz val="10"/>
      <name val="Tariff_Table_no2"/>
    </font>
    <font>
      <sz val="10"/>
      <name val="Tariff_Table_no2"/>
    </font>
    <font>
      <b/>
      <sz val="16"/>
      <color indexed="10"/>
      <name val="Arial"/>
      <family val="2"/>
    </font>
    <font>
      <b/>
      <u/>
      <sz val="12"/>
      <name val="Arial"/>
      <family val="2"/>
    </font>
    <font>
      <sz val="12"/>
      <color indexed="8"/>
      <name val="Arial"/>
      <family val="2"/>
    </font>
    <font>
      <sz val="12"/>
      <color indexed="8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i/>
      <sz val="12"/>
      <name val="Arial"/>
      <family val="2"/>
    </font>
    <font>
      <sz val="16"/>
      <name val="Arial"/>
      <family val="2"/>
    </font>
    <font>
      <b/>
      <i/>
      <sz val="12"/>
      <color indexed="12"/>
      <name val="Arial"/>
      <family val="2"/>
    </font>
    <font>
      <b/>
      <i/>
      <sz val="12"/>
      <color indexed="12"/>
      <name val="Arial"/>
      <family val="2"/>
    </font>
    <font>
      <b/>
      <i/>
      <sz val="12"/>
      <color indexed="18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Tahoma"/>
      <family val="2"/>
    </font>
    <font>
      <sz val="11"/>
      <color indexed="8"/>
      <name val="Calibri"/>
      <family val="2"/>
    </font>
    <font>
      <sz val="10"/>
      <color indexed="8"/>
      <name val="MS Sans Serif"/>
      <family val="2"/>
    </font>
    <font>
      <u val="singleAccounting"/>
      <sz val="12"/>
      <name val="Arial"/>
      <family val="2"/>
    </font>
    <font>
      <sz val="12"/>
      <name val="바탕체"/>
      <family val="1"/>
      <charset val="255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8"/>
      <name val="Verdan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8"/>
      <color indexed="23"/>
      <name val="Verdana"/>
      <family val="2"/>
    </font>
    <font>
      <sz val="12"/>
      <name val="Helv"/>
    </font>
    <font>
      <sz val="12"/>
      <name val="Arial MT"/>
    </font>
    <font>
      <b/>
      <sz val="11"/>
      <color indexed="63"/>
      <name val="Calibri"/>
      <family val="2"/>
    </font>
    <font>
      <b/>
      <sz val="8"/>
      <name val="Times New Roman"/>
      <family val="1"/>
    </font>
    <font>
      <sz val="16"/>
      <color indexed="9"/>
      <name val="Tahoma"/>
      <family val="2"/>
    </font>
    <font>
      <b/>
      <sz val="8"/>
      <color indexed="63"/>
      <name val="Verdan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10"/>
      <name val="Arial"/>
      <family val="2"/>
    </font>
    <font>
      <b/>
      <u/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6"/>
      <color indexed="8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i/>
      <sz val="12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02">
    <xf numFmtId="0" fontId="0" fillId="0" borderId="0"/>
    <xf numFmtId="0" fontId="73" fillId="0" borderId="0"/>
    <xf numFmtId="0" fontId="5" fillId="0" borderId="0"/>
    <xf numFmtId="0" fontId="37" fillId="0" borderId="0"/>
    <xf numFmtId="0" fontId="4" fillId="0" borderId="0"/>
    <xf numFmtId="0" fontId="72" fillId="2" borderId="0" applyNumberFormat="0" applyBorder="0" applyAlignment="0" applyProtection="0"/>
    <xf numFmtId="0" fontId="72" fillId="3" borderId="0" applyNumberFormat="0" applyBorder="0" applyAlignment="0" applyProtection="0"/>
    <xf numFmtId="0" fontId="72" fillId="4" borderId="0" applyNumberFormat="0" applyBorder="0" applyAlignment="0" applyProtection="0"/>
    <xf numFmtId="0" fontId="72" fillId="5" borderId="0" applyNumberFormat="0" applyBorder="0" applyAlignment="0" applyProtection="0"/>
    <xf numFmtId="0" fontId="72" fillId="6" borderId="0" applyNumberFormat="0" applyBorder="0" applyAlignment="0" applyProtection="0"/>
    <xf numFmtId="0" fontId="72" fillId="7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72" fillId="8" borderId="0" applyNumberFormat="0" applyBorder="0" applyAlignment="0" applyProtection="0"/>
    <xf numFmtId="0" fontId="72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9" borderId="0" applyNumberFormat="0" applyBorder="0" applyAlignment="0" applyProtection="0"/>
    <xf numFmtId="37" fontId="71" fillId="20" borderId="1" applyBorder="0" applyProtection="0">
      <alignment vertical="center"/>
    </xf>
    <xf numFmtId="0" fontId="77" fillId="3" borderId="0" applyNumberFormat="0" applyBorder="0" applyAlignment="0" applyProtection="0"/>
    <xf numFmtId="0" fontId="78" fillId="21" borderId="0" applyBorder="0">
      <alignment horizontal="left" vertical="center" indent="1"/>
    </xf>
    <xf numFmtId="0" fontId="79" fillId="22" borderId="2" applyNumberFormat="0" applyAlignment="0" applyProtection="0"/>
    <xf numFmtId="0" fontId="80" fillId="23" borderId="3" applyNumberFormat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4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4" borderId="0" applyNumberFormat="0" applyBorder="0" applyAlignment="0" applyProtection="0"/>
    <xf numFmtId="37" fontId="83" fillId="24" borderId="4" applyBorder="0">
      <alignment horizontal="left" vertical="center" indent="1"/>
    </xf>
    <xf numFmtId="37" fontId="84" fillId="0" borderId="5">
      <alignment vertical="center"/>
    </xf>
    <xf numFmtId="0" fontId="84" fillId="25" borderId="6" applyNumberFormat="0">
      <alignment horizontal="left" vertical="top" indent="1"/>
    </xf>
    <xf numFmtId="0" fontId="84" fillId="20" borderId="0" applyBorder="0">
      <alignment horizontal="left" vertical="center" indent="1"/>
    </xf>
    <xf numFmtId="0" fontId="84" fillId="0" borderId="6" applyNumberFormat="0" applyFill="0">
      <alignment horizontal="centerContinuous" vertical="top"/>
    </xf>
    <xf numFmtId="0" fontId="85" fillId="20" borderId="7" applyNumberFormat="0" applyBorder="0">
      <alignment horizontal="left" vertical="center" indent="1"/>
    </xf>
    <xf numFmtId="0" fontId="86" fillId="0" borderId="8" applyNumberFormat="0" applyFill="0" applyAlignment="0" applyProtection="0"/>
    <xf numFmtId="0" fontId="87" fillId="0" borderId="9" applyNumberFormat="0" applyFill="0" applyAlignment="0" applyProtection="0"/>
    <xf numFmtId="0" fontId="88" fillId="0" borderId="10" applyNumberFormat="0" applyFill="0" applyAlignment="0" applyProtection="0"/>
    <xf numFmtId="0" fontId="88" fillId="0" borderId="0" applyNumberFormat="0" applyFill="0" applyBorder="0" applyAlignment="0" applyProtection="0"/>
    <xf numFmtId="0" fontId="89" fillId="7" borderId="2" applyNumberFormat="0" applyAlignment="0" applyProtection="0"/>
    <xf numFmtId="0" fontId="90" fillId="0" borderId="11" applyNumberFormat="0" applyFill="0" applyAlignment="0" applyProtection="0"/>
    <xf numFmtId="0" fontId="91" fillId="26" borderId="0" applyNumberFormat="0" applyBorder="0" applyAlignment="0" applyProtection="0"/>
    <xf numFmtId="0" fontId="92" fillId="27" borderId="0">
      <alignment horizontal="left" indent="1"/>
    </xf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8" fillId="0" borderId="0"/>
    <xf numFmtId="0" fontId="18" fillId="0" borderId="0"/>
    <xf numFmtId="0" fontId="18" fillId="0" borderId="0"/>
    <xf numFmtId="0" fontId="9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5" fillId="0" borderId="0"/>
    <xf numFmtId="0" fontId="72" fillId="0" borderId="0"/>
    <xf numFmtId="0" fontId="4" fillId="0" borderId="0"/>
    <xf numFmtId="3" fontId="10" fillId="0" borderId="0" applyNumberFormat="0"/>
    <xf numFmtId="0" fontId="4" fillId="0" borderId="0"/>
    <xf numFmtId="3" fontId="10" fillId="0" borderId="0" applyNumberFormat="0"/>
    <xf numFmtId="0" fontId="4" fillId="0" borderId="0"/>
    <xf numFmtId="0" fontId="36" fillId="0" borderId="0"/>
    <xf numFmtId="0" fontId="36" fillId="28" borderId="12" applyNumberFormat="0" applyFont="0" applyAlignment="0" applyProtection="0"/>
    <xf numFmtId="0" fontId="18" fillId="28" borderId="12" applyNumberFormat="0" applyFont="0" applyAlignment="0" applyProtection="0"/>
    <xf numFmtId="0" fontId="95" fillId="22" borderId="13" applyNumberFormat="0" applyAlignment="0" applyProtection="0"/>
    <xf numFmtId="40" fontId="6" fillId="20" borderId="0">
      <alignment horizontal="right"/>
    </xf>
    <xf numFmtId="0" fontId="7" fillId="20" borderId="0">
      <alignment horizontal="right"/>
    </xf>
    <xf numFmtId="0" fontId="8" fillId="20" borderId="14"/>
    <xf numFmtId="0" fontId="8" fillId="0" borderId="0" applyBorder="0">
      <alignment horizontal="centerContinuous"/>
    </xf>
    <xf numFmtId="0" fontId="9" fillId="0" borderId="0" applyBorder="0">
      <alignment horizontal="centerContinuous"/>
    </xf>
    <xf numFmtId="9" fontId="3" fillId="0" borderId="0" applyFont="0" applyFill="0" applyBorder="0" applyAlignment="0" applyProtection="0"/>
    <xf numFmtId="196" fontId="96" fillId="0" borderId="0">
      <alignment horizontal="left"/>
    </xf>
    <xf numFmtId="0" fontId="97" fillId="21" borderId="0">
      <alignment horizontal="left" indent="1"/>
    </xf>
    <xf numFmtId="0" fontId="37" fillId="0" borderId="0"/>
    <xf numFmtId="0" fontId="75" fillId="0" borderId="0"/>
    <xf numFmtId="0" fontId="98" fillId="21" borderId="0" applyBorder="0">
      <alignment horizontal="left" vertical="center" indent="1"/>
    </xf>
    <xf numFmtId="0" fontId="99" fillId="0" borderId="0" applyNumberFormat="0" applyFill="0" applyBorder="0" applyAlignment="0" applyProtection="0"/>
    <xf numFmtId="0" fontId="100" fillId="0" borderId="15" applyNumberFormat="0" applyFill="0" applyAlignment="0" applyProtection="0"/>
    <xf numFmtId="43" fontId="37" fillId="0" borderId="0" applyFont="0" applyFill="0" applyBorder="0" applyAlignment="0" applyProtection="0"/>
    <xf numFmtId="0" fontId="101" fillId="0" borderId="0" applyNumberFormat="0" applyFill="0" applyBorder="0" applyAlignment="0" applyProtection="0"/>
  </cellStyleXfs>
  <cellXfs count="1153">
    <xf numFmtId="0" fontId="0" fillId="0" borderId="0" xfId="0"/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4" fillId="0" borderId="0" xfId="0" applyFont="1"/>
    <xf numFmtId="0" fontId="1" fillId="0" borderId="0" xfId="0" applyFont="1" applyAlignment="1">
      <alignment horizontal="center"/>
    </xf>
    <xf numFmtId="0" fontId="12" fillId="0" borderId="0" xfId="0" quotePrefix="1" applyFont="1" applyAlignment="1">
      <alignment horizontal="center" wrapText="1"/>
    </xf>
    <xf numFmtId="5" fontId="4" fillId="0" borderId="0" xfId="0" applyNumberFormat="1" applyFont="1"/>
    <xf numFmtId="37" fontId="13" fillId="0" borderId="0" xfId="0" applyNumberFormat="1" applyFont="1"/>
    <xf numFmtId="37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0" borderId="0" xfId="0" applyFont="1" applyBorder="1" applyAlignment="1">
      <alignment wrapText="1"/>
    </xf>
    <xf numFmtId="37" fontId="4" fillId="0" borderId="0" xfId="0" applyNumberFormat="1" applyFont="1" applyBorder="1"/>
    <xf numFmtId="0" fontId="4" fillId="0" borderId="0" xfId="0" applyFont="1" applyBorder="1"/>
    <xf numFmtId="0" fontId="1" fillId="29" borderId="16" xfId="0" applyFont="1" applyFill="1" applyBorder="1" applyAlignment="1">
      <alignment wrapText="1"/>
    </xf>
    <xf numFmtId="5" fontId="1" fillId="29" borderId="16" xfId="0" applyNumberFormat="1" applyFont="1" applyFill="1" applyBorder="1"/>
    <xf numFmtId="0" fontId="0" fillId="0" borderId="0" xfId="0" applyBorder="1"/>
    <xf numFmtId="0" fontId="1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180" fontId="4" fillId="0" borderId="0" xfId="0" applyNumberFormat="1" applyFont="1"/>
    <xf numFmtId="0" fontId="4" fillId="0" borderId="0" xfId="0" quotePrefix="1" applyFont="1"/>
    <xf numFmtId="37" fontId="13" fillId="0" borderId="0" xfId="0" applyNumberFormat="1" applyFont="1" applyAlignment="1"/>
    <xf numFmtId="37" fontId="1" fillId="29" borderId="17" xfId="0" applyNumberFormat="1" applyFont="1" applyFill="1" applyBorder="1"/>
    <xf numFmtId="0" fontId="12" fillId="0" borderId="0" xfId="0" quotePrefix="1" applyFont="1" applyAlignment="1">
      <alignment horizontal="left"/>
    </xf>
    <xf numFmtId="5" fontId="1" fillId="0" borderId="0" xfId="0" applyNumberFormat="1" applyFont="1"/>
    <xf numFmtId="0" fontId="0" fillId="0" borderId="0" xfId="0" applyNumberFormat="1" applyFont="1" applyAlignment="1"/>
    <xf numFmtId="0" fontId="11" fillId="0" borderId="0" xfId="0" applyNumberFormat="1" applyFont="1" applyAlignment="1">
      <alignment horizontal="right"/>
    </xf>
    <xf numFmtId="0" fontId="14" fillId="0" borderId="0" xfId="0" applyNumberFormat="1" applyFont="1" applyAlignment="1">
      <alignment horizontal="centerContinuous"/>
    </xf>
    <xf numFmtId="0" fontId="16" fillId="0" borderId="0" xfId="0" applyNumberFormat="1" applyFont="1" applyAlignment="1"/>
    <xf numFmtId="0" fontId="0" fillId="0" borderId="0" xfId="0" applyNumberFormat="1" applyFont="1" applyAlignment="1">
      <alignment horizontal="center"/>
    </xf>
    <xf numFmtId="3" fontId="0" fillId="0" borderId="0" xfId="0" applyNumberFormat="1" applyFont="1"/>
    <xf numFmtId="3" fontId="0" fillId="0" borderId="0" xfId="0" applyNumberFormat="1" applyFont="1" applyAlignment="1"/>
    <xf numFmtId="3" fontId="17" fillId="0" borderId="0" xfId="0" applyNumberFormat="1" applyFont="1" applyAlignment="1"/>
    <xf numFmtId="0" fontId="18" fillId="0" borderId="0" xfId="0" applyNumberFormat="1" applyFont="1" applyAlignment="1">
      <alignment horizontal="center"/>
    </xf>
    <xf numFmtId="3" fontId="18" fillId="0" borderId="0" xfId="0" applyNumberFormat="1" applyFont="1" applyAlignment="1"/>
    <xf numFmtId="0" fontId="20" fillId="0" borderId="0" xfId="0" applyNumberFormat="1" applyFont="1" applyAlignment="1"/>
    <xf numFmtId="0" fontId="0" fillId="0" borderId="0" xfId="0" applyNumberFormat="1" applyFont="1" applyAlignment="1">
      <alignment horizontal="centerContinuous"/>
    </xf>
    <xf numFmtId="0" fontId="16" fillId="0" borderId="0" xfId="0" applyNumberFormat="1" applyFont="1" applyAlignment="1">
      <alignment horizontal="centerContinuous"/>
    </xf>
    <xf numFmtId="0" fontId="11" fillId="0" borderId="0" xfId="0" quotePrefix="1" applyNumberFormat="1" applyFont="1" applyAlignment="1">
      <alignment horizontal="center"/>
    </xf>
    <xf numFmtId="0" fontId="0" fillId="0" borderId="0" xfId="0" quotePrefix="1" applyNumberFormat="1" applyFont="1" applyAlignment="1">
      <alignment horizontal="center"/>
    </xf>
    <xf numFmtId="0" fontId="16" fillId="0" borderId="0" xfId="0" applyNumberFormat="1" applyFont="1" applyAlignment="1">
      <alignment horizontal="center"/>
    </xf>
    <xf numFmtId="0" fontId="11" fillId="0" borderId="0" xfId="0" applyNumberFormat="1" applyFont="1" applyAlignment="1">
      <alignment horizontal="center"/>
    </xf>
    <xf numFmtId="0" fontId="16" fillId="0" borderId="0" xfId="0" quotePrefix="1" applyNumberFormat="1" applyFont="1" applyAlignment="1"/>
    <xf numFmtId="0" fontId="22" fillId="0" borderId="0" xfId="0" applyNumberFormat="1" applyFont="1" applyAlignment="1">
      <alignment horizontal="center"/>
    </xf>
    <xf numFmtId="174" fontId="0" fillId="0" borderId="0" xfId="0" applyNumberFormat="1" applyFont="1" applyAlignment="1"/>
    <xf numFmtId="164" fontId="0" fillId="0" borderId="0" xfId="0" applyNumberFormat="1" applyFont="1"/>
    <xf numFmtId="165" fontId="0" fillId="0" borderId="0" xfId="0" applyNumberFormat="1" applyFont="1" applyAlignment="1"/>
    <xf numFmtId="167" fontId="0" fillId="0" borderId="0" xfId="0" applyNumberFormat="1" applyFont="1" applyAlignment="1"/>
    <xf numFmtId="166" fontId="21" fillId="0" borderId="0" xfId="0" applyNumberFormat="1" applyFont="1" applyAlignment="1"/>
    <xf numFmtId="0" fontId="0" fillId="0" borderId="0" xfId="0" quotePrefix="1" applyNumberFormat="1" applyFont="1" applyAlignment="1"/>
    <xf numFmtId="165" fontId="16" fillId="0" borderId="0" xfId="0" applyNumberFormat="1" applyFont="1" applyAlignment="1"/>
    <xf numFmtId="0" fontId="11" fillId="0" borderId="0" xfId="0" applyNumberFormat="1" applyFont="1" applyAlignment="1"/>
    <xf numFmtId="0" fontId="5" fillId="0" borderId="0" xfId="76" applyNumberFormat="1" applyFill="1" applyBorder="1" applyAlignment="1" applyProtection="1"/>
    <xf numFmtId="0" fontId="24" fillId="0" borderId="0" xfId="76" applyNumberFormat="1" applyFont="1" applyFill="1" applyBorder="1" applyAlignment="1" applyProtection="1">
      <alignment horizontal="right"/>
    </xf>
    <xf numFmtId="0" fontId="5" fillId="0" borderId="0" xfId="76" applyNumberFormat="1" applyFill="1" applyBorder="1" applyAlignment="1" applyProtection="1">
      <alignment horizontal="centerContinuous"/>
    </xf>
    <xf numFmtId="0" fontId="25" fillId="0" borderId="0" xfId="76" applyNumberFormat="1" applyFont="1" applyFill="1" applyBorder="1" applyAlignment="1" applyProtection="1">
      <alignment horizontal="centerContinuous"/>
    </xf>
    <xf numFmtId="17" fontId="25" fillId="0" borderId="0" xfId="76" quotePrefix="1" applyNumberFormat="1" applyFont="1" applyFill="1" applyBorder="1" applyAlignment="1" applyProtection="1">
      <alignment horizontal="centerContinuous"/>
    </xf>
    <xf numFmtId="0" fontId="26" fillId="0" borderId="19" xfId="76" applyNumberFormat="1" applyFont="1" applyFill="1" applyBorder="1" applyAlignment="1" applyProtection="1">
      <alignment horizontal="center"/>
    </xf>
    <xf numFmtId="0" fontId="26" fillId="0" borderId="20" xfId="76" applyNumberFormat="1" applyFont="1" applyFill="1" applyBorder="1" applyAlignment="1" applyProtection="1">
      <alignment horizontal="center"/>
    </xf>
    <xf numFmtId="0" fontId="27" fillId="0" borderId="17" xfId="76" applyNumberFormat="1" applyFont="1" applyFill="1" applyBorder="1" applyAlignment="1"/>
    <xf numFmtId="165" fontId="27" fillId="0" borderId="17" xfId="76" applyNumberFormat="1" applyFont="1" applyFill="1" applyBorder="1" applyAlignment="1"/>
    <xf numFmtId="169" fontId="5" fillId="0" borderId="17" xfId="76" applyNumberFormat="1" applyFill="1" applyBorder="1" applyAlignment="1" applyProtection="1"/>
    <xf numFmtId="0" fontId="5" fillId="0" borderId="17" xfId="76" applyNumberFormat="1" applyFont="1" applyFill="1" applyBorder="1" applyAlignment="1" applyProtection="1"/>
    <xf numFmtId="0" fontId="5" fillId="0" borderId="17" xfId="76" applyNumberFormat="1" applyFill="1" applyBorder="1" applyAlignment="1" applyProtection="1"/>
    <xf numFmtId="0" fontId="4" fillId="0" borderId="0" xfId="75"/>
    <xf numFmtId="0" fontId="4" fillId="0" borderId="0" xfId="75" applyAlignment="1">
      <alignment horizontal="centerContinuous"/>
    </xf>
    <xf numFmtId="0" fontId="11" fillId="0" borderId="0" xfId="75" applyFont="1" applyAlignment="1">
      <alignment horizontal="left"/>
    </xf>
    <xf numFmtId="0" fontId="4" fillId="0" borderId="0" xfId="75" applyBorder="1"/>
    <xf numFmtId="0" fontId="4" fillId="0" borderId="21" xfId="75" applyBorder="1"/>
    <xf numFmtId="10" fontId="4" fillId="0" borderId="0" xfId="75" applyNumberFormat="1" applyBorder="1"/>
    <xf numFmtId="173" fontId="4" fillId="0" borderId="0" xfId="75" applyNumberFormat="1" applyBorder="1"/>
    <xf numFmtId="0" fontId="28" fillId="0" borderId="0" xfId="75" applyFont="1" applyFill="1" applyBorder="1"/>
    <xf numFmtId="10" fontId="4" fillId="0" borderId="0" xfId="75" applyNumberFormat="1"/>
    <xf numFmtId="0" fontId="4" fillId="0" borderId="0" xfId="75" applyFont="1" applyFill="1" applyBorder="1"/>
    <xf numFmtId="0" fontId="4" fillId="0" borderId="0" xfId="75" applyFill="1" applyBorder="1"/>
    <xf numFmtId="0" fontId="32" fillId="0" borderId="0" xfId="0" quotePrefix="1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11" fillId="0" borderId="0" xfId="0" applyFont="1"/>
    <xf numFmtId="10" fontId="28" fillId="29" borderId="16" xfId="0" applyNumberFormat="1" applyFont="1" applyFill="1" applyBorder="1"/>
    <xf numFmtId="0" fontId="34" fillId="0" borderId="0" xfId="0" applyFont="1"/>
    <xf numFmtId="0" fontId="1" fillId="0" borderId="0" xfId="0" applyFont="1" applyAlignment="1">
      <alignment horizontal="centerContinuous"/>
    </xf>
    <xf numFmtId="0" fontId="28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quotePrefix="1" applyFont="1" applyAlignment="1">
      <alignment horizontal="center"/>
    </xf>
    <xf numFmtId="0" fontId="28" fillId="0" borderId="0" xfId="0" quotePrefix="1" applyFont="1" applyAlignment="1">
      <alignment horizontal="center"/>
    </xf>
    <xf numFmtId="0" fontId="28" fillId="0" borderId="0" xfId="0" applyFont="1"/>
    <xf numFmtId="0" fontId="4" fillId="0" borderId="0" xfId="0" quotePrefix="1" applyFont="1" applyAlignment="1">
      <alignment horizontal="center"/>
    </xf>
    <xf numFmtId="7" fontId="4" fillId="0" borderId="0" xfId="0" applyNumberFormat="1" applyFont="1"/>
    <xf numFmtId="9" fontId="36" fillId="0" borderId="0" xfId="92" applyFont="1"/>
    <xf numFmtId="39" fontId="4" fillId="0" borderId="0" xfId="0" applyNumberFormat="1" applyFont="1"/>
    <xf numFmtId="0" fontId="37" fillId="0" borderId="0" xfId="0" applyFont="1"/>
    <xf numFmtId="0" fontId="37" fillId="0" borderId="0" xfId="0" quotePrefix="1" applyFont="1" applyAlignment="1">
      <alignment horizontal="center"/>
    </xf>
    <xf numFmtId="39" fontId="37" fillId="0" borderId="0" xfId="0" applyNumberFormat="1" applyFont="1"/>
    <xf numFmtId="0" fontId="4" fillId="0" borderId="0" xfId="0" applyFont="1" applyAlignment="1">
      <alignment horizontal="center"/>
    </xf>
    <xf numFmtId="0" fontId="1" fillId="0" borderId="0" xfId="0" applyFont="1"/>
    <xf numFmtId="0" fontId="35" fillId="0" borderId="0" xfId="0" applyFont="1"/>
    <xf numFmtId="0" fontId="0" fillId="0" borderId="0" xfId="0" applyAlignment="1">
      <alignment horizontal="center"/>
    </xf>
    <xf numFmtId="39" fontId="0" fillId="0" borderId="0" xfId="0" applyNumberFormat="1"/>
    <xf numFmtId="0" fontId="37" fillId="0" borderId="0" xfId="0" applyFont="1" applyAlignment="1">
      <alignment horizontal="center"/>
    </xf>
    <xf numFmtId="7" fontId="37" fillId="0" borderId="0" xfId="0" applyNumberFormat="1" applyFont="1" applyFill="1"/>
    <xf numFmtId="7" fontId="37" fillId="0" borderId="0" xfId="0" applyNumberFormat="1" applyFont="1"/>
    <xf numFmtId="39" fontId="37" fillId="0" borderId="0" xfId="0" applyNumberFormat="1" applyFont="1" applyFill="1"/>
    <xf numFmtId="0" fontId="4" fillId="0" borderId="0" xfId="0" applyNumberFormat="1" applyFont="1"/>
    <xf numFmtId="0" fontId="37" fillId="0" borderId="0" xfId="0" applyFont="1" applyFill="1"/>
    <xf numFmtId="0" fontId="37" fillId="0" borderId="0" xfId="0" applyFont="1" applyFill="1" applyAlignment="1">
      <alignment horizontal="center"/>
    </xf>
    <xf numFmtId="0" fontId="2" fillId="0" borderId="0" xfId="0" quotePrefix="1" applyFont="1"/>
    <xf numFmtId="0" fontId="1" fillId="0" borderId="0" xfId="0" quotePrefix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37" fillId="0" borderId="0" xfId="0" quotePrefix="1" applyFont="1"/>
    <xf numFmtId="0" fontId="37" fillId="0" borderId="0" xfId="0" applyNumberFormat="1" applyFont="1"/>
    <xf numFmtId="0" fontId="37" fillId="0" borderId="0" xfId="0" quotePrefix="1" applyFont="1" applyFill="1"/>
    <xf numFmtId="187" fontId="0" fillId="0" borderId="0" xfId="0" applyNumberFormat="1"/>
    <xf numFmtId="0" fontId="37" fillId="0" borderId="0" xfId="0" quotePrefix="1" applyFont="1" applyFill="1" applyAlignment="1">
      <alignment horizontal="left"/>
    </xf>
    <xf numFmtId="0" fontId="4" fillId="0" borderId="0" xfId="0" quotePrefix="1" applyFont="1" applyAlignment="1">
      <alignment horizontal="left"/>
    </xf>
    <xf numFmtId="0" fontId="28" fillId="0" borderId="0" xfId="0" applyFont="1" applyAlignment="1">
      <alignment horizontal="left"/>
    </xf>
    <xf numFmtId="0" fontId="28" fillId="0" borderId="17" xfId="0" applyFont="1" applyBorder="1" applyAlignment="1">
      <alignment horizontal="center"/>
    </xf>
    <xf numFmtId="0" fontId="28" fillId="0" borderId="1" xfId="0" applyFont="1" applyBorder="1"/>
    <xf numFmtId="0" fontId="28" fillId="0" borderId="18" xfId="0" quotePrefix="1" applyFont="1" applyBorder="1" applyAlignment="1">
      <alignment horizontal="center"/>
    </xf>
    <xf numFmtId="0" fontId="0" fillId="0" borderId="18" xfId="0" applyBorder="1"/>
    <xf numFmtId="172" fontId="28" fillId="0" borderId="18" xfId="0" applyNumberFormat="1" applyFont="1" applyBorder="1"/>
    <xf numFmtId="0" fontId="28" fillId="0" borderId="22" xfId="0" quotePrefix="1" applyNumberFormat="1" applyFont="1" applyBorder="1"/>
    <xf numFmtId="0" fontId="38" fillId="0" borderId="0" xfId="0" applyFont="1"/>
    <xf numFmtId="0" fontId="39" fillId="0" borderId="0" xfId="0" applyFont="1"/>
    <xf numFmtId="0" fontId="39" fillId="0" borderId="0" xfId="0" applyFont="1" applyAlignment="1">
      <alignment horizontal="center"/>
    </xf>
    <xf numFmtId="0" fontId="40" fillId="0" borderId="0" xfId="0" applyFont="1"/>
    <xf numFmtId="0" fontId="39" fillId="0" borderId="0" xfId="0" applyFont="1" applyAlignment="1">
      <alignment horizontal="left"/>
    </xf>
    <xf numFmtId="39" fontId="39" fillId="0" borderId="0" xfId="0" applyNumberFormat="1" applyFont="1"/>
    <xf numFmtId="0" fontId="28" fillId="0" borderId="0" xfId="0" applyFont="1" applyBorder="1"/>
    <xf numFmtId="0" fontId="28" fillId="29" borderId="16" xfId="0" applyFont="1" applyFill="1" applyBorder="1" applyAlignment="1">
      <alignment horizontal="center"/>
    </xf>
    <xf numFmtId="0" fontId="36" fillId="0" borderId="0" xfId="0" applyNumberFormat="1" applyFont="1" applyAlignment="1"/>
    <xf numFmtId="0" fontId="36" fillId="0" borderId="0" xfId="0" applyNumberFormat="1" applyFont="1" applyAlignment="1">
      <alignment horizontal="centerContinuous"/>
    </xf>
    <xf numFmtId="0" fontId="14" fillId="0" borderId="0" xfId="0" applyFont="1" applyFill="1" applyBorder="1" applyAlignment="1" applyProtection="1">
      <alignment horizontal="left"/>
      <protection locked="0"/>
    </xf>
    <xf numFmtId="0" fontId="41" fillId="0" borderId="0" xfId="0" applyFont="1" applyFill="1" applyBorder="1" applyAlignment="1" applyProtection="1">
      <alignment horizontal="left"/>
      <protection locked="0"/>
    </xf>
    <xf numFmtId="0" fontId="44" fillId="0" borderId="17" xfId="0" applyFont="1" applyFill="1" applyBorder="1" applyAlignment="1" applyProtection="1">
      <alignment horizontal="center" wrapText="1"/>
      <protection locked="0"/>
    </xf>
    <xf numFmtId="0" fontId="44" fillId="0" borderId="1" xfId="0" applyFont="1" applyFill="1" applyBorder="1" applyAlignment="1" applyProtection="1">
      <alignment horizontal="center" wrapText="1"/>
      <protection locked="0"/>
    </xf>
    <xf numFmtId="0" fontId="44" fillId="0" borderId="20" xfId="0" applyFont="1" applyFill="1" applyBorder="1" applyAlignment="1" applyProtection="1">
      <alignment horizontal="center" wrapText="1"/>
      <protection locked="0"/>
    </xf>
    <xf numFmtId="0" fontId="36" fillId="0" borderId="0" xfId="0" quotePrefix="1" applyNumberFormat="1" applyFont="1" applyAlignment="1">
      <alignment horizontal="center"/>
    </xf>
    <xf numFmtId="165" fontId="36" fillId="0" borderId="0" xfId="0" applyNumberFormat="1" applyFont="1" applyAlignment="1"/>
    <xf numFmtId="3" fontId="36" fillId="0" borderId="0" xfId="0" applyNumberFormat="1" applyFont="1" applyAlignment="1"/>
    <xf numFmtId="37" fontId="36" fillId="0" borderId="0" xfId="0" applyNumberFormat="1" applyFont="1" applyAlignment="1"/>
    <xf numFmtId="4" fontId="36" fillId="0" borderId="0" xfId="0" applyNumberFormat="1" applyFont="1" applyAlignment="1"/>
    <xf numFmtId="0" fontId="36" fillId="0" borderId="0" xfId="0" applyNumberFormat="1" applyFont="1" applyAlignment="1">
      <alignment horizontal="center"/>
    </xf>
    <xf numFmtId="0" fontId="45" fillId="0" borderId="0" xfId="0" applyNumberFormat="1" applyFont="1" applyAlignment="1"/>
    <xf numFmtId="39" fontId="36" fillId="0" borderId="0" xfId="0" applyNumberFormat="1" applyFont="1" applyAlignment="1"/>
    <xf numFmtId="3" fontId="25" fillId="0" borderId="0" xfId="0" applyNumberFormat="1" applyFont="1" applyFill="1" applyBorder="1" applyAlignment="1" applyProtection="1">
      <alignment horizontal="right" wrapText="1"/>
      <protection locked="0"/>
    </xf>
    <xf numFmtId="169" fontId="36" fillId="0" borderId="0" xfId="0" applyNumberFormat="1" applyFont="1" applyFill="1" applyBorder="1"/>
    <xf numFmtId="5" fontId="11" fillId="0" borderId="0" xfId="0" applyNumberFormat="1" applyFont="1" applyFill="1" applyBorder="1" applyAlignment="1"/>
    <xf numFmtId="3" fontId="11" fillId="0" borderId="0" xfId="0" applyNumberFormat="1" applyFont="1" applyBorder="1" applyAlignment="1"/>
    <xf numFmtId="0" fontId="36" fillId="0" borderId="0" xfId="0" applyNumberFormat="1" applyFont="1" applyFill="1" applyAlignment="1"/>
    <xf numFmtId="0" fontId="36" fillId="0" borderId="0" xfId="0" applyNumberFormat="1" applyFont="1" applyBorder="1" applyAlignment="1"/>
    <xf numFmtId="165" fontId="36" fillId="0" borderId="0" xfId="0" applyNumberFormat="1" applyFont="1" applyBorder="1" applyAlignment="1"/>
    <xf numFmtId="3" fontId="36" fillId="0" borderId="0" xfId="0" applyNumberFormat="1" applyFont="1" applyBorder="1" applyAlignment="1"/>
    <xf numFmtId="0" fontId="36" fillId="0" borderId="0" xfId="0" quotePrefix="1" applyNumberFormat="1" applyFont="1" applyFill="1" applyBorder="1" applyAlignment="1"/>
    <xf numFmtId="0" fontId="21" fillId="0" borderId="0" xfId="0" applyNumberFormat="1" applyFont="1" applyAlignment="1"/>
    <xf numFmtId="0" fontId="36" fillId="0" borderId="0" xfId="0" applyNumberFormat="1" applyFont="1" applyFill="1" applyBorder="1" applyAlignment="1"/>
    <xf numFmtId="0" fontId="30" fillId="0" borderId="0" xfId="76" applyNumberFormat="1" applyFont="1" applyFill="1" applyBorder="1" applyAlignment="1" applyProtection="1"/>
    <xf numFmtId="0" fontId="50" fillId="0" borderId="0" xfId="76" applyNumberFormat="1" applyFont="1" applyFill="1" applyBorder="1" applyAlignment="1" applyProtection="1">
      <alignment horizontal="right"/>
    </xf>
    <xf numFmtId="0" fontId="51" fillId="0" borderId="0" xfId="76" applyNumberFormat="1" applyFont="1" applyFill="1" applyBorder="1" applyAlignment="1" applyProtection="1">
      <alignment horizontal="centerContinuous"/>
    </xf>
    <xf numFmtId="0" fontId="30" fillId="0" borderId="0" xfId="76" applyNumberFormat="1" applyFont="1" applyFill="1" applyBorder="1" applyAlignment="1" applyProtection="1">
      <alignment horizontal="centerContinuous"/>
    </xf>
    <xf numFmtId="0" fontId="52" fillId="0" borderId="17" xfId="76" applyFont="1" applyBorder="1" applyAlignment="1">
      <alignment horizontal="left" vertical="center"/>
    </xf>
    <xf numFmtId="0" fontId="50" fillId="0" borderId="17" xfId="76" applyNumberFormat="1" applyFont="1" applyFill="1" applyBorder="1" applyAlignment="1" applyProtection="1">
      <alignment horizontal="center"/>
    </xf>
    <xf numFmtId="0" fontId="30" fillId="0" borderId="17" xfId="76" applyNumberFormat="1" applyFont="1" applyFill="1" applyBorder="1" applyAlignment="1" applyProtection="1"/>
    <xf numFmtId="0" fontId="30" fillId="0" borderId="17" xfId="76" applyFont="1" applyBorder="1" applyAlignment="1">
      <alignment horizontal="center" vertical="center"/>
    </xf>
    <xf numFmtId="0" fontId="30" fillId="0" borderId="17" xfId="76" applyFont="1" applyBorder="1" applyAlignment="1">
      <alignment vertical="center"/>
    </xf>
    <xf numFmtId="39" fontId="37" fillId="0" borderId="17" xfId="0" applyNumberFormat="1" applyFont="1" applyBorder="1"/>
    <xf numFmtId="3" fontId="30" fillId="0" borderId="0" xfId="76" applyNumberFormat="1" applyFont="1" applyAlignment="1">
      <alignment horizontal="right" vertical="center"/>
    </xf>
    <xf numFmtId="0" fontId="4" fillId="0" borderId="0" xfId="80"/>
    <xf numFmtId="0" fontId="28" fillId="0" borderId="0" xfId="80" applyFont="1" applyAlignment="1">
      <alignment horizontal="right"/>
    </xf>
    <xf numFmtId="0" fontId="34" fillId="0" borderId="0" xfId="80" applyFont="1" applyAlignment="1">
      <alignment horizontal="centerContinuous"/>
    </xf>
    <xf numFmtId="0" fontId="53" fillId="0" borderId="0" xfId="80" applyFont="1" applyAlignment="1">
      <alignment horizontal="centerContinuous"/>
    </xf>
    <xf numFmtId="0" fontId="11" fillId="0" borderId="0" xfId="80" applyFont="1" applyAlignment="1">
      <alignment horizontal="centerContinuous"/>
    </xf>
    <xf numFmtId="0" fontId="4" fillId="0" borderId="0" xfId="80" applyAlignment="1">
      <alignment horizontal="centerContinuous"/>
    </xf>
    <xf numFmtId="0" fontId="28" fillId="0" borderId="0" xfId="80" applyFont="1"/>
    <xf numFmtId="0" fontId="4" fillId="0" borderId="0" xfId="80" applyFont="1"/>
    <xf numFmtId="0" fontId="1" fillId="0" borderId="23" xfId="80" applyFont="1" applyBorder="1" applyAlignment="1">
      <alignment horizontal="center"/>
    </xf>
    <xf numFmtId="0" fontId="1" fillId="0" borderId="19" xfId="80" applyFont="1" applyBorder="1" applyAlignment="1">
      <alignment horizontal="center"/>
    </xf>
    <xf numFmtId="0" fontId="1" fillId="0" borderId="24" xfId="80" applyFont="1" applyBorder="1" applyAlignment="1">
      <alignment horizontal="center"/>
    </xf>
    <xf numFmtId="0" fontId="1" fillId="0" borderId="20" xfId="80" applyFont="1" applyBorder="1" applyAlignment="1">
      <alignment horizontal="center"/>
    </xf>
    <xf numFmtId="0" fontId="4" fillId="0" borderId="1" xfId="80" applyBorder="1"/>
    <xf numFmtId="0" fontId="4" fillId="0" borderId="17" xfId="80" applyBorder="1"/>
    <xf numFmtId="1" fontId="4" fillId="0" borderId="17" xfId="80" applyNumberFormat="1" applyBorder="1"/>
    <xf numFmtId="170" fontId="4" fillId="0" borderId="17" xfId="80" applyNumberFormat="1" applyBorder="1"/>
    <xf numFmtId="2" fontId="4" fillId="0" borderId="17" xfId="80" applyNumberFormat="1" applyBorder="1"/>
    <xf numFmtId="0" fontId="4" fillId="0" borderId="23" xfId="80" applyBorder="1"/>
    <xf numFmtId="0" fontId="4" fillId="0" borderId="19" xfId="80" applyBorder="1"/>
    <xf numFmtId="1" fontId="4" fillId="0" borderId="19" xfId="80" applyNumberFormat="1" applyBorder="1"/>
    <xf numFmtId="170" fontId="4" fillId="0" borderId="19" xfId="80" applyNumberFormat="1" applyBorder="1"/>
    <xf numFmtId="2" fontId="4" fillId="0" borderId="19" xfId="80" applyNumberFormat="1" applyBorder="1"/>
    <xf numFmtId="0" fontId="4" fillId="0" borderId="1" xfId="80" applyFont="1" applyBorder="1"/>
    <xf numFmtId="0" fontId="4" fillId="0" borderId="0" xfId="0" quotePrefix="1" applyFont="1" applyFill="1" applyAlignment="1">
      <alignment horizontal="center"/>
    </xf>
    <xf numFmtId="0" fontId="56" fillId="0" borderId="0" xfId="0" quotePrefix="1" applyFont="1" applyAlignment="1">
      <alignment horizontal="centerContinuous"/>
    </xf>
    <xf numFmtId="0" fontId="0" fillId="0" borderId="0" xfId="0" quotePrefix="1" applyAlignment="1">
      <alignment horizontal="centerContinuous"/>
    </xf>
    <xf numFmtId="0" fontId="14" fillId="0" borderId="0" xfId="0" applyNumberFormat="1" applyFont="1" applyAlignment="1"/>
    <xf numFmtId="0" fontId="43" fillId="0" borderId="0" xfId="0" applyNumberFormat="1" applyFont="1" applyAlignment="1">
      <alignment horizontal="centerContinuous"/>
    </xf>
    <xf numFmtId="0" fontId="36" fillId="0" borderId="0" xfId="0" quotePrefix="1" applyNumberFormat="1" applyFont="1" applyAlignment="1">
      <alignment horizontal="centerContinuous"/>
    </xf>
    <xf numFmtId="10" fontId="11" fillId="29" borderId="16" xfId="0" applyNumberFormat="1" applyFont="1" applyFill="1" applyBorder="1" applyAlignment="1"/>
    <xf numFmtId="165" fontId="11" fillId="29" borderId="16" xfId="0" applyNumberFormat="1" applyFont="1" applyFill="1" applyBorder="1" applyAlignment="1"/>
    <xf numFmtId="191" fontId="11" fillId="29" borderId="16" xfId="0" applyNumberFormat="1" applyFont="1" applyFill="1" applyBorder="1" applyAlignment="1"/>
    <xf numFmtId="0" fontId="34" fillId="0" borderId="0" xfId="0" applyNumberFormat="1" applyFont="1" applyAlignment="1"/>
    <xf numFmtId="176" fontId="11" fillId="29" borderId="16" xfId="0" applyNumberFormat="1" applyFont="1" applyFill="1" applyBorder="1" applyAlignment="1"/>
    <xf numFmtId="185" fontId="11" fillId="29" borderId="16" xfId="0" applyNumberFormat="1" applyFont="1" applyFill="1" applyBorder="1" applyAlignment="1"/>
    <xf numFmtId="188" fontId="36" fillId="0" borderId="0" xfId="0" applyNumberFormat="1" applyFont="1" applyAlignment="1"/>
    <xf numFmtId="7" fontId="11" fillId="29" borderId="16" xfId="0" applyNumberFormat="1" applyFont="1" applyFill="1" applyBorder="1" applyAlignment="1"/>
    <xf numFmtId="0" fontId="36" fillId="0" borderId="0" xfId="0" quotePrefix="1" applyNumberFormat="1" applyFont="1" applyAlignment="1"/>
    <xf numFmtId="0" fontId="16" fillId="0" borderId="25" xfId="0" applyNumberFormat="1" applyFont="1" applyBorder="1" applyAlignment="1">
      <alignment horizontal="centerContinuous"/>
    </xf>
    <xf numFmtId="0" fontId="16" fillId="0" borderId="26" xfId="0" applyNumberFormat="1" applyFont="1" applyBorder="1" applyAlignment="1">
      <alignment horizontal="centerContinuous"/>
    </xf>
    <xf numFmtId="0" fontId="16" fillId="0" borderId="27" xfId="0" applyNumberFormat="1" applyFont="1" applyBorder="1" applyAlignment="1">
      <alignment horizontal="center"/>
    </xf>
    <xf numFmtId="0" fontId="16" fillId="0" borderId="28" xfId="0" applyNumberFormat="1" applyFont="1" applyBorder="1" applyAlignment="1">
      <alignment horizontal="centerContinuous"/>
    </xf>
    <xf numFmtId="0" fontId="16" fillId="0" borderId="26" xfId="0" applyNumberFormat="1" applyFont="1" applyBorder="1" applyAlignment="1">
      <alignment horizontal="center"/>
    </xf>
    <xf numFmtId="0" fontId="57" fillId="0" borderId="0" xfId="0" applyNumberFormat="1" applyFont="1" applyAlignment="1"/>
    <xf numFmtId="179" fontId="36" fillId="0" borderId="0" xfId="0" applyNumberFormat="1" applyFont="1" applyAlignment="1"/>
    <xf numFmtId="10" fontId="36" fillId="0" borderId="0" xfId="0" applyNumberFormat="1" applyFont="1" applyAlignment="1"/>
    <xf numFmtId="3" fontId="58" fillId="0" borderId="0" xfId="0" applyNumberFormat="1" applyFont="1" applyAlignment="1"/>
    <xf numFmtId="165" fontId="11" fillId="0" borderId="16" xfId="0" applyNumberFormat="1" applyFont="1" applyBorder="1" applyAlignment="1"/>
    <xf numFmtId="165" fontId="16" fillId="0" borderId="0" xfId="0" applyNumberFormat="1" applyFont="1" applyAlignment="1">
      <alignment horizontal="right"/>
    </xf>
    <xf numFmtId="7" fontId="36" fillId="0" borderId="0" xfId="0" applyNumberFormat="1" applyFont="1" applyAlignment="1"/>
    <xf numFmtId="165" fontId="16" fillId="0" borderId="16" xfId="0" applyNumberFormat="1" applyFont="1" applyBorder="1" applyAlignment="1"/>
    <xf numFmtId="0" fontId="11" fillId="0" borderId="0" xfId="0" quotePrefix="1" applyNumberFormat="1" applyFont="1" applyAlignment="1"/>
    <xf numFmtId="7" fontId="36" fillId="0" borderId="0" xfId="0" applyNumberFormat="1" applyFont="1" applyAlignment="1">
      <alignment horizontal="center"/>
    </xf>
    <xf numFmtId="165" fontId="11" fillId="0" borderId="29" xfId="0" applyNumberFormat="1" applyFont="1" applyBorder="1" applyAlignment="1"/>
    <xf numFmtId="165" fontId="11" fillId="0" borderId="30" xfId="0" applyNumberFormat="1" applyFont="1" applyBorder="1" applyAlignment="1"/>
    <xf numFmtId="165" fontId="11" fillId="0" borderId="31" xfId="0" applyNumberFormat="1" applyFont="1" applyBorder="1" applyAlignment="1"/>
    <xf numFmtId="179" fontId="18" fillId="0" borderId="0" xfId="0" applyNumberFormat="1" applyFont="1" applyAlignment="1"/>
    <xf numFmtId="10" fontId="18" fillId="0" borderId="0" xfId="0" applyNumberFormat="1" applyFont="1" applyAlignment="1"/>
    <xf numFmtId="3" fontId="59" fillId="0" borderId="0" xfId="0" applyNumberFormat="1" applyFont="1" applyAlignment="1"/>
    <xf numFmtId="165" fontId="18" fillId="0" borderId="0" xfId="0" applyNumberFormat="1" applyFont="1" applyAlignment="1"/>
    <xf numFmtId="3" fontId="25" fillId="0" borderId="16" xfId="0" applyNumberFormat="1" applyFont="1" applyBorder="1" applyAlignment="1"/>
    <xf numFmtId="3" fontId="11" fillId="0" borderId="16" xfId="0" applyNumberFormat="1" applyFont="1" applyBorder="1" applyAlignment="1"/>
    <xf numFmtId="3" fontId="18" fillId="0" borderId="0" xfId="0" applyNumberFormat="1" applyFont="1" applyBorder="1" applyAlignment="1"/>
    <xf numFmtId="3" fontId="59" fillId="0" borderId="0" xfId="0" applyNumberFormat="1" applyFont="1" applyBorder="1" applyAlignment="1"/>
    <xf numFmtId="3" fontId="18" fillId="0" borderId="16" xfId="0" applyNumberFormat="1" applyFont="1" applyBorder="1" applyAlignment="1"/>
    <xf numFmtId="3" fontId="18" fillId="0" borderId="32" xfId="0" applyNumberFormat="1" applyFont="1" applyBorder="1" applyAlignment="1"/>
    <xf numFmtId="165" fontId="18" fillId="0" borderId="32" xfId="0" applyNumberFormat="1" applyFont="1" applyBorder="1" applyAlignment="1"/>
    <xf numFmtId="3" fontId="18" fillId="0" borderId="33" xfId="0" applyNumberFormat="1" applyFont="1" applyBorder="1" applyAlignment="1"/>
    <xf numFmtId="165" fontId="18" fillId="0" borderId="34" xfId="0" applyNumberFormat="1" applyFont="1" applyBorder="1" applyAlignment="1"/>
    <xf numFmtId="165" fontId="11" fillId="0" borderId="0" xfId="0" applyNumberFormat="1" applyFont="1" applyBorder="1" applyAlignment="1"/>
    <xf numFmtId="3" fontId="58" fillId="0" borderId="0" xfId="0" applyNumberFormat="1" applyFont="1" applyAlignment="1">
      <alignment horizontal="center"/>
    </xf>
    <xf numFmtId="165" fontId="36" fillId="0" borderId="0" xfId="0" applyNumberFormat="1" applyFont="1" applyAlignment="1">
      <alignment horizontal="center"/>
    </xf>
    <xf numFmtId="165" fontId="17" fillId="0" borderId="0" xfId="0" applyNumberFormat="1" applyFont="1" applyAlignment="1"/>
    <xf numFmtId="3" fontId="16" fillId="0" borderId="16" xfId="0" applyNumberFormat="1" applyFont="1" applyBorder="1" applyAlignment="1"/>
    <xf numFmtId="165" fontId="36" fillId="0" borderId="0" xfId="0" applyNumberFormat="1" applyFont="1" applyBorder="1" applyAlignment="1">
      <alignment horizontal="center"/>
    </xf>
    <xf numFmtId="165" fontId="19" fillId="0" borderId="0" xfId="0" applyNumberFormat="1" applyFont="1" applyAlignment="1"/>
    <xf numFmtId="3" fontId="58" fillId="0" borderId="0" xfId="0" applyNumberFormat="1" applyFont="1" applyAlignment="1">
      <alignment horizontal="left"/>
    </xf>
    <xf numFmtId="3" fontId="16" fillId="0" borderId="5" xfId="0" applyNumberFormat="1" applyFont="1" applyBorder="1" applyAlignment="1"/>
    <xf numFmtId="3" fontId="11" fillId="29" borderId="16" xfId="0" applyNumberFormat="1" applyFont="1" applyFill="1" applyBorder="1" applyAlignment="1"/>
    <xf numFmtId="3" fontId="18" fillId="0" borderId="35" xfId="0" applyNumberFormat="1" applyFont="1" applyFill="1" applyBorder="1" applyAlignment="1"/>
    <xf numFmtId="3" fontId="18" fillId="0" borderId="0" xfId="0" applyNumberFormat="1" applyFont="1" applyFill="1" applyBorder="1" applyAlignment="1"/>
    <xf numFmtId="3" fontId="11" fillId="0" borderId="0" xfId="0" applyNumberFormat="1" applyFont="1" applyFill="1" applyBorder="1" applyAlignment="1"/>
    <xf numFmtId="0" fontId="0" fillId="0" borderId="36" xfId="0" applyBorder="1"/>
    <xf numFmtId="0" fontId="0" fillId="0" borderId="35" xfId="0" applyBorder="1"/>
    <xf numFmtId="0" fontId="11" fillId="0" borderId="35" xfId="0" quotePrefix="1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0" fillId="0" borderId="34" xfId="0" applyBorder="1"/>
    <xf numFmtId="0" fontId="36" fillId="0" borderId="32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0" fillId="0" borderId="33" xfId="0" applyBorder="1"/>
    <xf numFmtId="37" fontId="0" fillId="0" borderId="0" xfId="0" applyNumberFormat="1" applyBorder="1"/>
    <xf numFmtId="169" fontId="0" fillId="0" borderId="0" xfId="0" applyNumberFormat="1" applyBorder="1"/>
    <xf numFmtId="169" fontId="0" fillId="0" borderId="33" xfId="0" applyNumberFormat="1" applyBorder="1"/>
    <xf numFmtId="0" fontId="0" fillId="0" borderId="32" xfId="0" applyBorder="1"/>
    <xf numFmtId="0" fontId="36" fillId="0" borderId="33" xfId="0" applyNumberFormat="1" applyFont="1" applyBorder="1" applyAlignment="1"/>
    <xf numFmtId="0" fontId="36" fillId="0" borderId="37" xfId="0" applyNumberFormat="1" applyFont="1" applyBorder="1" applyAlignment="1">
      <alignment horizontal="center"/>
    </xf>
    <xf numFmtId="37" fontId="0" fillId="0" borderId="6" xfId="0" applyNumberFormat="1" applyBorder="1"/>
    <xf numFmtId="0" fontId="0" fillId="0" borderId="6" xfId="0" applyBorder="1"/>
    <xf numFmtId="165" fontId="0" fillId="0" borderId="6" xfId="0" applyNumberFormat="1" applyBorder="1"/>
    <xf numFmtId="169" fontId="0" fillId="0" borderId="6" xfId="0" applyNumberFormat="1" applyBorder="1"/>
    <xf numFmtId="165" fontId="0" fillId="0" borderId="38" xfId="0" applyNumberFormat="1" applyBorder="1"/>
    <xf numFmtId="165" fontId="18" fillId="0" borderId="0" xfId="0" applyNumberFormat="1" applyFont="1" applyBorder="1" applyAlignment="1"/>
    <xf numFmtId="169" fontId="0" fillId="0" borderId="38" xfId="0" applyNumberFormat="1" applyBorder="1"/>
    <xf numFmtId="3" fontId="16" fillId="0" borderId="0" xfId="0" applyNumberFormat="1" applyFont="1" applyBorder="1" applyAlignment="1"/>
    <xf numFmtId="0" fontId="19" fillId="0" borderId="0" xfId="0" applyNumberFormat="1" applyFont="1" applyAlignment="1">
      <alignment horizontal="center"/>
    </xf>
    <xf numFmtId="179" fontId="17" fillId="0" borderId="0" xfId="0" applyNumberFormat="1" applyFont="1" applyAlignment="1"/>
    <xf numFmtId="3" fontId="18" fillId="0" borderId="36" xfId="0" applyNumberFormat="1" applyFont="1" applyBorder="1" applyAlignment="1"/>
    <xf numFmtId="165" fontId="18" fillId="0" borderId="36" xfId="0" applyNumberFormat="1" applyFont="1" applyBorder="1" applyAlignment="1"/>
    <xf numFmtId="165" fontId="18" fillId="0" borderId="33" xfId="0" applyNumberFormat="1" applyFont="1" applyBorder="1" applyAlignment="1"/>
    <xf numFmtId="3" fontId="18" fillId="0" borderId="39" xfId="0" applyNumberFormat="1" applyFont="1" applyBorder="1" applyAlignment="1"/>
    <xf numFmtId="3" fontId="11" fillId="0" borderId="40" xfId="0" applyNumberFormat="1" applyFont="1" applyBorder="1" applyAlignment="1"/>
    <xf numFmtId="165" fontId="18" fillId="0" borderId="39" xfId="0" applyNumberFormat="1" applyFont="1" applyBorder="1" applyAlignment="1"/>
    <xf numFmtId="165" fontId="11" fillId="0" borderId="40" xfId="0" applyNumberFormat="1" applyFont="1" applyBorder="1" applyAlignment="1"/>
    <xf numFmtId="0" fontId="16" fillId="0" borderId="32" xfId="0" applyNumberFormat="1" applyFont="1" applyBorder="1" applyAlignment="1">
      <alignment horizontal="center"/>
    </xf>
    <xf numFmtId="0" fontId="11" fillId="0" borderId="33" xfId="0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179" fontId="11" fillId="0" borderId="0" xfId="0" applyNumberFormat="1" applyFont="1" applyAlignment="1"/>
    <xf numFmtId="10" fontId="11" fillId="0" borderId="0" xfId="0" applyNumberFormat="1" applyFont="1" applyAlignment="1"/>
    <xf numFmtId="3" fontId="11" fillId="0" borderId="32" xfId="0" applyNumberFormat="1" applyFont="1" applyBorder="1" applyAlignment="1"/>
    <xf numFmtId="165" fontId="11" fillId="0" borderId="0" xfId="0" applyNumberFormat="1" applyFont="1" applyAlignment="1"/>
    <xf numFmtId="3" fontId="11" fillId="0" borderId="0" xfId="0" applyNumberFormat="1" applyFont="1" applyAlignment="1"/>
    <xf numFmtId="165" fontId="11" fillId="0" borderId="32" xfId="0" applyNumberFormat="1" applyFont="1" applyBorder="1" applyAlignment="1"/>
    <xf numFmtId="190" fontId="36" fillId="0" borderId="0" xfId="0" applyNumberFormat="1" applyFont="1" applyAlignment="1"/>
    <xf numFmtId="165" fontId="11" fillId="0" borderId="17" xfId="0" applyNumberFormat="1" applyFont="1" applyBorder="1" applyAlignment="1"/>
    <xf numFmtId="0" fontId="11" fillId="0" borderId="16" xfId="0" applyNumberFormat="1" applyFont="1" applyBorder="1" applyAlignment="1"/>
    <xf numFmtId="0" fontId="11" fillId="0" borderId="0" xfId="0" applyNumberFormat="1" applyFont="1" applyBorder="1" applyAlignment="1"/>
    <xf numFmtId="3" fontId="18" fillId="0" borderId="35" xfId="0" applyNumberFormat="1" applyFont="1" applyBorder="1" applyAlignment="1"/>
    <xf numFmtId="3" fontId="18" fillId="0" borderId="38" xfId="0" applyNumberFormat="1" applyFont="1" applyBorder="1" applyAlignment="1"/>
    <xf numFmtId="0" fontId="60" fillId="0" borderId="0" xfId="0" applyNumberFormat="1" applyFont="1" applyAlignment="1">
      <alignment horizontal="left"/>
    </xf>
    <xf numFmtId="0" fontId="36" fillId="0" borderId="0" xfId="0" quotePrefix="1" applyNumberFormat="1" applyFont="1" applyAlignment="1">
      <alignment horizontal="left"/>
    </xf>
    <xf numFmtId="165" fontId="18" fillId="0" borderId="0" xfId="0" applyNumberFormat="1" applyFont="1" applyBorder="1" applyAlignment="1">
      <alignment horizontal="center"/>
    </xf>
    <xf numFmtId="170" fontId="18" fillId="0" borderId="0" xfId="0" applyNumberFormat="1" applyFont="1" applyAlignment="1">
      <alignment horizontal="center"/>
    </xf>
    <xf numFmtId="164" fontId="36" fillId="0" borderId="0" xfId="0" applyNumberFormat="1" applyFont="1" applyAlignment="1"/>
    <xf numFmtId="7" fontId="11" fillId="0" borderId="0" xfId="0" applyNumberFormat="1" applyFont="1" applyAlignment="1"/>
    <xf numFmtId="165" fontId="18" fillId="0" borderId="5" xfId="0" applyNumberFormat="1" applyFont="1" applyBorder="1" applyAlignment="1"/>
    <xf numFmtId="165" fontId="16" fillId="0" borderId="41" xfId="0" applyNumberFormat="1" applyFont="1" applyBorder="1" applyAlignment="1"/>
    <xf numFmtId="165" fontId="36" fillId="0" borderId="42" xfId="0" applyNumberFormat="1" applyFont="1" applyBorder="1" applyAlignment="1"/>
    <xf numFmtId="165" fontId="16" fillId="0" borderId="40" xfId="0" applyNumberFormat="1" applyFont="1" applyBorder="1" applyAlignment="1"/>
    <xf numFmtId="3" fontId="11" fillId="29" borderId="17" xfId="0" applyNumberFormat="1" applyFont="1" applyFill="1" applyBorder="1" applyAlignment="1"/>
    <xf numFmtId="3" fontId="18" fillId="0" borderId="14" xfId="0" applyNumberFormat="1" applyFont="1" applyFill="1" applyBorder="1" applyAlignment="1"/>
    <xf numFmtId="3" fontId="11" fillId="0" borderId="17" xfId="0" applyNumberFormat="1" applyFont="1" applyBorder="1" applyAlignment="1"/>
    <xf numFmtId="165" fontId="18" fillId="0" borderId="43" xfId="0" applyNumberFormat="1" applyFont="1" applyBorder="1" applyAlignment="1"/>
    <xf numFmtId="179" fontId="36" fillId="0" borderId="0" xfId="0" applyNumberFormat="1" applyFont="1" applyFill="1" applyBorder="1" applyAlignment="1"/>
    <xf numFmtId="3" fontId="18" fillId="0" borderId="44" xfId="0" applyNumberFormat="1" applyFont="1" applyFill="1" applyBorder="1" applyAlignment="1"/>
    <xf numFmtId="165" fontId="18" fillId="0" borderId="45" xfId="0" applyNumberFormat="1" applyFont="1" applyBorder="1" applyAlignment="1"/>
    <xf numFmtId="3" fontId="16" fillId="0" borderId="41" xfId="0" applyNumberFormat="1" applyFont="1" applyBorder="1" applyAlignment="1"/>
    <xf numFmtId="3" fontId="36" fillId="0" borderId="42" xfId="0" applyNumberFormat="1" applyFont="1" applyBorder="1" applyAlignment="1"/>
    <xf numFmtId="3" fontId="11" fillId="0" borderId="46" xfId="0" applyNumberFormat="1" applyFont="1" applyBorder="1" applyAlignment="1"/>
    <xf numFmtId="165" fontId="11" fillId="0" borderId="46" xfId="0" applyNumberFormat="1" applyFont="1" applyBorder="1" applyAlignment="1"/>
    <xf numFmtId="0" fontId="57" fillId="0" borderId="0" xfId="0" applyNumberFormat="1" applyFont="1" applyAlignment="1">
      <alignment horizontal="center"/>
    </xf>
    <xf numFmtId="3" fontId="16" fillId="0" borderId="45" xfId="0" applyNumberFormat="1" applyFont="1" applyBorder="1" applyAlignment="1"/>
    <xf numFmtId="165" fontId="16" fillId="0" borderId="45" xfId="0" applyNumberFormat="1" applyFont="1" applyBorder="1" applyAlignment="1"/>
    <xf numFmtId="0" fontId="11" fillId="0" borderId="16" xfId="0" applyNumberFormat="1" applyFont="1" applyBorder="1" applyAlignment="1">
      <alignment horizontal="center"/>
    </xf>
    <xf numFmtId="165" fontId="18" fillId="0" borderId="19" xfId="0" applyNumberFormat="1" applyFont="1" applyBorder="1" applyAlignment="1"/>
    <xf numFmtId="3" fontId="11" fillId="0" borderId="19" xfId="0" applyNumberFormat="1" applyFont="1" applyBorder="1" applyAlignment="1"/>
    <xf numFmtId="165" fontId="18" fillId="0" borderId="47" xfId="0" applyNumberFormat="1" applyFont="1" applyBorder="1" applyAlignment="1"/>
    <xf numFmtId="165" fontId="11" fillId="0" borderId="19" xfId="0" applyNumberFormat="1" applyFont="1" applyBorder="1" applyAlignment="1"/>
    <xf numFmtId="0" fontId="11" fillId="0" borderId="0" xfId="0" applyNumberFormat="1" applyFont="1" applyAlignment="1">
      <alignment horizontal="centerContinuous"/>
    </xf>
    <xf numFmtId="0" fontId="36" fillId="0" borderId="27" xfId="0" applyNumberFormat="1" applyFont="1" applyBorder="1" applyAlignment="1"/>
    <xf numFmtId="3" fontId="16" fillId="0" borderId="25" xfId="0" applyNumberFormat="1" applyFont="1" applyBorder="1" applyAlignment="1"/>
    <xf numFmtId="3" fontId="36" fillId="0" borderId="27" xfId="0" applyNumberFormat="1" applyFont="1" applyBorder="1" applyAlignment="1"/>
    <xf numFmtId="165" fontId="16" fillId="0" borderId="25" xfId="0" applyNumberFormat="1" applyFont="1" applyBorder="1" applyAlignment="1"/>
    <xf numFmtId="165" fontId="36" fillId="0" borderId="27" xfId="0" applyNumberFormat="1" applyFont="1" applyBorder="1" applyAlignment="1"/>
    <xf numFmtId="171" fontId="36" fillId="0" borderId="0" xfId="0" applyNumberFormat="1" applyFont="1" applyAlignment="1"/>
    <xf numFmtId="3" fontId="36" fillId="0" borderId="26" xfId="0" applyNumberFormat="1" applyFont="1" applyBorder="1" applyAlignment="1"/>
    <xf numFmtId="165" fontId="36" fillId="0" borderId="26" xfId="0" applyNumberFormat="1" applyFont="1" applyBorder="1" applyAlignment="1"/>
    <xf numFmtId="3" fontId="36" fillId="0" borderId="25" xfId="0" applyNumberFormat="1" applyFont="1" applyBorder="1" applyAlignment="1"/>
    <xf numFmtId="165" fontId="36" fillId="0" borderId="25" xfId="0" applyNumberFormat="1" applyFont="1" applyBorder="1" applyAlignment="1"/>
    <xf numFmtId="3" fontId="16" fillId="29" borderId="25" xfId="0" applyNumberFormat="1" applyFont="1" applyFill="1" applyBorder="1" applyAlignment="1"/>
    <xf numFmtId="171" fontId="36" fillId="29" borderId="0" xfId="0" applyNumberFormat="1" applyFont="1" applyFill="1" applyAlignment="1"/>
    <xf numFmtId="3" fontId="11" fillId="0" borderId="26" xfId="0" applyNumberFormat="1" applyFont="1" applyBorder="1" applyAlignment="1"/>
    <xf numFmtId="165" fontId="11" fillId="0" borderId="26" xfId="0" applyNumberFormat="1" applyFont="1" applyBorder="1" applyAlignment="1"/>
    <xf numFmtId="3" fontId="61" fillId="29" borderId="25" xfId="0" applyNumberFormat="1" applyFont="1" applyFill="1" applyBorder="1" applyAlignment="1"/>
    <xf numFmtId="3" fontId="25" fillId="29" borderId="48" xfId="0" applyNumberFormat="1" applyFont="1" applyFill="1" applyBorder="1" applyAlignment="1"/>
    <xf numFmtId="165" fontId="11" fillId="0" borderId="48" xfId="0" applyNumberFormat="1" applyFont="1" applyBorder="1" applyAlignment="1"/>
    <xf numFmtId="0" fontId="62" fillId="0" borderId="0" xfId="0" applyNumberFormat="1" applyFont="1" applyAlignment="1">
      <alignment horizontal="center"/>
    </xf>
    <xf numFmtId="179" fontId="62" fillId="0" borderId="0" xfId="0" applyNumberFormat="1" applyFont="1" applyAlignment="1"/>
    <xf numFmtId="10" fontId="62" fillId="0" borderId="0" xfId="0" applyNumberFormat="1" applyFont="1" applyAlignment="1"/>
    <xf numFmtId="3" fontId="62" fillId="29" borderId="48" xfId="0" applyNumberFormat="1" applyFont="1" applyFill="1" applyBorder="1" applyAlignment="1"/>
    <xf numFmtId="3" fontId="62" fillId="0" borderId="0" xfId="0" applyNumberFormat="1" applyFont="1" applyAlignment="1"/>
    <xf numFmtId="165" fontId="62" fillId="0" borderId="0" xfId="0" applyNumberFormat="1" applyFont="1" applyAlignment="1"/>
    <xf numFmtId="165" fontId="62" fillId="0" borderId="48" xfId="0" applyNumberFormat="1" applyFont="1" applyBorder="1" applyAlignment="1"/>
    <xf numFmtId="171" fontId="18" fillId="29" borderId="0" xfId="0" applyNumberFormat="1" applyFont="1" applyFill="1" applyAlignment="1"/>
    <xf numFmtId="3" fontId="62" fillId="29" borderId="17" xfId="0" applyNumberFormat="1" applyFont="1" applyFill="1" applyBorder="1" applyAlignment="1"/>
    <xf numFmtId="3" fontId="62" fillId="0" borderId="26" xfId="0" applyNumberFormat="1" applyFont="1" applyBorder="1" applyAlignment="1"/>
    <xf numFmtId="165" fontId="62" fillId="0" borderId="17" xfId="0" applyNumberFormat="1" applyFont="1" applyBorder="1" applyAlignment="1"/>
    <xf numFmtId="3" fontId="61" fillId="29" borderId="48" xfId="0" applyNumberFormat="1" applyFont="1" applyFill="1" applyBorder="1" applyAlignment="1"/>
    <xf numFmtId="165" fontId="16" fillId="0" borderId="49" xfId="0" applyNumberFormat="1" applyFont="1" applyBorder="1" applyAlignment="1"/>
    <xf numFmtId="3" fontId="11" fillId="29" borderId="40" xfId="0" applyNumberFormat="1" applyFont="1" applyFill="1" applyBorder="1" applyAlignment="1"/>
    <xf numFmtId="3" fontId="16" fillId="0" borderId="27" xfId="0" applyNumberFormat="1" applyFont="1" applyBorder="1" applyAlignment="1"/>
    <xf numFmtId="3" fontId="61" fillId="0" borderId="25" xfId="0" applyNumberFormat="1" applyFont="1" applyBorder="1" applyAlignment="1"/>
    <xf numFmtId="3" fontId="58" fillId="0" borderId="25" xfId="0" applyNumberFormat="1" applyFont="1" applyBorder="1" applyAlignment="1"/>
    <xf numFmtId="3" fontId="58" fillId="0" borderId="27" xfId="0" applyNumberFormat="1" applyFont="1" applyBorder="1" applyAlignment="1"/>
    <xf numFmtId="3" fontId="25" fillId="0" borderId="48" xfId="0" applyNumberFormat="1" applyFont="1" applyBorder="1" applyAlignment="1"/>
    <xf numFmtId="3" fontId="61" fillId="0" borderId="48" xfId="0" applyNumberFormat="1" applyFont="1" applyBorder="1" applyAlignment="1"/>
    <xf numFmtId="3" fontId="16" fillId="0" borderId="48" xfId="0" applyNumberFormat="1" applyFont="1" applyBorder="1" applyAlignment="1"/>
    <xf numFmtId="165" fontId="16" fillId="0" borderId="48" xfId="0" applyNumberFormat="1" applyFont="1" applyBorder="1" applyAlignment="1"/>
    <xf numFmtId="3" fontId="16" fillId="29" borderId="48" xfId="0" applyNumberFormat="1" applyFont="1" applyFill="1" applyBorder="1" applyAlignment="1"/>
    <xf numFmtId="3" fontId="11" fillId="0" borderId="48" xfId="0" applyNumberFormat="1" applyFont="1" applyBorder="1" applyAlignment="1"/>
    <xf numFmtId="3" fontId="11" fillId="0" borderId="20" xfId="0" applyNumberFormat="1" applyFont="1" applyBorder="1" applyAlignment="1"/>
    <xf numFmtId="165" fontId="18" fillId="0" borderId="26" xfId="0" applyNumberFormat="1" applyFont="1" applyBorder="1" applyAlignment="1"/>
    <xf numFmtId="165" fontId="18" fillId="0" borderId="50" xfId="0" applyNumberFormat="1" applyFont="1" applyBorder="1" applyAlignment="1"/>
    <xf numFmtId="165" fontId="18" fillId="0" borderId="51" xfId="0" applyNumberFormat="1" applyFont="1" applyBorder="1" applyAlignment="1"/>
    <xf numFmtId="165" fontId="18" fillId="0" borderId="28" xfId="0" applyNumberFormat="1" applyFont="1" applyBorder="1" applyAlignment="1"/>
    <xf numFmtId="3" fontId="11" fillId="0" borderId="17" xfId="0" applyNumberFormat="1" applyFont="1" applyFill="1" applyBorder="1" applyAlignment="1"/>
    <xf numFmtId="3" fontId="11" fillId="0" borderId="19" xfId="0" applyNumberFormat="1" applyFont="1" applyFill="1" applyBorder="1" applyAlignment="1"/>
    <xf numFmtId="3" fontId="18" fillId="0" borderId="22" xfId="0" applyNumberFormat="1" applyFont="1" applyFill="1" applyBorder="1" applyAlignment="1"/>
    <xf numFmtId="3" fontId="11" fillId="0" borderId="20" xfId="0" applyNumberFormat="1" applyFont="1" applyFill="1" applyBorder="1" applyAlignment="1"/>
    <xf numFmtId="3" fontId="18" fillId="0" borderId="18" xfId="0" applyNumberFormat="1" applyFont="1" applyFill="1" applyBorder="1" applyAlignment="1"/>
    <xf numFmtId="165" fontId="18" fillId="0" borderId="52" xfId="0" applyNumberFormat="1" applyFont="1" applyBorder="1" applyAlignment="1"/>
    <xf numFmtId="165" fontId="16" fillId="0" borderId="53" xfId="0" applyNumberFormat="1" applyFont="1" applyBorder="1" applyAlignment="1"/>
    <xf numFmtId="0" fontId="45" fillId="0" borderId="0" xfId="0" quotePrefix="1" applyFont="1" applyAlignment="1">
      <alignment horizontal="left"/>
    </xf>
    <xf numFmtId="3" fontId="18" fillId="0" borderId="6" xfId="0" applyNumberFormat="1" applyFont="1" applyBorder="1" applyAlignment="1"/>
    <xf numFmtId="165" fontId="18" fillId="0" borderId="6" xfId="0" applyNumberFormat="1" applyFont="1" applyBorder="1" applyAlignment="1"/>
    <xf numFmtId="165" fontId="11" fillId="0" borderId="35" xfId="0" applyNumberFormat="1" applyFont="1" applyBorder="1" applyAlignment="1"/>
    <xf numFmtId="165" fontId="18" fillId="0" borderId="38" xfId="0" applyNumberFormat="1" applyFont="1" applyBorder="1" applyAlignment="1"/>
    <xf numFmtId="3" fontId="11" fillId="0" borderId="35" xfId="0" applyNumberFormat="1" applyFont="1" applyBorder="1" applyAlignment="1"/>
    <xf numFmtId="3" fontId="11" fillId="0" borderId="5" xfId="0" applyNumberFormat="1" applyFont="1" applyBorder="1" applyAlignment="1"/>
    <xf numFmtId="165" fontId="11" fillId="0" borderId="5" xfId="0" applyNumberFormat="1" applyFont="1" applyBorder="1" applyAlignment="1"/>
    <xf numFmtId="0" fontId="0" fillId="30" borderId="0" xfId="0" applyFill="1"/>
    <xf numFmtId="3" fontId="11" fillId="30" borderId="0" xfId="0" applyNumberFormat="1" applyFont="1" applyFill="1" applyBorder="1" applyAlignment="1"/>
    <xf numFmtId="165" fontId="11" fillId="30" borderId="0" xfId="0" applyNumberFormat="1" applyFont="1" applyFill="1" applyBorder="1" applyAlignment="1"/>
    <xf numFmtId="0" fontId="36" fillId="30" borderId="0" xfId="0" applyNumberFormat="1" applyFont="1" applyFill="1" applyAlignment="1"/>
    <xf numFmtId="3" fontId="18" fillId="30" borderId="0" xfId="0" applyNumberFormat="1" applyFont="1" applyFill="1" applyBorder="1" applyAlignment="1"/>
    <xf numFmtId="165" fontId="18" fillId="30" borderId="0" xfId="0" applyNumberFormat="1" applyFont="1" applyFill="1" applyBorder="1" applyAlignment="1"/>
    <xf numFmtId="188" fontId="0" fillId="0" borderId="0" xfId="0" applyNumberFormat="1"/>
    <xf numFmtId="0" fontId="0" fillId="0" borderId="0" xfId="0" applyNumberFormat="1"/>
    <xf numFmtId="179" fontId="11" fillId="0" borderId="16" xfId="0" applyNumberFormat="1" applyFont="1" applyBorder="1" applyAlignment="1"/>
    <xf numFmtId="0" fontId="36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>
      <alignment horizontal="center"/>
    </xf>
    <xf numFmtId="179" fontId="36" fillId="0" borderId="0" xfId="0" applyNumberFormat="1" applyFont="1" applyBorder="1" applyAlignment="1"/>
    <xf numFmtId="10" fontId="36" fillId="0" borderId="0" xfId="0" applyNumberFormat="1" applyFont="1" applyBorder="1" applyAlignment="1"/>
    <xf numFmtId="37" fontId="0" fillId="0" borderId="0" xfId="0" applyNumberFormat="1"/>
    <xf numFmtId="165" fontId="0" fillId="0" borderId="0" xfId="0" applyNumberFormat="1"/>
    <xf numFmtId="169" fontId="0" fillId="0" borderId="0" xfId="0" applyNumberFormat="1"/>
    <xf numFmtId="0" fontId="36" fillId="29" borderId="0" xfId="0" applyNumberFormat="1" applyFont="1" applyFill="1" applyAlignment="1"/>
    <xf numFmtId="176" fontId="0" fillId="0" borderId="0" xfId="0" applyNumberFormat="1"/>
    <xf numFmtId="8" fontId="0" fillId="0" borderId="0" xfId="0" applyNumberFormat="1"/>
    <xf numFmtId="0" fontId="18" fillId="0" borderId="0" xfId="0" applyFont="1"/>
    <xf numFmtId="10" fontId="0" fillId="0" borderId="0" xfId="0" applyNumberFormat="1"/>
    <xf numFmtId="7" fontId="11" fillId="0" borderId="0" xfId="0" applyNumberFormat="1" applyFont="1"/>
    <xf numFmtId="3" fontId="18" fillId="0" borderId="32" xfId="0" applyNumberFormat="1" applyFont="1" applyBorder="1" applyAlignment="1">
      <alignment horizontal="center"/>
    </xf>
    <xf numFmtId="3" fontId="0" fillId="0" borderId="0" xfId="0" applyNumberFormat="1" applyAlignment="1">
      <alignment horizontal="right"/>
    </xf>
    <xf numFmtId="3" fontId="36" fillId="0" borderId="0" xfId="0" applyNumberFormat="1" applyFont="1" applyAlignment="1">
      <alignment horizontal="center"/>
    </xf>
    <xf numFmtId="0" fontId="63" fillId="0" borderId="0" xfId="0" applyNumberFormat="1" applyFont="1" applyAlignment="1">
      <alignment horizontal="centerContinuous"/>
    </xf>
    <xf numFmtId="0" fontId="63" fillId="0" borderId="0" xfId="0" applyFont="1" applyAlignment="1">
      <alignment horizontal="centerContinuous"/>
    </xf>
    <xf numFmtId="0" fontId="56" fillId="0" borderId="0" xfId="0" applyNumberFormat="1" applyFont="1" applyAlignment="1">
      <alignment horizontal="centerContinuous"/>
    </xf>
    <xf numFmtId="0" fontId="36" fillId="0" borderId="0" xfId="0" applyNumberFormat="1" applyFont="1" applyAlignment="1">
      <alignment horizontal="right"/>
    </xf>
    <xf numFmtId="0" fontId="36" fillId="0" borderId="0" xfId="0" applyNumberFormat="1" applyFont="1" applyFill="1" applyBorder="1" applyAlignment="1">
      <alignment horizontal="right"/>
    </xf>
    <xf numFmtId="0" fontId="11" fillId="0" borderId="1" xfId="0" quotePrefix="1" applyFont="1" applyBorder="1" applyAlignment="1">
      <alignment horizontal="centerContinuous"/>
    </xf>
    <xf numFmtId="0" fontId="0" fillId="0" borderId="22" xfId="0" applyBorder="1" applyAlignment="1">
      <alignment horizontal="centerContinuous"/>
    </xf>
    <xf numFmtId="0" fontId="11" fillId="0" borderId="0" xfId="0" applyFont="1" applyAlignment="1">
      <alignment horizontal="center"/>
    </xf>
    <xf numFmtId="0" fontId="11" fillId="29" borderId="19" xfId="0" applyFont="1" applyFill="1" applyBorder="1" applyAlignment="1">
      <alignment horizontal="center"/>
    </xf>
    <xf numFmtId="0" fontId="11" fillId="0" borderId="1" xfId="0" applyFont="1" applyBorder="1" applyAlignment="1">
      <alignment horizontal="centerContinuous"/>
    </xf>
    <xf numFmtId="0" fontId="11" fillId="0" borderId="22" xfId="0" applyFont="1" applyBorder="1" applyAlignment="1">
      <alignment horizontal="centerContinuous"/>
    </xf>
    <xf numFmtId="0" fontId="11" fillId="0" borderId="0" xfId="0" applyFont="1" applyBorder="1" applyAlignment="1">
      <alignment horizontal="centerContinuous"/>
    </xf>
    <xf numFmtId="0" fontId="11" fillId="29" borderId="1" xfId="0" applyFont="1" applyFill="1" applyBorder="1" applyAlignment="1">
      <alignment horizontal="centerContinuous"/>
    </xf>
    <xf numFmtId="0" fontId="11" fillId="29" borderId="18" xfId="0" applyFont="1" applyFill="1" applyBorder="1" applyAlignment="1">
      <alignment horizontal="centerContinuous"/>
    </xf>
    <xf numFmtId="0" fontId="11" fillId="29" borderId="20" xfId="0" applyFont="1" applyFill="1" applyBorder="1" applyAlignment="1">
      <alignment horizontal="center"/>
    </xf>
    <xf numFmtId="0" fontId="11" fillId="29" borderId="17" xfId="0" applyFont="1" applyFill="1" applyBorder="1" applyAlignment="1">
      <alignment horizontal="centerContinuous"/>
    </xf>
    <xf numFmtId="0" fontId="57" fillId="0" borderId="0" xfId="0" applyFont="1" applyBorder="1" applyAlignment="1">
      <alignment horizontal="centerContinuous"/>
    </xf>
    <xf numFmtId="0" fontId="57" fillId="0" borderId="0" xfId="0" applyFont="1" applyAlignment="1">
      <alignment horizontal="centerContinuous"/>
    </xf>
    <xf numFmtId="7" fontId="18" fillId="0" borderId="0" xfId="0" applyNumberFormat="1" applyFont="1" applyFill="1" applyBorder="1"/>
    <xf numFmtId="0" fontId="64" fillId="0" borderId="0" xfId="0" applyFont="1" applyFill="1" applyAlignment="1">
      <alignment horizontal="center"/>
    </xf>
    <xf numFmtId="0" fontId="64" fillId="0" borderId="0" xfId="0" applyFont="1" applyFill="1"/>
    <xf numFmtId="37" fontId="64" fillId="0" borderId="0" xfId="0" applyNumberFormat="1" applyFont="1" applyFill="1" applyAlignment="1">
      <alignment horizontal="center"/>
    </xf>
    <xf numFmtId="37" fontId="64" fillId="0" borderId="0" xfId="0" applyNumberFormat="1" applyFont="1" applyFill="1"/>
    <xf numFmtId="39" fontId="64" fillId="0" borderId="0" xfId="0" applyNumberFormat="1" applyFont="1" applyFill="1"/>
    <xf numFmtId="37" fontId="18" fillId="0" borderId="0" xfId="0" applyNumberFormat="1" applyFont="1" applyFill="1"/>
    <xf numFmtId="3" fontId="0" fillId="0" borderId="0" xfId="0" applyNumberFormat="1"/>
    <xf numFmtId="4" fontId="18" fillId="0" borderId="0" xfId="0" applyNumberFormat="1" applyFont="1" applyFill="1"/>
    <xf numFmtId="174" fontId="18" fillId="0" borderId="0" xfId="0" applyNumberFormat="1" applyFont="1" applyFill="1"/>
    <xf numFmtId="4" fontId="11" fillId="0" borderId="0" xfId="0" applyNumberFormat="1" applyFont="1" applyFill="1"/>
    <xf numFmtId="0" fontId="18" fillId="0" borderId="0" xfId="0" applyFont="1" applyFill="1"/>
    <xf numFmtId="0" fontId="0" fillId="0" borderId="0" xfId="0" applyAlignment="1">
      <alignment horizontal="left"/>
    </xf>
    <xf numFmtId="10" fontId="18" fillId="0" borderId="0" xfId="0" applyNumberFormat="1" applyFont="1" applyFill="1"/>
    <xf numFmtId="37" fontId="18" fillId="0" borderId="0" xfId="0" applyNumberFormat="1" applyFont="1" applyFill="1" applyAlignment="1">
      <alignment horizontal="center"/>
    </xf>
    <xf numFmtId="39" fontId="18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7" fontId="18" fillId="0" borderId="0" xfId="0" applyNumberFormat="1" applyFont="1" applyFill="1"/>
    <xf numFmtId="0" fontId="65" fillId="0" borderId="0" xfId="0" applyFont="1" applyFill="1" applyAlignment="1">
      <alignment horizontal="center"/>
    </xf>
    <xf numFmtId="0" fontId="65" fillId="0" borderId="0" xfId="0" applyNumberFormat="1" applyFont="1" applyFill="1" applyBorder="1" applyAlignment="1">
      <alignment horizontal="left"/>
    </xf>
    <xf numFmtId="37" fontId="65" fillId="0" borderId="0" xfId="0" applyNumberFormat="1" applyFont="1" applyFill="1"/>
    <xf numFmtId="39" fontId="65" fillId="0" borderId="0" xfId="0" applyNumberFormat="1" applyFont="1" applyFill="1"/>
    <xf numFmtId="0" fontId="65" fillId="0" borderId="0" xfId="0" applyNumberFormat="1" applyFont="1" applyFill="1" applyAlignment="1"/>
    <xf numFmtId="0" fontId="18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>
      <alignment horizontal="left"/>
    </xf>
    <xf numFmtId="39" fontId="18" fillId="0" borderId="0" xfId="0" applyNumberFormat="1" applyFont="1" applyFill="1"/>
    <xf numFmtId="3" fontId="18" fillId="0" borderId="0" xfId="0" applyNumberFormat="1" applyFont="1" applyFill="1"/>
    <xf numFmtId="0" fontId="18" fillId="0" borderId="0" xfId="0" quotePrefix="1" applyNumberFormat="1" applyFont="1" applyFill="1" applyAlignment="1">
      <alignment horizontal="left"/>
    </xf>
    <xf numFmtId="0" fontId="36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0" xfId="0" applyNumberFormat="1" applyFont="1" applyFill="1" applyBorder="1" applyAlignment="1">
      <alignment horizontal="center"/>
    </xf>
    <xf numFmtId="0" fontId="18" fillId="0" borderId="0" xfId="0" quotePrefix="1" applyFont="1" applyFill="1" applyAlignment="1">
      <alignment horizontal="left"/>
    </xf>
    <xf numFmtId="0" fontId="0" fillId="29" borderId="0" xfId="0" applyFill="1"/>
    <xf numFmtId="0" fontId="18" fillId="0" borderId="0" xfId="0" applyFont="1" applyFill="1" applyAlignment="1">
      <alignment horizontal="left"/>
    </xf>
    <xf numFmtId="0" fontId="64" fillId="0" borderId="0" xfId="0" applyNumberFormat="1" applyFont="1" applyFill="1" applyBorder="1" applyAlignment="1">
      <alignment horizontal="center"/>
    </xf>
    <xf numFmtId="7" fontId="32" fillId="0" borderId="0" xfId="0" applyNumberFormat="1" applyFont="1" applyFill="1"/>
    <xf numFmtId="0" fontId="66" fillId="0" borderId="0" xfId="0" applyNumberFormat="1" applyFont="1" applyFill="1" applyBorder="1" applyAlignment="1">
      <alignment horizontal="center"/>
    </xf>
    <xf numFmtId="174" fontId="11" fillId="0" borderId="0" xfId="0" applyNumberFormat="1" applyFont="1" applyFill="1" applyBorder="1"/>
    <xf numFmtId="175" fontId="11" fillId="0" borderId="0" xfId="0" applyNumberFormat="1" applyFont="1" applyFill="1" applyBorder="1"/>
    <xf numFmtId="0" fontId="36" fillId="0" borderId="0" xfId="0" applyNumberFormat="1" applyFont="1" applyFill="1" applyAlignment="1">
      <alignment horizontal="center"/>
    </xf>
    <xf numFmtId="0" fontId="11" fillId="0" borderId="0" xfId="0" applyNumberFormat="1" applyFont="1" applyFill="1" applyAlignment="1">
      <alignment horizontal="center"/>
    </xf>
    <xf numFmtId="179" fontId="36" fillId="0" borderId="0" xfId="0" applyNumberFormat="1" applyFont="1" applyFill="1" applyAlignment="1"/>
    <xf numFmtId="10" fontId="36" fillId="0" borderId="0" xfId="0" applyNumberFormat="1" applyFont="1" applyFill="1" applyAlignment="1"/>
    <xf numFmtId="3" fontId="11" fillId="0" borderId="16" xfId="0" applyNumberFormat="1" applyFont="1" applyFill="1" applyBorder="1" applyAlignment="1"/>
    <xf numFmtId="3" fontId="18" fillId="0" borderId="32" xfId="0" applyNumberFormat="1" applyFont="1" applyFill="1" applyBorder="1" applyAlignment="1"/>
    <xf numFmtId="165" fontId="36" fillId="0" borderId="0" xfId="0" applyNumberFormat="1" applyFont="1" applyFill="1" applyAlignment="1"/>
    <xf numFmtId="3" fontId="36" fillId="0" borderId="0" xfId="0" applyNumberFormat="1" applyFont="1" applyFill="1" applyAlignment="1"/>
    <xf numFmtId="165" fontId="11" fillId="0" borderId="16" xfId="0" applyNumberFormat="1" applyFont="1" applyFill="1" applyBorder="1" applyAlignment="1"/>
    <xf numFmtId="165" fontId="18" fillId="0" borderId="32" xfId="0" applyNumberFormat="1" applyFont="1" applyFill="1" applyBorder="1" applyAlignment="1"/>
    <xf numFmtId="188" fontId="0" fillId="0" borderId="0" xfId="0" applyNumberFormat="1" applyFill="1"/>
    <xf numFmtId="0" fontId="0" fillId="0" borderId="0" xfId="0" applyNumberFormat="1" applyFill="1"/>
    <xf numFmtId="0" fontId="0" fillId="0" borderId="0" xfId="0" applyFill="1"/>
    <xf numFmtId="0" fontId="57" fillId="0" borderId="0" xfId="0" applyNumberFormat="1" applyFont="1" applyFill="1" applyAlignment="1">
      <alignment horizontal="center"/>
    </xf>
    <xf numFmtId="3" fontId="18" fillId="0" borderId="34" xfId="0" applyNumberFormat="1" applyFont="1" applyFill="1" applyBorder="1" applyAlignment="1"/>
    <xf numFmtId="165" fontId="18" fillId="0" borderId="34" xfId="0" applyNumberFormat="1" applyFont="1" applyFill="1" applyBorder="1" applyAlignment="1"/>
    <xf numFmtId="165" fontId="11" fillId="0" borderId="0" xfId="0" applyNumberFormat="1" applyFont="1" applyFill="1" applyBorder="1" applyAlignment="1"/>
    <xf numFmtId="188" fontId="0" fillId="0" borderId="0" xfId="0" applyNumberFormat="1" applyFill="1" applyBorder="1"/>
    <xf numFmtId="3" fontId="18" fillId="0" borderId="33" xfId="0" applyNumberFormat="1" applyFont="1" applyFill="1" applyBorder="1" applyAlignment="1"/>
    <xf numFmtId="165" fontId="18" fillId="0" borderId="33" xfId="0" applyNumberFormat="1" applyFont="1" applyFill="1" applyBorder="1" applyAlignment="1"/>
    <xf numFmtId="165" fontId="18" fillId="0" borderId="36" xfId="0" applyNumberFormat="1" applyFont="1" applyFill="1" applyBorder="1" applyAlignment="1"/>
    <xf numFmtId="165" fontId="18" fillId="0" borderId="0" xfId="0" applyNumberFormat="1" applyFont="1" applyFill="1" applyBorder="1" applyAlignment="1"/>
    <xf numFmtId="3" fontId="18" fillId="0" borderId="6" xfId="0" applyNumberFormat="1" applyFont="1" applyFill="1" applyBorder="1" applyAlignment="1"/>
    <xf numFmtId="165" fontId="18" fillId="0" borderId="6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22" fillId="0" borderId="0" xfId="0" applyNumberFormat="1" applyFont="1" applyFill="1" applyAlignment="1">
      <alignment horizontal="center"/>
    </xf>
    <xf numFmtId="3" fontId="18" fillId="0" borderId="36" xfId="0" applyNumberFormat="1" applyFont="1" applyFill="1" applyBorder="1" applyAlignment="1"/>
    <xf numFmtId="165" fontId="36" fillId="30" borderId="0" xfId="0" applyNumberFormat="1" applyFont="1" applyFill="1" applyBorder="1" applyAlignment="1"/>
    <xf numFmtId="3" fontId="36" fillId="30" borderId="0" xfId="0" applyNumberFormat="1" applyFont="1" applyFill="1" applyBorder="1" applyAlignment="1"/>
    <xf numFmtId="0" fontId="11" fillId="0" borderId="0" xfId="75" applyFont="1"/>
    <xf numFmtId="0" fontId="4" fillId="0" borderId="23" xfId="75" applyBorder="1"/>
    <xf numFmtId="0" fontId="28" fillId="0" borderId="44" xfId="75" applyFont="1" applyBorder="1" applyAlignment="1">
      <alignment horizontal="center"/>
    </xf>
    <xf numFmtId="0" fontId="4" fillId="0" borderId="44" xfId="75" applyBorder="1"/>
    <xf numFmtId="0" fontId="4" fillId="0" borderId="54" xfId="75" applyBorder="1"/>
    <xf numFmtId="0" fontId="4" fillId="0" borderId="4" xfId="75" applyBorder="1"/>
    <xf numFmtId="0" fontId="28" fillId="0" borderId="0" xfId="75" applyFont="1" applyBorder="1" applyAlignment="1">
      <alignment horizontal="center"/>
    </xf>
    <xf numFmtId="0" fontId="4" fillId="0" borderId="14" xfId="75" applyBorder="1"/>
    <xf numFmtId="0" fontId="35" fillId="0" borderId="4" xfId="75" applyFont="1" applyBorder="1"/>
    <xf numFmtId="3" fontId="37" fillId="0" borderId="4" xfId="79" applyNumberFormat="1" applyFont="1" applyBorder="1" applyAlignment="1"/>
    <xf numFmtId="3" fontId="37" fillId="0" borderId="4" xfId="81" applyNumberFormat="1" applyFont="1" applyBorder="1" applyAlignment="1"/>
    <xf numFmtId="174" fontId="4" fillId="0" borderId="0" xfId="75" applyNumberFormat="1" applyBorder="1"/>
    <xf numFmtId="3" fontId="37" fillId="0" borderId="4" xfId="81" applyNumberFormat="1" applyFont="1" applyFill="1" applyBorder="1" applyAlignment="1"/>
    <xf numFmtId="184" fontId="4" fillId="0" borderId="0" xfId="75" applyNumberFormat="1" applyBorder="1"/>
    <xf numFmtId="0" fontId="4" fillId="0" borderId="4" xfId="75" quotePrefix="1" applyFont="1" applyBorder="1"/>
    <xf numFmtId="10" fontId="28" fillId="29" borderId="0" xfId="75" applyNumberFormat="1" applyFont="1" applyFill="1" applyBorder="1"/>
    <xf numFmtId="0" fontId="4" fillId="0" borderId="4" xfId="75" applyFont="1" applyBorder="1"/>
    <xf numFmtId="181" fontId="28" fillId="29" borderId="0" xfId="75" applyNumberFormat="1" applyFont="1" applyFill="1" applyBorder="1"/>
    <xf numFmtId="0" fontId="4" fillId="0" borderId="55" xfId="75" applyBorder="1"/>
    <xf numFmtId="0" fontId="35" fillId="0" borderId="4" xfId="75" applyFont="1" applyBorder="1" applyAlignment="1">
      <alignment horizontal="center"/>
    </xf>
    <xf numFmtId="0" fontId="4" fillId="0" borderId="4" xfId="75" quotePrefix="1" applyBorder="1"/>
    <xf numFmtId="0" fontId="67" fillId="0" borderId="4" xfId="75" quotePrefix="1" applyFont="1" applyBorder="1"/>
    <xf numFmtId="174" fontId="67" fillId="0" borderId="17" xfId="75" applyNumberFormat="1" applyFont="1" applyBorder="1"/>
    <xf numFmtId="174" fontId="68" fillId="0" borderId="0" xfId="75" applyNumberFormat="1" applyFont="1" applyBorder="1"/>
    <xf numFmtId="174" fontId="13" fillId="0" borderId="0" xfId="75" applyNumberFormat="1" applyFont="1" applyBorder="1"/>
    <xf numFmtId="174" fontId="4" fillId="0" borderId="0" xfId="75" applyNumberFormat="1" applyFont="1" applyBorder="1"/>
    <xf numFmtId="173" fontId="28" fillId="0" borderId="0" xfId="75" applyNumberFormat="1" applyFont="1" applyBorder="1"/>
    <xf numFmtId="10" fontId="28" fillId="0" borderId="0" xfId="75" applyNumberFormat="1" applyFont="1" applyBorder="1"/>
    <xf numFmtId="174" fontId="28" fillId="0" borderId="17" xfId="75" applyNumberFormat="1" applyFont="1" applyBorder="1"/>
    <xf numFmtId="181" fontId="37" fillId="30" borderId="0" xfId="81" applyNumberFormat="1" applyFont="1" applyFill="1" applyBorder="1" applyAlignment="1"/>
    <xf numFmtId="174" fontId="37" fillId="30" borderId="0" xfId="79" applyNumberFormat="1" applyFont="1" applyFill="1" applyBorder="1" applyAlignment="1"/>
    <xf numFmtId="174" fontId="37" fillId="30" borderId="0" xfId="81" applyNumberFormat="1" applyFont="1" applyFill="1" applyBorder="1" applyAlignment="1"/>
    <xf numFmtId="174" fontId="67" fillId="30" borderId="17" xfId="75" applyNumberFormat="1" applyFont="1" applyFill="1" applyBorder="1"/>
    <xf numFmtId="174" fontId="68" fillId="30" borderId="0" xfId="75" applyNumberFormat="1" applyFont="1" applyFill="1" applyBorder="1"/>
    <xf numFmtId="181" fontId="4" fillId="30" borderId="0" xfId="75" applyNumberFormat="1" applyFill="1" applyBorder="1"/>
    <xf numFmtId="0" fontId="1" fillId="0" borderId="17" xfId="0" applyFont="1" applyFill="1" applyBorder="1" applyAlignment="1">
      <alignment horizontal="center" wrapText="1"/>
    </xf>
    <xf numFmtId="0" fontId="4" fillId="0" borderId="0" xfId="0" applyFont="1" applyFill="1" applyBorder="1"/>
    <xf numFmtId="180" fontId="4" fillId="0" borderId="0" xfId="0" applyNumberFormat="1" applyFont="1" applyFill="1" applyAlignment="1"/>
    <xf numFmtId="0" fontId="4" fillId="0" borderId="0" xfId="0" applyFont="1" applyFill="1"/>
    <xf numFmtId="180" fontId="4" fillId="0" borderId="0" xfId="0" applyNumberFormat="1" applyFont="1" applyFill="1"/>
    <xf numFmtId="0" fontId="0" fillId="31" borderId="0" xfId="0" applyFill="1"/>
    <xf numFmtId="0" fontId="18" fillId="31" borderId="0" xfId="0" applyFont="1" applyFill="1"/>
    <xf numFmtId="165" fontId="45" fillId="0" borderId="0" xfId="0" applyNumberFormat="1" applyFont="1" applyAlignment="1"/>
    <xf numFmtId="165" fontId="45" fillId="0" borderId="16" xfId="0" applyNumberFormat="1" applyFont="1" applyBorder="1" applyAlignment="1"/>
    <xf numFmtId="0" fontId="0" fillId="0" borderId="0" xfId="0" applyNumberFormat="1" applyFont="1" applyFill="1" applyAlignment="1"/>
    <xf numFmtId="0" fontId="0" fillId="0" borderId="0" xfId="0" applyNumberFormat="1" applyFont="1" applyFill="1"/>
    <xf numFmtId="0" fontId="16" fillId="0" borderId="0" xfId="0" applyNumberFormat="1" applyFont="1" applyFill="1" applyAlignment="1"/>
    <xf numFmtId="0" fontId="16" fillId="0" borderId="25" xfId="0" applyNumberFormat="1" applyFont="1" applyFill="1" applyBorder="1" applyAlignment="1">
      <alignment horizontal="center"/>
    </xf>
    <xf numFmtId="0" fontId="0" fillId="0" borderId="26" xfId="0" applyNumberFormat="1" applyFont="1" applyFill="1" applyBorder="1"/>
    <xf numFmtId="0" fontId="0" fillId="0" borderId="0" xfId="0" applyNumberFormat="1" applyFont="1" applyFill="1" applyAlignment="1">
      <alignment horizontal="center"/>
    </xf>
    <xf numFmtId="3" fontId="0" fillId="0" borderId="0" xfId="0" applyNumberFormat="1" applyFont="1" applyFill="1"/>
    <xf numFmtId="3" fontId="0" fillId="0" borderId="0" xfId="0" applyNumberFormat="1" applyFont="1" applyFill="1" applyAlignment="1"/>
    <xf numFmtId="3" fontId="17" fillId="0" borderId="0" xfId="0" applyNumberFormat="1" applyFont="1" applyFill="1" applyAlignment="1"/>
    <xf numFmtId="3" fontId="17" fillId="0" borderId="0" xfId="0" applyNumberFormat="1" applyFont="1" applyFill="1"/>
    <xf numFmtId="3" fontId="0" fillId="0" borderId="0" xfId="0" applyNumberFormat="1" applyFont="1" applyFill="1" applyBorder="1"/>
    <xf numFmtId="3" fontId="0" fillId="0" borderId="0" xfId="0" applyNumberFormat="1" applyFont="1" applyFill="1" applyBorder="1" applyAlignment="1"/>
    <xf numFmtId="0" fontId="18" fillId="0" borderId="0" xfId="0" applyNumberFormat="1" applyFont="1" applyFill="1" applyAlignment="1"/>
    <xf numFmtId="3" fontId="18" fillId="0" borderId="0" xfId="0" applyNumberFormat="1" applyFont="1" applyFill="1" applyAlignment="1"/>
    <xf numFmtId="3" fontId="19" fillId="0" borderId="0" xfId="0" applyNumberFormat="1" applyFont="1" applyFill="1" applyAlignment="1"/>
    <xf numFmtId="3" fontId="19" fillId="0" borderId="0" xfId="0" applyNumberFormat="1" applyFont="1" applyFill="1"/>
    <xf numFmtId="3" fontId="21" fillId="0" borderId="0" xfId="0" applyNumberFormat="1" applyFont="1" applyFill="1" applyAlignment="1"/>
    <xf numFmtId="4" fontId="36" fillId="0" borderId="0" xfId="0" applyNumberFormat="1" applyFont="1" applyFill="1"/>
    <xf numFmtId="37" fontId="36" fillId="0" borderId="0" xfId="0" applyNumberFormat="1" applyFont="1" applyFill="1" applyAlignment="1"/>
    <xf numFmtId="37" fontId="18" fillId="0" borderId="0" xfId="0" applyNumberFormat="1" applyFont="1" applyFill="1" applyAlignment="1"/>
    <xf numFmtId="37" fontId="19" fillId="0" borderId="0" xfId="0" applyNumberFormat="1" applyFont="1" applyFill="1" applyAlignment="1"/>
    <xf numFmtId="44" fontId="36" fillId="0" borderId="0" xfId="37" applyFont="1" applyFill="1" applyAlignment="1"/>
    <xf numFmtId="179" fontId="36" fillId="0" borderId="0" xfId="82" applyNumberFormat="1" applyFont="1" applyBorder="1" applyAlignment="1"/>
    <xf numFmtId="3" fontId="18" fillId="30" borderId="0" xfId="82" applyNumberFormat="1" applyFont="1" applyFill="1" applyBorder="1" applyAlignment="1"/>
    <xf numFmtId="3" fontId="11" fillId="0" borderId="0" xfId="82" applyNumberFormat="1" applyFont="1" applyBorder="1" applyAlignment="1"/>
    <xf numFmtId="165" fontId="36" fillId="0" borderId="0" xfId="83" applyNumberFormat="1" applyFont="1" applyBorder="1" applyAlignment="1"/>
    <xf numFmtId="165" fontId="18" fillId="30" borderId="0" xfId="82" applyNumberFormat="1" applyFont="1" applyFill="1" applyBorder="1" applyAlignment="1"/>
    <xf numFmtId="165" fontId="11" fillId="0" borderId="0" xfId="82" applyNumberFormat="1" applyFont="1" applyBorder="1" applyAlignment="1"/>
    <xf numFmtId="0" fontId="36" fillId="0" borderId="0" xfId="82" applyNumberFormat="1" applyFont="1" applyFill="1" applyBorder="1" applyAlignment="1">
      <alignment horizontal="center"/>
    </xf>
    <xf numFmtId="0" fontId="11" fillId="0" borderId="0" xfId="82" applyNumberFormat="1" applyFont="1" applyFill="1" applyBorder="1" applyAlignment="1">
      <alignment horizontal="center"/>
    </xf>
    <xf numFmtId="10" fontId="36" fillId="0" borderId="0" xfId="82" applyNumberFormat="1" applyFont="1" applyFill="1" applyBorder="1" applyAlignment="1"/>
    <xf numFmtId="3" fontId="36" fillId="0" borderId="0" xfId="82" applyNumberFormat="1" applyFont="1" applyBorder="1" applyAlignment="1"/>
    <xf numFmtId="3" fontId="36" fillId="0" borderId="0" xfId="82" applyNumberFormat="1" applyFont="1" applyFill="1" applyBorder="1" applyAlignment="1"/>
    <xf numFmtId="169" fontId="36" fillId="0" borderId="0" xfId="83" applyNumberFormat="1" applyFont="1" applyFill="1" applyBorder="1" applyAlignment="1"/>
    <xf numFmtId="165" fontId="36" fillId="0" borderId="0" xfId="83" applyNumberFormat="1" applyFont="1" applyFill="1" applyBorder="1" applyAlignment="1"/>
    <xf numFmtId="0" fontId="36" fillId="0" borderId="0" xfId="82" applyNumberFormat="1" applyFont="1" applyFill="1" applyBorder="1" applyAlignment="1"/>
    <xf numFmtId="165" fontId="11" fillId="0" borderId="0" xfId="82" applyNumberFormat="1" applyFont="1" applyFill="1" applyBorder="1" applyAlignment="1"/>
    <xf numFmtId="179" fontId="36" fillId="0" borderId="0" xfId="82" applyNumberFormat="1" applyFont="1" applyFill="1" applyBorder="1" applyAlignment="1"/>
    <xf numFmtId="3" fontId="11" fillId="0" borderId="0" xfId="82" applyNumberFormat="1" applyFont="1" applyFill="1" applyBorder="1" applyAlignment="1"/>
    <xf numFmtId="165" fontId="36" fillId="0" borderId="0" xfId="82" applyNumberFormat="1" applyFont="1" applyFill="1" applyBorder="1" applyAlignment="1"/>
    <xf numFmtId="0" fontId="4" fillId="0" borderId="0" xfId="82" applyFill="1" applyBorder="1"/>
    <xf numFmtId="179" fontId="0" fillId="0" borderId="0" xfId="0" applyNumberFormat="1" applyBorder="1"/>
    <xf numFmtId="3" fontId="36" fillId="0" borderId="0" xfId="0" applyNumberFormat="1" applyFont="1" applyFill="1" applyBorder="1" applyAlignment="1"/>
    <xf numFmtId="165" fontId="11" fillId="30" borderId="0" xfId="0" applyNumberFormat="1" applyFont="1" applyFill="1" applyBorder="1"/>
    <xf numFmtId="165" fontId="11" fillId="30" borderId="0" xfId="82" applyNumberFormat="1" applyFont="1" applyFill="1" applyBorder="1" applyAlignment="1"/>
    <xf numFmtId="0" fontId="11" fillId="0" borderId="0" xfId="0" applyNumberFormat="1" applyFont="1" applyFill="1" applyBorder="1" applyAlignment="1">
      <alignment horizontal="center"/>
    </xf>
    <xf numFmtId="10" fontId="36" fillId="0" borderId="0" xfId="0" applyNumberFormat="1" applyFont="1" applyFill="1" applyBorder="1" applyAlignment="1"/>
    <xf numFmtId="165" fontId="36" fillId="0" borderId="0" xfId="0" applyNumberFormat="1" applyFont="1" applyFill="1" applyBorder="1" applyAlignment="1"/>
    <xf numFmtId="3" fontId="19" fillId="30" borderId="0" xfId="0" applyNumberFormat="1" applyFont="1" applyFill="1" applyBorder="1" applyAlignment="1"/>
    <xf numFmtId="3" fontId="45" fillId="30" borderId="0" xfId="0" applyNumberFormat="1" applyFont="1" applyFill="1" applyBorder="1" applyAlignment="1"/>
    <xf numFmtId="165" fontId="45" fillId="30" borderId="0" xfId="0" applyNumberFormat="1" applyFont="1" applyFill="1" applyBorder="1" applyAlignment="1"/>
    <xf numFmtId="0" fontId="36" fillId="0" borderId="0" xfId="83" applyNumberFormat="1" applyFont="1" applyFill="1" applyBorder="1" applyAlignment="1"/>
    <xf numFmtId="0" fontId="0" fillId="0" borderId="0" xfId="0" applyNumberFormat="1" applyFill="1" applyBorder="1"/>
    <xf numFmtId="169" fontId="0" fillId="0" borderId="0" xfId="0" applyNumberFormat="1" applyFill="1" applyBorder="1"/>
    <xf numFmtId="0" fontId="0" fillId="32" borderId="0" xfId="0" applyFill="1"/>
    <xf numFmtId="0" fontId="0" fillId="0" borderId="0" xfId="0" applyFill="1" applyAlignment="1">
      <alignment horizontal="centerContinuous"/>
    </xf>
    <xf numFmtId="0" fontId="63" fillId="0" borderId="0" xfId="0" applyNumberFormat="1" applyFont="1" applyFill="1" applyAlignment="1">
      <alignment horizontal="centerContinuous"/>
    </xf>
    <xf numFmtId="0" fontId="0" fillId="0" borderId="0" xfId="0" applyFill="1" applyBorder="1"/>
    <xf numFmtId="0" fontId="11" fillId="0" borderId="1" xfId="0" quotePrefix="1" applyFont="1" applyFill="1" applyBorder="1" applyAlignment="1">
      <alignment horizontal="centerContinuous"/>
    </xf>
    <xf numFmtId="0" fontId="0" fillId="0" borderId="22" xfId="0" applyFill="1" applyBorder="1" applyAlignment="1">
      <alignment horizontal="centerContinuous"/>
    </xf>
    <xf numFmtId="0" fontId="11" fillId="0" borderId="1" xfId="0" applyFont="1" applyFill="1" applyBorder="1" applyAlignment="1">
      <alignment horizontal="centerContinuous"/>
    </xf>
    <xf numFmtId="0" fontId="11" fillId="0" borderId="22" xfId="0" applyFont="1" applyFill="1" applyBorder="1" applyAlignment="1">
      <alignment horizontal="centerContinuous"/>
    </xf>
    <xf numFmtId="0" fontId="57" fillId="0" borderId="0" xfId="0" applyFont="1" applyFill="1" applyBorder="1" applyAlignment="1">
      <alignment horizontal="centerContinuous"/>
    </xf>
    <xf numFmtId="37" fontId="11" fillId="0" borderId="0" xfId="0" applyNumberFormat="1" applyFont="1" applyFill="1"/>
    <xf numFmtId="39" fontId="11" fillId="0" borderId="0" xfId="0" applyNumberFormat="1" applyFont="1" applyFill="1"/>
    <xf numFmtId="39" fontId="0" fillId="0" borderId="0" xfId="0" applyNumberFormat="1" applyFill="1"/>
    <xf numFmtId="43" fontId="11" fillId="0" borderId="0" xfId="34" applyFont="1" applyBorder="1" applyAlignment="1"/>
    <xf numFmtId="7" fontId="0" fillId="0" borderId="0" xfId="0" applyNumberFormat="1" applyFill="1"/>
    <xf numFmtId="0" fontId="11" fillId="0" borderId="0" xfId="0" applyFont="1" applyFill="1" applyAlignment="1">
      <alignment horizontal="center"/>
    </xf>
    <xf numFmtId="0" fontId="11" fillId="0" borderId="0" xfId="0" applyFont="1" applyFill="1"/>
    <xf numFmtId="174" fontId="11" fillId="0" borderId="0" xfId="0" applyNumberFormat="1" applyFont="1" applyFill="1"/>
    <xf numFmtId="37" fontId="11" fillId="0" borderId="0" xfId="0" applyNumberFormat="1" applyFont="1" applyFill="1" applyAlignment="1">
      <alignment horizontal="center"/>
    </xf>
    <xf numFmtId="39" fontId="11" fillId="0" borderId="0" xfId="0" applyNumberFormat="1" applyFont="1" applyFill="1" applyAlignment="1">
      <alignment horizontal="center"/>
    </xf>
    <xf numFmtId="7" fontId="11" fillId="0" borderId="0" xfId="0" applyNumberFormat="1" applyFont="1" applyFill="1"/>
    <xf numFmtId="10" fontId="11" fillId="0" borderId="0" xfId="0" applyNumberFormat="1" applyFont="1" applyFill="1"/>
    <xf numFmtId="0" fontId="18" fillId="0" borderId="0" xfId="0" applyFont="1" applyFill="1" applyBorder="1"/>
    <xf numFmtId="4" fontId="11" fillId="0" borderId="0" xfId="0" applyNumberFormat="1" applyFont="1" applyFill="1" applyBorder="1"/>
    <xf numFmtId="4" fontId="0" fillId="0" borderId="0" xfId="0" applyNumberFormat="1" applyFill="1"/>
    <xf numFmtId="0" fontId="0" fillId="0" borderId="0" xfId="0" applyFill="1" applyAlignment="1">
      <alignment horizontal="center"/>
    </xf>
    <xf numFmtId="10" fontId="0" fillId="0" borderId="0" xfId="0" applyNumberFormat="1" applyFill="1"/>
    <xf numFmtId="37" fontId="0" fillId="0" borderId="0" xfId="0" applyNumberFormat="1" applyFill="1"/>
    <xf numFmtId="174" fontId="0" fillId="0" borderId="0" xfId="0" applyNumberFormat="1" applyFill="1"/>
    <xf numFmtId="37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0" fontId="11" fillId="0" borderId="0" xfId="0" applyFont="1" applyFill="1" applyAlignment="1">
      <alignment horizontal="left"/>
    </xf>
    <xf numFmtId="7" fontId="0" fillId="0" borderId="0" xfId="0" applyNumberFormat="1" applyFill="1" applyBorder="1"/>
    <xf numFmtId="0" fontId="11" fillId="0" borderId="0" xfId="0" applyNumberFormat="1" applyFont="1" applyFill="1" applyAlignment="1">
      <alignment horizontal="left"/>
    </xf>
    <xf numFmtId="7" fontId="11" fillId="0" borderId="0" xfId="0" applyNumberFormat="1" applyFont="1" applyFill="1" applyBorder="1"/>
    <xf numFmtId="0" fontId="36" fillId="0" borderId="0" xfId="0" applyNumberFormat="1" applyFont="1" applyFill="1" applyAlignment="1">
      <alignment horizontal="left"/>
    </xf>
    <xf numFmtId="0" fontId="57" fillId="0" borderId="0" xfId="0" applyNumberFormat="1" applyFont="1" applyFill="1" applyAlignment="1">
      <alignment horizontal="left"/>
    </xf>
    <xf numFmtId="0" fontId="45" fillId="0" borderId="0" xfId="0" quotePrefix="1" applyFont="1" applyFill="1"/>
    <xf numFmtId="0" fontId="0" fillId="0" borderId="0" xfId="0" applyFill="1" applyBorder="1" applyAlignment="1">
      <alignment horizontal="center"/>
    </xf>
    <xf numFmtId="0" fontId="0" fillId="0" borderId="0" xfId="0" quotePrefix="1" applyFill="1" applyAlignment="1">
      <alignment horizontal="left"/>
    </xf>
    <xf numFmtId="0" fontId="36" fillId="0" borderId="0" xfId="0" quotePrefix="1" applyNumberFormat="1" applyFont="1" applyFill="1" applyAlignment="1">
      <alignment horizontal="left"/>
    </xf>
    <xf numFmtId="0" fontId="49" fillId="0" borderId="0" xfId="0" applyFont="1" applyFill="1" applyAlignment="1">
      <alignment horizontal="left"/>
    </xf>
    <xf numFmtId="0" fontId="49" fillId="0" borderId="0" xfId="0" applyFont="1" applyFill="1" applyAlignment="1">
      <alignment horizontal="center"/>
    </xf>
    <xf numFmtId="0" fontId="0" fillId="0" borderId="0" xfId="0" quotePrefix="1" applyFill="1"/>
    <xf numFmtId="0" fontId="64" fillId="0" borderId="0" xfId="0" applyFont="1" applyFill="1" applyAlignment="1">
      <alignment horizontal="left"/>
    </xf>
    <xf numFmtId="0" fontId="48" fillId="0" borderId="0" xfId="0" applyFont="1" applyFill="1" applyAlignment="1">
      <alignment horizontal="left"/>
    </xf>
    <xf numFmtId="0" fontId="45" fillId="0" borderId="0" xfId="0" applyFont="1" applyFill="1" applyAlignment="1">
      <alignment horizontal="left"/>
    </xf>
    <xf numFmtId="4" fontId="19" fillId="0" borderId="0" xfId="0" applyNumberFormat="1" applyFont="1" applyFill="1"/>
    <xf numFmtId="4" fontId="57" fillId="0" borderId="0" xfId="0" applyNumberFormat="1" applyFont="1" applyFill="1"/>
    <xf numFmtId="37" fontId="0" fillId="0" borderId="0" xfId="0" applyNumberFormat="1" applyFill="1" applyAlignment="1">
      <alignment horizontal="right"/>
    </xf>
    <xf numFmtId="37" fontId="11" fillId="0" borderId="0" xfId="0" applyNumberFormat="1" applyFont="1" applyFill="1" applyAlignment="1">
      <alignment horizontal="right"/>
    </xf>
    <xf numFmtId="0" fontId="66" fillId="0" borderId="0" xfId="0" applyNumberFormat="1" applyFont="1" applyFill="1" applyAlignment="1">
      <alignment horizontal="center"/>
    </xf>
    <xf numFmtId="37" fontId="66" fillId="0" borderId="0" xfId="0" applyNumberFormat="1" applyFont="1" applyFill="1" applyAlignment="1">
      <alignment horizontal="right"/>
    </xf>
    <xf numFmtId="39" fontId="66" fillId="0" borderId="0" xfId="0" applyNumberFormat="1" applyFont="1" applyFill="1"/>
    <xf numFmtId="0" fontId="64" fillId="0" borderId="0" xfId="0" applyNumberFormat="1" applyFont="1" applyFill="1" applyAlignment="1">
      <alignment horizontal="center"/>
    </xf>
    <xf numFmtId="37" fontId="64" fillId="0" borderId="0" xfId="0" applyNumberFormat="1" applyFont="1" applyFill="1" applyAlignment="1">
      <alignment horizontal="right"/>
    </xf>
    <xf numFmtId="0" fontId="49" fillId="0" borderId="0" xfId="0" applyNumberFormat="1" applyFont="1" applyFill="1" applyBorder="1" applyAlignment="1">
      <alignment horizontal="center"/>
    </xf>
    <xf numFmtId="0" fontId="49" fillId="0" borderId="0" xfId="0" applyNumberFormat="1" applyFont="1" applyFill="1" applyAlignment="1">
      <alignment horizontal="center"/>
    </xf>
    <xf numFmtId="37" fontId="49" fillId="0" borderId="0" xfId="0" applyNumberFormat="1" applyFont="1" applyFill="1" applyAlignment="1">
      <alignment horizontal="right"/>
    </xf>
    <xf numFmtId="39" fontId="49" fillId="0" borderId="0" xfId="0" applyNumberFormat="1" applyFont="1" applyFill="1"/>
    <xf numFmtId="37" fontId="11" fillId="0" borderId="0" xfId="0" applyNumberFormat="1" applyFont="1" applyFill="1" applyBorder="1"/>
    <xf numFmtId="5" fontId="11" fillId="0" borderId="16" xfId="0" applyNumberFormat="1" applyFont="1" applyFill="1" applyBorder="1"/>
    <xf numFmtId="174" fontId="11" fillId="0" borderId="16" xfId="0" applyNumberFormat="1" applyFont="1" applyFill="1" applyBorder="1"/>
    <xf numFmtId="0" fontId="11" fillId="0" borderId="0" xfId="0" applyFont="1" applyFill="1" applyBorder="1"/>
    <xf numFmtId="0" fontId="11" fillId="0" borderId="16" xfId="0" applyFont="1" applyFill="1" applyBorder="1" applyAlignment="1">
      <alignment horizontal="center"/>
    </xf>
    <xf numFmtId="3" fontId="11" fillId="0" borderId="0" xfId="0" applyNumberFormat="1" applyFont="1" applyFill="1" applyBorder="1"/>
    <xf numFmtId="175" fontId="11" fillId="0" borderId="16" xfId="0" applyNumberFormat="1" applyFont="1" applyFill="1" applyBorder="1"/>
    <xf numFmtId="0" fontId="11" fillId="0" borderId="55" xfId="0" applyFont="1" applyBorder="1" applyAlignment="1">
      <alignment horizontal="centerContinuous"/>
    </xf>
    <xf numFmtId="0" fontId="11" fillId="0" borderId="24" xfId="0" applyFont="1" applyBorder="1" applyAlignment="1">
      <alignment horizontal="centerContinuous"/>
    </xf>
    <xf numFmtId="0" fontId="57" fillId="0" borderId="0" xfId="0" applyFont="1" applyBorder="1" applyAlignment="1">
      <alignment horizontal="center"/>
    </xf>
    <xf numFmtId="176" fontId="11" fillId="0" borderId="0" xfId="0" applyNumberFormat="1" applyFont="1" applyFill="1" applyBorder="1" applyAlignment="1"/>
    <xf numFmtId="0" fontId="0" fillId="31" borderId="16" xfId="0" applyFill="1" applyBorder="1"/>
    <xf numFmtId="7" fontId="11" fillId="0" borderId="0" xfId="34" applyNumberFormat="1" applyFont="1" applyBorder="1" applyAlignment="1"/>
    <xf numFmtId="7" fontId="0" fillId="31" borderId="0" xfId="0" applyNumberFormat="1" applyFill="1"/>
    <xf numFmtId="174" fontId="28" fillId="30" borderId="0" xfId="75" applyNumberFormat="1" applyFont="1" applyFill="1" applyBorder="1"/>
    <xf numFmtId="174" fontId="37" fillId="30" borderId="0" xfId="75" applyNumberFormat="1" applyFont="1" applyFill="1" applyBorder="1"/>
    <xf numFmtId="169" fontId="5" fillId="0" borderId="19" xfId="76" applyNumberFormat="1" applyFill="1" applyBorder="1" applyAlignment="1" applyProtection="1"/>
    <xf numFmtId="3" fontId="36" fillId="0" borderId="0" xfId="0" applyNumberFormat="1" applyFont="1" applyFill="1"/>
    <xf numFmtId="0" fontId="11" fillId="0" borderId="21" xfId="0" applyFont="1" applyBorder="1" applyAlignment="1">
      <alignment horizontal="centerContinuous"/>
    </xf>
    <xf numFmtId="39" fontId="11" fillId="0" borderId="0" xfId="0" applyNumberFormat="1" applyFont="1" applyFill="1" applyBorder="1"/>
    <xf numFmtId="39" fontId="64" fillId="0" borderId="0" xfId="0" applyNumberFormat="1" applyFont="1" applyFill="1" applyBorder="1"/>
    <xf numFmtId="17" fontId="11" fillId="0" borderId="0" xfId="0" applyNumberFormat="1" applyFont="1" applyBorder="1" applyAlignment="1">
      <alignment horizontal="center"/>
    </xf>
    <xf numFmtId="3" fontId="0" fillId="0" borderId="0" xfId="0" applyNumberFormat="1" applyFill="1" applyBorder="1"/>
    <xf numFmtId="3" fontId="18" fillId="0" borderId="0" xfId="0" applyNumberFormat="1" applyFont="1" applyFill="1" applyBorder="1"/>
    <xf numFmtId="37" fontId="18" fillId="0" borderId="0" xfId="0" applyNumberFormat="1" applyFont="1" applyFill="1" applyBorder="1"/>
    <xf numFmtId="17" fontId="11" fillId="0" borderId="0" xfId="0" quotePrefix="1" applyNumberFormat="1" applyFont="1" applyFill="1" applyBorder="1" applyAlignment="1">
      <alignment horizontal="center"/>
    </xf>
    <xf numFmtId="0" fontId="4" fillId="0" borderId="0" xfId="80" applyFont="1" applyBorder="1"/>
    <xf numFmtId="0" fontId="4" fillId="0" borderId="0" xfId="80" applyBorder="1"/>
    <xf numFmtId="1" fontId="4" fillId="0" borderId="0" xfId="80" applyNumberFormat="1" applyBorder="1"/>
    <xf numFmtId="170" fontId="4" fillId="0" borderId="0" xfId="80" applyNumberFormat="1" applyBorder="1"/>
    <xf numFmtId="2" fontId="4" fillId="0" borderId="0" xfId="80" applyNumberFormat="1" applyBorder="1"/>
    <xf numFmtId="5" fontId="0" fillId="0" borderId="0" xfId="0" applyNumberFormat="1"/>
    <xf numFmtId="166" fontId="16" fillId="0" borderId="0" xfId="0" applyNumberFormat="1" applyFont="1" applyFill="1" applyAlignment="1"/>
    <xf numFmtId="0" fontId="11" fillId="0" borderId="0" xfId="0" applyNumberFormat="1" applyFont="1" applyFill="1" applyAlignment="1"/>
    <xf numFmtId="0" fontId="59" fillId="0" borderId="0" xfId="77" applyFont="1" applyFill="1" applyBorder="1"/>
    <xf numFmtId="0" fontId="37" fillId="0" borderId="0" xfId="0" applyNumberFormat="1" applyFont="1" applyAlignment="1"/>
    <xf numFmtId="0" fontId="37" fillId="0" borderId="0" xfId="0" applyNumberFormat="1" applyFont="1" applyAlignment="1">
      <alignment horizontal="center"/>
    </xf>
    <xf numFmtId="0" fontId="37" fillId="0" borderId="0" xfId="0" applyNumberFormat="1" applyFont="1" applyFill="1" applyAlignment="1">
      <alignment horizontal="center"/>
    </xf>
    <xf numFmtId="0" fontId="35" fillId="0" borderId="0" xfId="0" applyFont="1" applyAlignment="1">
      <alignment horizontal="left"/>
    </xf>
    <xf numFmtId="0" fontId="30" fillId="0" borderId="0" xfId="77" applyFont="1" applyBorder="1"/>
    <xf numFmtId="0" fontId="30" fillId="0" borderId="0" xfId="77" applyFont="1" applyFill="1" applyBorder="1"/>
    <xf numFmtId="0" fontId="28" fillId="0" borderId="0" xfId="0" applyNumberFormat="1" applyFont="1" applyAlignment="1"/>
    <xf numFmtId="2" fontId="4" fillId="0" borderId="0" xfId="0" applyNumberFormat="1" applyFont="1"/>
    <xf numFmtId="9" fontId="0" fillId="0" borderId="0" xfId="0" applyNumberFormat="1" applyFill="1"/>
    <xf numFmtId="0" fontId="0" fillId="0" borderId="0" xfId="0" applyNumberFormat="1" applyAlignment="1"/>
    <xf numFmtId="0" fontId="4" fillId="0" borderId="0" xfId="75" applyFill="1" applyAlignment="1">
      <alignment horizontal="center"/>
    </xf>
    <xf numFmtId="0" fontId="4" fillId="0" borderId="0" xfId="75" applyFill="1"/>
    <xf numFmtId="175" fontId="4" fillId="0" borderId="0" xfId="75" applyNumberFormat="1" applyFill="1" applyAlignment="1">
      <alignment horizontal="center"/>
    </xf>
    <xf numFmtId="5" fontId="11" fillId="0" borderId="0" xfId="0" applyNumberFormat="1" applyFont="1" applyBorder="1"/>
    <xf numFmtId="194" fontId="36" fillId="0" borderId="0" xfId="37" applyNumberFormat="1" applyFont="1" applyFill="1" applyAlignment="1"/>
    <xf numFmtId="0" fontId="1" fillId="0" borderId="0" xfId="0" applyFont="1" applyFill="1" applyBorder="1" applyAlignment="1">
      <alignment wrapText="1"/>
    </xf>
    <xf numFmtId="5" fontId="1" fillId="0" borderId="0" xfId="0" applyNumberFormat="1" applyFont="1" applyFill="1" applyBorder="1"/>
    <xf numFmtId="9" fontId="0" fillId="0" borderId="0" xfId="92" applyFont="1"/>
    <xf numFmtId="9" fontId="0" fillId="0" borderId="14" xfId="92" applyFont="1" applyBorder="1"/>
    <xf numFmtId="183" fontId="11" fillId="0" borderId="0" xfId="34" applyNumberFormat="1" applyFont="1" applyFill="1" applyBorder="1" applyAlignment="1"/>
    <xf numFmtId="183" fontId="4" fillId="0" borderId="0" xfId="34" applyNumberFormat="1" applyFont="1"/>
    <xf numFmtId="5" fontId="4" fillId="0" borderId="0" xfId="0" applyNumberFormat="1" applyFont="1" applyBorder="1"/>
    <xf numFmtId="10" fontId="1" fillId="0" borderId="0" xfId="92" applyNumberFormat="1" applyFont="1" applyFill="1" applyBorder="1"/>
    <xf numFmtId="0" fontId="36" fillId="0" borderId="36" xfId="0" applyNumberFormat="1" applyFont="1" applyFill="1" applyBorder="1" applyAlignment="1"/>
    <xf numFmtId="165" fontId="36" fillId="0" borderId="35" xfId="0" applyNumberFormat="1" applyFont="1" applyFill="1" applyBorder="1" applyAlignment="1"/>
    <xf numFmtId="3" fontId="36" fillId="0" borderId="35" xfId="0" applyNumberFormat="1" applyFont="1" applyFill="1" applyBorder="1"/>
    <xf numFmtId="0" fontId="36" fillId="0" borderId="32" xfId="0" applyNumberFormat="1" applyFont="1" applyFill="1" applyBorder="1" applyAlignment="1"/>
    <xf numFmtId="3" fontId="36" fillId="0" borderId="0" xfId="0" applyNumberFormat="1" applyFont="1" applyFill="1" applyBorder="1"/>
    <xf numFmtId="0" fontId="36" fillId="0" borderId="37" xfId="0" applyNumberFormat="1" applyFont="1" applyFill="1" applyBorder="1" applyAlignment="1"/>
    <xf numFmtId="165" fontId="36" fillId="0" borderId="6" xfId="0" applyNumberFormat="1" applyFont="1" applyFill="1" applyBorder="1" applyAlignment="1"/>
    <xf numFmtId="3" fontId="36" fillId="0" borderId="6" xfId="0" applyNumberFormat="1" applyFont="1" applyFill="1" applyBorder="1"/>
    <xf numFmtId="165" fontId="49" fillId="0" borderId="35" xfId="0" applyNumberFormat="1" applyFont="1" applyFill="1" applyBorder="1" applyAlignment="1">
      <alignment horizontal="right"/>
    </xf>
    <xf numFmtId="0" fontId="36" fillId="0" borderId="56" xfId="0" applyNumberFormat="1" applyFont="1" applyFill="1" applyBorder="1" applyAlignment="1"/>
    <xf numFmtId="165" fontId="49" fillId="0" borderId="5" xfId="0" applyNumberFormat="1" applyFont="1" applyFill="1" applyBorder="1" applyAlignment="1">
      <alignment horizontal="right"/>
    </xf>
    <xf numFmtId="165" fontId="36" fillId="0" borderId="5" xfId="0" applyNumberFormat="1" applyFont="1" applyFill="1" applyBorder="1" applyAlignment="1"/>
    <xf numFmtId="3" fontId="36" fillId="0" borderId="5" xfId="0" applyNumberFormat="1" applyFont="1" applyFill="1" applyBorder="1"/>
    <xf numFmtId="3" fontId="36" fillId="0" borderId="16" xfId="0" applyNumberFormat="1" applyFont="1" applyFill="1" applyBorder="1" applyAlignment="1"/>
    <xf numFmtId="173" fontId="18" fillId="0" borderId="0" xfId="0" applyNumberFormat="1" applyFont="1" applyFill="1" applyAlignment="1"/>
    <xf numFmtId="3" fontId="4" fillId="0" borderId="0" xfId="34" applyNumberFormat="1" applyFont="1" applyFill="1" applyAlignment="1">
      <alignment horizontal="center"/>
    </xf>
    <xf numFmtId="3" fontId="1" fillId="29" borderId="16" xfId="0" applyNumberFormat="1" applyFont="1" applyFill="1" applyBorder="1" applyAlignment="1">
      <alignment wrapText="1"/>
    </xf>
    <xf numFmtId="37" fontId="1" fillId="29" borderId="16" xfId="0" applyNumberFormat="1" applyFont="1" applyFill="1" applyBorder="1" applyAlignment="1">
      <alignment wrapText="1"/>
    </xf>
    <xf numFmtId="3" fontId="1" fillId="0" borderId="0" xfId="0" applyNumberFormat="1" applyFont="1" applyFill="1" applyBorder="1" applyAlignment="1">
      <alignment wrapText="1"/>
    </xf>
    <xf numFmtId="183" fontId="25" fillId="0" borderId="0" xfId="34" applyNumberFormat="1" applyFont="1" applyFill="1" applyBorder="1" applyAlignment="1" applyProtection="1">
      <alignment horizontal="right" wrapText="1"/>
      <protection locked="0"/>
    </xf>
    <xf numFmtId="0" fontId="0" fillId="0" borderId="0" xfId="0" applyNumberFormat="1" applyFill="1" applyAlignment="1"/>
    <xf numFmtId="183" fontId="1" fillId="29" borderId="16" xfId="34" applyNumberFormat="1" applyFont="1" applyFill="1" applyBorder="1"/>
    <xf numFmtId="5" fontId="0" fillId="33" borderId="0" xfId="0" applyNumberFormat="1" applyFill="1" applyBorder="1" applyAlignment="1">
      <alignment horizontal="center"/>
    </xf>
    <xf numFmtId="173" fontId="0" fillId="33" borderId="0" xfId="92" applyNumberFormat="1" applyFont="1" applyFill="1" applyAlignment="1">
      <alignment horizontal="center"/>
    </xf>
    <xf numFmtId="0" fontId="0" fillId="0" borderId="0" xfId="0" applyBorder="1" applyAlignment="1">
      <alignment horizontal="center"/>
    </xf>
    <xf numFmtId="192" fontId="0" fillId="0" borderId="0" xfId="34" applyNumberFormat="1" applyFont="1" applyAlignment="1">
      <alignment horizontal="center"/>
    </xf>
    <xf numFmtId="183" fontId="0" fillId="34" borderId="0" xfId="34" applyNumberFormat="1" applyFont="1" applyFill="1" applyAlignment="1">
      <alignment horizontal="center"/>
    </xf>
    <xf numFmtId="173" fontId="0" fillId="34" borderId="0" xfId="92" applyNumberFormat="1" applyFont="1" applyFill="1" applyAlignment="1">
      <alignment horizontal="center"/>
    </xf>
    <xf numFmtId="0" fontId="15" fillId="0" borderId="0" xfId="0" applyFont="1"/>
    <xf numFmtId="10" fontId="14" fillId="33" borderId="0" xfId="92" applyNumberFormat="1" applyFont="1" applyFill="1"/>
    <xf numFmtId="189" fontId="14" fillId="34" borderId="0" xfId="34" applyNumberFormat="1" applyFont="1" applyFill="1" applyBorder="1"/>
    <xf numFmtId="5" fontId="11" fillId="0" borderId="0" xfId="37" applyNumberFormat="1" applyFont="1" applyFill="1" applyBorder="1" applyAlignment="1"/>
    <xf numFmtId="0" fontId="16" fillId="0" borderId="4" xfId="0" applyNumberFormat="1" applyFont="1" applyFill="1" applyBorder="1" applyAlignment="1">
      <alignment horizontal="center"/>
    </xf>
    <xf numFmtId="0" fontId="44" fillId="0" borderId="4" xfId="0" applyNumberFormat="1" applyFont="1" applyFill="1" applyBorder="1" applyAlignment="1" applyProtection="1">
      <alignment horizontal="center" wrapText="1"/>
      <protection locked="0"/>
    </xf>
    <xf numFmtId="0" fontId="64" fillId="0" borderId="0" xfId="0" applyNumberFormat="1" applyFont="1" applyFill="1" applyBorder="1" applyAlignment="1">
      <alignment horizontal="center" wrapText="1"/>
    </xf>
    <xf numFmtId="0" fontId="57" fillId="0" borderId="0" xfId="0" applyFont="1" applyAlignment="1">
      <alignment horizontal="center"/>
    </xf>
    <xf numFmtId="0" fontId="36" fillId="32" borderId="0" xfId="0" applyNumberFormat="1" applyFont="1" applyFill="1" applyAlignment="1">
      <alignment horizontal="center"/>
    </xf>
    <xf numFmtId="179" fontId="36" fillId="32" borderId="0" xfId="0" applyNumberFormat="1" applyFont="1" applyFill="1" applyAlignment="1"/>
    <xf numFmtId="10" fontId="36" fillId="32" borderId="0" xfId="0" applyNumberFormat="1" applyFont="1" applyFill="1" applyAlignment="1"/>
    <xf numFmtId="3" fontId="36" fillId="32" borderId="0" xfId="0" applyNumberFormat="1" applyFont="1" applyFill="1" applyAlignment="1"/>
    <xf numFmtId="3" fontId="58" fillId="32" borderId="0" xfId="0" applyNumberFormat="1" applyFont="1" applyFill="1" applyAlignment="1"/>
    <xf numFmtId="165" fontId="36" fillId="32" borderId="0" xfId="0" applyNumberFormat="1" applyFont="1" applyFill="1" applyAlignment="1"/>
    <xf numFmtId="165" fontId="16" fillId="32" borderId="16" xfId="0" applyNumberFormat="1" applyFont="1" applyFill="1" applyBorder="1" applyAlignment="1"/>
    <xf numFmtId="39" fontId="30" fillId="0" borderId="0" xfId="76" applyNumberFormat="1" applyFont="1" applyFill="1" applyBorder="1" applyAlignment="1" applyProtection="1"/>
    <xf numFmtId="39" fontId="30" fillId="0" borderId="0" xfId="76" applyNumberFormat="1" applyFont="1" applyFill="1" applyBorder="1" applyAlignment="1" applyProtection="1">
      <alignment horizontal="centerContinuous"/>
    </xf>
    <xf numFmtId="39" fontId="52" fillId="0" borderId="17" xfId="76" applyNumberFormat="1" applyFont="1" applyBorder="1" applyAlignment="1">
      <alignment horizontal="right" vertical="center"/>
    </xf>
    <xf numFmtId="39" fontId="30" fillId="0" borderId="17" xfId="76" applyNumberFormat="1" applyFont="1" applyFill="1" applyBorder="1" applyAlignment="1" applyProtection="1"/>
    <xf numFmtId="183" fontId="36" fillId="0" borderId="35" xfId="34" applyNumberFormat="1" applyFont="1" applyFill="1" applyBorder="1"/>
    <xf numFmtId="0" fontId="37" fillId="0" borderId="24" xfId="75" quotePrefix="1" applyFont="1" applyBorder="1"/>
    <xf numFmtId="173" fontId="4" fillId="0" borderId="21" xfId="75" applyNumberFormat="1" applyBorder="1"/>
    <xf numFmtId="10" fontId="4" fillId="0" borderId="21" xfId="75" applyNumberFormat="1" applyBorder="1"/>
    <xf numFmtId="0" fontId="4" fillId="0" borderId="24" xfId="75" applyFont="1" applyBorder="1"/>
    <xf numFmtId="181" fontId="28" fillId="29" borderId="21" xfId="75" applyNumberFormat="1" applyFont="1" applyFill="1" applyBorder="1"/>
    <xf numFmtId="181" fontId="4" fillId="0" borderId="0" xfId="75" applyNumberFormat="1"/>
    <xf numFmtId="10" fontId="11" fillId="0" borderId="0" xfId="0" applyNumberFormat="1" applyFont="1" applyFill="1" applyBorder="1" applyAlignment="1"/>
    <xf numFmtId="0" fontId="36" fillId="0" borderId="0" xfId="0" applyNumberFormat="1" applyFont="1" applyFill="1" applyAlignment="1">
      <alignment horizontal="right"/>
    </xf>
    <xf numFmtId="173" fontId="36" fillId="0" borderId="0" xfId="0" applyNumberFormat="1" applyFont="1" applyFill="1" applyAlignment="1"/>
    <xf numFmtId="174" fontId="36" fillId="0" borderId="0" xfId="0" applyNumberFormat="1" applyFont="1" applyFill="1" applyAlignment="1"/>
    <xf numFmtId="37" fontId="36" fillId="0" borderId="0" xfId="0" applyNumberFormat="1" applyFont="1" applyFill="1"/>
    <xf numFmtId="183" fontId="36" fillId="0" borderId="0" xfId="34" applyNumberFormat="1" applyFont="1" applyFill="1" applyAlignment="1"/>
    <xf numFmtId="183" fontId="36" fillId="0" borderId="0" xfId="0" applyNumberFormat="1" applyFont="1" applyFill="1" applyAlignment="1"/>
    <xf numFmtId="44" fontId="0" fillId="0" borderId="0" xfId="37" applyFont="1" applyFill="1" applyBorder="1"/>
    <xf numFmtId="43" fontId="0" fillId="0" borderId="0" xfId="34" applyFont="1" applyFill="1" applyBorder="1"/>
    <xf numFmtId="44" fontId="0" fillId="0" borderId="4" xfId="37" applyFont="1" applyFill="1" applyBorder="1"/>
    <xf numFmtId="183" fontId="0" fillId="0" borderId="4" xfId="34" applyNumberFormat="1" applyFont="1" applyFill="1" applyBorder="1"/>
    <xf numFmtId="183" fontId="0" fillId="0" borderId="24" xfId="34" applyNumberFormat="1" applyFont="1" applyFill="1" applyBorder="1"/>
    <xf numFmtId="43" fontId="0" fillId="0" borderId="21" xfId="34" applyFont="1" applyFill="1" applyBorder="1"/>
    <xf numFmtId="183" fontId="11" fillId="0" borderId="0" xfId="0" applyNumberFormat="1" applyFont="1" applyBorder="1"/>
    <xf numFmtId="5" fontId="0" fillId="0" borderId="0" xfId="0" applyNumberFormat="1" applyFill="1"/>
    <xf numFmtId="183" fontId="0" fillId="0" borderId="0" xfId="0" applyNumberFormat="1"/>
    <xf numFmtId="5" fontId="11" fillId="0" borderId="0" xfId="0" applyNumberFormat="1" applyFont="1" applyFill="1" applyBorder="1"/>
    <xf numFmtId="5" fontId="0" fillId="0" borderId="0" xfId="0" applyNumberFormat="1" applyBorder="1"/>
    <xf numFmtId="0" fontId="11" fillId="0" borderId="23" xfId="0" applyFont="1" applyBorder="1" applyAlignment="1">
      <alignment wrapText="1"/>
    </xf>
    <xf numFmtId="5" fontId="11" fillId="0" borderId="44" xfId="0" applyNumberFormat="1" applyFont="1" applyBorder="1"/>
    <xf numFmtId="5" fontId="11" fillId="0" borderId="44" xfId="0" applyNumberFormat="1" applyFont="1" applyBorder="1" applyAlignment="1">
      <alignment horizontal="center" wrapText="1"/>
    </xf>
    <xf numFmtId="5" fontId="11" fillId="0" borderId="44" xfId="0" applyNumberFormat="1" applyFont="1" applyBorder="1" applyAlignment="1">
      <alignment horizontal="center"/>
    </xf>
    <xf numFmtId="5" fontId="11" fillId="0" borderId="54" xfId="0" applyNumberFormat="1" applyFont="1" applyBorder="1" applyAlignment="1">
      <alignment horizontal="center" wrapText="1"/>
    </xf>
    <xf numFmtId="0" fontId="11" fillId="0" borderId="4" xfId="0" applyFont="1" applyBorder="1" applyAlignment="1">
      <alignment wrapText="1"/>
    </xf>
    <xf numFmtId="0" fontId="0" fillId="0" borderId="14" xfId="0" applyBorder="1"/>
    <xf numFmtId="174" fontId="28" fillId="0" borderId="0" xfId="75" applyNumberFormat="1" applyFont="1" applyBorder="1"/>
    <xf numFmtId="181" fontId="28" fillId="30" borderId="0" xfId="75" applyNumberFormat="1" applyFont="1" applyFill="1" applyBorder="1"/>
    <xf numFmtId="0" fontId="37" fillId="0" borderId="0" xfId="75" applyFont="1" applyBorder="1"/>
    <xf numFmtId="174" fontId="4" fillId="0" borderId="0" xfId="75" applyNumberFormat="1"/>
    <xf numFmtId="3" fontId="102" fillId="0" borderId="0" xfId="34" applyNumberFormat="1" applyFont="1" applyFill="1" applyAlignment="1">
      <alignment horizontal="center"/>
    </xf>
    <xf numFmtId="198" fontId="11" fillId="29" borderId="16" xfId="0" applyNumberFormat="1" applyFont="1" applyFill="1" applyBorder="1" applyAlignment="1"/>
    <xf numFmtId="4" fontId="18" fillId="0" borderId="0" xfId="0" applyNumberFormat="1" applyFont="1" applyFill="1" applyAlignment="1"/>
    <xf numFmtId="10" fontId="4" fillId="0" borderId="0" xfId="92" applyNumberFormat="1" applyFont="1" applyFill="1" applyBorder="1"/>
    <xf numFmtId="174" fontId="28" fillId="35" borderId="17" xfId="75" applyNumberFormat="1" applyFont="1" applyFill="1" applyBorder="1"/>
    <xf numFmtId="174" fontId="67" fillId="35" borderId="17" xfId="75" applyNumberFormat="1" applyFont="1" applyFill="1" applyBorder="1"/>
    <xf numFmtId="0" fontId="0" fillId="36" borderId="0" xfId="0" applyFill="1"/>
    <xf numFmtId="165" fontId="11" fillId="0" borderId="0" xfId="0" applyNumberFormat="1" applyFont="1" applyFill="1" applyAlignment="1"/>
    <xf numFmtId="165" fontId="16" fillId="0" borderId="0" xfId="0" applyNumberFormat="1" applyFont="1" applyFill="1" applyAlignment="1"/>
    <xf numFmtId="0" fontId="14" fillId="0" borderId="0" xfId="0" applyNumberFormat="1" applyFont="1" applyFill="1" applyAlignment="1">
      <alignment horizontal="center"/>
    </xf>
    <xf numFmtId="0" fontId="36" fillId="0" borderId="0" xfId="0" applyNumberFormat="1" applyFont="1" applyFill="1" applyAlignment="1">
      <alignment horizontal="centerContinuous"/>
    </xf>
    <xf numFmtId="168" fontId="36" fillId="0" borderId="0" xfId="0" applyNumberFormat="1" applyFont="1" applyFill="1" applyAlignment="1"/>
    <xf numFmtId="175" fontId="36" fillId="0" borderId="0" xfId="0" applyNumberFormat="1" applyFont="1" applyFill="1" applyAlignment="1"/>
    <xf numFmtId="175" fontId="36" fillId="0" borderId="0" xfId="0" applyNumberFormat="1" applyFont="1" applyFill="1" applyBorder="1" applyAlignment="1"/>
    <xf numFmtId="9" fontId="36" fillId="0" borderId="0" xfId="92" applyFont="1" applyFill="1" applyAlignment="1"/>
    <xf numFmtId="189" fontId="36" fillId="0" borderId="0" xfId="0" applyNumberFormat="1" applyFont="1" applyFill="1" applyAlignment="1"/>
    <xf numFmtId="183" fontId="17" fillId="0" borderId="0" xfId="0" applyNumberFormat="1" applyFont="1" applyFill="1" applyAlignment="1"/>
    <xf numFmtId="183" fontId="74" fillId="0" borderId="0" xfId="0" applyNumberFormat="1" applyFont="1" applyFill="1" applyAlignment="1"/>
    <xf numFmtId="3" fontId="17" fillId="0" borderId="0" xfId="0" applyNumberFormat="1" applyFont="1" applyFill="1" applyBorder="1" applyAlignment="1"/>
    <xf numFmtId="169" fontId="59" fillId="0" borderId="0" xfId="77" applyNumberFormat="1" applyFont="1" applyFill="1" applyBorder="1"/>
    <xf numFmtId="169" fontId="36" fillId="0" borderId="0" xfId="0" applyNumberFormat="1" applyFont="1" applyFill="1" applyBorder="1" applyAlignment="1"/>
    <xf numFmtId="183" fontId="74" fillId="0" borderId="0" xfId="34" applyNumberFormat="1" applyFont="1" applyFill="1" applyAlignment="1"/>
    <xf numFmtId="43" fontId="36" fillId="0" borderId="0" xfId="0" applyNumberFormat="1" applyFont="1" applyFill="1" applyAlignment="1"/>
    <xf numFmtId="5" fontId="36" fillId="0" borderId="0" xfId="0" applyNumberFormat="1" applyFont="1" applyFill="1" applyAlignment="1"/>
    <xf numFmtId="192" fontId="11" fillId="0" borderId="0" xfId="34" applyNumberFormat="1" applyFont="1" applyFill="1" applyAlignment="1"/>
    <xf numFmtId="0" fontId="18" fillId="0" borderId="0" xfId="0" applyNumberFormat="1" applyFont="1" applyFill="1"/>
    <xf numFmtId="0" fontId="14" fillId="0" borderId="0" xfId="0" applyNumberFormat="1" applyFont="1" applyFill="1" applyAlignment="1">
      <alignment horizontal="right"/>
    </xf>
    <xf numFmtId="0" fontId="16" fillId="0" borderId="0" xfId="0" applyNumberFormat="1" applyFont="1" applyFill="1" applyAlignment="1">
      <alignment horizontal="centerContinuous"/>
    </xf>
    <xf numFmtId="0" fontId="27" fillId="0" borderId="19" xfId="76" applyNumberFormat="1" applyFont="1" applyFill="1" applyBorder="1" applyAlignment="1"/>
    <xf numFmtId="1" fontId="0" fillId="0" borderId="0" xfId="0" applyNumberFormat="1" applyFont="1" applyFill="1" applyAlignment="1"/>
    <xf numFmtId="1" fontId="17" fillId="0" borderId="0" xfId="0" applyNumberFormat="1" applyFont="1" applyFill="1" applyAlignment="1"/>
    <xf numFmtId="183" fontId="18" fillId="0" borderId="4" xfId="34" applyNumberFormat="1" applyFont="1" applyFill="1" applyBorder="1"/>
    <xf numFmtId="43" fontId="18" fillId="0" borderId="0" xfId="34" applyFont="1" applyFill="1" applyBorder="1"/>
    <xf numFmtId="0" fontId="28" fillId="0" borderId="0" xfId="75" applyFont="1" applyFill="1" applyAlignment="1">
      <alignment horizontal="center"/>
    </xf>
    <xf numFmtId="0" fontId="30" fillId="0" borderId="0" xfId="75" applyFont="1" applyFill="1" applyBorder="1" applyAlignment="1">
      <alignment horizontal="right"/>
    </xf>
    <xf numFmtId="173" fontId="4" fillId="0" borderId="0" xfId="92" applyNumberFormat="1" applyFont="1" applyFill="1"/>
    <xf numFmtId="10" fontId="4" fillId="0" borderId="0" xfId="92" applyNumberFormat="1" applyFont="1" applyFill="1"/>
    <xf numFmtId="182" fontId="30" fillId="0" borderId="0" xfId="92" applyNumberFormat="1" applyFont="1" applyFill="1" applyBorder="1"/>
    <xf numFmtId="178" fontId="29" fillId="0" borderId="0" xfId="75" applyNumberFormat="1" applyFont="1" applyFill="1" applyBorder="1"/>
    <xf numFmtId="179" fontId="29" fillId="0" borderId="0" xfId="75" applyNumberFormat="1" applyFont="1" applyFill="1" applyBorder="1"/>
    <xf numFmtId="178" fontId="29" fillId="0" borderId="0" xfId="75" applyNumberFormat="1" applyFont="1" applyFill="1" applyBorder="1" applyAlignment="1">
      <alignment horizontal="right"/>
    </xf>
    <xf numFmtId="10" fontId="30" fillId="0" borderId="0" xfId="92" applyNumberFormat="1" applyFont="1" applyFill="1" applyAlignment="1">
      <alignment horizontal="right"/>
    </xf>
    <xf numFmtId="178" fontId="4" fillId="0" borderId="0" xfId="75" applyNumberFormat="1" applyFont="1" applyFill="1" applyAlignment="1">
      <alignment horizontal="right"/>
    </xf>
    <xf numFmtId="10" fontId="4" fillId="0" borderId="0" xfId="92" applyNumberFormat="1" applyFont="1" applyFill="1" applyAlignment="1">
      <alignment horizontal="right"/>
    </xf>
    <xf numFmtId="10" fontId="4" fillId="0" borderId="0" xfId="75" applyNumberFormat="1" applyFont="1" applyFill="1" applyAlignment="1">
      <alignment horizontal="center"/>
    </xf>
    <xf numFmtId="0" fontId="28" fillId="0" borderId="57" xfId="75" applyFont="1" applyFill="1" applyBorder="1"/>
    <xf numFmtId="10" fontId="28" fillId="0" borderId="57" xfId="92" applyNumberFormat="1" applyFont="1" applyFill="1" applyBorder="1" applyAlignment="1">
      <alignment horizontal="center"/>
    </xf>
    <xf numFmtId="0" fontId="4" fillId="0" borderId="0" xfId="75" applyFont="1" applyFill="1" applyAlignment="1">
      <alignment horizontal="center"/>
    </xf>
    <xf numFmtId="10" fontId="4" fillId="0" borderId="0" xfId="75" applyNumberFormat="1" applyFont="1" applyFill="1" applyBorder="1"/>
    <xf numFmtId="0" fontId="4" fillId="0" borderId="0" xfId="75" applyFont="1" applyFill="1"/>
    <xf numFmtId="10" fontId="4" fillId="0" borderId="0" xfId="75" applyNumberFormat="1" applyFont="1" applyFill="1"/>
    <xf numFmtId="178" fontId="4" fillId="0" borderId="0" xfId="75" applyNumberFormat="1" applyFont="1" applyFill="1" applyAlignment="1">
      <alignment horizontal="center"/>
    </xf>
    <xf numFmtId="178" fontId="4" fillId="0" borderId="0" xfId="75" applyNumberFormat="1" applyFont="1" applyFill="1"/>
    <xf numFmtId="0" fontId="103" fillId="0" borderId="0" xfId="0" applyFont="1"/>
    <xf numFmtId="0" fontId="104" fillId="0" borderId="0" xfId="0" applyFont="1" applyAlignment="1">
      <alignment wrapText="1"/>
    </xf>
    <xf numFmtId="0" fontId="104" fillId="0" borderId="0" xfId="0" applyFont="1" applyAlignment="1">
      <alignment horizontal="right" wrapText="1"/>
    </xf>
    <xf numFmtId="0" fontId="104" fillId="0" borderId="4" xfId="0" applyFont="1" applyBorder="1" applyAlignment="1">
      <alignment horizontal="center" wrapText="1"/>
    </xf>
    <xf numFmtId="0" fontId="104" fillId="0" borderId="0" xfId="0" applyFont="1" applyBorder="1" applyAlignment="1">
      <alignment horizontal="center" wrapText="1"/>
    </xf>
    <xf numFmtId="0" fontId="104" fillId="0" borderId="19" xfId="0" applyFont="1" applyBorder="1" applyAlignment="1">
      <alignment horizontal="center" wrapText="1"/>
    </xf>
    <xf numFmtId="0" fontId="0" fillId="0" borderId="0" xfId="0" applyAlignment="1">
      <alignment horizontal="right"/>
    </xf>
    <xf numFmtId="0" fontId="0" fillId="0" borderId="4" xfId="0" applyBorder="1" applyAlignment="1">
      <alignment horizontal="center"/>
    </xf>
    <xf numFmtId="0" fontId="0" fillId="0" borderId="47" xfId="0" applyBorder="1" applyAlignment="1">
      <alignment horizontal="center"/>
    </xf>
    <xf numFmtId="169" fontId="0" fillId="0" borderId="4" xfId="0" applyNumberFormat="1" applyBorder="1" applyAlignment="1">
      <alignment horizontal="center"/>
    </xf>
    <xf numFmtId="169" fontId="0" fillId="0" borderId="0" xfId="0" applyNumberFormat="1" applyBorder="1" applyAlignment="1">
      <alignment horizontal="center"/>
    </xf>
    <xf numFmtId="169" fontId="0" fillId="0" borderId="47" xfId="0" applyNumberFormat="1" applyBorder="1" applyAlignment="1">
      <alignment horizontal="center"/>
    </xf>
    <xf numFmtId="169" fontId="0" fillId="0" borderId="20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24" xfId="0" applyBorder="1"/>
    <xf numFmtId="0" fontId="0" fillId="0" borderId="21" xfId="0" applyBorder="1"/>
    <xf numFmtId="0" fontId="57" fillId="0" borderId="0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/>
    <xf numFmtId="43" fontId="11" fillId="0" borderId="0" xfId="34" applyNumberFormat="1" applyFont="1" applyFill="1" applyBorder="1" applyAlignment="1">
      <alignment horizontal="right"/>
    </xf>
    <xf numFmtId="7" fontId="0" fillId="29" borderId="0" xfId="0" applyNumberFormat="1" applyFill="1"/>
    <xf numFmtId="165" fontId="11" fillId="29" borderId="0" xfId="0" applyNumberFormat="1" applyFont="1" applyFill="1" applyBorder="1" applyAlignment="1"/>
    <xf numFmtId="0" fontId="11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center" wrapText="1"/>
    </xf>
    <xf numFmtId="17" fontId="16" fillId="0" borderId="0" xfId="0" applyNumberFormat="1" applyFont="1" applyFill="1" applyAlignment="1">
      <alignment horizontal="center"/>
    </xf>
    <xf numFmtId="166" fontId="36" fillId="0" borderId="0" xfId="0" applyNumberFormat="1" applyFont="1" applyFill="1" applyAlignment="1"/>
    <xf numFmtId="0" fontId="16" fillId="0" borderId="0" xfId="0" quotePrefix="1" applyNumberFormat="1" applyFont="1" applyFill="1" applyAlignment="1">
      <alignment horizontal="center"/>
    </xf>
    <xf numFmtId="166" fontId="36" fillId="0" borderId="34" xfId="0" applyNumberFormat="1" applyFont="1" applyFill="1" applyBorder="1" applyAlignment="1"/>
    <xf numFmtId="166" fontId="36" fillId="0" borderId="33" xfId="0" applyNumberFormat="1" applyFont="1" applyFill="1" applyBorder="1" applyAlignment="1"/>
    <xf numFmtId="166" fontId="36" fillId="0" borderId="38" xfId="0" applyNumberFormat="1" applyFont="1" applyFill="1" applyBorder="1" applyAlignment="1"/>
    <xf numFmtId="166" fontId="36" fillId="0" borderId="0" xfId="0" applyNumberFormat="1" applyFont="1" applyFill="1" applyBorder="1" applyAlignment="1"/>
    <xf numFmtId="3" fontId="48" fillId="0" borderId="0" xfId="0" applyNumberFormat="1" applyFont="1" applyFill="1"/>
    <xf numFmtId="166" fontId="36" fillId="0" borderId="59" xfId="0" applyNumberFormat="1" applyFont="1" applyFill="1" applyBorder="1" applyAlignment="1"/>
    <xf numFmtId="166" fontId="36" fillId="0" borderId="21" xfId="0" applyNumberFormat="1" applyFont="1" applyFill="1" applyBorder="1" applyAlignment="1"/>
    <xf numFmtId="166" fontId="57" fillId="0" borderId="0" xfId="0" applyNumberFormat="1" applyFont="1" applyFill="1" applyAlignment="1"/>
    <xf numFmtId="165" fontId="21" fillId="0" borderId="0" xfId="0" applyNumberFormat="1" applyFont="1" applyFill="1" applyAlignment="1"/>
    <xf numFmtId="9" fontId="36" fillId="0" borderId="16" xfId="0" applyNumberFormat="1" applyFont="1" applyFill="1" applyBorder="1" applyAlignment="1"/>
    <xf numFmtId="4" fontId="17" fillId="0" borderId="0" xfId="0" applyNumberFormat="1" applyFont="1" applyFill="1" applyAlignment="1"/>
    <xf numFmtId="0" fontId="107" fillId="0" borderId="32" xfId="0" applyNumberFormat="1" applyFont="1" applyFill="1" applyBorder="1" applyAlignment="1"/>
    <xf numFmtId="165" fontId="108" fillId="0" borderId="0" xfId="0" applyNumberFormat="1" applyFont="1" applyFill="1" applyBorder="1" applyAlignment="1">
      <alignment horizontal="right"/>
    </xf>
    <xf numFmtId="165" fontId="107" fillId="0" borderId="0" xfId="0" applyNumberFormat="1" applyFont="1" applyFill="1" applyBorder="1" applyAlignment="1"/>
    <xf numFmtId="3" fontId="107" fillId="0" borderId="0" xfId="0" applyNumberFormat="1" applyFont="1" applyFill="1" applyBorder="1"/>
    <xf numFmtId="166" fontId="107" fillId="0" borderId="33" xfId="0" applyNumberFormat="1" applyFont="1" applyFill="1" applyBorder="1" applyAlignment="1"/>
    <xf numFmtId="0" fontId="107" fillId="0" borderId="37" xfId="0" applyNumberFormat="1" applyFont="1" applyFill="1" applyBorder="1" applyAlignment="1"/>
    <xf numFmtId="165" fontId="107" fillId="0" borderId="6" xfId="0" applyNumberFormat="1" applyFont="1" applyFill="1" applyBorder="1" applyAlignment="1"/>
    <xf numFmtId="3" fontId="107" fillId="0" borderId="6" xfId="0" applyNumberFormat="1" applyFont="1" applyFill="1" applyBorder="1"/>
    <xf numFmtId="166" fontId="107" fillId="0" borderId="38" xfId="0" applyNumberFormat="1" applyFont="1" applyFill="1" applyBorder="1" applyAlignment="1"/>
    <xf numFmtId="0" fontId="108" fillId="0" borderId="0" xfId="0" applyNumberFormat="1" applyFont="1" applyFill="1" applyAlignment="1"/>
    <xf numFmtId="165" fontId="108" fillId="0" borderId="0" xfId="0" applyNumberFormat="1" applyFont="1" applyFill="1" applyAlignment="1">
      <alignment horizontal="right"/>
    </xf>
    <xf numFmtId="165" fontId="108" fillId="0" borderId="0" xfId="0" applyNumberFormat="1" applyFont="1" applyFill="1" applyAlignment="1"/>
    <xf numFmtId="3" fontId="108" fillId="0" borderId="0" xfId="0" applyNumberFormat="1" applyFont="1" applyFill="1"/>
    <xf numFmtId="166" fontId="107" fillId="0" borderId="0" xfId="0" applyNumberFormat="1" applyFont="1" applyFill="1" applyAlignment="1"/>
    <xf numFmtId="0" fontId="107" fillId="0" borderId="0" xfId="0" applyNumberFormat="1" applyFont="1" applyFill="1" applyAlignment="1"/>
    <xf numFmtId="165" fontId="107" fillId="0" borderId="0" xfId="0" applyNumberFormat="1" applyFont="1" applyFill="1" applyAlignment="1"/>
    <xf numFmtId="3" fontId="107" fillId="0" borderId="0" xfId="0" applyNumberFormat="1" applyFont="1" applyFill="1"/>
    <xf numFmtId="0" fontId="107" fillId="0" borderId="36" xfId="0" applyNumberFormat="1" applyFont="1" applyFill="1" applyBorder="1" applyAlignment="1"/>
    <xf numFmtId="165" fontId="107" fillId="0" borderId="35" xfId="0" applyNumberFormat="1" applyFont="1" applyFill="1" applyBorder="1" applyAlignment="1"/>
    <xf numFmtId="3" fontId="107" fillId="0" borderId="35" xfId="0" applyNumberFormat="1" applyFont="1" applyFill="1" applyBorder="1"/>
    <xf numFmtId="166" fontId="107" fillId="0" borderId="34" xfId="0" applyNumberFormat="1" applyFont="1" applyFill="1" applyBorder="1" applyAlignment="1"/>
    <xf numFmtId="43" fontId="0" fillId="0" borderId="0" xfId="34" applyFont="1" applyFill="1"/>
    <xf numFmtId="0" fontId="11" fillId="0" borderId="0" xfId="0" applyFont="1" applyFill="1" applyAlignment="1">
      <alignment horizontal="right"/>
    </xf>
    <xf numFmtId="0" fontId="14" fillId="0" borderId="0" xfId="0" applyNumberFormat="1" applyFont="1" applyFill="1" applyAlignment="1">
      <alignment horizontal="centerContinuous"/>
    </xf>
    <xf numFmtId="0" fontId="15" fillId="0" borderId="0" xfId="0" applyNumberFormat="1" applyFont="1" applyFill="1" applyAlignment="1">
      <alignment horizontal="centerContinuous"/>
    </xf>
    <xf numFmtId="0" fontId="21" fillId="0" borderId="0" xfId="0" applyNumberFormat="1" applyFont="1" applyFill="1" applyAlignment="1"/>
    <xf numFmtId="0" fontId="11" fillId="0" borderId="0" xfId="0" applyNumberFormat="1" applyFont="1" applyFill="1" applyBorder="1" applyAlignment="1">
      <alignment horizontal="center" wrapText="1"/>
    </xf>
    <xf numFmtId="10" fontId="11" fillId="0" borderId="16" xfId="0" applyNumberFormat="1" applyFont="1" applyFill="1" applyBorder="1" applyAlignment="1"/>
    <xf numFmtId="2" fontId="11" fillId="0" borderId="16" xfId="0" applyNumberFormat="1" applyFont="1" applyFill="1" applyBorder="1" applyAlignment="1"/>
    <xf numFmtId="0" fontId="18" fillId="0" borderId="0" xfId="0" applyNumberFormat="1" applyFont="1" applyFill="1" applyAlignment="1">
      <alignment wrapText="1"/>
    </xf>
    <xf numFmtId="9" fontId="36" fillId="0" borderId="0" xfId="0" applyNumberFormat="1" applyFont="1" applyFill="1" applyAlignment="1"/>
    <xf numFmtId="0" fontId="36" fillId="0" borderId="0" xfId="0" applyNumberFormat="1" applyFont="1" applyFill="1" applyBorder="1" applyAlignment="1">
      <alignment horizontal="left"/>
    </xf>
    <xf numFmtId="10" fontId="11" fillId="0" borderId="29" xfId="0" applyNumberFormat="1" applyFont="1" applyFill="1" applyBorder="1" applyAlignment="1"/>
    <xf numFmtId="43" fontId="11" fillId="0" borderId="16" xfId="34" applyNumberFormat="1" applyFont="1" applyFill="1" applyBorder="1" applyAlignment="1">
      <alignment horizontal="right"/>
    </xf>
    <xf numFmtId="0" fontId="36" fillId="0" borderId="4" xfId="0" applyNumberFormat="1" applyFont="1" applyFill="1" applyBorder="1" applyAlignment="1"/>
    <xf numFmtId="0" fontId="36" fillId="0" borderId="14" xfId="0" applyNumberFormat="1" applyFont="1" applyFill="1" applyBorder="1" applyAlignment="1">
      <alignment horizontal="center"/>
    </xf>
    <xf numFmtId="0" fontId="36" fillId="0" borderId="4" xfId="0" applyNumberFormat="1" applyFont="1" applyFill="1" applyBorder="1" applyAlignment="1">
      <alignment horizontal="center"/>
    </xf>
    <xf numFmtId="0" fontId="36" fillId="0" borderId="4" xfId="0" applyNumberFormat="1" applyFont="1" applyFill="1" applyBorder="1" applyAlignment="1">
      <alignment horizontal="center" wrapText="1"/>
    </xf>
    <xf numFmtId="0" fontId="36" fillId="0" borderId="0" xfId="0" applyNumberFormat="1" applyFont="1" applyFill="1" applyBorder="1" applyAlignment="1">
      <alignment horizontal="center" wrapText="1"/>
    </xf>
    <xf numFmtId="0" fontId="36" fillId="0" borderId="14" xfId="0" applyNumberFormat="1" applyFont="1" applyFill="1" applyBorder="1" applyAlignment="1">
      <alignment horizontal="center" wrapText="1"/>
    </xf>
    <xf numFmtId="0" fontId="17" fillId="0" borderId="0" xfId="0" quotePrefix="1" applyNumberFormat="1" applyFont="1" applyFill="1" applyAlignment="1">
      <alignment horizontal="center"/>
    </xf>
    <xf numFmtId="0" fontId="17" fillId="0" borderId="0" xfId="0" applyNumberFormat="1" applyFont="1" applyFill="1" applyAlignment="1">
      <alignment horizontal="center"/>
    </xf>
    <xf numFmtId="0" fontId="17" fillId="0" borderId="4" xfId="0" applyNumberFormat="1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/>
    </xf>
    <xf numFmtId="0" fontId="17" fillId="0" borderId="14" xfId="0" applyNumberFormat="1" applyFont="1" applyFill="1" applyBorder="1" applyAlignment="1">
      <alignment horizontal="center"/>
    </xf>
    <xf numFmtId="0" fontId="0" fillId="0" borderId="4" xfId="0" applyFill="1" applyBorder="1"/>
    <xf numFmtId="43" fontId="0" fillId="0" borderId="14" xfId="34" applyFont="1" applyFill="1" applyBorder="1"/>
    <xf numFmtId="0" fontId="36" fillId="0" borderId="14" xfId="0" applyNumberFormat="1" applyFont="1" applyFill="1" applyBorder="1" applyAlignment="1"/>
    <xf numFmtId="165" fontId="36" fillId="0" borderId="4" xfId="0" applyNumberFormat="1" applyFont="1" applyFill="1" applyBorder="1" applyAlignment="1"/>
    <xf numFmtId="165" fontId="36" fillId="0" borderId="14" xfId="0" applyNumberFormat="1" applyFont="1" applyFill="1" applyBorder="1" applyAlignment="1"/>
    <xf numFmtId="189" fontId="36" fillId="0" borderId="0" xfId="34" applyNumberFormat="1" applyFont="1" applyFill="1" applyAlignment="1"/>
    <xf numFmtId="43" fontId="0" fillId="0" borderId="0" xfId="0" applyNumberFormat="1" applyFill="1" applyBorder="1"/>
    <xf numFmtId="43" fontId="0" fillId="0" borderId="0" xfId="0" applyNumberFormat="1" applyFill="1"/>
    <xf numFmtId="4" fontId="36" fillId="0" borderId="0" xfId="0" applyNumberFormat="1" applyFont="1" applyFill="1" applyAlignment="1"/>
    <xf numFmtId="4" fontId="36" fillId="0" borderId="14" xfId="0" applyNumberFormat="1" applyFont="1" applyFill="1" applyBorder="1"/>
    <xf numFmtId="4" fontId="36" fillId="0" borderId="0" xfId="0" applyNumberFormat="1" applyFont="1" applyFill="1" applyBorder="1"/>
    <xf numFmtId="165" fontId="18" fillId="0" borderId="4" xfId="0" applyNumberFormat="1" applyFont="1" applyFill="1" applyBorder="1" applyAlignment="1"/>
    <xf numFmtId="4" fontId="18" fillId="0" borderId="14" xfId="0" applyNumberFormat="1" applyFont="1" applyFill="1" applyBorder="1"/>
    <xf numFmtId="189" fontId="18" fillId="0" borderId="0" xfId="34" applyNumberFormat="1" applyFont="1" applyFill="1" applyAlignment="1"/>
    <xf numFmtId="4" fontId="18" fillId="0" borderId="0" xfId="0" applyNumberFormat="1" applyFont="1" applyFill="1" applyBorder="1"/>
    <xf numFmtId="43" fontId="18" fillId="0" borderId="14" xfId="34" applyFont="1" applyFill="1" applyBorder="1"/>
    <xf numFmtId="43" fontId="18" fillId="0" borderId="0" xfId="0" applyNumberFormat="1" applyFont="1" applyFill="1" applyBorder="1"/>
    <xf numFmtId="169" fontId="36" fillId="0" borderId="0" xfId="0" applyNumberFormat="1" applyFont="1" applyFill="1" applyAlignment="1"/>
    <xf numFmtId="169" fontId="36" fillId="0" borderId="14" xfId="0" applyNumberFormat="1" applyFont="1" applyFill="1" applyBorder="1" applyAlignment="1"/>
    <xf numFmtId="165" fontId="36" fillId="0" borderId="24" xfId="0" applyNumberFormat="1" applyFont="1" applyFill="1" applyBorder="1" applyAlignment="1"/>
    <xf numFmtId="165" fontId="36" fillId="0" borderId="21" xfId="0" applyNumberFormat="1" applyFont="1" applyFill="1" applyBorder="1" applyAlignment="1"/>
    <xf numFmtId="169" fontId="36" fillId="0" borderId="55" xfId="0" applyNumberFormat="1" applyFont="1" applyFill="1" applyBorder="1" applyAlignment="1"/>
    <xf numFmtId="43" fontId="0" fillId="0" borderId="55" xfId="34" applyFont="1" applyFill="1" applyBorder="1"/>
    <xf numFmtId="183" fontId="11" fillId="0" borderId="0" xfId="0" applyNumberFormat="1" applyFont="1" applyFill="1" applyBorder="1"/>
    <xf numFmtId="0" fontId="28" fillId="0" borderId="0" xfId="75" applyFont="1" applyFill="1" applyAlignment="1">
      <alignment horizontal="right"/>
    </xf>
    <xf numFmtId="0" fontId="11" fillId="0" borderId="0" xfId="75" applyFont="1" applyFill="1" applyAlignment="1">
      <alignment horizontal="left"/>
    </xf>
    <xf numFmtId="0" fontId="18" fillId="0" borderId="0" xfId="75" applyFont="1" applyFill="1" applyAlignment="1">
      <alignment horizontal="centerContinuous"/>
    </xf>
    <xf numFmtId="0" fontId="18" fillId="0" borderId="0" xfId="75" applyFont="1" applyFill="1" applyAlignment="1">
      <alignment horizontal="center"/>
    </xf>
    <xf numFmtId="0" fontId="11" fillId="0" borderId="0" xfId="75" applyFont="1" applyFill="1" applyAlignment="1">
      <alignment horizontal="center"/>
    </xf>
    <xf numFmtId="0" fontId="28" fillId="0" borderId="0" xfId="75" applyFont="1" applyFill="1"/>
    <xf numFmtId="3" fontId="4" fillId="0" borderId="0" xfId="75" applyNumberFormat="1" applyFill="1"/>
    <xf numFmtId="0" fontId="28" fillId="0" borderId="0" xfId="75" quotePrefix="1" applyFont="1" applyFill="1" applyBorder="1"/>
    <xf numFmtId="10" fontId="29" fillId="0" borderId="0" xfId="92" applyNumberFormat="1" applyFont="1" applyFill="1" applyBorder="1"/>
    <xf numFmtId="10" fontId="30" fillId="0" borderId="0" xfId="92" applyNumberFormat="1" applyFont="1" applyFill="1" applyBorder="1" applyAlignment="1">
      <alignment horizontal="right"/>
    </xf>
    <xf numFmtId="173" fontId="30" fillId="0" borderId="0" xfId="92" applyNumberFormat="1" applyFont="1" applyFill="1" applyBorder="1"/>
    <xf numFmtId="173" fontId="4" fillId="0" borderId="0" xfId="92" applyNumberFormat="1" applyFont="1" applyFill="1" applyBorder="1"/>
    <xf numFmtId="10" fontId="4" fillId="0" borderId="0" xfId="75" applyNumberFormat="1" applyFill="1" applyAlignment="1">
      <alignment horizontal="center"/>
    </xf>
    <xf numFmtId="169" fontId="4" fillId="0" borderId="0" xfId="75" applyNumberFormat="1" applyFill="1"/>
    <xf numFmtId="0" fontId="4" fillId="0" borderId="21" xfId="75" applyFill="1" applyBorder="1"/>
    <xf numFmtId="173" fontId="30" fillId="0" borderId="21" xfId="92" applyNumberFormat="1" applyFont="1" applyFill="1" applyBorder="1"/>
    <xf numFmtId="173" fontId="4" fillId="0" borderId="21" xfId="92" applyNumberFormat="1" applyFont="1" applyFill="1" applyBorder="1"/>
    <xf numFmtId="173" fontId="4" fillId="0" borderId="0" xfId="75" applyNumberFormat="1" applyFill="1" applyBorder="1"/>
    <xf numFmtId="10" fontId="4" fillId="0" borderId="0" xfId="75" applyNumberFormat="1" applyFill="1" applyBorder="1"/>
    <xf numFmtId="10" fontId="4" fillId="0" borderId="0" xfId="75" applyNumberFormat="1" applyFill="1"/>
    <xf numFmtId="178" fontId="4" fillId="0" borderId="0" xfId="75" applyNumberFormat="1" applyFill="1"/>
    <xf numFmtId="10" fontId="30" fillId="0" borderId="0" xfId="92" applyNumberFormat="1" applyFont="1" applyFill="1"/>
    <xf numFmtId="0" fontId="28" fillId="0" borderId="0" xfId="75" applyFont="1" applyFill="1" applyAlignment="1">
      <alignment horizontal="left"/>
    </xf>
    <xf numFmtId="0" fontId="37" fillId="0" borderId="0" xfId="75" applyFont="1" applyFill="1" applyAlignment="1">
      <alignment horizontal="centerContinuous"/>
    </xf>
    <xf numFmtId="10" fontId="28" fillId="0" borderId="16" xfId="75" applyNumberFormat="1" applyFont="1" applyFill="1" applyBorder="1" applyAlignment="1">
      <alignment horizontal="center"/>
    </xf>
    <xf numFmtId="169" fontId="4" fillId="0" borderId="0" xfId="75" applyNumberFormat="1" applyFont="1" applyFill="1" applyAlignment="1">
      <alignment horizontal="center"/>
    </xf>
    <xf numFmtId="10" fontId="28" fillId="0" borderId="31" xfId="75" applyNumberFormat="1" applyFont="1" applyFill="1" applyBorder="1" applyAlignment="1">
      <alignment horizontal="center"/>
    </xf>
    <xf numFmtId="0" fontId="35" fillId="0" borderId="0" xfId="75" applyFont="1" applyFill="1" applyAlignment="1">
      <alignment horizontal="center"/>
    </xf>
    <xf numFmtId="0" fontId="35" fillId="0" borderId="0" xfId="75" applyFont="1" applyFill="1" applyAlignment="1">
      <alignment horizontal="right"/>
    </xf>
    <xf numFmtId="175" fontId="4" fillId="0" borderId="0" xfId="75" applyNumberFormat="1" applyFill="1" applyAlignment="1">
      <alignment horizontal="right"/>
    </xf>
    <xf numFmtId="4" fontId="4" fillId="0" borderId="0" xfId="34" applyNumberFormat="1" applyFont="1" applyFill="1" applyAlignment="1">
      <alignment horizontal="center"/>
    </xf>
    <xf numFmtId="169" fontId="4" fillId="0" borderId="0" xfId="75" applyNumberFormat="1" applyFill="1" applyAlignment="1">
      <alignment horizontal="right"/>
    </xf>
    <xf numFmtId="3" fontId="4" fillId="0" borderId="0" xfId="75" applyNumberFormat="1" applyFill="1" applyAlignment="1">
      <alignment horizontal="center"/>
    </xf>
    <xf numFmtId="0" fontId="4" fillId="0" borderId="0" xfId="75" applyFill="1" applyAlignment="1">
      <alignment horizontal="right"/>
    </xf>
    <xf numFmtId="197" fontId="4" fillId="0" borderId="0" xfId="75" applyNumberFormat="1" applyFill="1" applyAlignment="1">
      <alignment horizontal="right"/>
    </xf>
    <xf numFmtId="175" fontId="4" fillId="0" borderId="0" xfId="75" applyNumberFormat="1" applyFill="1"/>
    <xf numFmtId="197" fontId="13" fillId="0" borderId="0" xfId="75" applyNumberFormat="1" applyFont="1" applyFill="1" applyAlignment="1">
      <alignment horizontal="right"/>
    </xf>
    <xf numFmtId="0" fontId="67" fillId="0" borderId="0" xfId="75" applyFont="1" applyFill="1" applyBorder="1"/>
    <xf numFmtId="0" fontId="102" fillId="0" borderId="0" xfId="75" applyFont="1" applyFill="1" applyBorder="1"/>
    <xf numFmtId="0" fontId="102" fillId="0" borderId="0" xfId="75" applyFont="1" applyFill="1"/>
    <xf numFmtId="10" fontId="102" fillId="0" borderId="0" xfId="75" applyNumberFormat="1" applyFont="1" applyFill="1"/>
    <xf numFmtId="10" fontId="102" fillId="0" borderId="0" xfId="75" applyNumberFormat="1" applyFont="1" applyFill="1" applyAlignment="1">
      <alignment horizontal="center"/>
    </xf>
    <xf numFmtId="37" fontId="102" fillId="0" borderId="0" xfId="75" applyNumberFormat="1" applyFont="1" applyFill="1"/>
    <xf numFmtId="175" fontId="102" fillId="0" borderId="0" xfId="75" applyNumberFormat="1" applyFont="1" applyFill="1" applyAlignment="1">
      <alignment horizontal="center"/>
    </xf>
    <xf numFmtId="175" fontId="102" fillId="0" borderId="0" xfId="75" applyNumberFormat="1" applyFont="1" applyFill="1"/>
    <xf numFmtId="10" fontId="13" fillId="0" borderId="0" xfId="75" applyNumberFormat="1" applyFont="1" applyFill="1"/>
    <xf numFmtId="10" fontId="13" fillId="0" borderId="0" xfId="75" applyNumberFormat="1" applyFont="1" applyFill="1" applyAlignment="1">
      <alignment horizontal="center"/>
    </xf>
    <xf numFmtId="0" fontId="67" fillId="0" borderId="0" xfId="75" applyFont="1" applyFill="1"/>
    <xf numFmtId="197" fontId="102" fillId="0" borderId="0" xfId="75" applyNumberFormat="1" applyFont="1" applyFill="1" applyAlignment="1">
      <alignment horizontal="right"/>
    </xf>
    <xf numFmtId="10" fontId="28" fillId="0" borderId="57" xfId="92" applyNumberFormat="1" applyFont="1" applyFill="1" applyBorder="1"/>
    <xf numFmtId="197" fontId="28" fillId="0" borderId="57" xfId="75" applyNumberFormat="1" applyFont="1" applyFill="1" applyBorder="1" applyAlignment="1">
      <alignment horizontal="right"/>
    </xf>
    <xf numFmtId="0" fontId="28" fillId="0" borderId="60" xfId="75" applyFont="1" applyFill="1" applyBorder="1"/>
    <xf numFmtId="0" fontId="4" fillId="0" borderId="60" xfId="75" applyFill="1" applyBorder="1"/>
    <xf numFmtId="197" fontId="28" fillId="0" borderId="60" xfId="75" applyNumberFormat="1" applyFont="1" applyFill="1" applyBorder="1" applyAlignment="1">
      <alignment horizontal="right"/>
    </xf>
    <xf numFmtId="197" fontId="28" fillId="0" borderId="0" xfId="75" applyNumberFormat="1" applyFont="1" applyFill="1" applyBorder="1" applyAlignment="1">
      <alignment horizontal="right"/>
    </xf>
    <xf numFmtId="197" fontId="28" fillId="0" borderId="60" xfId="75" applyNumberFormat="1" applyFont="1" applyFill="1" applyBorder="1" applyAlignment="1">
      <alignment horizontal="center"/>
    </xf>
    <xf numFmtId="197" fontId="28" fillId="0" borderId="61" xfId="75" applyNumberFormat="1" applyFont="1" applyFill="1" applyBorder="1" applyAlignment="1">
      <alignment horizontal="right"/>
    </xf>
    <xf numFmtId="0" fontId="36" fillId="0" borderId="0" xfId="0" applyFont="1" applyFill="1" applyAlignment="1">
      <alignment horizontal="left"/>
    </xf>
    <xf numFmtId="0" fontId="36" fillId="0" borderId="0" xfId="0" applyFont="1" applyFill="1"/>
    <xf numFmtId="0" fontId="15" fillId="0" borderId="0" xfId="0" applyFont="1" applyFill="1" applyBorder="1" applyAlignment="1"/>
    <xf numFmtId="0" fontId="42" fillId="0" borderId="0" xfId="0" applyNumberFormat="1" applyFont="1" applyFill="1" applyAlignment="1">
      <alignment horizontal="centerContinuous"/>
    </xf>
    <xf numFmtId="0" fontId="14" fillId="0" borderId="0" xfId="0" applyNumberFormat="1" applyFont="1" applyFill="1" applyAlignment="1">
      <alignment horizontal="left"/>
    </xf>
    <xf numFmtId="0" fontId="42" fillId="0" borderId="0" xfId="0" applyNumberFormat="1" applyFont="1" applyFill="1" applyAlignment="1">
      <alignment horizontal="left"/>
    </xf>
    <xf numFmtId="0" fontId="43" fillId="0" borderId="0" xfId="0" applyFont="1" applyFill="1"/>
    <xf numFmtId="0" fontId="11" fillId="0" borderId="23" xfId="0" quotePrefix="1" applyNumberFormat="1" applyFont="1" applyFill="1" applyBorder="1" applyAlignment="1">
      <alignment horizontal="center"/>
    </xf>
    <xf numFmtId="0" fontId="11" fillId="0" borderId="54" xfId="0" quotePrefix="1" applyNumberFormat="1" applyFont="1" applyFill="1" applyBorder="1" applyAlignment="1">
      <alignment horizontal="center"/>
    </xf>
    <xf numFmtId="0" fontId="11" fillId="0" borderId="19" xfId="0" quotePrefix="1" applyNumberFormat="1" applyFont="1" applyFill="1" applyBorder="1" applyAlignment="1">
      <alignment horizontal="center"/>
    </xf>
    <xf numFmtId="0" fontId="11" fillId="0" borderId="4" xfId="0" applyNumberFormat="1" applyFont="1" applyFill="1" applyBorder="1" applyAlignment="1">
      <alignment horizontal="center"/>
    </xf>
    <xf numFmtId="0" fontId="11" fillId="0" borderId="14" xfId="0" applyNumberFormat="1" applyFont="1" applyFill="1" applyBorder="1" applyAlignment="1">
      <alignment horizontal="center"/>
    </xf>
    <xf numFmtId="0" fontId="11" fillId="0" borderId="47" xfId="0" applyNumberFormat="1" applyFont="1" applyFill="1" applyBorder="1" applyAlignment="1">
      <alignment horizontal="center"/>
    </xf>
    <xf numFmtId="17" fontId="11" fillId="0" borderId="0" xfId="0" quotePrefix="1" applyNumberFormat="1" applyFont="1" applyFill="1" applyAlignment="1">
      <alignment horizontal="center"/>
    </xf>
    <xf numFmtId="0" fontId="16" fillId="0" borderId="19" xfId="0" applyFont="1" applyFill="1" applyBorder="1" applyAlignment="1">
      <alignment horizontal="center"/>
    </xf>
    <xf numFmtId="0" fontId="21" fillId="0" borderId="0" xfId="0" applyNumberFormat="1" applyFont="1" applyFill="1" applyAlignment="1">
      <alignment horizontal="center"/>
    </xf>
    <xf numFmtId="0" fontId="21" fillId="0" borderId="4" xfId="0" applyNumberFormat="1" applyFont="1" applyFill="1" applyBorder="1" applyAlignment="1">
      <alignment horizontal="center"/>
    </xf>
    <xf numFmtId="0" fontId="21" fillId="0" borderId="14" xfId="0" applyNumberFormat="1" applyFont="1" applyFill="1" applyBorder="1" applyAlignment="1">
      <alignment horizontal="center"/>
    </xf>
    <xf numFmtId="0" fontId="60" fillId="0" borderId="47" xfId="0" applyNumberFormat="1" applyFont="1" applyFill="1" applyBorder="1" applyAlignment="1">
      <alignment horizontal="center"/>
    </xf>
    <xf numFmtId="0" fontId="18" fillId="0" borderId="47" xfId="0" applyNumberFormat="1" applyFont="1" applyFill="1" applyBorder="1" applyAlignment="1"/>
    <xf numFmtId="0" fontId="36" fillId="0" borderId="0" xfId="0" quotePrefix="1" applyNumberFormat="1" applyFont="1" applyFill="1" applyAlignment="1">
      <alignment horizontal="center"/>
    </xf>
    <xf numFmtId="5" fontId="36" fillId="0" borderId="14" xfId="0" applyNumberFormat="1" applyFont="1" applyFill="1" applyBorder="1" applyAlignment="1"/>
    <xf numFmtId="193" fontId="18" fillId="0" borderId="47" xfId="78" applyNumberFormat="1" applyFont="1" applyFill="1" applyBorder="1"/>
    <xf numFmtId="37" fontId="36" fillId="0" borderId="14" xfId="0" applyNumberFormat="1" applyFont="1" applyFill="1" applyBorder="1"/>
    <xf numFmtId="4" fontId="36" fillId="0" borderId="4" xfId="0" applyNumberFormat="1" applyFont="1" applyFill="1" applyBorder="1"/>
    <xf numFmtId="0" fontId="11" fillId="0" borderId="47" xfId="0" applyNumberFormat="1" applyFont="1" applyFill="1" applyBorder="1" applyAlignment="1"/>
    <xf numFmtId="0" fontId="18" fillId="0" borderId="0" xfId="0" quotePrefix="1" applyNumberFormat="1" applyFont="1" applyFill="1" applyAlignment="1">
      <alignment horizontal="center"/>
    </xf>
    <xf numFmtId="37" fontId="19" fillId="0" borderId="14" xfId="0" applyNumberFormat="1" applyFont="1" applyFill="1" applyBorder="1"/>
    <xf numFmtId="174" fontId="18" fillId="0" borderId="0" xfId="0" applyNumberFormat="1" applyFont="1" applyFill="1" applyAlignment="1"/>
    <xf numFmtId="37" fontId="17" fillId="0" borderId="14" xfId="0" applyNumberFormat="1" applyFont="1" applyFill="1" applyBorder="1"/>
    <xf numFmtId="37" fontId="17" fillId="0" borderId="0" xfId="0" applyNumberFormat="1" applyFont="1" applyFill="1" applyAlignment="1"/>
    <xf numFmtId="37" fontId="46" fillId="0" borderId="14" xfId="0" applyNumberFormat="1" applyFont="1" applyFill="1" applyBorder="1"/>
    <xf numFmtId="174" fontId="47" fillId="0" borderId="0" xfId="0" applyNumberFormat="1" applyFont="1" applyFill="1" applyAlignment="1"/>
    <xf numFmtId="39" fontId="11" fillId="0" borderId="47" xfId="0" applyNumberFormat="1" applyFont="1" applyFill="1" applyBorder="1" applyAlignment="1"/>
    <xf numFmtId="37" fontId="48" fillId="0" borderId="0" xfId="0" applyNumberFormat="1" applyFont="1" applyFill="1"/>
    <xf numFmtId="37" fontId="18" fillId="0" borderId="14" xfId="0" applyNumberFormat="1" applyFont="1" applyFill="1" applyBorder="1"/>
    <xf numFmtId="183" fontId="18" fillId="0" borderId="0" xfId="34" applyNumberFormat="1" applyFont="1" applyFill="1" applyAlignment="1"/>
    <xf numFmtId="183" fontId="18" fillId="0" borderId="0" xfId="0" applyNumberFormat="1" applyFont="1" applyFill="1" applyAlignment="1"/>
    <xf numFmtId="0" fontId="45" fillId="0" borderId="0" xfId="0" applyNumberFormat="1" applyFont="1" applyFill="1" applyAlignment="1"/>
    <xf numFmtId="4" fontId="36" fillId="0" borderId="4" xfId="0" applyNumberFormat="1" applyFont="1" applyFill="1" applyBorder="1" applyAlignment="1"/>
    <xf numFmtId="37" fontId="36" fillId="0" borderId="14" xfId="0" applyNumberFormat="1" applyFont="1" applyFill="1" applyBorder="1" applyAlignment="1"/>
    <xf numFmtId="174" fontId="46" fillId="0" borderId="0" xfId="0" applyNumberFormat="1" applyFont="1" applyFill="1" applyAlignment="1"/>
    <xf numFmtId="4" fontId="18" fillId="0" borderId="4" xfId="0" applyNumberFormat="1" applyFont="1" applyFill="1" applyBorder="1" applyAlignment="1"/>
    <xf numFmtId="39" fontId="18" fillId="0" borderId="47" xfId="0" applyNumberFormat="1" applyFont="1" applyFill="1" applyBorder="1" applyAlignment="1"/>
    <xf numFmtId="169" fontId="36" fillId="0" borderId="24" xfId="0" applyNumberFormat="1" applyFont="1" applyFill="1" applyBorder="1"/>
    <xf numFmtId="5" fontId="11" fillId="0" borderId="55" xfId="0" applyNumberFormat="1" applyFont="1" applyFill="1" applyBorder="1" applyAlignment="1"/>
    <xf numFmtId="39" fontId="11" fillId="0" borderId="20" xfId="0" applyNumberFormat="1" applyFont="1" applyFill="1" applyBorder="1" applyAlignment="1"/>
    <xf numFmtId="174" fontId="11" fillId="0" borderId="0" xfId="0" applyNumberFormat="1" applyFont="1" applyFill="1" applyBorder="1" applyAlignment="1"/>
    <xf numFmtId="174" fontId="11" fillId="0" borderId="16" xfId="0" applyNumberFormat="1" applyFont="1" applyFill="1" applyBorder="1" applyAlignment="1">
      <alignment vertical="center"/>
    </xf>
    <xf numFmtId="5" fontId="11" fillId="0" borderId="56" xfId="0" applyNumberFormat="1" applyFont="1" applyFill="1" applyBorder="1" applyAlignment="1">
      <alignment vertical="center"/>
    </xf>
    <xf numFmtId="5" fontId="11" fillId="0" borderId="5" xfId="0" applyNumberFormat="1" applyFont="1" applyFill="1" applyBorder="1" applyAlignment="1">
      <alignment vertical="center"/>
    </xf>
    <xf numFmtId="5" fontId="11" fillId="0" borderId="59" xfId="0" applyNumberFormat="1" applyFont="1" applyFill="1" applyBorder="1" applyAlignment="1">
      <alignment vertical="center"/>
    </xf>
    <xf numFmtId="183" fontId="11" fillId="0" borderId="5" xfId="34" applyNumberFormat="1" applyFont="1" applyFill="1" applyBorder="1" applyAlignment="1">
      <alignment vertical="center"/>
    </xf>
    <xf numFmtId="3" fontId="25" fillId="0" borderId="16" xfId="0" applyNumberFormat="1" applyFont="1" applyFill="1" applyBorder="1" applyAlignment="1" applyProtection="1">
      <alignment horizontal="right" wrapText="1"/>
      <protection locked="0"/>
    </xf>
    <xf numFmtId="174" fontId="11" fillId="0" borderId="0" xfId="0" applyNumberFormat="1" applyFont="1" applyFill="1" applyBorder="1" applyAlignment="1">
      <alignment vertical="center"/>
    </xf>
    <xf numFmtId="37" fontId="36" fillId="0" borderId="0" xfId="0" applyNumberFormat="1" applyFont="1" applyFill="1" applyBorder="1"/>
    <xf numFmtId="5" fontId="11" fillId="0" borderId="23" xfId="0" applyNumberFormat="1" applyFont="1" applyFill="1" applyBorder="1" applyAlignment="1"/>
    <xf numFmtId="5" fontId="11" fillId="0" borderId="44" xfId="0" applyNumberFormat="1" applyFont="1" applyFill="1" applyBorder="1" applyAlignment="1"/>
    <xf numFmtId="5" fontId="11" fillId="0" borderId="54" xfId="0" applyNumberFormat="1" applyFont="1" applyFill="1" applyBorder="1" applyAlignment="1"/>
    <xf numFmtId="3" fontId="57" fillId="0" borderId="0" xfId="0" applyNumberFormat="1" applyFont="1" applyFill="1" applyBorder="1" applyAlignment="1"/>
    <xf numFmtId="5" fontId="57" fillId="0" borderId="4" xfId="0" applyNumberFormat="1" applyFont="1" applyFill="1" applyBorder="1" applyAlignment="1"/>
    <xf numFmtId="5" fontId="57" fillId="0" borderId="0" xfId="0" applyNumberFormat="1" applyFont="1" applyFill="1" applyBorder="1" applyAlignment="1"/>
    <xf numFmtId="5" fontId="57" fillId="0" borderId="14" xfId="0" applyNumberFormat="1" applyFont="1" applyFill="1" applyBorder="1" applyAlignment="1"/>
    <xf numFmtId="3" fontId="57" fillId="0" borderId="47" xfId="0" applyNumberFormat="1" applyFont="1" applyFill="1" applyBorder="1" applyAlignment="1"/>
    <xf numFmtId="3" fontId="11" fillId="0" borderId="0" xfId="0" applyNumberFormat="1" applyFont="1" applyFill="1" applyAlignment="1"/>
    <xf numFmtId="5" fontId="11" fillId="0" borderId="24" xfId="37" applyNumberFormat="1" applyFont="1" applyFill="1" applyBorder="1" applyAlignment="1"/>
    <xf numFmtId="5" fontId="11" fillId="0" borderId="21" xfId="37" applyNumberFormat="1" applyFont="1" applyFill="1" applyBorder="1" applyAlignment="1"/>
    <xf numFmtId="5" fontId="11" fillId="0" borderId="55" xfId="37" applyNumberFormat="1" applyFont="1" applyFill="1" applyBorder="1" applyAlignment="1"/>
    <xf numFmtId="3" fontId="36" fillId="0" borderId="20" xfId="0" applyNumberFormat="1" applyFont="1" applyFill="1" applyBorder="1" applyAlignment="1"/>
    <xf numFmtId="6" fontId="36" fillId="0" borderId="0" xfId="0" applyNumberFormat="1" applyFont="1" applyFill="1" applyAlignment="1"/>
    <xf numFmtId="0" fontId="11" fillId="0" borderId="16" xfId="0" applyNumberFormat="1" applyFont="1" applyFill="1" applyBorder="1" applyAlignment="1">
      <alignment horizontal="center" vertical="center"/>
    </xf>
    <xf numFmtId="0" fontId="16" fillId="0" borderId="23" xfId="0" applyNumberFormat="1" applyFont="1" applyFill="1" applyBorder="1" applyAlignment="1"/>
    <xf numFmtId="0" fontId="16" fillId="0" borderId="44" xfId="0" applyNumberFormat="1" applyFont="1" applyFill="1" applyBorder="1" applyAlignment="1"/>
    <xf numFmtId="0" fontId="36" fillId="0" borderId="44" xfId="0" applyNumberFormat="1" applyFont="1" applyFill="1" applyBorder="1" applyAlignment="1"/>
    <xf numFmtId="0" fontId="36" fillId="0" borderId="54" xfId="0" applyNumberFormat="1" applyFont="1" applyFill="1" applyBorder="1" applyAlignment="1"/>
    <xf numFmtId="0" fontId="54" fillId="0" borderId="62" xfId="0" applyFont="1" applyFill="1" applyBorder="1"/>
    <xf numFmtId="0" fontId="55" fillId="0" borderId="44" xfId="0" applyFont="1" applyFill="1" applyBorder="1" applyAlignment="1">
      <alignment horizontal="right"/>
    </xf>
    <xf numFmtId="189" fontId="55" fillId="0" borderId="63" xfId="34" applyNumberFormat="1" applyFont="1" applyFill="1" applyBorder="1"/>
    <xf numFmtId="0" fontId="16" fillId="0" borderId="4" xfId="0" applyNumberFormat="1" applyFont="1" applyFill="1" applyBorder="1" applyAlignment="1"/>
    <xf numFmtId="0" fontId="16" fillId="0" borderId="0" xfId="0" applyNumberFormat="1" applyFont="1" applyFill="1" applyBorder="1" applyAlignment="1"/>
    <xf numFmtId="0" fontId="55" fillId="0" borderId="32" xfId="0" applyFont="1" applyFill="1" applyBorder="1"/>
    <xf numFmtId="0" fontId="55" fillId="0" borderId="0" xfId="0" applyFont="1" applyFill="1" applyBorder="1" applyAlignment="1">
      <alignment horizontal="right"/>
    </xf>
    <xf numFmtId="189" fontId="54" fillId="0" borderId="33" xfId="34" applyNumberFormat="1" applyFont="1" applyFill="1" applyBorder="1"/>
    <xf numFmtId="0" fontId="22" fillId="0" borderId="4" xfId="0" applyNumberFormat="1" applyFont="1" applyFill="1" applyBorder="1" applyAlignment="1"/>
    <xf numFmtId="0" fontId="22" fillId="0" borderId="0" xfId="0" applyNumberFormat="1" applyFont="1" applyFill="1" applyBorder="1" applyAlignment="1"/>
    <xf numFmtId="189" fontId="55" fillId="0" borderId="33" xfId="34" applyNumberFormat="1" applyFont="1" applyFill="1" applyBorder="1"/>
    <xf numFmtId="189" fontId="36" fillId="0" borderId="0" xfId="34" applyNumberFormat="1" applyFont="1" applyFill="1" applyBorder="1" applyAlignment="1"/>
    <xf numFmtId="189" fontId="55" fillId="0" borderId="33" xfId="34" applyNumberFormat="1" applyFont="1" applyFill="1" applyBorder="1" applyAlignment="1">
      <alignment horizontal="center"/>
    </xf>
    <xf numFmtId="186" fontId="36" fillId="0" borderId="0" xfId="0" applyNumberFormat="1" applyFont="1" applyFill="1" applyBorder="1" applyAlignment="1"/>
    <xf numFmtId="189" fontId="55" fillId="0" borderId="33" xfId="34" applyNumberFormat="1" applyFont="1" applyFill="1" applyBorder="1" applyAlignment="1"/>
    <xf numFmtId="4" fontId="17" fillId="0" borderId="0" xfId="0" applyNumberFormat="1" applyFont="1" applyFill="1" applyBorder="1" applyAlignment="1"/>
    <xf numFmtId="0" fontId="54" fillId="0" borderId="32" xfId="0" applyFont="1" applyFill="1" applyBorder="1"/>
    <xf numFmtId="177" fontId="21" fillId="0" borderId="0" xfId="0" applyNumberFormat="1" applyFont="1" applyFill="1" applyBorder="1" applyAlignment="1"/>
    <xf numFmtId="189" fontId="36" fillId="0" borderId="0" xfId="0" applyNumberFormat="1" applyFont="1" applyFill="1" applyBorder="1" applyAlignment="1"/>
    <xf numFmtId="0" fontId="36" fillId="0" borderId="24" xfId="0" applyNumberFormat="1" applyFont="1" applyFill="1" applyBorder="1" applyAlignment="1"/>
    <xf numFmtId="0" fontId="36" fillId="0" borderId="21" xfId="0" applyNumberFormat="1" applyFont="1" applyFill="1" applyBorder="1" applyAlignment="1"/>
    <xf numFmtId="3" fontId="36" fillId="0" borderId="21" xfId="0" applyNumberFormat="1" applyFont="1" applyFill="1" applyBorder="1" applyAlignment="1"/>
    <xf numFmtId="177" fontId="21" fillId="0" borderId="21" xfId="0" applyNumberFormat="1" applyFont="1" applyFill="1" applyBorder="1" applyAlignment="1"/>
    <xf numFmtId="0" fontId="36" fillId="0" borderId="55" xfId="0" applyNumberFormat="1" applyFont="1" applyFill="1" applyBorder="1" applyAlignment="1"/>
    <xf numFmtId="178" fontId="4" fillId="0" borderId="0" xfId="75" applyNumberFormat="1" applyFont="1" applyFill="1" applyBorder="1"/>
    <xf numFmtId="179" fontId="4" fillId="0" borderId="0" xfId="75" applyNumberFormat="1" applyFont="1" applyFill="1" applyBorder="1"/>
    <xf numFmtId="179" fontId="13" fillId="0" borderId="0" xfId="75" applyNumberFormat="1" applyFont="1" applyFill="1" applyBorder="1"/>
    <xf numFmtId="169" fontId="5" fillId="0" borderId="17" xfId="76" applyNumberFormat="1" applyFont="1" applyFill="1" applyBorder="1" applyAlignment="1" applyProtection="1"/>
    <xf numFmtId="0" fontId="14" fillId="0" borderId="0" xfId="0" applyNumberFormat="1" applyFont="1" applyFill="1" applyAlignment="1">
      <alignment horizontal="center"/>
    </xf>
    <xf numFmtId="0" fontId="34" fillId="0" borderId="58" xfId="0" applyNumberFormat="1" applyFont="1" applyFill="1" applyBorder="1" applyAlignment="1">
      <alignment horizontal="center"/>
    </xf>
    <xf numFmtId="0" fontId="34" fillId="0" borderId="52" xfId="0" applyNumberFormat="1" applyFont="1" applyFill="1" applyBorder="1" applyAlignment="1">
      <alignment horizontal="center"/>
    </xf>
    <xf numFmtId="0" fontId="34" fillId="0" borderId="28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23" xfId="0" applyNumberFormat="1" applyFont="1" applyFill="1" applyBorder="1" applyAlignment="1">
      <alignment horizontal="center" wrapText="1"/>
    </xf>
    <xf numFmtId="0" fontId="11" fillId="0" borderId="54" xfId="0" applyNumberFormat="1" applyFont="1" applyFill="1" applyBorder="1" applyAlignment="1">
      <alignment horizontal="center" wrapText="1"/>
    </xf>
    <xf numFmtId="0" fontId="43" fillId="0" borderId="23" xfId="0" applyNumberFormat="1" applyFont="1" applyFill="1" applyBorder="1" applyAlignment="1">
      <alignment horizontal="center" wrapText="1"/>
    </xf>
    <xf numFmtId="0" fontId="43" fillId="0" borderId="44" xfId="0" applyFont="1" applyFill="1" applyBorder="1" applyAlignment="1">
      <alignment horizontal="center" wrapText="1"/>
    </xf>
    <xf numFmtId="0" fontId="43" fillId="0" borderId="54" xfId="0" applyFont="1" applyFill="1" applyBorder="1" applyAlignment="1">
      <alignment horizontal="center" wrapText="1"/>
    </xf>
    <xf numFmtId="0" fontId="34" fillId="0" borderId="23" xfId="0" applyNumberFormat="1" applyFont="1" applyFill="1" applyBorder="1" applyAlignment="1">
      <alignment horizontal="center" wrapText="1"/>
    </xf>
    <xf numFmtId="0" fontId="53" fillId="0" borderId="44" xfId="0" applyFont="1" applyFill="1" applyBorder="1" applyAlignment="1">
      <alignment wrapText="1"/>
    </xf>
    <xf numFmtId="0" fontId="53" fillId="0" borderId="54" xfId="0" applyFont="1" applyFill="1" applyBorder="1" applyAlignment="1">
      <alignment wrapText="1"/>
    </xf>
    <xf numFmtId="0" fontId="16" fillId="0" borderId="0" xfId="0" applyNumberFormat="1" applyFont="1" applyFill="1" applyAlignment="1">
      <alignment horizontal="center"/>
    </xf>
    <xf numFmtId="0" fontId="11" fillId="0" borderId="0" xfId="75" applyFont="1" applyFill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36" fillId="0" borderId="0" xfId="0" applyFont="1" applyFill="1" applyBorder="1" applyAlignment="1"/>
    <xf numFmtId="0" fontId="36" fillId="0" borderId="4" xfId="0" applyNumberFormat="1" applyFont="1" applyFill="1" applyBorder="1" applyAlignment="1">
      <alignment wrapText="1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34" fillId="0" borderId="0" xfId="80" applyFont="1" applyFill="1" applyAlignment="1">
      <alignment horizontal="left"/>
    </xf>
    <xf numFmtId="0" fontId="0" fillId="0" borderId="0" xfId="0" applyFill="1" applyAlignment="1"/>
    <xf numFmtId="0" fontId="14" fillId="0" borderId="0" xfId="0" applyNumberFormat="1" applyFont="1" applyFill="1" applyAlignment="1">
      <alignment horizontal="left"/>
    </xf>
    <xf numFmtId="0" fontId="0" fillId="0" borderId="0" xfId="0" applyFill="1" applyBorder="1" applyAlignment="1"/>
    <xf numFmtId="0" fontId="105" fillId="0" borderId="23" xfId="0" applyFont="1" applyBorder="1" applyAlignment="1">
      <alignment horizontal="center"/>
    </xf>
    <xf numFmtId="0" fontId="105" fillId="0" borderId="44" xfId="0" applyFont="1" applyBorder="1" applyAlignment="1">
      <alignment horizontal="center"/>
    </xf>
    <xf numFmtId="0" fontId="105" fillId="0" borderId="54" xfId="0" applyFont="1" applyBorder="1" applyAlignment="1">
      <alignment horizontal="center"/>
    </xf>
    <xf numFmtId="0" fontId="105" fillId="0" borderId="23" xfId="0" applyFont="1" applyBorder="1" applyAlignment="1">
      <alignment horizontal="center" wrapText="1"/>
    </xf>
    <xf numFmtId="0" fontId="0" fillId="0" borderId="44" xfId="0" applyBorder="1" applyAlignment="1">
      <alignment wrapText="1"/>
    </xf>
    <xf numFmtId="0" fontId="0" fillId="0" borderId="54" xfId="0" applyBorder="1" applyAlignment="1">
      <alignment wrapText="1"/>
    </xf>
  </cellXfs>
  <cellStyles count="102">
    <cellStyle name="_x000d__x000a_JournalTemplate=C:\COMFO\CTALK\JOURSTD.TPL_x000d__x000a_LbStateAddress=3 3 0 251 1 89 2 311_x000d__x000a_LbStateJou" xfId="1"/>
    <cellStyle name="_x000d__x000a_JournalTemplate=C:\COMFO\CTALK\JOURSTD.TPL_x000d__x000a_LbStateAddress=3 3 0 251 1 89 2 311_x000d__x000a_LbStateJou 2" xfId="2"/>
    <cellStyle name="%" xfId="3"/>
    <cellStyle name="% 2" xfId="4"/>
    <cellStyle name="20% - Accent1" xfId="5" builtinId="30" customBuiltin="1"/>
    <cellStyle name="20% - Accent2" xfId="6" builtinId="34" customBuiltin="1"/>
    <cellStyle name="20% - Accent3" xfId="7" builtinId="38" customBuiltin="1"/>
    <cellStyle name="20% - Accent4" xfId="8" builtinId="42" customBuiltin="1"/>
    <cellStyle name="20% - Accent5" xfId="9" builtinId="46" customBuiltin="1"/>
    <cellStyle name="20% - Accent6" xfId="10" builtinId="50" customBuiltin="1"/>
    <cellStyle name="40% - Accent1" xfId="11" builtinId="31" customBuiltin="1"/>
    <cellStyle name="40% - Accent2" xfId="12" builtinId="35" customBuiltin="1"/>
    <cellStyle name="40% - Accent3" xfId="13" builtinId="39" customBuiltin="1"/>
    <cellStyle name="40% - Accent4" xfId="14" builtinId="43" customBuiltin="1"/>
    <cellStyle name="40% - Accent5" xfId="15" builtinId="47" customBuiltin="1"/>
    <cellStyle name="40% - Accent6" xfId="16" builtinId="51" customBuiltin="1"/>
    <cellStyle name="60% - Accent1" xfId="17" builtinId="32" customBuiltin="1"/>
    <cellStyle name="60% - Accent2" xfId="18" builtinId="36" customBuiltin="1"/>
    <cellStyle name="60% - Accent3" xfId="19" builtinId="40" customBuiltin="1"/>
    <cellStyle name="60% - Accent4" xfId="20" builtinId="44" customBuiltin="1"/>
    <cellStyle name="60% - Accent5" xfId="21" builtinId="48" customBuiltin="1"/>
    <cellStyle name="60% - Accent6" xfId="22" builtinId="52" customBuiltin="1"/>
    <cellStyle name="Accent1" xfId="23" builtinId="29" customBuiltin="1"/>
    <cellStyle name="Accent2" xfId="24" builtinId="33" customBuiltin="1"/>
    <cellStyle name="Accent3" xfId="25" builtinId="37" customBuiltin="1"/>
    <cellStyle name="Accent4" xfId="26" builtinId="41" customBuiltin="1"/>
    <cellStyle name="Accent5" xfId="27" builtinId="45" customBuiltin="1"/>
    <cellStyle name="Accent6" xfId="28" builtinId="49" customBuiltin="1"/>
    <cellStyle name="amount" xfId="29"/>
    <cellStyle name="Bad" xfId="30" builtinId="27" customBuiltin="1"/>
    <cellStyle name="Body text" xfId="31"/>
    <cellStyle name="Calculation" xfId="32" builtinId="22" customBuiltin="1"/>
    <cellStyle name="Check Cell" xfId="33" builtinId="23" customBuiltin="1"/>
    <cellStyle name="Comma" xfId="34" builtinId="3"/>
    <cellStyle name="Comma 2" xfId="35"/>
    <cellStyle name="Comma 2 2" xfId="36"/>
    <cellStyle name="Currency" xfId="37" builtinId="4"/>
    <cellStyle name="Euro" xfId="38"/>
    <cellStyle name="Euro 2" xfId="39"/>
    <cellStyle name="Explanatory Text" xfId="40" builtinId="53" customBuiltin="1"/>
    <cellStyle name="Good" xfId="41" builtinId="26" customBuiltin="1"/>
    <cellStyle name="header" xfId="42"/>
    <cellStyle name="Header Total" xfId="43"/>
    <cellStyle name="Header1" xfId="44"/>
    <cellStyle name="Header2" xfId="45"/>
    <cellStyle name="Header3" xfId="46"/>
    <cellStyle name="Header4" xfId="47"/>
    <cellStyle name="Heading 1" xfId="48" builtinId="16" customBuiltin="1"/>
    <cellStyle name="Heading 2" xfId="49" builtinId="17" customBuiltin="1"/>
    <cellStyle name="Heading 3" xfId="50" builtinId="18" customBuiltin="1"/>
    <cellStyle name="Heading 4" xfId="51" builtinId="19" customBuiltin="1"/>
    <cellStyle name="Input" xfId="52" builtinId="20" customBuiltin="1"/>
    <cellStyle name="Linked Cell" xfId="53" builtinId="24" customBuiltin="1"/>
    <cellStyle name="Neutral" xfId="54" builtinId="28" customBuiltin="1"/>
    <cellStyle name="NonPrint_Heading" xfId="55"/>
    <cellStyle name="Normal" xfId="0" builtinId="0"/>
    <cellStyle name="Normal - Style1" xfId="56"/>
    <cellStyle name="Normal - Style2" xfId="57"/>
    <cellStyle name="Normal - Style3" xfId="58"/>
    <cellStyle name="Normal - Style4" xfId="59"/>
    <cellStyle name="Normal - Style5" xfId="60"/>
    <cellStyle name="Normal - Style6" xfId="61"/>
    <cellStyle name="Normal - Style7" xfId="62"/>
    <cellStyle name="Normal - Style8" xfId="63"/>
    <cellStyle name="Normal 10" xfId="64"/>
    <cellStyle name="Normal 11" xfId="65"/>
    <cellStyle name="Normal 12" xfId="66"/>
    <cellStyle name="Normal 2" xfId="67"/>
    <cellStyle name="Normal 3" xfId="68"/>
    <cellStyle name="Normal 4" xfId="69"/>
    <cellStyle name="Normal 5" xfId="70"/>
    <cellStyle name="Normal 6" xfId="71"/>
    <cellStyle name="Normal 7" xfId="72"/>
    <cellStyle name="Normal 8" xfId="73"/>
    <cellStyle name="Normal 9" xfId="74"/>
    <cellStyle name="Normal_CATV Embedded Cost Analysis" xfId="75"/>
    <cellStyle name="Normal_Cust Ops Street Light Material Costs 2005" xfId="76"/>
    <cellStyle name="Normal_Lighting Study Calculations" xfId="77"/>
    <cellStyle name="Normal_Rates 2012 01 01" xfId="78"/>
    <cellStyle name="Normal_Sheet1" xfId="79"/>
    <cellStyle name="Normal_Street Light Life Calculations 2005" xfId="80"/>
    <cellStyle name="Normal_Total Assets" xfId="81"/>
    <cellStyle name="Normal_Unmetered 2011 Update File" xfId="82"/>
    <cellStyle name="Normal_Unmetered Service Rates Control File" xfId="83"/>
    <cellStyle name="Note" xfId="84" builtinId="10" customBuiltin="1"/>
    <cellStyle name="Note 2" xfId="85"/>
    <cellStyle name="Output" xfId="86" builtinId="21" customBuiltin="1"/>
    <cellStyle name="Output Amounts" xfId="87"/>
    <cellStyle name="Output Column Headings" xfId="88"/>
    <cellStyle name="Output Line Items" xfId="89"/>
    <cellStyle name="Output Report Heading" xfId="90"/>
    <cellStyle name="Output Report Title" xfId="91"/>
    <cellStyle name="Percent" xfId="92" builtinId="5"/>
    <cellStyle name="Priceheader" xfId="93"/>
    <cellStyle name="Product Title" xfId="94"/>
    <cellStyle name="Standard_version5" xfId="95"/>
    <cellStyle name="Style 1" xfId="96"/>
    <cellStyle name="Text" xfId="97"/>
    <cellStyle name="Title" xfId="98" builtinId="15" customBuiltin="1"/>
    <cellStyle name="Total" xfId="99" builtinId="25" customBuiltin="1"/>
    <cellStyle name="Tusental_Polyfoam_CVA" xfId="100"/>
    <cellStyle name="Warning Text" xfId="101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theme" Target="theme/theme1.xml"/><Relationship Id="rId46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866775</xdr:colOff>
      <xdr:row>7</xdr:row>
      <xdr:rowOff>133350</xdr:rowOff>
    </xdr:from>
    <xdr:to>
      <xdr:col>4</xdr:col>
      <xdr:colOff>819150</xdr:colOff>
      <xdr:row>7</xdr:row>
      <xdr:rowOff>133350</xdr:rowOff>
    </xdr:to>
    <xdr:sp macro="" textlink="">
      <xdr:nvSpPr>
        <xdr:cNvPr id="11458" name="Line 1"/>
        <xdr:cNvSpPr>
          <a:spLocks noChangeShapeType="1"/>
        </xdr:cNvSpPr>
      </xdr:nvSpPr>
      <xdr:spPr bwMode="auto">
        <a:xfrm>
          <a:off x="3724275" y="1543050"/>
          <a:ext cx="2857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2486025</xdr:colOff>
      <xdr:row>9</xdr:row>
      <xdr:rowOff>123825</xdr:rowOff>
    </xdr:from>
    <xdr:to>
      <xdr:col>3</xdr:col>
      <xdr:colOff>609600</xdr:colOff>
      <xdr:row>9</xdr:row>
      <xdr:rowOff>123825</xdr:rowOff>
    </xdr:to>
    <xdr:sp macro="" textlink="">
      <xdr:nvSpPr>
        <xdr:cNvPr id="11459" name="Line 2"/>
        <xdr:cNvSpPr>
          <a:spLocks noChangeShapeType="1"/>
        </xdr:cNvSpPr>
      </xdr:nvSpPr>
      <xdr:spPr bwMode="auto">
        <a:xfrm>
          <a:off x="2486025" y="1933575"/>
          <a:ext cx="29813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PHGFH/Month%20end%20costing/Year%202002/Dec-02/Maintenance%20Dec-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DOCUME~1/ADMINI~1/LOCALS~1/Temp/notesEA312D/UoF%20Business%20Case%20SAIC%20Revised%20121206%20RL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DOCUME~1/ADMINI~1/LOCALS~1/Temp/notesC9812B/High%20Risk%20List%20Feb06%20JBarr%202-07-06%20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Program%20Files/IBM/wwgpe/System/Program/WWGP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f757\My%20Documents\A.%20NSPI\A.12.%20Nucleas%20Forwards\Forward%20Curve_NG_Cal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f757\My%20Documents\A.%20NSPI\A.12.%20Nucleas%20Forwards\HFO-NG%20spread_rev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Excel/Revenue/COMM%20YTD%20Rev%20and%20GP%2001-30-06%20v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Nspe\Common\Position\HFO%20Position\Financi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Documents%20and%20Settings/Administrator/My%20Documents/Allfiles/QRM/High%20Risk%20-%207%20Keys/February%2005/Final/High%20Risk%20Projects%20-%20Report%20for%2003-01-05%20Call%20(V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TMS/Forecast%20Model%2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pifs02\FIN\Documents%20and%20Settings\Administrateur\Mes%20documents\CLIENTS\HYDRO-QUEBEC\AMI%20BENCHMARK\HQ%20AMI%20Benchmarks%20-%2020090507%20vP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hris%20Hooper/Production/Month%20End%20Figures/Q3%20-%202000/rep0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DOCUME~1/ADMINI~1/LOCALS~1/Temp/notes3C72B0/High%20Risk%20Projects%20-%20Template%20for%2003-01-05%20(V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f259/Local%20Settings/Temporary%20Internet%20Files/OLK6/ImplodedCars3Don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ick's%20Files/Rick's%20Files%20-%20SEPH%2003+/Budgets/Budget%2007/schedule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2003%20update_August%20forecast11(fixed%20cost40-65)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ick's%20Files/Rick's%20Files%20-%20SEPH%2003+/Results/2007/Misc/Aug-07%20Report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h394/Local%20Settings/Temporary%20Internet%20Files/Content.Outlook/8R7ZRYWP/LED%20EAM%20by%20Finance%20(with%20stranded%20asset)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HFO%20Forward%20Curv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f757\Local%20Settings\Temporary%20Internet%20Files\OLK6\Shell%20Nomination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"/>
      <sheetName val="Adj"/>
      <sheetName val="Adj (2)"/>
      <sheetName val="Misc adj"/>
      <sheetName val="Current month"/>
      <sheetName val="Sheet1"/>
      <sheetName val="Reconciliation"/>
      <sheetName val="JE-COMM"/>
      <sheetName val="Maj mtc acc"/>
      <sheetName val="Adjustment"/>
      <sheetName val="Maj mtc acc adj"/>
      <sheetName val="JE-COMM Adj"/>
      <sheetName val="JE-DEPT-Adj"/>
      <sheetName val="JE-DEPT"/>
      <sheetName val="Prev YTD"/>
      <sheetName val="Curr YTD"/>
      <sheetName val="Major Mtce"/>
      <sheetName val="Major Mtce  Prev YTD"/>
      <sheetName val="Major Mtce Curr YTD"/>
      <sheetName val="Accr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siness Case"/>
      <sheetName val="Pick Lists &amp; Costs"/>
      <sheetName val="Assumptions"/>
      <sheetName val="Data"/>
      <sheetName val="OMS-DMS Benefits"/>
      <sheetName val="CBM Benefits"/>
      <sheetName val="Grid Design Benefits"/>
      <sheetName val="DG Benefits"/>
      <sheetName val="Accenture Benefits Input"/>
      <sheetName val="Accenture Resource Inputs"/>
      <sheetName val="OMS-DMS Cost"/>
      <sheetName val="CBM Cost"/>
      <sheetName val="CBM Alarming Cost"/>
      <sheetName val="Grid Design Mon&amp;Control Cost"/>
      <sheetName val="Grid Design T&amp;D Design Cost"/>
      <sheetName val="Distributed Generation Cost"/>
      <sheetName val="OMS-DMS Assumptions"/>
      <sheetName val="Substation Automation"/>
      <sheetName val="SDG&amp;E Resource Summary"/>
      <sheetName val="Benefit Ratio Graph"/>
      <sheetName val="Cashflow Graphs"/>
      <sheetName val="DCF Graph"/>
      <sheetName val="CapEx Graph"/>
    </sheetNames>
    <sheetDataSet>
      <sheetData sheetId="0"/>
      <sheetData sheetId="1"/>
      <sheetData sheetId="2" refreshError="1">
        <row r="8">
          <cell r="B8" t="str">
            <v>Operational Flexibility</v>
          </cell>
        </row>
        <row r="9">
          <cell r="B9" t="str">
            <v>Reduction in congestion cost</v>
          </cell>
        </row>
        <row r="10">
          <cell r="B10" t="str">
            <v xml:space="preserve">Reduced blackout probability </v>
          </cell>
        </row>
        <row r="11">
          <cell r="B11" t="str">
            <v>Reduction in forced outages/interruptions</v>
          </cell>
        </row>
        <row r="12">
          <cell r="B12" t="str">
            <v xml:space="preserve">Reduction in restoration time </v>
          </cell>
        </row>
        <row r="13">
          <cell r="B13" t="str">
            <v xml:space="preserve">Reduced operations and maintenance due to predictive analytics and self healing attribute of the grid </v>
          </cell>
        </row>
        <row r="14">
          <cell r="B14" t="str">
            <v>Reduction in peak demand</v>
          </cell>
        </row>
        <row r="15">
          <cell r="B15" t="str">
            <v>Increased integration of distributed generation resources and higher capacity utilization</v>
          </cell>
        </row>
        <row r="16">
          <cell r="B16" t="str">
            <v>Increased security and tolerance to attacks/ natural disasters</v>
          </cell>
        </row>
        <row r="17">
          <cell r="B17" t="str">
            <v xml:space="preserve">Power quality, reliability, and system availability and capacity improvement due to improved power flow </v>
          </cell>
        </row>
        <row r="18">
          <cell r="B18" t="str">
            <v>Job creation &amp; increased GDP</v>
          </cell>
        </row>
        <row r="19">
          <cell r="B19" t="str">
            <v>Increased capital investment efficiency due to tighter design limits and optimized use of grid assets</v>
          </cell>
        </row>
        <row r="20">
          <cell r="B20" t="str">
            <v>Tax gain from Depreciation Increase</v>
          </cell>
        </row>
        <row r="21">
          <cell r="B21" t="str">
            <v>Environmental benefits gained by increased asset utilization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l Participants"/>
      <sheetName val="Sony Project Star"/>
      <sheetName val="Washington Post - PAMS"/>
      <sheetName val="ADVO"/>
      <sheetName val="Proquest AMS "/>
      <sheetName val="Sony Blu-ray"/>
      <sheetName val="20th Century Fox "/>
      <sheetName val="MICHICAN ELECTRIC"/>
      <sheetName val="Cinergy"/>
      <sheetName val="SoCal Edison"/>
      <sheetName val="PG&amp;E ADV"/>
      <sheetName val="PG&amp;E SAP HR"/>
      <sheetName val="DTE"/>
      <sheetName val="Northeast Util"/>
      <sheetName val="MPP Contracts"/>
      <sheetName val="MPP Work Numbers"/>
      <sheetName val="ITD ESSBASE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0">
          <cell r="A10" t="str">
            <v>5255F</v>
          </cell>
          <cell r="B10" t="str">
            <v>MED</v>
          </cell>
          <cell r="C10" t="str">
            <v>FM</v>
          </cell>
          <cell r="D10" t="str">
            <v>FM</v>
          </cell>
          <cell r="E10" t="str">
            <v>C&amp;SI</v>
          </cell>
          <cell r="F10" t="str">
            <v>ADVO</v>
          </cell>
          <cell r="G10" t="str">
            <v>SDR R3 SERVICE REQUEST</v>
          </cell>
          <cell r="H10" t="str">
            <v>5255F</v>
          </cell>
          <cell r="I10">
            <v>3</v>
          </cell>
          <cell r="J10" t="str">
            <v>David Costa/Bedford/IBM</v>
          </cell>
          <cell r="K10" t="str">
            <v>David L Patton/Charlotte/IBM</v>
          </cell>
          <cell r="L10" t="str">
            <v>FP</v>
          </cell>
          <cell r="M10">
            <v>38257</v>
          </cell>
          <cell r="N10">
            <v>38898</v>
          </cell>
          <cell r="O10">
            <v>3135952.82</v>
          </cell>
          <cell r="P10">
            <v>11496866.369999999</v>
          </cell>
          <cell r="Q10">
            <v>3135952.82</v>
          </cell>
          <cell r="R10">
            <v>0.25124771194500711</v>
          </cell>
          <cell r="S10">
            <v>0.29764952060770927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C10" t="str">
            <v/>
          </cell>
          <cell r="AD10" t="str">
            <v>Y</v>
          </cell>
          <cell r="AE10" t="str">
            <v>Giblin</v>
          </cell>
          <cell r="AF10" t="str">
            <v>Y</v>
          </cell>
          <cell r="AG10" t="str">
            <v>Oracle ISV</v>
          </cell>
          <cell r="AH10" t="str">
            <v>Diane Hessler</v>
          </cell>
          <cell r="AI10" t="str">
            <v>H</v>
          </cell>
          <cell r="AJ10" t="str">
            <v>C</v>
          </cell>
          <cell r="AK10">
            <v>38687</v>
          </cell>
          <cell r="AL10">
            <v>38777</v>
          </cell>
          <cell r="AM10" t="str">
            <v>G</v>
          </cell>
          <cell r="AN10" t="str">
            <v>Y</v>
          </cell>
          <cell r="AO10" t="str">
            <v>Y</v>
          </cell>
          <cell r="AP10" t="str">
            <v>Y</v>
          </cell>
          <cell r="AQ10" t="str">
            <v>G</v>
          </cell>
          <cell r="AR10" t="str">
            <v>Y</v>
          </cell>
          <cell r="AS10" t="str">
            <v>R</v>
          </cell>
          <cell r="AU10" t="str">
            <v>FINANCIAL MANAGEMENT</v>
          </cell>
          <cell r="AV10" t="str">
            <v>O</v>
          </cell>
          <cell r="AW10">
            <v>56848</v>
          </cell>
          <cell r="AX10">
            <v>43.5</v>
          </cell>
          <cell r="AY10">
            <v>7.6519842386715451E-4</v>
          </cell>
          <cell r="AZ10">
            <v>11496866.369999999</v>
          </cell>
          <cell r="BA10">
            <v>8608305</v>
          </cell>
          <cell r="BB10">
            <v>2888561.37</v>
          </cell>
          <cell r="BC10">
            <v>660571</v>
          </cell>
          <cell r="BD10">
            <v>7.6736477157814453E-2</v>
          </cell>
          <cell r="BE10">
            <v>8360913.5500000007</v>
          </cell>
          <cell r="BF10">
            <v>5872291.6399999997</v>
          </cell>
          <cell r="BG10">
            <v>2488621.91</v>
          </cell>
          <cell r="BH10">
            <v>-399939.4599999981</v>
          </cell>
          <cell r="BI10">
            <v>4.640180866270216E-2</v>
          </cell>
          <cell r="BJ10">
            <v>8235303.5499999998</v>
          </cell>
          <cell r="BK10">
            <v>5840872.1199999992</v>
          </cell>
          <cell r="BL10">
            <v>2394431.4300000002</v>
          </cell>
          <cell r="BM10">
            <v>0.2907520549136286</v>
          </cell>
          <cell r="BN10">
            <v>3.9504342968621486E-2</v>
          </cell>
          <cell r="BO10" t="str">
            <v>ISU</v>
          </cell>
          <cell r="BP10" t="str">
            <v>O</v>
          </cell>
          <cell r="BQ10" t="str">
            <v>FX</v>
          </cell>
          <cell r="BR10">
            <v>93091</v>
          </cell>
          <cell r="BS10" t="str">
            <v>6YR</v>
          </cell>
          <cell r="BT10">
            <v>4794801</v>
          </cell>
          <cell r="BW10" t="str">
            <v/>
          </cell>
          <cell r="BX10" t="str">
            <v>Rated</v>
          </cell>
          <cell r="BY10" t="str">
            <v>Over</v>
          </cell>
          <cell r="BZ10" t="str">
            <v>C</v>
          </cell>
          <cell r="CA10" t="str">
            <v>H</v>
          </cell>
          <cell r="CG10">
            <v>11367664.369999999</v>
          </cell>
          <cell r="CH10">
            <v>7183523.8700000001</v>
          </cell>
          <cell r="CI10">
            <v>4184140.5</v>
          </cell>
          <cell r="CJ10">
            <v>0.36807389484881498</v>
          </cell>
          <cell r="CK10">
            <v>0.11682618290380786</v>
          </cell>
          <cell r="CL10" t="str">
            <v>turnover to ISV tbd after Paul's follow-up</v>
          </cell>
          <cell r="CM10" t="str">
            <v/>
          </cell>
          <cell r="CN10" t="str">
            <v/>
          </cell>
          <cell r="CO10" t="str">
            <v/>
          </cell>
          <cell r="CP10" t="str">
            <v/>
          </cell>
          <cell r="CQ10" t="str">
            <v/>
          </cell>
          <cell r="CR10" t="str">
            <v/>
          </cell>
          <cell r="CS10">
            <v>38231</v>
          </cell>
          <cell r="CT10" t="str">
            <v/>
          </cell>
          <cell r="CV10" t="str">
            <v/>
          </cell>
          <cell r="CW10" t="str">
            <v>FINANCIAL MANAGEMENT</v>
          </cell>
        </row>
        <row r="11">
          <cell r="A11" t="str">
            <v>CFTMFYL</v>
          </cell>
          <cell r="B11" t="str">
            <v>UTL</v>
          </cell>
          <cell r="C11" t="str">
            <v>SCM</v>
          </cell>
          <cell r="D11" t="str">
            <v>SCM</v>
          </cell>
          <cell r="E11" t="str">
            <v>C&amp;SI</v>
          </cell>
          <cell r="F11" t="str">
            <v>ALLIED WAST IND</v>
          </cell>
          <cell r="G11" t="str">
            <v>Strategic Initiatives</v>
          </cell>
          <cell r="H11" t="str">
            <v>CFTMFYL</v>
          </cell>
          <cell r="I11">
            <v>1</v>
          </cell>
          <cell r="J11" t="str">
            <v>Mitchell D Simon/Irvine/IBM</v>
          </cell>
          <cell r="K11" t="str">
            <v>William Isbell/Los Angeles/IBM</v>
          </cell>
          <cell r="L11" t="str">
            <v>BE</v>
          </cell>
          <cell r="M11">
            <v>37895</v>
          </cell>
          <cell r="N11">
            <v>38898</v>
          </cell>
          <cell r="O11">
            <v>48238.5</v>
          </cell>
          <cell r="P11">
            <v>1439068.5</v>
          </cell>
          <cell r="Q11">
            <v>48238.5</v>
          </cell>
          <cell r="R11">
            <v>0.40569889480591093</v>
          </cell>
          <cell r="S11">
            <v>0.40761228906480307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C11" t="str">
            <v/>
          </cell>
          <cell r="AD11" t="str">
            <v/>
          </cell>
          <cell r="AE11" t="str">
            <v>Giblin</v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>Waived</v>
          </cell>
          <cell r="AK11" t="str">
            <v/>
          </cell>
          <cell r="AL11" t="str">
            <v>N/A</v>
          </cell>
          <cell r="AM11" t="str">
            <v/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 t="str">
            <v/>
          </cell>
          <cell r="AS11" t="str">
            <v/>
          </cell>
          <cell r="AU11" t="str">
            <v>SUPPLY CHAIN MANAGEMENT</v>
          </cell>
          <cell r="AV11" t="str">
            <v>O</v>
          </cell>
          <cell r="AW11">
            <v>7590.5</v>
          </cell>
          <cell r="AX11">
            <v>0</v>
          </cell>
          <cell r="AY11">
            <v>0</v>
          </cell>
          <cell r="AZ11">
            <v>1439068.5</v>
          </cell>
          <cell r="BA11">
            <v>855240</v>
          </cell>
          <cell r="BB11">
            <v>583828.5</v>
          </cell>
          <cell r="BC11">
            <v>34209</v>
          </cell>
          <cell r="BD11">
            <v>3.9999298442542443E-2</v>
          </cell>
          <cell r="BE11">
            <v>1390830</v>
          </cell>
          <cell r="BF11">
            <v>823910.6</v>
          </cell>
          <cell r="BG11">
            <v>566919.4</v>
          </cell>
          <cell r="BH11">
            <v>-16909.099999999999</v>
          </cell>
          <cell r="BI11">
            <v>1.9133942588921427E-3</v>
          </cell>
          <cell r="BJ11">
            <v>164525</v>
          </cell>
          <cell r="BK11">
            <v>98321.51</v>
          </cell>
          <cell r="BL11">
            <v>66203.490000000005</v>
          </cell>
          <cell r="BM11">
            <v>0.40239167299802464</v>
          </cell>
          <cell r="BN11">
            <v>-3.3072218078862847E-3</v>
          </cell>
          <cell r="BO11" t="str">
            <v>SMB</v>
          </cell>
          <cell r="BP11" t="str">
            <v>O</v>
          </cell>
          <cell r="BQ11" t="str">
            <v>FX</v>
          </cell>
          <cell r="BR11">
            <v>972853</v>
          </cell>
          <cell r="BS11" t="str">
            <v>Q3R</v>
          </cell>
          <cell r="BT11">
            <v>1228800</v>
          </cell>
          <cell r="BW11" t="str">
            <v/>
          </cell>
          <cell r="BX11" t="str">
            <v>Rated</v>
          </cell>
          <cell r="BY11" t="str">
            <v>Over</v>
          </cell>
          <cell r="BZ11" t="str">
            <v>Other</v>
          </cell>
          <cell r="CA11" t="str">
            <v/>
          </cell>
          <cell r="CG11">
            <v>1385730</v>
          </cell>
          <cell r="CH11">
            <v>822369.8</v>
          </cell>
          <cell r="CI11">
            <v>563360.19999999995</v>
          </cell>
          <cell r="CJ11">
            <v>0.40654398764550087</v>
          </cell>
          <cell r="CK11">
            <v>8.4509283958994486E-4</v>
          </cell>
          <cell r="CL11" t="str">
            <v>Waived…low backlog</v>
          </cell>
          <cell r="CM11" t="str">
            <v/>
          </cell>
          <cell r="CN11" t="str">
            <v/>
          </cell>
          <cell r="CO11" t="str">
            <v/>
          </cell>
          <cell r="CP11" t="str">
            <v/>
          </cell>
          <cell r="CQ11" t="str">
            <v/>
          </cell>
          <cell r="CR11" t="str">
            <v/>
          </cell>
          <cell r="CS11">
            <v>37895</v>
          </cell>
          <cell r="CT11" t="str">
            <v/>
          </cell>
          <cell r="CV11" t="str">
            <v/>
          </cell>
          <cell r="CW11" t="str">
            <v>SUPPLY CHAIN MANAGEMENT</v>
          </cell>
        </row>
        <row r="12">
          <cell r="A12" t="str">
            <v>CFTQYCM</v>
          </cell>
          <cell r="B12" t="str">
            <v>TEL</v>
          </cell>
          <cell r="C12" t="str">
            <v>AIS</v>
          </cell>
          <cell r="D12" t="str">
            <v>AIS</v>
          </cell>
          <cell r="E12" t="str">
            <v>C&amp;SI</v>
          </cell>
          <cell r="F12" t="str">
            <v>ALLTEL COM</v>
          </cell>
          <cell r="G12" t="str">
            <v>LOA-WBI Conversion</v>
          </cell>
          <cell r="H12" t="str">
            <v>CFTQYCM</v>
          </cell>
          <cell r="I12">
            <v>2</v>
          </cell>
          <cell r="J12" t="str">
            <v>Kenneth Pierce/Boulder/IBM</v>
          </cell>
          <cell r="K12" t="str">
            <v>Bob R Morgan/Boulder/IBM</v>
          </cell>
          <cell r="L12" t="str">
            <v>BE</v>
          </cell>
          <cell r="M12">
            <v>38253</v>
          </cell>
          <cell r="N12">
            <v>38898</v>
          </cell>
          <cell r="O12">
            <v>1195515</v>
          </cell>
          <cell r="P12">
            <v>5179536.43</v>
          </cell>
          <cell r="Q12">
            <v>1195515</v>
          </cell>
          <cell r="R12">
            <v>0.42748177562291995</v>
          </cell>
          <cell r="S12">
            <v>0.32166107600480465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>Y</v>
          </cell>
          <cell r="Y12" t="str">
            <v>Y</v>
          </cell>
          <cell r="Z12" t="str">
            <v/>
          </cell>
          <cell r="AA12" t="str">
            <v/>
          </cell>
          <cell r="AC12" t="str">
            <v>Y</v>
          </cell>
          <cell r="AD12" t="str">
            <v>Y</v>
          </cell>
          <cell r="AE12" t="str">
            <v>Coleman</v>
          </cell>
          <cell r="AF12" t="str">
            <v/>
          </cell>
          <cell r="AG12" t="str">
            <v/>
          </cell>
          <cell r="AH12" t="str">
            <v>NA</v>
          </cell>
          <cell r="AI12" t="str">
            <v>M</v>
          </cell>
          <cell r="AJ12" t="str">
            <v>B</v>
          </cell>
          <cell r="AK12">
            <v>38384</v>
          </cell>
          <cell r="AL12">
            <v>38749</v>
          </cell>
          <cell r="AM12" t="str">
            <v>G</v>
          </cell>
          <cell r="AN12" t="str">
            <v>G</v>
          </cell>
          <cell r="AO12" t="str">
            <v>G</v>
          </cell>
          <cell r="AP12" t="str">
            <v>G</v>
          </cell>
          <cell r="AQ12" t="str">
            <v>Y</v>
          </cell>
          <cell r="AR12" t="str">
            <v>G</v>
          </cell>
          <cell r="AS12" t="str">
            <v>G</v>
          </cell>
          <cell r="AU12" t="str">
            <v>APPLICATION INNOVATION</v>
          </cell>
          <cell r="AV12" t="str">
            <v>O</v>
          </cell>
          <cell r="AW12">
            <v>21655.599999999999</v>
          </cell>
          <cell r="AX12">
            <v>1217.5999999999999</v>
          </cell>
          <cell r="AY12">
            <v>5.6225641404532775E-2</v>
          </cell>
          <cell r="AZ12">
            <v>5179536.43</v>
          </cell>
          <cell r="BA12">
            <v>2965379</v>
          </cell>
          <cell r="BB12">
            <v>2214157.4300000002</v>
          </cell>
          <cell r="BC12">
            <v>250890</v>
          </cell>
          <cell r="BD12">
            <v>8.4606385895361097E-2</v>
          </cell>
          <cell r="BE12">
            <v>3984021.43</v>
          </cell>
          <cell r="BF12">
            <v>2702516.81</v>
          </cell>
          <cell r="BG12">
            <v>1281504.6200000001</v>
          </cell>
          <cell r="BH12">
            <v>-932652.80999999912</v>
          </cell>
          <cell r="BI12">
            <v>-0.1058206996181153</v>
          </cell>
          <cell r="BJ12">
            <v>3442041.43</v>
          </cell>
          <cell r="BK12">
            <v>2333494.77</v>
          </cell>
          <cell r="BL12">
            <v>1108546.6599999999</v>
          </cell>
          <cell r="BM12">
            <v>0.32206081261491387</v>
          </cell>
          <cell r="BN12">
            <v>-0.10542096300800607</v>
          </cell>
          <cell r="BO12" t="str">
            <v>ISU</v>
          </cell>
          <cell r="BP12" t="str">
            <v>O</v>
          </cell>
          <cell r="BQ12" t="str">
            <v>FX</v>
          </cell>
          <cell r="BR12">
            <v>292753</v>
          </cell>
          <cell r="BS12" t="str">
            <v>6Y6</v>
          </cell>
          <cell r="BT12">
            <v>5817700</v>
          </cell>
          <cell r="BW12" t="str">
            <v/>
          </cell>
          <cell r="BX12" t="str">
            <v>Rated</v>
          </cell>
          <cell r="BY12" t="str">
            <v>Over</v>
          </cell>
          <cell r="BZ12" t="str">
            <v>B</v>
          </cell>
          <cell r="CA12" t="str">
            <v>M</v>
          </cell>
          <cell r="CG12">
            <v>4137471.43</v>
          </cell>
          <cell r="CH12">
            <v>2787186.99</v>
          </cell>
          <cell r="CI12">
            <v>1350284.44</v>
          </cell>
          <cell r="CJ12">
            <v>0.32635498826876491</v>
          </cell>
          <cell r="CK12">
            <v>-0.10112678735415503</v>
          </cell>
          <cell r="CL12" t="str">
            <v>can't get team to respond..will try to get it in Oct</v>
          </cell>
          <cell r="CM12" t="str">
            <v/>
          </cell>
          <cell r="CN12" t="str">
            <v/>
          </cell>
          <cell r="CO12" t="str">
            <v/>
          </cell>
          <cell r="CP12" t="str">
            <v/>
          </cell>
          <cell r="CQ12" t="str">
            <v>SOA/Web Services</v>
          </cell>
          <cell r="CR12" t="str">
            <v>Ken Pierce on job. SMEs on his team. SWG; hold $. Work type</v>
          </cell>
          <cell r="CS12">
            <v>38231</v>
          </cell>
          <cell r="CT12" t="str">
            <v/>
          </cell>
          <cell r="CU12" t="str">
            <v>6955-24D</v>
          </cell>
          <cell r="CV12" t="str">
            <v>AMS</v>
          </cell>
          <cell r="CW12" t="str">
            <v>APPLICATION INNOVATION</v>
          </cell>
        </row>
        <row r="13">
          <cell r="A13" t="str">
            <v>CFTK9BN</v>
          </cell>
          <cell r="B13" t="str">
            <v>TEL</v>
          </cell>
          <cell r="C13" t="str">
            <v>AIS</v>
          </cell>
          <cell r="D13" t="str">
            <v>AIS</v>
          </cell>
          <cell r="E13" t="str">
            <v>C&amp;SI</v>
          </cell>
          <cell r="F13" t="str">
            <v>ALLTEL COM</v>
          </cell>
          <cell r="G13" t="str">
            <v>ESF Program</v>
          </cell>
          <cell r="H13" t="str">
            <v>CFTK9BN</v>
          </cell>
          <cell r="I13">
            <v>1</v>
          </cell>
          <cell r="J13" t="str">
            <v>Kenneth Pierce/Boulder/IBM</v>
          </cell>
          <cell r="K13" t="str">
            <v>William P Hetzer/Austin/IBM</v>
          </cell>
          <cell r="L13" t="str">
            <v>BE</v>
          </cell>
          <cell r="M13">
            <v>38473</v>
          </cell>
          <cell r="N13">
            <v>38625</v>
          </cell>
          <cell r="O13">
            <v>259560</v>
          </cell>
          <cell r="P13">
            <v>469800</v>
          </cell>
          <cell r="Q13">
            <v>259560</v>
          </cell>
          <cell r="R13">
            <v>0.39173903788846315</v>
          </cell>
          <cell r="S13">
            <v>2.5372050989345515E-2</v>
          </cell>
          <cell r="T13" t="str">
            <v/>
          </cell>
          <cell r="U13" t="str">
            <v>Y</v>
          </cell>
          <cell r="V13" t="str">
            <v/>
          </cell>
          <cell r="W13" t="str">
            <v/>
          </cell>
          <cell r="X13" t="str">
            <v>Y</v>
          </cell>
          <cell r="Y13" t="str">
            <v>Y</v>
          </cell>
          <cell r="Z13" t="str">
            <v/>
          </cell>
          <cell r="AA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 t="str">
            <v/>
          </cell>
          <cell r="AS13" t="str">
            <v/>
          </cell>
          <cell r="AU13" t="str">
            <v>APPLICATION INNOVATION</v>
          </cell>
          <cell r="AV13" t="str">
            <v>O</v>
          </cell>
          <cell r="AW13">
            <v>1170</v>
          </cell>
          <cell r="AX13">
            <v>2</v>
          </cell>
          <cell r="AY13">
            <v>1.7094017094017094E-3</v>
          </cell>
          <cell r="AZ13">
            <v>469800</v>
          </cell>
          <cell r="BA13">
            <v>285761</v>
          </cell>
          <cell r="BB13">
            <v>184039</v>
          </cell>
          <cell r="BC13">
            <v>11430</v>
          </cell>
          <cell r="BD13">
            <v>3.9998460251748837E-2</v>
          </cell>
          <cell r="BE13">
            <v>210240</v>
          </cell>
          <cell r="BF13">
            <v>204905.78</v>
          </cell>
          <cell r="BG13">
            <v>5334.22</v>
          </cell>
          <cell r="BH13">
            <v>-178704.78</v>
          </cell>
          <cell r="BI13">
            <v>-0.36636698689911762</v>
          </cell>
          <cell r="BJ13">
            <v>210240</v>
          </cell>
          <cell r="BK13">
            <v>204905.78</v>
          </cell>
          <cell r="BL13">
            <v>5334.22</v>
          </cell>
          <cell r="BM13">
            <v>2.5372050989345515E-2</v>
          </cell>
          <cell r="BN13">
            <v>-0.36636698689911762</v>
          </cell>
          <cell r="BO13" t="str">
            <v>ISU</v>
          </cell>
          <cell r="BP13" t="str">
            <v>O</v>
          </cell>
          <cell r="BQ13" t="str">
            <v>FX</v>
          </cell>
          <cell r="BR13">
            <v>380698</v>
          </cell>
          <cell r="BS13" t="str">
            <v>6Y6</v>
          </cell>
          <cell r="BT13">
            <v>5817700</v>
          </cell>
          <cell r="BW13" t="str">
            <v/>
          </cell>
          <cell r="BX13" t="str">
            <v>Unrated</v>
          </cell>
          <cell r="BY13" t="str">
            <v>Under</v>
          </cell>
          <cell r="BZ13" t="str">
            <v/>
          </cell>
          <cell r="CA13" t="str">
            <v/>
          </cell>
          <cell r="CG13">
            <v>210240</v>
          </cell>
          <cell r="CH13">
            <v>234746.44</v>
          </cell>
          <cell r="CI13">
            <v>-24506.44</v>
          </cell>
          <cell r="CJ13">
            <v>-0.11656411719939117</v>
          </cell>
          <cell r="CK13">
            <v>-0.50830315508785429</v>
          </cell>
          <cell r="CL13" t="str">
            <v/>
          </cell>
          <cell r="CM13" t="str">
            <v/>
          </cell>
          <cell r="CN13" t="str">
            <v/>
          </cell>
          <cell r="CO13" t="str">
            <v/>
          </cell>
          <cell r="CP13" t="str">
            <v/>
          </cell>
          <cell r="CQ13" t="str">
            <v/>
          </cell>
          <cell r="CR13" t="str">
            <v/>
          </cell>
          <cell r="CS13">
            <v>38473</v>
          </cell>
          <cell r="CT13" t="str">
            <v/>
          </cell>
          <cell r="CU13" t="str">
            <v>6955-24A</v>
          </cell>
          <cell r="CV13" t="str">
            <v>AIS</v>
          </cell>
          <cell r="CW13" t="str">
            <v>APPLICATION INNOVATION</v>
          </cell>
        </row>
        <row r="14">
          <cell r="A14" t="str">
            <v>CFTX9CM</v>
          </cell>
          <cell r="B14" t="str">
            <v>UTL</v>
          </cell>
          <cell r="C14" t="str">
            <v>SCM</v>
          </cell>
          <cell r="D14" t="str">
            <v>SCM</v>
          </cell>
          <cell r="E14" t="str">
            <v>C&amp;SI</v>
          </cell>
          <cell r="F14" t="str">
            <v>AMER ELEC POW S</v>
          </cell>
          <cell r="G14" t="str">
            <v>Indus Passport Support   ...</v>
          </cell>
          <cell r="H14" t="str">
            <v>CFTX9CM</v>
          </cell>
          <cell r="I14">
            <v>2</v>
          </cell>
          <cell r="J14" t="str">
            <v>Don Mak/Fairfax/IBM</v>
          </cell>
          <cell r="K14" t="str">
            <v>Joe J Nemeth/Charleston/IBM</v>
          </cell>
          <cell r="L14" t="str">
            <v>BE</v>
          </cell>
          <cell r="M14">
            <v>38292</v>
          </cell>
          <cell r="N14">
            <v>38751</v>
          </cell>
          <cell r="O14">
            <v>309575</v>
          </cell>
          <cell r="P14">
            <v>1004525</v>
          </cell>
          <cell r="Q14">
            <v>309575</v>
          </cell>
          <cell r="R14">
            <v>0.32781165227346259</v>
          </cell>
          <cell r="S14">
            <v>0.38505108281171307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>Y</v>
          </cell>
          <cell r="AA14" t="str">
            <v/>
          </cell>
          <cell r="AC14" t="str">
            <v/>
          </cell>
          <cell r="AD14" t="str">
            <v/>
          </cell>
          <cell r="AE14" t="str">
            <v>Imam</v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>Waived</v>
          </cell>
          <cell r="AK14" t="str">
            <v/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 t="str">
            <v/>
          </cell>
          <cell r="AS14" t="str">
            <v/>
          </cell>
          <cell r="AU14" t="str">
            <v>SUPPLY CHAIN MANAGEMENT</v>
          </cell>
          <cell r="AV14" t="str">
            <v>O</v>
          </cell>
          <cell r="AW14">
            <v>3608</v>
          </cell>
          <cell r="AX14">
            <v>0</v>
          </cell>
          <cell r="AY14">
            <v>0</v>
          </cell>
          <cell r="AZ14">
            <v>1004525</v>
          </cell>
          <cell r="BA14">
            <v>675230</v>
          </cell>
          <cell r="BB14">
            <v>329295</v>
          </cell>
          <cell r="BC14">
            <v>26998</v>
          </cell>
          <cell r="BD14">
            <v>3.9983413059253882E-2</v>
          </cell>
          <cell r="BE14">
            <v>694950</v>
          </cell>
          <cell r="BF14">
            <v>427358.75</v>
          </cell>
          <cell r="BG14">
            <v>267591.25</v>
          </cell>
          <cell r="BH14">
            <v>-61703.75</v>
          </cell>
          <cell r="BI14">
            <v>5.723943053825048E-2</v>
          </cell>
          <cell r="BJ14">
            <v>655340</v>
          </cell>
          <cell r="BK14">
            <v>405945.03</v>
          </cell>
          <cell r="BL14">
            <v>249394.97</v>
          </cell>
          <cell r="BM14">
            <v>0.38055813776055181</v>
          </cell>
          <cell r="BN14">
            <v>5.2746485487089212E-2</v>
          </cell>
          <cell r="BO14" t="str">
            <v>ISU</v>
          </cell>
          <cell r="BP14" t="str">
            <v>O</v>
          </cell>
          <cell r="BQ14" t="str">
            <v>FX</v>
          </cell>
          <cell r="BR14">
            <v>190658</v>
          </cell>
          <cell r="BS14" t="str">
            <v>6YX</v>
          </cell>
          <cell r="BT14">
            <v>244700</v>
          </cell>
          <cell r="BW14" t="str">
            <v/>
          </cell>
          <cell r="BX14" t="str">
            <v>Rated</v>
          </cell>
          <cell r="BY14" t="str">
            <v>Over</v>
          </cell>
          <cell r="BZ14" t="str">
            <v>Other</v>
          </cell>
          <cell r="CA14" t="str">
            <v/>
          </cell>
          <cell r="CG14">
            <v>636920</v>
          </cell>
          <cell r="CH14">
            <v>452253.41</v>
          </cell>
          <cell r="CI14">
            <v>184666.59</v>
          </cell>
          <cell r="CJ14">
            <v>0.28993686805250268</v>
          </cell>
          <cell r="CK14">
            <v>-3.7874784220959912E-2</v>
          </cell>
          <cell r="CL14" t="str">
            <v>Waived, LT to follow-up</v>
          </cell>
          <cell r="CM14" t="str">
            <v/>
          </cell>
          <cell r="CN14" t="str">
            <v/>
          </cell>
          <cell r="CO14" t="str">
            <v>SC</v>
          </cell>
          <cell r="CP14" t="str">
            <v>SCM</v>
          </cell>
          <cell r="CQ14" t="str">
            <v/>
          </cell>
          <cell r="CR14" t="str">
            <v/>
          </cell>
          <cell r="CS14">
            <v>38292</v>
          </cell>
          <cell r="CT14" t="str">
            <v/>
          </cell>
          <cell r="CV14" t="str">
            <v/>
          </cell>
          <cell r="CW14" t="str">
            <v>SUPPLY CHAIN MANAGEMENT</v>
          </cell>
        </row>
        <row r="15">
          <cell r="A15" t="str">
            <v>CFT2W3N</v>
          </cell>
          <cell r="B15" t="str">
            <v>UTL</v>
          </cell>
          <cell r="C15" t="str">
            <v>HCM</v>
          </cell>
          <cell r="D15" t="str">
            <v>HCM</v>
          </cell>
          <cell r="E15" t="str">
            <v>C&amp;SI</v>
          </cell>
          <cell r="F15" t="str">
            <v>AMER ELEC POW S</v>
          </cell>
          <cell r="G15" t="str">
            <v>HR Services Strategy for ...</v>
          </cell>
          <cell r="H15" t="str">
            <v>CFT2W3N</v>
          </cell>
          <cell r="I15">
            <v>1</v>
          </cell>
          <cell r="J15" t="str">
            <v>Marietta Lee/Fairfax/IBM</v>
          </cell>
          <cell r="K15" t="str">
            <v>Jefferson Manley/Atlanta/IBM</v>
          </cell>
          <cell r="L15" t="str">
            <v>BE</v>
          </cell>
          <cell r="M15">
            <v>38672</v>
          </cell>
          <cell r="N15">
            <v>38748</v>
          </cell>
          <cell r="O15">
            <v>41875</v>
          </cell>
          <cell r="P15">
            <v>111685</v>
          </cell>
          <cell r="Q15">
            <v>41875</v>
          </cell>
          <cell r="R15">
            <v>0.42261718225365985</v>
          </cell>
          <cell r="S15">
            <v>0.42952327746741148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U15" t="str">
            <v>HUMAN CAPITAL MANAGEMENT</v>
          </cell>
          <cell r="AV15" t="str">
            <v>O</v>
          </cell>
          <cell r="AW15">
            <v>432</v>
          </cell>
          <cell r="AX15">
            <v>0</v>
          </cell>
          <cell r="AY15">
            <v>0</v>
          </cell>
          <cell r="AZ15">
            <v>111685</v>
          </cell>
          <cell r="BA15">
            <v>64485</v>
          </cell>
          <cell r="BB15">
            <v>47200</v>
          </cell>
          <cell r="BC15">
            <v>2579</v>
          </cell>
          <cell r="BD15">
            <v>3.9993797007055902E-2</v>
          </cell>
          <cell r="BE15">
            <v>69810</v>
          </cell>
          <cell r="BF15">
            <v>39824.980000000003</v>
          </cell>
          <cell r="BG15">
            <v>29985.02</v>
          </cell>
          <cell r="BH15">
            <v>-17214.98</v>
          </cell>
          <cell r="BI15">
            <v>6.9060952137516285E-3</v>
          </cell>
          <cell r="BJ15">
            <v>69810</v>
          </cell>
          <cell r="BK15">
            <v>39824.980000000003</v>
          </cell>
          <cell r="BL15">
            <v>29985.02</v>
          </cell>
          <cell r="BM15">
            <v>0.42952327746741148</v>
          </cell>
          <cell r="BN15">
            <v>6.9060952137516285E-3</v>
          </cell>
          <cell r="BO15" t="str">
            <v>ISU</v>
          </cell>
          <cell r="BP15" t="str">
            <v>O</v>
          </cell>
          <cell r="BQ15" t="str">
            <v>FX</v>
          </cell>
          <cell r="BR15">
            <v>190658</v>
          </cell>
          <cell r="BS15" t="str">
            <v>6YX</v>
          </cell>
          <cell r="BT15">
            <v>244700</v>
          </cell>
          <cell r="BW15" t="str">
            <v/>
          </cell>
          <cell r="BX15" t="str">
            <v>Unrated</v>
          </cell>
          <cell r="BY15" t="str">
            <v>Under</v>
          </cell>
          <cell r="BZ15" t="str">
            <v/>
          </cell>
          <cell r="CA15" t="str">
            <v/>
          </cell>
          <cell r="CG15">
            <v>41875</v>
          </cell>
          <cell r="CH15">
            <v>24192</v>
          </cell>
          <cell r="CI15">
            <v>17683</v>
          </cell>
          <cell r="CJ15">
            <v>0.42228059701492537</v>
          </cell>
          <cell r="CK15">
            <v>-3.3658523873447699E-4</v>
          </cell>
          <cell r="CL15" t="str">
            <v/>
          </cell>
          <cell r="CM15" t="str">
            <v/>
          </cell>
          <cell r="CN15" t="str">
            <v/>
          </cell>
          <cell r="CO15" t="str">
            <v/>
          </cell>
          <cell r="CP15" t="str">
            <v/>
          </cell>
          <cell r="CQ15" t="str">
            <v/>
          </cell>
          <cell r="CR15" t="str">
            <v/>
          </cell>
          <cell r="CS15">
            <v>38657</v>
          </cell>
          <cell r="CT15" t="str">
            <v/>
          </cell>
          <cell r="CU15" t="str">
            <v/>
          </cell>
          <cell r="CV15" t="str">
            <v/>
          </cell>
          <cell r="CW15" t="str">
            <v>HUMAN CAPITAL MANAGEMENT</v>
          </cell>
        </row>
        <row r="16">
          <cell r="A16" t="str">
            <v>CFT4BYN</v>
          </cell>
          <cell r="B16" t="str">
            <v>UTL</v>
          </cell>
          <cell r="C16" t="str">
            <v>AIS</v>
          </cell>
          <cell r="D16" t="str">
            <v>AIS</v>
          </cell>
          <cell r="E16" t="str">
            <v>C&amp;SI</v>
          </cell>
          <cell r="F16" t="str">
            <v>AMER WATR WORKS</v>
          </cell>
          <cell r="G16" t="str">
            <v>Customer Service Center</v>
          </cell>
          <cell r="H16" t="str">
            <v>CFT4BYN</v>
          </cell>
          <cell r="I16">
            <v>1</v>
          </cell>
          <cell r="J16" t="str">
            <v>Peter Cavallo/New York/IBM</v>
          </cell>
          <cell r="K16" t="str">
            <v>Jason Burgett/Chicago/IBM</v>
          </cell>
          <cell r="L16" t="str">
            <v>BE</v>
          </cell>
          <cell r="M16">
            <v>38672</v>
          </cell>
          <cell r="N16">
            <v>38758</v>
          </cell>
          <cell r="O16">
            <v>13260</v>
          </cell>
          <cell r="P16">
            <v>62400</v>
          </cell>
          <cell r="Q16">
            <v>13260</v>
          </cell>
          <cell r="R16">
            <v>0.44500000000000001</v>
          </cell>
          <cell r="S16">
            <v>0.52228978428978423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>Y</v>
          </cell>
          <cell r="AA16" t="str">
            <v/>
          </cell>
          <cell r="AC16" t="str">
            <v/>
          </cell>
          <cell r="AD16" t="str">
            <v/>
          </cell>
          <cell r="AU16" t="str">
            <v>APPLICATION INNOVATION</v>
          </cell>
          <cell r="AV16" t="str">
            <v>O</v>
          </cell>
          <cell r="AW16">
            <v>257</v>
          </cell>
          <cell r="AX16">
            <v>0</v>
          </cell>
          <cell r="AY16">
            <v>0</v>
          </cell>
          <cell r="AZ16">
            <v>62400</v>
          </cell>
          <cell r="BA16">
            <v>34632</v>
          </cell>
          <cell r="BB16">
            <v>27768</v>
          </cell>
          <cell r="BC16">
            <v>1385</v>
          </cell>
          <cell r="BD16">
            <v>3.9991914991914991E-2</v>
          </cell>
          <cell r="BE16">
            <v>49140</v>
          </cell>
          <cell r="BF16">
            <v>23474.68</v>
          </cell>
          <cell r="BG16">
            <v>25665.32</v>
          </cell>
          <cell r="BH16">
            <v>-2102.6799999999998</v>
          </cell>
          <cell r="BI16">
            <v>7.7289784289784225E-2</v>
          </cell>
          <cell r="BJ16">
            <v>49140</v>
          </cell>
          <cell r="BK16">
            <v>23474.68</v>
          </cell>
          <cell r="BL16">
            <v>25665.32</v>
          </cell>
          <cell r="BM16">
            <v>0.52228978428978423</v>
          </cell>
          <cell r="BN16">
            <v>7.7289784289784225E-2</v>
          </cell>
          <cell r="BO16" t="str">
            <v>SMB</v>
          </cell>
          <cell r="BP16" t="str">
            <v>O</v>
          </cell>
          <cell r="BQ16" t="str">
            <v>FX</v>
          </cell>
          <cell r="BR16">
            <v>211341</v>
          </cell>
          <cell r="BS16" t="str">
            <v>6YX</v>
          </cell>
          <cell r="BT16">
            <v>431800</v>
          </cell>
          <cell r="BW16" t="str">
            <v/>
          </cell>
          <cell r="BX16" t="str">
            <v>Unrated</v>
          </cell>
          <cell r="BY16" t="str">
            <v>Under</v>
          </cell>
          <cell r="BZ16" t="str">
            <v/>
          </cell>
          <cell r="CA16" t="str">
            <v/>
          </cell>
          <cell r="CG16">
            <v>13260</v>
          </cell>
          <cell r="CH16">
            <v>0</v>
          </cell>
          <cell r="CI16">
            <v>13260</v>
          </cell>
          <cell r="CJ16">
            <v>1</v>
          </cell>
          <cell r="CK16">
            <v>0.55500000000000005</v>
          </cell>
          <cell r="CM16" t="e">
            <v>#N/A</v>
          </cell>
          <cell r="CS16">
            <v>38657</v>
          </cell>
          <cell r="CV16" t="str">
            <v/>
          </cell>
          <cell r="CW16" t="str">
            <v>APPLICATION INNOVATION</v>
          </cell>
        </row>
        <row r="17">
          <cell r="A17" t="str">
            <v>CFTA2QM</v>
          </cell>
          <cell r="B17" t="str">
            <v>MED</v>
          </cell>
          <cell r="C17" t="str">
            <v>FM</v>
          </cell>
          <cell r="D17" t="str">
            <v>FM</v>
          </cell>
          <cell r="E17" t="str">
            <v>C&amp;SI</v>
          </cell>
          <cell r="F17" t="str">
            <v>AMERIC ONLINE</v>
          </cell>
          <cell r="G17" t="str">
            <v>AOL SAP Financials</v>
          </cell>
          <cell r="H17" t="str">
            <v>CFTA2QM</v>
          </cell>
          <cell r="I17">
            <v>1</v>
          </cell>
          <cell r="J17" t="str">
            <v>Michael R Chesney/Los Angeles/IBM</v>
          </cell>
          <cell r="K17" t="str">
            <v>Robin Jones/Fairfax/IBM</v>
          </cell>
          <cell r="L17" t="str">
            <v>FP</v>
          </cell>
          <cell r="M17">
            <v>38139</v>
          </cell>
          <cell r="N17">
            <v>38730</v>
          </cell>
          <cell r="O17">
            <v>-2292985.7599999998</v>
          </cell>
          <cell r="P17">
            <v>16679491.75</v>
          </cell>
          <cell r="Q17">
            <v>-2292985.7599999998</v>
          </cell>
          <cell r="R17">
            <v>0.30033047919460737</v>
          </cell>
          <cell r="S17">
            <v>0.39529610964340522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>Y</v>
          </cell>
          <cell r="AA17" t="str">
            <v/>
          </cell>
          <cell r="AC17" t="str">
            <v>Y</v>
          </cell>
          <cell r="AD17" t="str">
            <v/>
          </cell>
          <cell r="AE17" t="str">
            <v>Coleman</v>
          </cell>
          <cell r="AF17" t="str">
            <v/>
          </cell>
          <cell r="AG17" t="str">
            <v/>
          </cell>
          <cell r="AH17" t="str">
            <v/>
          </cell>
          <cell r="AI17" t="str">
            <v>H</v>
          </cell>
          <cell r="AJ17" t="str">
            <v>*CLOSING*</v>
          </cell>
          <cell r="AK17">
            <v>38525</v>
          </cell>
          <cell r="AL17" t="str">
            <v>N/A</v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U17" t="str">
            <v>FINANCIAL MANAGEMENT</v>
          </cell>
          <cell r="AV17" t="str">
            <v>O</v>
          </cell>
          <cell r="AW17">
            <v>79422</v>
          </cell>
          <cell r="AX17">
            <v>368</v>
          </cell>
          <cell r="AY17">
            <v>4.6334768703885573E-3</v>
          </cell>
          <cell r="AZ17">
            <v>16679491.75</v>
          </cell>
          <cell r="BA17">
            <v>11670132</v>
          </cell>
          <cell r="BB17">
            <v>5009359.75</v>
          </cell>
          <cell r="BC17">
            <v>412997</v>
          </cell>
          <cell r="BD17">
            <v>3.5389231244342394E-2</v>
          </cell>
          <cell r="BE17">
            <v>18972477.510000002</v>
          </cell>
          <cell r="BF17">
            <v>11472730.960000001</v>
          </cell>
          <cell r="BG17">
            <v>7499746.5500000007</v>
          </cell>
          <cell r="BH17">
            <v>2490386.7999999998</v>
          </cell>
          <cell r="BI17">
            <v>9.4965630448797855E-2</v>
          </cell>
          <cell r="BJ17">
            <v>11875129.07</v>
          </cell>
          <cell r="BK17">
            <v>6915265.2800000003</v>
          </cell>
          <cell r="BL17">
            <v>4959863.79</v>
          </cell>
          <cell r="BM17">
            <v>0.41766820055287196</v>
          </cell>
          <cell r="BN17">
            <v>0.11733772135826459</v>
          </cell>
          <cell r="BO17" t="str">
            <v>ISU</v>
          </cell>
          <cell r="BP17" t="str">
            <v>O</v>
          </cell>
          <cell r="BQ17" t="str">
            <v>FX</v>
          </cell>
          <cell r="BR17">
            <v>195966</v>
          </cell>
          <cell r="BS17" t="str">
            <v>6YR</v>
          </cell>
          <cell r="BT17">
            <v>8852000</v>
          </cell>
          <cell r="BW17" t="str">
            <v/>
          </cell>
          <cell r="BX17" t="str">
            <v>Rated</v>
          </cell>
          <cell r="BY17" t="str">
            <v>Over</v>
          </cell>
          <cell r="BZ17" t="str">
            <v>Other</v>
          </cell>
          <cell r="CA17" t="str">
            <v/>
          </cell>
          <cell r="CG17">
            <v>16679491.75</v>
          </cell>
          <cell r="CH17">
            <v>10095133.699999999</v>
          </cell>
          <cell r="CI17">
            <v>6584358.0499999998</v>
          </cell>
          <cell r="CJ17">
            <v>0.3947577149645462</v>
          </cell>
          <cell r="CK17">
            <v>9.4427235769938833E-2</v>
          </cell>
          <cell r="CL17" t="str">
            <v>Closing</v>
          </cell>
          <cell r="CM17" t="str">
            <v/>
          </cell>
          <cell r="CN17" t="str">
            <v/>
          </cell>
          <cell r="CO17" t="str">
            <v/>
          </cell>
          <cell r="CP17" t="str">
            <v/>
          </cell>
          <cell r="CQ17" t="str">
            <v/>
          </cell>
          <cell r="CR17" t="str">
            <v/>
          </cell>
          <cell r="CS17">
            <v>38139</v>
          </cell>
          <cell r="CT17" t="str">
            <v/>
          </cell>
          <cell r="CV17" t="str">
            <v/>
          </cell>
          <cell r="CW17" t="str">
            <v>FINANCIAL MANAGEMENT</v>
          </cell>
        </row>
        <row r="18">
          <cell r="A18" t="str">
            <v>CFT3PTM</v>
          </cell>
          <cell r="B18" t="str">
            <v>MED</v>
          </cell>
          <cell r="C18" t="str">
            <v>AIS</v>
          </cell>
          <cell r="D18" t="str">
            <v>AIS</v>
          </cell>
          <cell r="E18" t="str">
            <v>C&amp;SI</v>
          </cell>
          <cell r="F18" t="str">
            <v>AMERIC ONLINE</v>
          </cell>
          <cell r="G18" t="str">
            <v>Offshore Ab Initio</v>
          </cell>
          <cell r="H18" t="str">
            <v>CFT3PTM</v>
          </cell>
          <cell r="I18">
            <v>1</v>
          </cell>
          <cell r="J18" t="str">
            <v>Gary Collins/Edison/IBM</v>
          </cell>
          <cell r="K18" t="str">
            <v>George N Kaczmarskyj/Fairfax/IBM</v>
          </cell>
          <cell r="L18" t="str">
            <v>BE</v>
          </cell>
          <cell r="M18">
            <v>38353</v>
          </cell>
          <cell r="N18">
            <v>39082</v>
          </cell>
          <cell r="O18">
            <v>4678147.4000000004</v>
          </cell>
          <cell r="P18">
            <v>9438927.9000000004</v>
          </cell>
          <cell r="Q18">
            <v>4678147.4000000004</v>
          </cell>
          <cell r="R18">
            <v>0.31639047693117778</v>
          </cell>
          <cell r="S18">
            <v>0.42210322236028314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>Y</v>
          </cell>
          <cell r="AA18" t="str">
            <v/>
          </cell>
          <cell r="AC18" t="str">
            <v>Y</v>
          </cell>
          <cell r="AD18" t="str">
            <v>Y</v>
          </cell>
          <cell r="AE18" t="str">
            <v>Coleman</v>
          </cell>
          <cell r="AF18" t="str">
            <v/>
          </cell>
          <cell r="AG18" t="str">
            <v/>
          </cell>
          <cell r="AH18" t="str">
            <v>Scott Miller</v>
          </cell>
          <cell r="AI18" t="str">
            <v/>
          </cell>
          <cell r="AJ18" t="str">
            <v>Launch</v>
          </cell>
          <cell r="AK18" t="str">
            <v/>
          </cell>
          <cell r="AL18">
            <v>38749</v>
          </cell>
          <cell r="AM18" t="str">
            <v>G</v>
          </cell>
          <cell r="AN18" t="str">
            <v>G</v>
          </cell>
          <cell r="AO18" t="str">
            <v>Y</v>
          </cell>
          <cell r="AP18" t="str">
            <v>G</v>
          </cell>
          <cell r="AQ18" t="str">
            <v>G</v>
          </cell>
          <cell r="AR18" t="str">
            <v>G</v>
          </cell>
          <cell r="AS18" t="str">
            <v>Y</v>
          </cell>
          <cell r="AU18" t="str">
            <v>APPLICATION INNOVATION</v>
          </cell>
          <cell r="AV18" t="str">
            <v>O</v>
          </cell>
          <cell r="AW18">
            <v>136662</v>
          </cell>
          <cell r="AX18">
            <v>307</v>
          </cell>
          <cell r="AY18">
            <v>2.2464181703765493E-3</v>
          </cell>
          <cell r="AZ18">
            <v>9438927.9000000004</v>
          </cell>
          <cell r="BA18">
            <v>6452541</v>
          </cell>
          <cell r="BB18">
            <v>2986386.9</v>
          </cell>
          <cell r="BC18">
            <v>655849</v>
          </cell>
          <cell r="BD18">
            <v>0.10164197329393181</v>
          </cell>
          <cell r="BE18">
            <v>4760780.5</v>
          </cell>
          <cell r="BF18">
            <v>2751239.71</v>
          </cell>
          <cell r="BG18">
            <v>2009540.79</v>
          </cell>
          <cell r="BH18">
            <v>-976846.11</v>
          </cell>
          <cell r="BI18">
            <v>0.10571274542910536</v>
          </cell>
          <cell r="BJ18">
            <v>4760780.5</v>
          </cell>
          <cell r="BK18">
            <v>2751239.71</v>
          </cell>
          <cell r="BL18">
            <v>2009540.79</v>
          </cell>
          <cell r="BM18">
            <v>0.42210322236028314</v>
          </cell>
          <cell r="BN18">
            <v>0.10571274542910536</v>
          </cell>
          <cell r="BO18" t="str">
            <v>ISU</v>
          </cell>
          <cell r="BP18" t="str">
            <v>O</v>
          </cell>
          <cell r="BQ18" t="str">
            <v>FY</v>
          </cell>
          <cell r="BR18">
            <v>195966</v>
          </cell>
          <cell r="BS18" t="str">
            <v>6YR</v>
          </cell>
          <cell r="BT18">
            <v>8852000</v>
          </cell>
          <cell r="BW18" t="str">
            <v/>
          </cell>
          <cell r="BX18" t="str">
            <v>Rated</v>
          </cell>
          <cell r="BY18" t="str">
            <v>Over</v>
          </cell>
          <cell r="BZ18" t="str">
            <v>Other</v>
          </cell>
          <cell r="CA18" t="str">
            <v/>
          </cell>
          <cell r="CG18">
            <v>6544664.5</v>
          </cell>
          <cell r="CH18">
            <v>3824278.32</v>
          </cell>
          <cell r="CI18">
            <v>2720386.18</v>
          </cell>
          <cell r="CJ18">
            <v>0.41566472658758907</v>
          </cell>
          <cell r="CK18">
            <v>9.9274249656411295E-2</v>
          </cell>
          <cell r="CL18" t="str">
            <v/>
          </cell>
          <cell r="CM18" t="str">
            <v/>
          </cell>
          <cell r="CN18" t="str">
            <v/>
          </cell>
          <cell r="CO18" t="str">
            <v/>
          </cell>
          <cell r="CP18" t="str">
            <v/>
          </cell>
          <cell r="CQ18" t="str">
            <v>Large Scale Custom</v>
          </cell>
          <cell r="CR18" t="str">
            <v>No offshore category; large scale development?  Scott, if not involved.</v>
          </cell>
          <cell r="CS18">
            <v>38353</v>
          </cell>
          <cell r="CT18" t="str">
            <v/>
          </cell>
          <cell r="CU18" t="str">
            <v>6955-24D</v>
          </cell>
          <cell r="CV18" t="str">
            <v>AMS</v>
          </cell>
          <cell r="CW18" t="str">
            <v>APPLICATION INNOVATION</v>
          </cell>
        </row>
        <row r="19">
          <cell r="A19" t="str">
            <v>CFTYT7L</v>
          </cell>
          <cell r="B19" t="str">
            <v>MED</v>
          </cell>
          <cell r="C19" t="str">
            <v>CRM</v>
          </cell>
          <cell r="D19" t="str">
            <v>CRM</v>
          </cell>
          <cell r="E19" t="str">
            <v>C&amp;SI</v>
          </cell>
          <cell r="F19" t="str">
            <v>AMERIC ONLINE</v>
          </cell>
          <cell r="G19" t="str">
            <v>OnRamp04</v>
          </cell>
          <cell r="H19" t="str">
            <v>CFTYT7L</v>
          </cell>
          <cell r="I19">
            <v>1</v>
          </cell>
          <cell r="J19" t="str">
            <v>George N Kaczmarskyj/Fairfax/IBM</v>
          </cell>
          <cell r="K19" t="str">
            <v>George N Kaczmarskyj/Fairfax/IBM</v>
          </cell>
          <cell r="L19" t="str">
            <v>BE</v>
          </cell>
          <cell r="M19">
            <v>38009</v>
          </cell>
          <cell r="N19">
            <v>38594</v>
          </cell>
          <cell r="O19">
            <v>0</v>
          </cell>
          <cell r="P19">
            <v>5909914.9000000004</v>
          </cell>
          <cell r="Q19">
            <v>0</v>
          </cell>
          <cell r="R19">
            <v>0.42095883648003124</v>
          </cell>
          <cell r="S19">
            <v>0.45639668686261464</v>
          </cell>
          <cell r="T19" t="str">
            <v/>
          </cell>
          <cell r="U19" t="str">
            <v>Y</v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C19" t="str">
            <v>Y</v>
          </cell>
          <cell r="AD19" t="str">
            <v/>
          </cell>
          <cell r="AE19" t="str">
            <v>Coleman</v>
          </cell>
          <cell r="AF19" t="str">
            <v/>
          </cell>
          <cell r="AG19" t="str">
            <v/>
          </cell>
          <cell r="AH19" t="str">
            <v/>
          </cell>
          <cell r="AI19" t="str">
            <v>L</v>
          </cell>
          <cell r="AJ19" t="str">
            <v>*CLOSING*</v>
          </cell>
          <cell r="AK19">
            <v>38000</v>
          </cell>
          <cell r="AL19" t="str">
            <v>N/A</v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U19" t="str">
            <v>CUSTOMER RELATIONSHIP MANAGEMENT</v>
          </cell>
          <cell r="AV19" t="str">
            <v>O</v>
          </cell>
          <cell r="AW19">
            <v>32544.799999999999</v>
          </cell>
          <cell r="AX19">
            <v>204</v>
          </cell>
          <cell r="AY19">
            <v>6.2682824905975765E-3</v>
          </cell>
          <cell r="AZ19">
            <v>5909914.9000000004</v>
          </cell>
          <cell r="BA19">
            <v>3422084</v>
          </cell>
          <cell r="BB19">
            <v>2487830.9</v>
          </cell>
          <cell r="BC19">
            <v>136883</v>
          </cell>
          <cell r="BD19">
            <v>3.9999894800945859E-2</v>
          </cell>
          <cell r="BE19">
            <v>5909914.9000000004</v>
          </cell>
          <cell r="BF19">
            <v>3212649.32</v>
          </cell>
          <cell r="BG19">
            <v>2697265.58</v>
          </cell>
          <cell r="BH19">
            <v>209434.68</v>
          </cell>
          <cell r="BI19">
            <v>3.5437850382583402E-2</v>
          </cell>
          <cell r="BJ19">
            <v>849491</v>
          </cell>
          <cell r="BK19">
            <v>539933.07999999996</v>
          </cell>
          <cell r="BL19">
            <v>309557.92</v>
          </cell>
          <cell r="BM19">
            <v>0.3644040019258592</v>
          </cell>
          <cell r="BN19">
            <v>-5.655483455417204E-2</v>
          </cell>
          <cell r="BO19" t="str">
            <v>ISU</v>
          </cell>
          <cell r="BP19" t="str">
            <v>O</v>
          </cell>
          <cell r="BQ19" t="str">
            <v>FX</v>
          </cell>
          <cell r="BR19">
            <v>195966</v>
          </cell>
          <cell r="BS19" t="str">
            <v>6YR</v>
          </cell>
          <cell r="BT19">
            <v>8852000</v>
          </cell>
          <cell r="BW19" t="str">
            <v/>
          </cell>
          <cell r="BX19" t="str">
            <v>Rated</v>
          </cell>
          <cell r="BY19" t="str">
            <v>Over</v>
          </cell>
          <cell r="BZ19" t="str">
            <v>Other</v>
          </cell>
          <cell r="CA19" t="str">
            <v/>
          </cell>
          <cell r="CG19">
            <v>5909914.9000000004</v>
          </cell>
          <cell r="CH19">
            <v>3219889.22</v>
          </cell>
          <cell r="CI19">
            <v>2690025.68</v>
          </cell>
          <cell r="CJ19">
            <v>0.4551716438421135</v>
          </cell>
          <cell r="CK19">
            <v>3.4212807362082265E-2</v>
          </cell>
          <cell r="CL19" t="str">
            <v/>
          </cell>
          <cell r="CM19" t="str">
            <v/>
          </cell>
          <cell r="CN19" t="str">
            <v/>
          </cell>
          <cell r="CO19" t="str">
            <v/>
          </cell>
          <cell r="CP19" t="str">
            <v/>
          </cell>
          <cell r="CQ19" t="str">
            <v/>
          </cell>
          <cell r="CR19" t="str">
            <v/>
          </cell>
          <cell r="CS19">
            <v>37987</v>
          </cell>
          <cell r="CT19" t="str">
            <v/>
          </cell>
          <cell r="CV19" t="str">
            <v/>
          </cell>
          <cell r="CW19" t="str">
            <v>CUSTOMER RELATIONSHIP MANAGEMENT</v>
          </cell>
        </row>
        <row r="20">
          <cell r="A20" t="str">
            <v>CFTPGGN</v>
          </cell>
          <cell r="B20" t="str">
            <v>MED</v>
          </cell>
          <cell r="C20" t="str">
            <v>CRM</v>
          </cell>
          <cell r="D20" t="str">
            <v>CRM</v>
          </cell>
          <cell r="E20" t="str">
            <v>C&amp;SI</v>
          </cell>
          <cell r="F20" t="str">
            <v>AMERIC ONLINE</v>
          </cell>
          <cell r="G20" t="str">
            <v>AOL Cust. Support Transf</v>
          </cell>
          <cell r="H20" t="str">
            <v>CFTPGGN</v>
          </cell>
          <cell r="I20">
            <v>1</v>
          </cell>
          <cell r="J20" t="str">
            <v>George N Kaczmarskyj/Fairfax/IBM</v>
          </cell>
          <cell r="K20" t="str">
            <v>Lloyd A Poplin ii/Fairfax/IBM</v>
          </cell>
          <cell r="L20" t="str">
            <v>BE</v>
          </cell>
          <cell r="M20">
            <v>38541</v>
          </cell>
          <cell r="N20">
            <v>38807</v>
          </cell>
          <cell r="O20">
            <v>60389</v>
          </cell>
          <cell r="P20">
            <v>1714448</v>
          </cell>
          <cell r="Q20">
            <v>60389</v>
          </cell>
          <cell r="R20">
            <v>0.4209244024898976</v>
          </cell>
          <cell r="S20">
            <v>0.49528848124522762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>Y</v>
          </cell>
          <cell r="AA20" t="str">
            <v/>
          </cell>
          <cell r="AC20" t="str">
            <v/>
          </cell>
          <cell r="AD20" t="str">
            <v/>
          </cell>
          <cell r="AE20" t="str">
            <v>Graham</v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>
            <v>38657</v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U20" t="str">
            <v>CUSTOMER RELATIONSHIP MANAGEMENT</v>
          </cell>
          <cell r="AV20" t="str">
            <v>O</v>
          </cell>
          <cell r="AW20">
            <v>7560.5</v>
          </cell>
          <cell r="AX20">
            <v>0</v>
          </cell>
          <cell r="AY20">
            <v>0</v>
          </cell>
          <cell r="AZ20">
            <v>1714448</v>
          </cell>
          <cell r="BA20">
            <v>992795</v>
          </cell>
          <cell r="BB20">
            <v>721653</v>
          </cell>
          <cell r="BC20">
            <v>40535</v>
          </cell>
          <cell r="BD20">
            <v>4.0829174200111805E-2</v>
          </cell>
          <cell r="BE20">
            <v>1654059</v>
          </cell>
          <cell r="BF20">
            <v>834822.63</v>
          </cell>
          <cell r="BG20">
            <v>819236.37</v>
          </cell>
          <cell r="BH20">
            <v>97583.37</v>
          </cell>
          <cell r="BI20">
            <v>7.4364078755330021E-2</v>
          </cell>
          <cell r="BJ20">
            <v>1654059</v>
          </cell>
          <cell r="BK20">
            <v>834822.63</v>
          </cell>
          <cell r="BL20">
            <v>819236.37</v>
          </cell>
          <cell r="BM20">
            <v>0.49528848124522762</v>
          </cell>
          <cell r="BN20">
            <v>7.4364078755330021E-2</v>
          </cell>
          <cell r="BO20" t="str">
            <v>ISU</v>
          </cell>
          <cell r="BP20" t="str">
            <v>O</v>
          </cell>
          <cell r="BQ20" t="str">
            <v>FX</v>
          </cell>
          <cell r="BR20">
            <v>195966</v>
          </cell>
          <cell r="BS20" t="str">
            <v>6YR</v>
          </cell>
          <cell r="BT20">
            <v>8852000</v>
          </cell>
          <cell r="BW20" t="str">
            <v/>
          </cell>
          <cell r="BX20" t="str">
            <v>Unrated</v>
          </cell>
          <cell r="BY20" t="str">
            <v>Over</v>
          </cell>
          <cell r="BZ20" t="str">
            <v/>
          </cell>
          <cell r="CA20" t="str">
            <v/>
          </cell>
          <cell r="CG20">
            <v>1359307</v>
          </cell>
          <cell r="CH20">
            <v>734218.03</v>
          </cell>
          <cell r="CI20">
            <v>625088.97</v>
          </cell>
          <cell r="CJ20">
            <v>0.45985856763777422</v>
          </cell>
          <cell r="CK20">
            <v>3.893416514787662E-2</v>
          </cell>
          <cell r="CL20" t="str">
            <v>Updated needed from Boyd</v>
          </cell>
          <cell r="CM20" t="str">
            <v/>
          </cell>
          <cell r="CN20" t="str">
            <v/>
          </cell>
          <cell r="CO20" t="str">
            <v/>
          </cell>
          <cell r="CP20" t="str">
            <v/>
          </cell>
          <cell r="CQ20" t="str">
            <v/>
          </cell>
          <cell r="CR20" t="str">
            <v/>
          </cell>
          <cell r="CS20">
            <v>38534</v>
          </cell>
          <cell r="CT20" t="str">
            <v/>
          </cell>
          <cell r="CV20" t="str">
            <v/>
          </cell>
          <cell r="CW20" t="str">
            <v>CUSTOMER RELATIONSHIP MANAGEMENT</v>
          </cell>
        </row>
        <row r="21">
          <cell r="A21" t="str">
            <v>CFT3Y3N</v>
          </cell>
          <cell r="B21" t="str">
            <v>MED</v>
          </cell>
          <cell r="C21" t="str">
            <v>CRM</v>
          </cell>
          <cell r="D21" t="str">
            <v>CRM</v>
          </cell>
          <cell r="E21" t="str">
            <v>C&amp;SI</v>
          </cell>
          <cell r="F21" t="str">
            <v>AMERIC ONLINE</v>
          </cell>
          <cell r="G21" t="str">
            <v>CST Implementation - Lea</v>
          </cell>
          <cell r="H21" t="str">
            <v>CFT3Y3N</v>
          </cell>
          <cell r="I21">
            <v>1</v>
          </cell>
          <cell r="J21" t="str">
            <v>George N Kaczmarskyj/Fairfax/IBM</v>
          </cell>
          <cell r="K21" t="str">
            <v>Lloyd A Poplin ii/Fairfax/IBM</v>
          </cell>
          <cell r="L21" t="str">
            <v>FP</v>
          </cell>
          <cell r="M21">
            <v>38684</v>
          </cell>
          <cell r="N21">
            <v>38758</v>
          </cell>
          <cell r="O21">
            <v>262000</v>
          </cell>
          <cell r="P21">
            <v>262000</v>
          </cell>
          <cell r="Q21">
            <v>262000</v>
          </cell>
          <cell r="R21">
            <v>0.43693893129770994</v>
          </cell>
          <cell r="S21">
            <v>0</v>
          </cell>
          <cell r="T21" t="str">
            <v/>
          </cell>
          <cell r="U21" t="str">
            <v/>
          </cell>
          <cell r="V21" t="str">
            <v>Y</v>
          </cell>
          <cell r="W21" t="str">
            <v>Y</v>
          </cell>
          <cell r="X21" t="str">
            <v>Y</v>
          </cell>
          <cell r="Y21" t="str">
            <v/>
          </cell>
          <cell r="Z21" t="str">
            <v/>
          </cell>
          <cell r="AA21" t="str">
            <v>Y</v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U21" t="str">
            <v>CUSTOMER RELATIONSHIP MANAGEMENT</v>
          </cell>
          <cell r="AV21" t="str">
            <v>O</v>
          </cell>
          <cell r="AW21">
            <v>455</v>
          </cell>
          <cell r="AX21">
            <v>0</v>
          </cell>
          <cell r="AY21">
            <v>0</v>
          </cell>
          <cell r="AZ21">
            <v>262000</v>
          </cell>
          <cell r="BA21">
            <v>147522</v>
          </cell>
          <cell r="BB21">
            <v>114478</v>
          </cell>
          <cell r="BC21">
            <v>6025</v>
          </cell>
          <cell r="BD21">
            <v>4.0841366033540757E-2</v>
          </cell>
          <cell r="BE21">
            <v>0</v>
          </cell>
          <cell r="BF21">
            <v>38803.26</v>
          </cell>
          <cell r="BG21">
            <v>-38803.26</v>
          </cell>
          <cell r="BH21">
            <v>-153281.26</v>
          </cell>
          <cell r="BI21">
            <v>-0.43693893129770994</v>
          </cell>
          <cell r="BJ21">
            <v>0</v>
          </cell>
          <cell r="BK21">
            <v>38803.26</v>
          </cell>
          <cell r="BL21">
            <v>-38803.26</v>
          </cell>
          <cell r="BM21">
            <v>0</v>
          </cell>
          <cell r="BN21">
            <v>-0.43693893129770994</v>
          </cell>
          <cell r="BO21" t="str">
            <v>ISU</v>
          </cell>
          <cell r="BP21" t="str">
            <v>O</v>
          </cell>
          <cell r="BQ21" t="str">
            <v>FX</v>
          </cell>
          <cell r="BR21">
            <v>195966</v>
          </cell>
          <cell r="BS21" t="str">
            <v>6YR</v>
          </cell>
          <cell r="BT21">
            <v>8852000</v>
          </cell>
          <cell r="BW21" t="str">
            <v/>
          </cell>
          <cell r="BX21" t="str">
            <v>Unrated</v>
          </cell>
          <cell r="BY21" t="str">
            <v>Under</v>
          </cell>
          <cell r="BZ21" t="str">
            <v/>
          </cell>
          <cell r="CA21" t="str">
            <v/>
          </cell>
          <cell r="CG21">
            <v>262000</v>
          </cell>
          <cell r="CH21">
            <v>110642</v>
          </cell>
          <cell r="CI21">
            <v>151358</v>
          </cell>
          <cell r="CJ21">
            <v>0.57770229007633589</v>
          </cell>
          <cell r="CK21">
            <v>0.14076335877862595</v>
          </cell>
          <cell r="CM21" t="e">
            <v>#N/A</v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>
            <v>38657</v>
          </cell>
          <cell r="CT21" t="str">
            <v/>
          </cell>
          <cell r="CU21" t="str">
            <v/>
          </cell>
          <cell r="CV21" t="str">
            <v/>
          </cell>
          <cell r="CW21" t="str">
            <v>CUSTOMER RELATIONSHIP MANAGEMENT</v>
          </cell>
        </row>
        <row r="22">
          <cell r="A22" t="str">
            <v>CFTV0FL</v>
          </cell>
          <cell r="B22" t="str">
            <v>MED</v>
          </cell>
          <cell r="C22" t="str">
            <v>CRM</v>
          </cell>
          <cell r="D22" t="str">
            <v>CRM</v>
          </cell>
          <cell r="E22" t="str">
            <v>C&amp;SI</v>
          </cell>
          <cell r="F22" t="str">
            <v>AMERIC ONLINE</v>
          </cell>
          <cell r="G22" t="str">
            <v>Callidus Extension       ...</v>
          </cell>
          <cell r="H22" t="str">
            <v>CFTV0FL</v>
          </cell>
          <cell r="I22">
            <v>1</v>
          </cell>
          <cell r="J22" t="str">
            <v>Robert Schwartz jr/Houston/IBM</v>
          </cell>
          <cell r="K22" t="str">
            <v>Steven J Martinez/Denver/IBM</v>
          </cell>
          <cell r="L22" t="str">
            <v>BE</v>
          </cell>
          <cell r="M22">
            <v>38474</v>
          </cell>
          <cell r="N22">
            <v>38527</v>
          </cell>
          <cell r="O22">
            <v>0</v>
          </cell>
          <cell r="P22">
            <v>58865</v>
          </cell>
          <cell r="Q22">
            <v>0</v>
          </cell>
          <cell r="R22">
            <v>0.16706022254310712</v>
          </cell>
          <cell r="S22">
            <v>9.6305104901044769E-2</v>
          </cell>
          <cell r="T22" t="str">
            <v/>
          </cell>
          <cell r="U22" t="str">
            <v>Y</v>
          </cell>
          <cell r="V22" t="str">
            <v/>
          </cell>
          <cell r="W22" t="str">
            <v/>
          </cell>
          <cell r="X22" t="str">
            <v>Y</v>
          </cell>
          <cell r="Y22" t="str">
            <v>Y</v>
          </cell>
          <cell r="Z22" t="str">
            <v/>
          </cell>
          <cell r="AA22" t="str">
            <v/>
          </cell>
          <cell r="AC22" t="str">
            <v/>
          </cell>
          <cell r="AD22" t="str">
            <v/>
          </cell>
          <cell r="AU22" t="str">
            <v>CUSTOMER RELATIONSHIP MANAGEMENT</v>
          </cell>
          <cell r="AV22" t="str">
            <v>O</v>
          </cell>
          <cell r="AW22">
            <v>305</v>
          </cell>
          <cell r="AX22">
            <v>0</v>
          </cell>
          <cell r="AY22">
            <v>0</v>
          </cell>
          <cell r="AZ22">
            <v>58865</v>
          </cell>
          <cell r="BA22">
            <v>49031</v>
          </cell>
          <cell r="BB22">
            <v>9834</v>
          </cell>
          <cell r="BC22">
            <v>4903</v>
          </cell>
          <cell r="BD22">
            <v>9.9997960473985847E-2</v>
          </cell>
          <cell r="BE22">
            <v>58865</v>
          </cell>
          <cell r="BF22">
            <v>53196</v>
          </cell>
          <cell r="BG22">
            <v>5669</v>
          </cell>
          <cell r="BH22">
            <v>-4165</v>
          </cell>
          <cell r="BI22">
            <v>-7.0755117642062354E-2</v>
          </cell>
          <cell r="BJ22">
            <v>58865</v>
          </cell>
          <cell r="BK22">
            <v>53196</v>
          </cell>
          <cell r="BL22">
            <v>5669</v>
          </cell>
          <cell r="BM22">
            <v>9.6305104901044769E-2</v>
          </cell>
          <cell r="BN22">
            <v>-7.0755117642062354E-2</v>
          </cell>
          <cell r="BO22" t="str">
            <v>ISU</v>
          </cell>
          <cell r="BP22" t="str">
            <v>O</v>
          </cell>
          <cell r="BQ22" t="str">
            <v>FX</v>
          </cell>
          <cell r="BR22">
            <v>195966</v>
          </cell>
          <cell r="BS22" t="str">
            <v>6YR</v>
          </cell>
          <cell r="BT22">
            <v>8852000</v>
          </cell>
          <cell r="BW22" t="str">
            <v/>
          </cell>
          <cell r="BX22" t="str">
            <v>Unrated</v>
          </cell>
          <cell r="BY22" t="str">
            <v>Under</v>
          </cell>
          <cell r="BZ22" t="str">
            <v/>
          </cell>
          <cell r="CA22" t="str">
            <v/>
          </cell>
          <cell r="CG22">
            <v>58865</v>
          </cell>
          <cell r="CH22">
            <v>53196</v>
          </cell>
          <cell r="CI22">
            <v>5669</v>
          </cell>
          <cell r="CJ22">
            <v>9.6305104901044769E-2</v>
          </cell>
          <cell r="CK22">
            <v>-7.0755117642062354E-2</v>
          </cell>
          <cell r="CM22" t="e">
            <v>#N/A</v>
          </cell>
          <cell r="CS22">
            <v>38473</v>
          </cell>
          <cell r="CV22" t="str">
            <v/>
          </cell>
          <cell r="CW22" t="str">
            <v>CUSTOMER RELATIONSHIP MANAGEMENT</v>
          </cell>
        </row>
        <row r="23">
          <cell r="A23" t="str">
            <v>CFTT6QN</v>
          </cell>
          <cell r="B23" t="str">
            <v>MED</v>
          </cell>
          <cell r="C23" t="str">
            <v>AIS</v>
          </cell>
          <cell r="D23" t="str">
            <v>AIS</v>
          </cell>
          <cell r="E23" t="str">
            <v>C&amp;SI</v>
          </cell>
          <cell r="F23" t="str">
            <v>AMERIC ONLINE</v>
          </cell>
          <cell r="G23">
            <v>0</v>
          </cell>
          <cell r="H23" t="str">
            <v>CFTT6QN</v>
          </cell>
          <cell r="I23">
            <v>1</v>
          </cell>
          <cell r="J23">
            <v>0</v>
          </cell>
          <cell r="K23">
            <v>0</v>
          </cell>
          <cell r="L23" t="str">
            <v>IC</v>
          </cell>
          <cell r="M23">
            <v>38582</v>
          </cell>
          <cell r="N23">
            <v>39678</v>
          </cell>
          <cell r="O23">
            <v>-524308.74</v>
          </cell>
          <cell r="P23">
            <v>0</v>
          </cell>
          <cell r="Q23">
            <v>-524308.74</v>
          </cell>
          <cell r="R23">
            <v>0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>Y</v>
          </cell>
          <cell r="AA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U23" t="str">
            <v>AOD</v>
          </cell>
          <cell r="AV23" t="str">
            <v>O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524308.74</v>
          </cell>
          <cell r="BF23">
            <v>0</v>
          </cell>
          <cell r="BG23">
            <v>524308.74</v>
          </cell>
          <cell r="BH23">
            <v>524308.74</v>
          </cell>
          <cell r="BI23">
            <v>1</v>
          </cell>
          <cell r="BJ23">
            <v>524308.74</v>
          </cell>
          <cell r="BK23">
            <v>0</v>
          </cell>
          <cell r="BL23">
            <v>524308.74</v>
          </cell>
          <cell r="BM23">
            <v>1</v>
          </cell>
          <cell r="BN23">
            <v>1</v>
          </cell>
          <cell r="BO23" t="str">
            <v>ISU</v>
          </cell>
          <cell r="BP23" t="str">
            <v>O</v>
          </cell>
          <cell r="BQ23" t="str">
            <v>B6</v>
          </cell>
          <cell r="BR23">
            <v>417944</v>
          </cell>
          <cell r="BS23" t="str">
            <v>1AF</v>
          </cell>
          <cell r="BT23">
            <v>8852000</v>
          </cell>
          <cell r="BW23" t="str">
            <v/>
          </cell>
          <cell r="BX23" t="str">
            <v>Unrated</v>
          </cell>
          <cell r="BY23" t="str">
            <v>Under</v>
          </cell>
          <cell r="BZ23" t="str">
            <v/>
          </cell>
          <cell r="CA23" t="str">
            <v/>
          </cell>
          <cell r="CG23">
            <v>397983.35</v>
          </cell>
          <cell r="CH23">
            <v>0</v>
          </cell>
          <cell r="CI23">
            <v>397983.35</v>
          </cell>
          <cell r="CJ23">
            <v>1</v>
          </cell>
          <cell r="CK23">
            <v>1</v>
          </cell>
          <cell r="CM23" t="e">
            <v>#N/A</v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>
            <v>38565</v>
          </cell>
          <cell r="CT23" t="str">
            <v/>
          </cell>
          <cell r="CU23" t="str">
            <v/>
          </cell>
          <cell r="CV23" t="str">
            <v/>
          </cell>
          <cell r="CW23" t="str">
            <v>APPLICATION INNOVATION</v>
          </cell>
        </row>
        <row r="24">
          <cell r="A24" t="str">
            <v>CFT787M</v>
          </cell>
          <cell r="B24" t="str">
            <v>TEL</v>
          </cell>
          <cell r="C24" t="str">
            <v>BTO</v>
          </cell>
          <cell r="D24" t="str">
            <v>BTO</v>
          </cell>
          <cell r="E24" t="str">
            <v>BTO</v>
          </cell>
          <cell r="F24" t="str">
            <v>AT&amp;T</v>
          </cell>
          <cell r="G24" t="str">
            <v>AT&amp;T BTO eLearning.      ...</v>
          </cell>
          <cell r="H24" t="str">
            <v>CFT787M</v>
          </cell>
          <cell r="I24">
            <v>17</v>
          </cell>
          <cell r="J24" t="str">
            <v>Michael Mather/New York/IBM</v>
          </cell>
          <cell r="K24" t="str">
            <v>Kelly Stansfield/Ontario/IBM</v>
          </cell>
          <cell r="L24" t="str">
            <v>IC</v>
          </cell>
          <cell r="M24">
            <v>38397</v>
          </cell>
          <cell r="N24">
            <v>40238</v>
          </cell>
          <cell r="O24">
            <v>80549903.140000001</v>
          </cell>
          <cell r="P24">
            <v>80549903.140000001</v>
          </cell>
          <cell r="Q24">
            <v>80549903.140000001</v>
          </cell>
          <cell r="R24">
            <v>1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>Y</v>
          </cell>
          <cell r="Y24" t="str">
            <v/>
          </cell>
          <cell r="Z24" t="str">
            <v/>
          </cell>
          <cell r="AA24" t="str">
            <v>Y</v>
          </cell>
          <cell r="AC24" t="str">
            <v>Y</v>
          </cell>
          <cell r="AD24" t="str">
            <v>Y</v>
          </cell>
          <cell r="AE24" t="str">
            <v>BTO</v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>Waived</v>
          </cell>
          <cell r="AK24" t="str">
            <v/>
          </cell>
          <cell r="AL24" t="str">
            <v>N/A</v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U24" t="str">
            <v>BTO</v>
          </cell>
          <cell r="AV24" t="str">
            <v>O</v>
          </cell>
          <cell r="AW24">
            <v>204807.7</v>
          </cell>
          <cell r="AX24">
            <v>2339</v>
          </cell>
          <cell r="AY24">
            <v>1.142046905463027E-2</v>
          </cell>
          <cell r="AZ24">
            <v>80549903.140000001</v>
          </cell>
          <cell r="BA24">
            <v>0</v>
          </cell>
          <cell r="BB24">
            <v>80549903.140000001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-80549903.140000001</v>
          </cell>
          <cell r="BI24">
            <v>-1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-1</v>
          </cell>
          <cell r="BO24" t="str">
            <v>ISU</v>
          </cell>
          <cell r="BP24" t="str">
            <v>O</v>
          </cell>
          <cell r="BQ24" t="str">
            <v>FZ</v>
          </cell>
          <cell r="BR24">
            <v>257520</v>
          </cell>
          <cell r="BS24" t="str">
            <v>UHX</v>
          </cell>
          <cell r="BT24">
            <v>413000</v>
          </cell>
          <cell r="BW24" t="str">
            <v/>
          </cell>
          <cell r="BX24" t="str">
            <v>Rated</v>
          </cell>
          <cell r="BY24" t="str">
            <v>Over</v>
          </cell>
          <cell r="BZ24" t="str">
            <v>Other</v>
          </cell>
          <cell r="CA24" t="str">
            <v/>
          </cell>
          <cell r="CG24">
            <v>89144301.170000002</v>
          </cell>
          <cell r="CH24">
            <v>15446961.34</v>
          </cell>
          <cell r="CI24">
            <v>73697339.830000013</v>
          </cell>
          <cell r="CJ24">
            <v>0.82671958681304458</v>
          </cell>
          <cell r="CK24">
            <v>-0.17328041318695542</v>
          </cell>
          <cell r="CL24" t="str">
            <v>BCS finishing. No need to PRM.</v>
          </cell>
          <cell r="CM24" t="str">
            <v/>
          </cell>
          <cell r="CN24" t="str">
            <v>To Sills.  Waived</v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>
            <v>38384</v>
          </cell>
          <cell r="CT24" t="str">
            <v/>
          </cell>
          <cell r="CV24" t="str">
            <v/>
          </cell>
          <cell r="CW24" t="str">
            <v>BTO</v>
          </cell>
        </row>
        <row r="25">
          <cell r="A25" t="str">
            <v>CFTJR6L</v>
          </cell>
          <cell r="B25" t="str">
            <v>TEL</v>
          </cell>
          <cell r="C25" t="str">
            <v>FM</v>
          </cell>
          <cell r="D25" t="str">
            <v>FM</v>
          </cell>
          <cell r="E25" t="str">
            <v>C&amp;SI</v>
          </cell>
          <cell r="F25" t="str">
            <v>AT&amp;T</v>
          </cell>
          <cell r="G25" t="str">
            <v>CFM Phase 2</v>
          </cell>
          <cell r="H25" t="str">
            <v>CFTJR6L</v>
          </cell>
          <cell r="I25">
            <v>1</v>
          </cell>
          <cell r="J25" t="str">
            <v>William A Serrao/New York/IBM</v>
          </cell>
          <cell r="K25" t="str">
            <v>Jim EVERETT/Philadelphia/IBM</v>
          </cell>
          <cell r="L25" t="str">
            <v>FP</v>
          </cell>
          <cell r="M25">
            <v>37834</v>
          </cell>
          <cell r="N25">
            <v>38533</v>
          </cell>
          <cell r="O25">
            <v>46464.479999996722</v>
          </cell>
          <cell r="P25">
            <v>39268645.829999998</v>
          </cell>
          <cell r="Q25">
            <v>46464.479999996722</v>
          </cell>
          <cell r="R25">
            <v>0.40447870035451128</v>
          </cell>
          <cell r="S25">
            <v>0.37501187296917132</v>
          </cell>
          <cell r="T25" t="str">
            <v/>
          </cell>
          <cell r="U25" t="str">
            <v>Y</v>
          </cell>
          <cell r="V25" t="str">
            <v/>
          </cell>
          <cell r="W25" t="str">
            <v/>
          </cell>
          <cell r="X25" t="str">
            <v>Y</v>
          </cell>
          <cell r="Y25" t="str">
            <v/>
          </cell>
          <cell r="Z25" t="str">
            <v/>
          </cell>
          <cell r="AA25" t="str">
            <v/>
          </cell>
          <cell r="AC25" t="str">
            <v>Y</v>
          </cell>
          <cell r="AD25" t="str">
            <v/>
          </cell>
          <cell r="AE25" t="str">
            <v>Giblin</v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>*CLOSING*</v>
          </cell>
          <cell r="AK25" t="str">
            <v/>
          </cell>
          <cell r="AL25" t="str">
            <v>N/A</v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U25" t="str">
            <v>FINANCIAL MANAGEMENT</v>
          </cell>
          <cell r="AV25" t="str">
            <v>O</v>
          </cell>
          <cell r="AW25">
            <v>251276</v>
          </cell>
          <cell r="AX25">
            <v>227.5</v>
          </cell>
          <cell r="AY25">
            <v>9.0537894586032884E-4</v>
          </cell>
          <cell r="AZ25">
            <v>39268645.829999998</v>
          </cell>
          <cell r="BA25">
            <v>23385315</v>
          </cell>
          <cell r="BB25">
            <v>15883330.829999998</v>
          </cell>
          <cell r="BC25">
            <v>2310425</v>
          </cell>
          <cell r="BD25">
            <v>9.8798113260394393E-2</v>
          </cell>
          <cell r="BE25">
            <v>39222181.350000001</v>
          </cell>
          <cell r="BF25">
            <v>24513397.66</v>
          </cell>
          <cell r="BG25">
            <v>14708783.690000001</v>
          </cell>
          <cell r="BH25">
            <v>-1174547.1399999999</v>
          </cell>
          <cell r="BI25">
            <v>-2.9466827385339955E-2</v>
          </cell>
          <cell r="BJ25">
            <v>16569.349999999999</v>
          </cell>
          <cell r="BK25">
            <v>-648329.99</v>
          </cell>
          <cell r="BL25">
            <v>664899.34</v>
          </cell>
          <cell r="BM25">
            <v>40.128269364821193</v>
          </cell>
          <cell r="BN25">
            <v>39.723790664466684</v>
          </cell>
          <cell r="BO25" t="str">
            <v>ISU</v>
          </cell>
          <cell r="BP25" t="str">
            <v>O</v>
          </cell>
          <cell r="BQ25" t="str">
            <v>FX</v>
          </cell>
          <cell r="BR25">
            <v>6392915</v>
          </cell>
          <cell r="BS25" t="str">
            <v>6Y9</v>
          </cell>
          <cell r="BT25">
            <v>413000</v>
          </cell>
          <cell r="BW25" t="str">
            <v/>
          </cell>
          <cell r="BX25" t="str">
            <v>Rated</v>
          </cell>
          <cell r="BY25" t="str">
            <v>Over</v>
          </cell>
          <cell r="BZ25" t="str">
            <v>Other</v>
          </cell>
          <cell r="CA25" t="str">
            <v/>
          </cell>
          <cell r="CG25">
            <v>39268645.829999998</v>
          </cell>
          <cell r="CH25">
            <v>24522522.52</v>
          </cell>
          <cell r="CI25">
            <v>14746123.310000001</v>
          </cell>
          <cell r="CJ25">
            <v>0.37551901773843271</v>
          </cell>
          <cell r="CK25">
            <v>-2.8959682616078564E-2</v>
          </cell>
          <cell r="CL25" t="str">
            <v>Ck next MPP to see if project is actually closed….if not, have Paul follow-up</v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>
            <v>37834</v>
          </cell>
          <cell r="CT25" t="str">
            <v/>
          </cell>
          <cell r="CV25" t="str">
            <v/>
          </cell>
          <cell r="CW25" t="str">
            <v>FINANCIAL MANAGEMENT</v>
          </cell>
        </row>
        <row r="26">
          <cell r="A26" t="str">
            <v>CFTWJ6M</v>
          </cell>
          <cell r="B26" t="str">
            <v>TEL</v>
          </cell>
          <cell r="C26" t="str">
            <v>FM</v>
          </cell>
          <cell r="D26" t="str">
            <v>FM</v>
          </cell>
          <cell r="E26" t="str">
            <v>C&amp;SI</v>
          </cell>
          <cell r="F26" t="str">
            <v>AT&amp;T</v>
          </cell>
          <cell r="G26" t="str">
            <v>CFM 2005.07</v>
          </cell>
          <cell r="H26" t="str">
            <v>CFTWJ6M</v>
          </cell>
          <cell r="I26">
            <v>2</v>
          </cell>
          <cell r="J26" t="str">
            <v>William A Serrao/New York/IBM</v>
          </cell>
          <cell r="K26" t="str">
            <v>Stephen Rittersbach/Morristown/IBM</v>
          </cell>
          <cell r="L26" t="str">
            <v>FP</v>
          </cell>
          <cell r="M26">
            <v>38292</v>
          </cell>
          <cell r="N26">
            <v>38929</v>
          </cell>
          <cell r="O26">
            <v>1007189.47</v>
          </cell>
          <cell r="P26">
            <v>16232501.01</v>
          </cell>
          <cell r="Q26">
            <v>1007189.47</v>
          </cell>
          <cell r="R26">
            <v>0.35261553388931532</v>
          </cell>
          <cell r="S26">
            <v>0.43032465593804198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>Y</v>
          </cell>
          <cell r="AA26" t="str">
            <v/>
          </cell>
          <cell r="AC26" t="str">
            <v/>
          </cell>
          <cell r="AD26" t="str">
            <v>Y</v>
          </cell>
          <cell r="AE26" t="str">
            <v>Giblin</v>
          </cell>
          <cell r="AF26" t="str">
            <v/>
          </cell>
          <cell r="AG26" t="str">
            <v/>
          </cell>
          <cell r="AH26" t="str">
            <v>Bob Tomlin</v>
          </cell>
          <cell r="AI26" t="str">
            <v>M</v>
          </cell>
          <cell r="AJ26" t="str">
            <v>Waived</v>
          </cell>
          <cell r="AK26">
            <v>38534</v>
          </cell>
          <cell r="AL26" t="str">
            <v>N/A</v>
          </cell>
          <cell r="AM26" t="str">
            <v>Y</v>
          </cell>
          <cell r="AN26" t="str">
            <v>G</v>
          </cell>
          <cell r="AO26" t="str">
            <v>G</v>
          </cell>
          <cell r="AP26" t="str">
            <v>G</v>
          </cell>
          <cell r="AQ26" t="str">
            <v>G</v>
          </cell>
          <cell r="AR26" t="str">
            <v>G</v>
          </cell>
          <cell r="AS26" t="str">
            <v>G</v>
          </cell>
          <cell r="AU26" t="str">
            <v>FINANCIAL MANAGEMENT</v>
          </cell>
          <cell r="AV26" t="str">
            <v>O</v>
          </cell>
          <cell r="AW26">
            <v>79063.7</v>
          </cell>
          <cell r="AX26">
            <v>0</v>
          </cell>
          <cell r="AY26">
            <v>0</v>
          </cell>
          <cell r="AZ26">
            <v>16232501.01</v>
          </cell>
          <cell r="BA26">
            <v>10508669</v>
          </cell>
          <cell r="BB26">
            <v>5723832.0099999998</v>
          </cell>
          <cell r="BC26">
            <v>1072673</v>
          </cell>
          <cell r="BD26">
            <v>0.10207505822097927</v>
          </cell>
          <cell r="BE26">
            <v>15225311.539999999</v>
          </cell>
          <cell r="BF26">
            <v>8673484.5899999999</v>
          </cell>
          <cell r="BG26">
            <v>6551826.9499999993</v>
          </cell>
          <cell r="BH26">
            <v>827994.93999999948</v>
          </cell>
          <cell r="BI26">
            <v>7.7709122048726653E-2</v>
          </cell>
          <cell r="BJ26">
            <v>13178052.77</v>
          </cell>
          <cell r="BK26">
            <v>7234269.0899999999</v>
          </cell>
          <cell r="BL26">
            <v>5943783.6799999997</v>
          </cell>
          <cell r="BM26">
            <v>0.45103656691458216</v>
          </cell>
          <cell r="BN26">
            <v>9.8421033025266835E-2</v>
          </cell>
          <cell r="BO26" t="str">
            <v>ISU</v>
          </cell>
          <cell r="BP26" t="str">
            <v>O</v>
          </cell>
          <cell r="BQ26" t="str">
            <v>FY</v>
          </cell>
          <cell r="BR26">
            <v>6392915</v>
          </cell>
          <cell r="BS26" t="str">
            <v>6Y9</v>
          </cell>
          <cell r="BT26">
            <v>413000</v>
          </cell>
          <cell r="BW26" t="str">
            <v/>
          </cell>
          <cell r="BX26" t="str">
            <v>Rated</v>
          </cell>
          <cell r="BY26" t="str">
            <v>Over</v>
          </cell>
          <cell r="BZ26" t="str">
            <v>Other</v>
          </cell>
          <cell r="CA26" t="str">
            <v/>
          </cell>
          <cell r="CG26">
            <v>16232501.01</v>
          </cell>
          <cell r="CH26">
            <v>9195231.1400000006</v>
          </cell>
          <cell r="CI26">
            <v>7037269.8700000001</v>
          </cell>
          <cell r="CJ26">
            <v>0.43352961232928333</v>
          </cell>
          <cell r="CK26">
            <v>8.0914078439968007E-2</v>
          </cell>
          <cell r="CL26" t="str">
            <v>Production Support…Paul to Ck 1Q06</v>
          </cell>
          <cell r="CM26" t="str">
            <v/>
          </cell>
          <cell r="CN26" t="str">
            <v/>
          </cell>
          <cell r="CO26" t="str">
            <v/>
          </cell>
          <cell r="CP26" t="str">
            <v/>
          </cell>
          <cell r="CQ26" t="str">
            <v/>
          </cell>
          <cell r="CR26" t="str">
            <v/>
          </cell>
          <cell r="CS26">
            <v>38292</v>
          </cell>
          <cell r="CT26" t="str">
            <v/>
          </cell>
          <cell r="CV26" t="str">
            <v/>
          </cell>
          <cell r="CW26" t="str">
            <v>FINANCIAL MANAGEMENT</v>
          </cell>
        </row>
        <row r="27">
          <cell r="A27" t="str">
            <v>CFTPPBN</v>
          </cell>
          <cell r="B27" t="str">
            <v>TEL</v>
          </cell>
          <cell r="C27" t="str">
            <v>SCS</v>
          </cell>
          <cell r="D27" t="str">
            <v>SCS</v>
          </cell>
          <cell r="E27" t="str">
            <v>C&amp;SI</v>
          </cell>
          <cell r="F27" t="str">
            <v>AT&amp;T</v>
          </cell>
          <cell r="G27" t="str">
            <v>*NS eOrdering Adoption</v>
          </cell>
          <cell r="H27" t="str">
            <v>CFTPPBN</v>
          </cell>
          <cell r="I27">
            <v>1</v>
          </cell>
          <cell r="J27" t="str">
            <v>Cheryl J Grise/Los Angeles/IBM</v>
          </cell>
          <cell r="K27" t="str">
            <v>Alessandro Chicarelli/New York/IBM</v>
          </cell>
          <cell r="L27" t="str">
            <v>FP</v>
          </cell>
          <cell r="M27">
            <v>38530</v>
          </cell>
          <cell r="N27">
            <v>38807</v>
          </cell>
          <cell r="O27">
            <v>127252.86</v>
          </cell>
          <cell r="P27">
            <v>910000</v>
          </cell>
          <cell r="Q27">
            <v>127252.86</v>
          </cell>
          <cell r="R27">
            <v>0.45810769230769233</v>
          </cell>
          <cell r="S27">
            <v>0.49121996153189396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U27" t="str">
            <v>STRATEGY AND CHANGE</v>
          </cell>
          <cell r="AV27" t="str">
            <v>O</v>
          </cell>
          <cell r="AW27">
            <v>6212.5</v>
          </cell>
          <cell r="AX27">
            <v>0</v>
          </cell>
          <cell r="AY27">
            <v>0</v>
          </cell>
          <cell r="AZ27">
            <v>910000</v>
          </cell>
          <cell r="BA27">
            <v>493122</v>
          </cell>
          <cell r="BB27">
            <v>416878</v>
          </cell>
          <cell r="BC27">
            <v>20372</v>
          </cell>
          <cell r="BD27">
            <v>4.1312291887200328E-2</v>
          </cell>
          <cell r="BE27">
            <v>782747.14</v>
          </cell>
          <cell r="BF27">
            <v>398246.12</v>
          </cell>
          <cell r="BG27">
            <v>384501.02</v>
          </cell>
          <cell r="BH27">
            <v>-32376.98</v>
          </cell>
          <cell r="BI27">
            <v>3.3112269224201629E-2</v>
          </cell>
          <cell r="BJ27">
            <v>782747.14</v>
          </cell>
          <cell r="BK27">
            <v>398246.12</v>
          </cell>
          <cell r="BL27">
            <v>384501.02</v>
          </cell>
          <cell r="BM27">
            <v>0.49121996153189396</v>
          </cell>
          <cell r="BN27">
            <v>3.3112269224201629E-2</v>
          </cell>
          <cell r="BO27" t="str">
            <v>ISU</v>
          </cell>
          <cell r="BP27" t="str">
            <v>O</v>
          </cell>
          <cell r="BQ27" t="str">
            <v>FX</v>
          </cell>
          <cell r="BR27">
            <v>257520</v>
          </cell>
          <cell r="BS27" t="str">
            <v>6Y9</v>
          </cell>
          <cell r="BT27">
            <v>413000</v>
          </cell>
          <cell r="BW27" t="str">
            <v/>
          </cell>
          <cell r="BX27" t="str">
            <v>Unrated</v>
          </cell>
          <cell r="BY27" t="str">
            <v>Under</v>
          </cell>
          <cell r="BZ27" t="str">
            <v/>
          </cell>
          <cell r="CA27" t="str">
            <v/>
          </cell>
          <cell r="CG27">
            <v>910000</v>
          </cell>
          <cell r="CH27">
            <v>447331.74</v>
          </cell>
          <cell r="CI27">
            <v>462668.26</v>
          </cell>
          <cell r="CJ27">
            <v>0.50842665934065934</v>
          </cell>
          <cell r="CK27">
            <v>5.031896703296701E-2</v>
          </cell>
          <cell r="CL27" t="str">
            <v/>
          </cell>
          <cell r="CM27" t="str">
            <v/>
          </cell>
          <cell r="CN27" t="str">
            <v/>
          </cell>
          <cell r="CO27" t="str">
            <v/>
          </cell>
          <cell r="CP27" t="str">
            <v/>
          </cell>
          <cell r="CQ27" t="str">
            <v/>
          </cell>
          <cell r="CR27" t="str">
            <v/>
          </cell>
          <cell r="CS27">
            <v>38504</v>
          </cell>
          <cell r="CT27" t="str">
            <v/>
          </cell>
          <cell r="CV27" t="str">
            <v/>
          </cell>
          <cell r="CW27" t="str">
            <v>STRATEGY AND CHANGE</v>
          </cell>
        </row>
        <row r="28">
          <cell r="A28" t="str">
            <v>CFT07FN</v>
          </cell>
          <cell r="B28" t="str">
            <v>TEL</v>
          </cell>
          <cell r="C28" t="str">
            <v>SCM</v>
          </cell>
          <cell r="D28" t="str">
            <v>SCM</v>
          </cell>
          <cell r="E28" t="str">
            <v>C&amp;SI</v>
          </cell>
          <cell r="F28" t="str">
            <v>AT&amp;T</v>
          </cell>
          <cell r="G28" t="str">
            <v>Supply Chain ERP Impleme</v>
          </cell>
          <cell r="H28" t="str">
            <v>CFT07FN</v>
          </cell>
          <cell r="I28">
            <v>1</v>
          </cell>
          <cell r="J28" t="str">
            <v>William A Serrao/New York/IBM</v>
          </cell>
          <cell r="K28" t="str">
            <v>Tutu Shifarraw/New York/IBM</v>
          </cell>
          <cell r="L28" t="str">
            <v>FP</v>
          </cell>
          <cell r="M28">
            <v>38628</v>
          </cell>
          <cell r="N28">
            <v>38748</v>
          </cell>
          <cell r="O28">
            <v>145891.84</v>
          </cell>
          <cell r="P28">
            <v>542394.91</v>
          </cell>
          <cell r="Q28">
            <v>145891.84</v>
          </cell>
          <cell r="R28">
            <v>0.39673290813145723</v>
          </cell>
          <cell r="S28">
            <v>0.48916236638470417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>Y</v>
          </cell>
          <cell r="AA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U28" t="str">
            <v>SUPPLY CHAIN MANAGEMENT</v>
          </cell>
          <cell r="AV28" t="str">
            <v>O</v>
          </cell>
          <cell r="AW28">
            <v>2123</v>
          </cell>
          <cell r="AX28">
            <v>0</v>
          </cell>
          <cell r="AY28">
            <v>0</v>
          </cell>
          <cell r="AZ28">
            <v>542394.91</v>
          </cell>
          <cell r="BA28">
            <v>327209</v>
          </cell>
          <cell r="BB28">
            <v>215185.91</v>
          </cell>
          <cell r="BC28">
            <v>32831</v>
          </cell>
          <cell r="BD28">
            <v>0.10033648218722591</v>
          </cell>
          <cell r="BE28">
            <v>396503.07</v>
          </cell>
          <cell r="BF28">
            <v>202548.69</v>
          </cell>
          <cell r="BG28">
            <v>193954.38</v>
          </cell>
          <cell r="BH28">
            <v>-21231.53</v>
          </cell>
          <cell r="BI28">
            <v>9.2429458253246943E-2</v>
          </cell>
          <cell r="BJ28">
            <v>396503.07</v>
          </cell>
          <cell r="BK28">
            <v>202548.69</v>
          </cell>
          <cell r="BL28">
            <v>193954.38</v>
          </cell>
          <cell r="BM28">
            <v>0.48916236638470417</v>
          </cell>
          <cell r="BN28">
            <v>9.2429458253246943E-2</v>
          </cell>
          <cell r="BO28" t="str">
            <v>ISU</v>
          </cell>
          <cell r="BP28" t="str">
            <v>O</v>
          </cell>
          <cell r="BQ28" t="str">
            <v>FX</v>
          </cell>
          <cell r="BR28">
            <v>6855265</v>
          </cell>
          <cell r="BS28" t="str">
            <v>6Y9</v>
          </cell>
          <cell r="BT28">
            <v>413000</v>
          </cell>
          <cell r="BW28" t="str">
            <v/>
          </cell>
          <cell r="BX28" t="str">
            <v>Unrated</v>
          </cell>
          <cell r="BY28" t="str">
            <v>Under</v>
          </cell>
          <cell r="BZ28" t="str">
            <v/>
          </cell>
          <cell r="CA28" t="str">
            <v/>
          </cell>
          <cell r="CG28">
            <v>542394.91</v>
          </cell>
          <cell r="CH28">
            <v>164693.26</v>
          </cell>
          <cell r="CI28">
            <v>377701.65</v>
          </cell>
          <cell r="CJ28">
            <v>0.69635913434364638</v>
          </cell>
          <cell r="CK28">
            <v>0.29962622621218915</v>
          </cell>
          <cell r="CL28" t="str">
            <v/>
          </cell>
          <cell r="CM28" t="str">
            <v/>
          </cell>
          <cell r="CN28" t="str">
            <v/>
          </cell>
          <cell r="CO28" t="str">
            <v/>
          </cell>
          <cell r="CP28" t="str">
            <v/>
          </cell>
          <cell r="CQ28" t="str">
            <v/>
          </cell>
          <cell r="CR28" t="str">
            <v/>
          </cell>
          <cell r="CS28">
            <v>38626</v>
          </cell>
          <cell r="CT28" t="str">
            <v/>
          </cell>
          <cell r="CU28" t="str">
            <v/>
          </cell>
          <cell r="CV28" t="str">
            <v/>
          </cell>
          <cell r="CW28" t="str">
            <v>SUPPLY CHAIN MANAGEMENT</v>
          </cell>
        </row>
        <row r="29">
          <cell r="A29" t="str">
            <v>CFTRQ2N</v>
          </cell>
          <cell r="B29" t="str">
            <v>TEL</v>
          </cell>
          <cell r="C29" t="str">
            <v>AIS</v>
          </cell>
          <cell r="D29" t="str">
            <v>AIS</v>
          </cell>
          <cell r="E29" t="str">
            <v>C&amp;SI</v>
          </cell>
          <cell r="F29" t="str">
            <v>AT&amp;T</v>
          </cell>
          <cell r="G29">
            <v>0</v>
          </cell>
          <cell r="H29" t="str">
            <v>CFTRQ2N</v>
          </cell>
          <cell r="I29">
            <v>1</v>
          </cell>
          <cell r="J29">
            <v>0</v>
          </cell>
          <cell r="K29">
            <v>0</v>
          </cell>
          <cell r="L29" t="str">
            <v>IC</v>
          </cell>
          <cell r="M29">
            <v>38565</v>
          </cell>
          <cell r="N29">
            <v>39569</v>
          </cell>
          <cell r="O29">
            <v>-65794.399999999994</v>
          </cell>
          <cell r="P29">
            <v>0</v>
          </cell>
          <cell r="Q29">
            <v>-65794.399999999994</v>
          </cell>
          <cell r="R29">
            <v>0</v>
          </cell>
          <cell r="S29">
            <v>1</v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>Y</v>
          </cell>
          <cell r="AA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U29" t="str">
            <v>AOD</v>
          </cell>
          <cell r="AV29" t="str">
            <v>O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65794.399999999994</v>
          </cell>
          <cell r="BF29">
            <v>0</v>
          </cell>
          <cell r="BG29">
            <v>65794.399999999994</v>
          </cell>
          <cell r="BH29">
            <v>65794.399999999994</v>
          </cell>
          <cell r="BI29">
            <v>1</v>
          </cell>
          <cell r="BJ29">
            <v>65794.399999999994</v>
          </cell>
          <cell r="BK29">
            <v>0</v>
          </cell>
          <cell r="BL29">
            <v>65794.399999999994</v>
          </cell>
          <cell r="BM29">
            <v>1</v>
          </cell>
          <cell r="BN29">
            <v>1</v>
          </cell>
          <cell r="BO29" t="str">
            <v>ISU</v>
          </cell>
          <cell r="BP29" t="str">
            <v>O</v>
          </cell>
          <cell r="BQ29" t="str">
            <v>B2</v>
          </cell>
          <cell r="BR29">
            <v>6587786</v>
          </cell>
          <cell r="BS29" t="str">
            <v>1AF</v>
          </cell>
          <cell r="BT29">
            <v>413000</v>
          </cell>
          <cell r="BW29" t="str">
            <v/>
          </cell>
          <cell r="BX29" t="str">
            <v>Unrated</v>
          </cell>
          <cell r="BY29" t="str">
            <v>Under</v>
          </cell>
          <cell r="BZ29" t="str">
            <v/>
          </cell>
          <cell r="CA29" t="str">
            <v/>
          </cell>
          <cell r="CG29">
            <v>49507.65</v>
          </cell>
          <cell r="CH29">
            <v>0</v>
          </cell>
          <cell r="CI29">
            <v>49507.65</v>
          </cell>
          <cell r="CJ29">
            <v>1</v>
          </cell>
          <cell r="CK29">
            <v>1</v>
          </cell>
          <cell r="CM29" t="e">
            <v>#N/A</v>
          </cell>
          <cell r="CN29" t="str">
            <v/>
          </cell>
          <cell r="CO29" t="str">
            <v/>
          </cell>
          <cell r="CP29" t="str">
            <v/>
          </cell>
          <cell r="CQ29" t="str">
            <v/>
          </cell>
          <cell r="CR29" t="str">
            <v/>
          </cell>
          <cell r="CS29">
            <v>38565</v>
          </cell>
          <cell r="CT29" t="str">
            <v/>
          </cell>
          <cell r="CU29" t="str">
            <v/>
          </cell>
          <cell r="CV29" t="str">
            <v/>
          </cell>
          <cell r="CW29" t="str">
            <v>APPLICATION INNOVATION</v>
          </cell>
        </row>
        <row r="30">
          <cell r="A30" t="str">
            <v>CFTRQ0N</v>
          </cell>
          <cell r="B30" t="str">
            <v>TEL</v>
          </cell>
          <cell r="C30" t="str">
            <v>AIS</v>
          </cell>
          <cell r="D30" t="str">
            <v>AIS</v>
          </cell>
          <cell r="E30" t="str">
            <v>C&amp;SI</v>
          </cell>
          <cell r="F30" t="str">
            <v>AT&amp;T LEGG PLATT</v>
          </cell>
          <cell r="G30">
            <v>0</v>
          </cell>
          <cell r="H30" t="str">
            <v>CFTRQ0N</v>
          </cell>
          <cell r="I30">
            <v>2</v>
          </cell>
          <cell r="J30">
            <v>0</v>
          </cell>
          <cell r="K30">
            <v>0</v>
          </cell>
          <cell r="L30" t="str">
            <v>IC</v>
          </cell>
          <cell r="M30">
            <v>38565</v>
          </cell>
          <cell r="N30">
            <v>38748</v>
          </cell>
          <cell r="O30">
            <v>-111506.25</v>
          </cell>
          <cell r="P30">
            <v>0</v>
          </cell>
          <cell r="Q30">
            <v>-111506.25</v>
          </cell>
          <cell r="R30">
            <v>0</v>
          </cell>
          <cell r="S30">
            <v>1</v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>Y</v>
          </cell>
          <cell r="AA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U30" t="str">
            <v>AOD</v>
          </cell>
          <cell r="AV30" t="str">
            <v>O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111506.25</v>
          </cell>
          <cell r="BF30">
            <v>0</v>
          </cell>
          <cell r="BG30">
            <v>111506.25</v>
          </cell>
          <cell r="BH30">
            <v>111506.25</v>
          </cell>
          <cell r="BI30">
            <v>1</v>
          </cell>
          <cell r="BJ30">
            <v>111506.25</v>
          </cell>
          <cell r="BK30">
            <v>0</v>
          </cell>
          <cell r="BL30">
            <v>111506.25</v>
          </cell>
          <cell r="BM30">
            <v>1</v>
          </cell>
          <cell r="BN30">
            <v>1</v>
          </cell>
          <cell r="BO30" t="str">
            <v>SMB</v>
          </cell>
          <cell r="BP30" t="str">
            <v>O</v>
          </cell>
          <cell r="BQ30" t="str">
            <v>B6</v>
          </cell>
          <cell r="BR30">
            <v>6588068</v>
          </cell>
          <cell r="BS30" t="str">
            <v>1AE</v>
          </cell>
          <cell r="BT30">
            <v>6588068</v>
          </cell>
          <cell r="BW30" t="str">
            <v/>
          </cell>
          <cell r="BX30" t="str">
            <v>Unrated</v>
          </cell>
          <cell r="BY30" t="str">
            <v>Under</v>
          </cell>
          <cell r="BZ30" t="str">
            <v/>
          </cell>
          <cell r="CA30" t="str">
            <v/>
          </cell>
          <cell r="CG30">
            <v>89205</v>
          </cell>
          <cell r="CH30">
            <v>0</v>
          </cell>
          <cell r="CI30">
            <v>89205</v>
          </cell>
          <cell r="CJ30">
            <v>1</v>
          </cell>
          <cell r="CK30">
            <v>1</v>
          </cell>
          <cell r="CM30" t="e">
            <v>#N/A</v>
          </cell>
          <cell r="CN30" t="str">
            <v/>
          </cell>
          <cell r="CO30" t="str">
            <v/>
          </cell>
          <cell r="CP30" t="str">
            <v/>
          </cell>
          <cell r="CQ30" t="str">
            <v/>
          </cell>
          <cell r="CR30" t="str">
            <v/>
          </cell>
          <cell r="CS30">
            <v>38565</v>
          </cell>
          <cell r="CT30" t="str">
            <v/>
          </cell>
          <cell r="CU30" t="str">
            <v/>
          </cell>
          <cell r="CV30" t="str">
            <v/>
          </cell>
          <cell r="CW30" t="str">
            <v>APPLICATION INNOVATION</v>
          </cell>
        </row>
        <row r="31">
          <cell r="A31" t="str">
            <v>CFT5PGN</v>
          </cell>
          <cell r="B31" t="str">
            <v>TEL</v>
          </cell>
          <cell r="C31" t="str">
            <v>HCM</v>
          </cell>
          <cell r="D31" t="str">
            <v>HCM</v>
          </cell>
          <cell r="E31" t="str">
            <v>C&amp;SI</v>
          </cell>
          <cell r="F31" t="str">
            <v>BELLSO</v>
          </cell>
          <cell r="G31" t="str">
            <v>Network Siebel Training</v>
          </cell>
          <cell r="H31" t="str">
            <v>CFT5PGN</v>
          </cell>
          <cell r="I31">
            <v>1</v>
          </cell>
          <cell r="J31">
            <v>0</v>
          </cell>
          <cell r="K31" t="str">
            <v>Stacey L Yates/Arlington/IBM</v>
          </cell>
          <cell r="L31" t="str">
            <v>IC</v>
          </cell>
          <cell r="M31">
            <v>38698</v>
          </cell>
          <cell r="N31">
            <v>38835</v>
          </cell>
          <cell r="O31">
            <v>1534242</v>
          </cell>
          <cell r="P31">
            <v>1534242</v>
          </cell>
          <cell r="Q31">
            <v>1534242</v>
          </cell>
          <cell r="R31">
            <v>0.44835104240400148</v>
          </cell>
          <cell r="S31">
            <v>0</v>
          </cell>
          <cell r="T31" t="str">
            <v>Y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C31" t="str">
            <v/>
          </cell>
          <cell r="AD31" t="str">
            <v>Y</v>
          </cell>
          <cell r="AE31" t="str">
            <v>Sills</v>
          </cell>
          <cell r="AL31" t="str">
            <v>TBD</v>
          </cell>
          <cell r="AU31" t="str">
            <v>HUMAN CAPITAL MANAGEMENT</v>
          </cell>
          <cell r="AV31" t="str">
            <v>O</v>
          </cell>
          <cell r="AW31">
            <v>0</v>
          </cell>
          <cell r="AX31">
            <v>0</v>
          </cell>
          <cell r="AY31">
            <v>0</v>
          </cell>
          <cell r="AZ31">
            <v>1534242</v>
          </cell>
          <cell r="BA31">
            <v>846363</v>
          </cell>
          <cell r="BB31">
            <v>687879</v>
          </cell>
          <cell r="BC31">
            <v>34639</v>
          </cell>
          <cell r="BD31">
            <v>4.0926883618494662E-2</v>
          </cell>
          <cell r="BE31">
            <v>0</v>
          </cell>
          <cell r="BF31">
            <v>0</v>
          </cell>
          <cell r="BG31">
            <v>0</v>
          </cell>
          <cell r="BH31">
            <v>-687879</v>
          </cell>
          <cell r="BI31">
            <v>-0.44835104240400148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-0.44835104240400148</v>
          </cell>
          <cell r="BO31" t="str">
            <v>ISU</v>
          </cell>
          <cell r="BP31" t="str">
            <v>O</v>
          </cell>
          <cell r="BQ31" t="str">
            <v>FX</v>
          </cell>
          <cell r="BR31">
            <v>895667</v>
          </cell>
          <cell r="BS31" t="str">
            <v>6Y9</v>
          </cell>
          <cell r="BT31">
            <v>904000</v>
          </cell>
          <cell r="BW31" t="str">
            <v/>
          </cell>
          <cell r="BX31" t="str">
            <v>Unrated</v>
          </cell>
          <cell r="BY31" t="str">
            <v>Over</v>
          </cell>
          <cell r="BZ31" t="str">
            <v/>
          </cell>
          <cell r="CA31" t="str">
            <v/>
          </cell>
          <cell r="CG31">
            <v>691200</v>
          </cell>
          <cell r="CH31">
            <v>392000</v>
          </cell>
          <cell r="CI31">
            <v>299200</v>
          </cell>
          <cell r="CJ31">
            <v>0.43287037037037035</v>
          </cell>
          <cell r="CK31">
            <v>-1.5480672033631127E-2</v>
          </cell>
          <cell r="CM31" t="e">
            <v>#N/A</v>
          </cell>
          <cell r="CS31">
            <v>38687</v>
          </cell>
          <cell r="CV31" t="str">
            <v/>
          </cell>
          <cell r="CW31" t="str">
            <v>HUMAN CAPITAL MANAGEMENT</v>
          </cell>
        </row>
        <row r="32">
          <cell r="A32" t="str">
            <v>CFTVRNN</v>
          </cell>
          <cell r="B32" t="str">
            <v>TEL</v>
          </cell>
          <cell r="C32" t="str">
            <v>HCM</v>
          </cell>
          <cell r="D32" t="str">
            <v>HCM</v>
          </cell>
          <cell r="E32" t="str">
            <v>C&amp;SI</v>
          </cell>
          <cell r="F32" t="str">
            <v>BELLSO</v>
          </cell>
          <cell r="G32" t="str">
            <v>*NS Network Siebel Training</v>
          </cell>
          <cell r="H32" t="str">
            <v>CFTVRNN</v>
          </cell>
          <cell r="I32">
            <v>1</v>
          </cell>
          <cell r="J32" t="str">
            <v>Mary K Vona/Tampa/IBM</v>
          </cell>
          <cell r="K32" t="str">
            <v>Stacey L Yates/Arlington/IBM</v>
          </cell>
          <cell r="L32" t="str">
            <v>BE</v>
          </cell>
          <cell r="M32">
            <v>38603</v>
          </cell>
          <cell r="N32">
            <v>38748</v>
          </cell>
          <cell r="O32">
            <v>533682.5</v>
          </cell>
          <cell r="P32">
            <v>1299319</v>
          </cell>
          <cell r="Q32">
            <v>533682.5</v>
          </cell>
          <cell r="R32">
            <v>0.47663045025894335</v>
          </cell>
          <cell r="S32">
            <v>0.45369644733499515</v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>Y</v>
          </cell>
          <cell r="Y32" t="str">
            <v/>
          </cell>
          <cell r="Z32" t="str">
            <v/>
          </cell>
          <cell r="AA32" t="str">
            <v/>
          </cell>
          <cell r="AC32" t="str">
            <v/>
          </cell>
          <cell r="AD32" t="str">
            <v>Y</v>
          </cell>
          <cell r="AE32" t="str">
            <v>Sills</v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>Waived</v>
          </cell>
          <cell r="AK32" t="str">
            <v/>
          </cell>
          <cell r="AL32" t="str">
            <v>n/a</v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U32" t="str">
            <v>HUMAN CAPITAL MANAGEMENT</v>
          </cell>
          <cell r="AV32" t="str">
            <v>O</v>
          </cell>
          <cell r="AW32">
            <v>5328.5</v>
          </cell>
          <cell r="AX32">
            <v>0</v>
          </cell>
          <cell r="AY32">
            <v>0</v>
          </cell>
          <cell r="AZ32">
            <v>1299319</v>
          </cell>
          <cell r="BA32">
            <v>680024</v>
          </cell>
          <cell r="BB32">
            <v>619295</v>
          </cell>
          <cell r="BC32">
            <v>28454</v>
          </cell>
          <cell r="BD32">
            <v>4.184264084797007E-2</v>
          </cell>
          <cell r="BE32">
            <v>765636.5</v>
          </cell>
          <cell r="BF32">
            <v>418269.94</v>
          </cell>
          <cell r="BG32">
            <v>347366.56</v>
          </cell>
          <cell r="BH32">
            <v>-271928.44</v>
          </cell>
          <cell r="BI32">
            <v>-2.2934002923948205E-2</v>
          </cell>
          <cell r="BJ32">
            <v>765636.5</v>
          </cell>
          <cell r="BK32">
            <v>418269.94</v>
          </cell>
          <cell r="BL32">
            <v>347366.56</v>
          </cell>
          <cell r="BM32">
            <v>0.45369644733499515</v>
          </cell>
          <cell r="BN32">
            <v>-2.2934002923948205E-2</v>
          </cell>
          <cell r="BO32" t="str">
            <v>ISU</v>
          </cell>
          <cell r="BP32" t="str">
            <v>O</v>
          </cell>
          <cell r="BQ32" t="str">
            <v>FX</v>
          </cell>
          <cell r="BR32">
            <v>895667</v>
          </cell>
          <cell r="BS32" t="str">
            <v>6Y9</v>
          </cell>
          <cell r="BT32">
            <v>904000</v>
          </cell>
          <cell r="BW32" t="str">
            <v/>
          </cell>
          <cell r="BX32" t="str">
            <v>Rated</v>
          </cell>
          <cell r="BY32" t="str">
            <v>Over</v>
          </cell>
          <cell r="BZ32" t="str">
            <v>Other</v>
          </cell>
          <cell r="CA32" t="str">
            <v/>
          </cell>
          <cell r="CG32">
            <v>566156.5</v>
          </cell>
          <cell r="CH32">
            <v>331588.7</v>
          </cell>
          <cell r="CI32">
            <v>234567.8</v>
          </cell>
          <cell r="CJ32">
            <v>0.41431618289289268</v>
          </cell>
          <cell r="CK32">
            <v>-6.2314267366050669E-2</v>
          </cell>
          <cell r="CL32" t="str">
            <v>Waived waiting on new work order for next PMR</v>
          </cell>
          <cell r="CM32" t="str">
            <v/>
          </cell>
          <cell r="CN32" t="str">
            <v/>
          </cell>
          <cell r="CO32" t="str">
            <v/>
          </cell>
          <cell r="CP32" t="str">
            <v/>
          </cell>
          <cell r="CQ32" t="str">
            <v/>
          </cell>
          <cell r="CR32" t="str">
            <v/>
          </cell>
          <cell r="CS32">
            <v>38596</v>
          </cell>
          <cell r="CT32" t="str">
            <v/>
          </cell>
          <cell r="CV32" t="str">
            <v/>
          </cell>
          <cell r="CW32" t="str">
            <v>HUMAN CAPITAL MANAGEMENT</v>
          </cell>
        </row>
        <row r="33">
          <cell r="A33" t="str">
            <v>CFT8CBM</v>
          </cell>
          <cell r="B33" t="str">
            <v>TEL</v>
          </cell>
          <cell r="C33" t="str">
            <v>HCM</v>
          </cell>
          <cell r="D33" t="str">
            <v>HCM</v>
          </cell>
          <cell r="E33" t="str">
            <v>C&amp;SI</v>
          </cell>
          <cell r="F33" t="str">
            <v>BELLSO</v>
          </cell>
          <cell r="G33" t="str">
            <v>PCR 9 DSL NETWORK TRAINI</v>
          </cell>
          <cell r="H33" t="str">
            <v>CFT8CBM</v>
          </cell>
          <cell r="I33">
            <v>5</v>
          </cell>
          <cell r="J33" t="str">
            <v>Mary K Vona/Tampa/IBM</v>
          </cell>
          <cell r="K33" t="str">
            <v>Stacey L Yates/Arlington/IBM</v>
          </cell>
          <cell r="L33" t="str">
            <v>FP</v>
          </cell>
          <cell r="M33">
            <v>38404</v>
          </cell>
          <cell r="N33">
            <v>39660</v>
          </cell>
          <cell r="O33">
            <v>88625.05</v>
          </cell>
          <cell r="P33">
            <v>1130001.5</v>
          </cell>
          <cell r="Q33">
            <v>88625.05</v>
          </cell>
          <cell r="R33">
            <v>0.36040615875288662</v>
          </cell>
          <cell r="S33">
            <v>0.42070180288789899</v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>Y</v>
          </cell>
          <cell r="AA33" t="str">
            <v/>
          </cell>
          <cell r="AC33" t="str">
            <v/>
          </cell>
          <cell r="AD33" t="str">
            <v/>
          </cell>
          <cell r="AE33" t="str">
            <v>Sills</v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>Waived</v>
          </cell>
          <cell r="AK33" t="str">
            <v/>
          </cell>
          <cell r="AL33" t="str">
            <v>N/A</v>
          </cell>
          <cell r="AM33" t="str">
            <v>G</v>
          </cell>
          <cell r="AN33" t="str">
            <v>Y</v>
          </cell>
          <cell r="AO33" t="str">
            <v>G</v>
          </cell>
          <cell r="AP33" t="str">
            <v>G</v>
          </cell>
          <cell r="AQ33" t="str">
            <v>G</v>
          </cell>
          <cell r="AR33" t="str">
            <v>G</v>
          </cell>
          <cell r="AS33" t="str">
            <v>G</v>
          </cell>
          <cell r="AU33" t="str">
            <v>HUMAN CAPITAL MANAGEMENT</v>
          </cell>
          <cell r="AV33" t="str">
            <v>O</v>
          </cell>
          <cell r="AW33">
            <v>8462.9</v>
          </cell>
          <cell r="AX33">
            <v>7</v>
          </cell>
          <cell r="AY33">
            <v>8.2713963298632856E-4</v>
          </cell>
          <cell r="AZ33">
            <v>1130001.5</v>
          </cell>
          <cell r="BA33">
            <v>722742</v>
          </cell>
          <cell r="BB33">
            <v>407259.5</v>
          </cell>
          <cell r="BC33">
            <v>28577</v>
          </cell>
          <cell r="BD33">
            <v>3.9539697430064948E-2</v>
          </cell>
          <cell r="BE33">
            <v>1041376.45</v>
          </cell>
          <cell r="BF33">
            <v>603267.5</v>
          </cell>
          <cell r="BG33">
            <v>438108.95</v>
          </cell>
          <cell r="BH33">
            <v>30849.45</v>
          </cell>
          <cell r="BI33">
            <v>6.0295644135012372E-2</v>
          </cell>
          <cell r="BJ33">
            <v>1041376.45</v>
          </cell>
          <cell r="BK33">
            <v>603267.5</v>
          </cell>
          <cell r="BL33">
            <v>438108.95</v>
          </cell>
          <cell r="BM33">
            <v>0.42070180288789899</v>
          </cell>
          <cell r="BN33">
            <v>6.0295644135012372E-2</v>
          </cell>
          <cell r="BO33" t="str">
            <v>ISU</v>
          </cell>
          <cell r="BP33" t="str">
            <v>O</v>
          </cell>
          <cell r="BQ33" t="str">
            <v>FX</v>
          </cell>
          <cell r="BR33">
            <v>895667</v>
          </cell>
          <cell r="BS33" t="str">
            <v>6Y9</v>
          </cell>
          <cell r="BT33">
            <v>904000</v>
          </cell>
          <cell r="BW33" t="str">
            <v/>
          </cell>
          <cell r="BX33" t="str">
            <v>Rated</v>
          </cell>
          <cell r="BY33" t="str">
            <v>Over</v>
          </cell>
          <cell r="BZ33" t="str">
            <v>Other</v>
          </cell>
          <cell r="CA33" t="str">
            <v/>
          </cell>
          <cell r="CG33">
            <v>1099995.45</v>
          </cell>
          <cell r="CH33">
            <v>603267.5</v>
          </cell>
          <cell r="CI33">
            <v>496727.95</v>
          </cell>
          <cell r="CJ33">
            <v>0.45157273150538946</v>
          </cell>
          <cell r="CK33">
            <v>9.1166572752502839E-2</v>
          </cell>
          <cell r="CL33" t="str">
            <v>Launch completed in April.  PM committed to doing monthly 7 keys.  No PMR</v>
          </cell>
          <cell r="CM33" t="str">
            <v/>
          </cell>
          <cell r="CN33" t="str">
            <v>To Sills.  Waived</v>
          </cell>
          <cell r="CO33" t="str">
            <v/>
          </cell>
          <cell r="CP33" t="str">
            <v/>
          </cell>
          <cell r="CQ33" t="str">
            <v/>
          </cell>
          <cell r="CR33" t="str">
            <v/>
          </cell>
          <cell r="CS33">
            <v>38384</v>
          </cell>
          <cell r="CT33" t="str">
            <v/>
          </cell>
          <cell r="CV33" t="str">
            <v/>
          </cell>
          <cell r="CW33" t="str">
            <v>HUMAN CAPITAL MANAGEMENT</v>
          </cell>
        </row>
        <row r="34">
          <cell r="A34" t="str">
            <v>CFTBRWN</v>
          </cell>
          <cell r="B34" t="str">
            <v>TEL</v>
          </cell>
          <cell r="C34" t="str">
            <v>HCM</v>
          </cell>
          <cell r="D34" t="str">
            <v>HCM</v>
          </cell>
          <cell r="E34" t="str">
            <v>C&amp;SI</v>
          </cell>
          <cell r="F34" t="str">
            <v>BELLSO</v>
          </cell>
          <cell r="G34" t="str">
            <v>Network Training PMO, KM</v>
          </cell>
          <cell r="H34" t="str">
            <v>CFTBRWN</v>
          </cell>
          <cell r="I34">
            <v>1</v>
          </cell>
          <cell r="J34" t="str">
            <v>Tony Caudill/Irvine/IBM</v>
          </cell>
          <cell r="K34" t="str">
            <v>Stacey L Yates/Arlington/IBM</v>
          </cell>
          <cell r="L34" t="str">
            <v>BE</v>
          </cell>
          <cell r="M34">
            <v>38439</v>
          </cell>
          <cell r="N34">
            <v>38625</v>
          </cell>
          <cell r="O34">
            <v>1656</v>
          </cell>
          <cell r="P34">
            <v>537824</v>
          </cell>
          <cell r="Q34">
            <v>1656</v>
          </cell>
          <cell r="R34">
            <v>0.43658520259415717</v>
          </cell>
          <cell r="S34">
            <v>0.41104066262813144</v>
          </cell>
          <cell r="T34" t="str">
            <v/>
          </cell>
          <cell r="U34" t="str">
            <v>Y</v>
          </cell>
          <cell r="V34" t="str">
            <v/>
          </cell>
          <cell r="W34" t="str">
            <v/>
          </cell>
          <cell r="X34" t="str">
            <v>Y</v>
          </cell>
          <cell r="Y34" t="str">
            <v/>
          </cell>
          <cell r="Z34" t="str">
            <v/>
          </cell>
          <cell r="AA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U34" t="str">
            <v>HUMAN CAPITAL MANAGEMENT</v>
          </cell>
          <cell r="AV34" t="str">
            <v>O</v>
          </cell>
          <cell r="AW34">
            <v>3232</v>
          </cell>
          <cell r="AX34">
            <v>0</v>
          </cell>
          <cell r="AY34">
            <v>0</v>
          </cell>
          <cell r="AZ34">
            <v>537824</v>
          </cell>
          <cell r="BA34">
            <v>303018</v>
          </cell>
          <cell r="BB34">
            <v>234806</v>
          </cell>
          <cell r="BC34">
            <v>12142</v>
          </cell>
          <cell r="BD34">
            <v>4.0070226851210158E-2</v>
          </cell>
          <cell r="BE34">
            <v>536168</v>
          </cell>
          <cell r="BF34">
            <v>315781.15000000002</v>
          </cell>
          <cell r="BG34">
            <v>220386.85</v>
          </cell>
          <cell r="BH34">
            <v>-14419.15</v>
          </cell>
          <cell r="BI34">
            <v>-2.5544539966025737E-2</v>
          </cell>
          <cell r="BJ34">
            <v>536168</v>
          </cell>
          <cell r="BK34">
            <v>315781.15000000002</v>
          </cell>
          <cell r="BL34">
            <v>220386.85</v>
          </cell>
          <cell r="BM34">
            <v>0.41104066262813144</v>
          </cell>
          <cell r="BN34">
            <v>-2.5544539966025737E-2</v>
          </cell>
          <cell r="BO34" t="str">
            <v>ISU</v>
          </cell>
          <cell r="BP34" t="str">
            <v>O</v>
          </cell>
          <cell r="BQ34" t="str">
            <v>FX</v>
          </cell>
          <cell r="BR34">
            <v>895667</v>
          </cell>
          <cell r="BS34" t="str">
            <v>6Y9</v>
          </cell>
          <cell r="BT34">
            <v>904000</v>
          </cell>
          <cell r="BW34" t="str">
            <v/>
          </cell>
          <cell r="BX34" t="str">
            <v>Unrated</v>
          </cell>
          <cell r="BY34" t="str">
            <v>Under</v>
          </cell>
          <cell r="BZ34" t="str">
            <v/>
          </cell>
          <cell r="CA34" t="str">
            <v/>
          </cell>
          <cell r="CG34">
            <v>536168</v>
          </cell>
          <cell r="CH34">
            <v>315781.15000000002</v>
          </cell>
          <cell r="CI34">
            <v>220386.85</v>
          </cell>
          <cell r="CJ34">
            <v>0.41104066262813149</v>
          </cell>
          <cell r="CK34">
            <v>-2.5544539966025681E-2</v>
          </cell>
          <cell r="CL34" t="str">
            <v/>
          </cell>
          <cell r="CM34" t="str">
            <v/>
          </cell>
          <cell r="CN34" t="str">
            <v/>
          </cell>
          <cell r="CO34" t="str">
            <v/>
          </cell>
          <cell r="CP34" t="str">
            <v/>
          </cell>
          <cell r="CQ34" t="str">
            <v/>
          </cell>
          <cell r="CR34" t="str">
            <v/>
          </cell>
          <cell r="CS34">
            <v>38412</v>
          </cell>
          <cell r="CT34" t="str">
            <v/>
          </cell>
          <cell r="CV34" t="str">
            <v/>
          </cell>
          <cell r="CW34" t="str">
            <v>HUMAN CAPITAL MANAGEMENT</v>
          </cell>
        </row>
        <row r="35">
          <cell r="A35" t="str">
            <v>CFTQ2GN</v>
          </cell>
          <cell r="B35" t="str">
            <v>TEL</v>
          </cell>
          <cell r="C35" t="str">
            <v>HCM</v>
          </cell>
          <cell r="D35" t="str">
            <v>HCM</v>
          </cell>
          <cell r="E35" t="str">
            <v>C&amp;SI</v>
          </cell>
          <cell r="F35" t="str">
            <v>BELLSO</v>
          </cell>
          <cell r="G35" t="str">
            <v>License Add 4 Simpro</v>
          </cell>
          <cell r="H35" t="str">
            <v>CFTQ2GN</v>
          </cell>
          <cell r="I35">
            <v>3</v>
          </cell>
          <cell r="J35" t="str">
            <v>Mary K Vona/Tampa/IBM</v>
          </cell>
          <cell r="K35" t="str">
            <v>Tony Caudill/Irvine/IBM</v>
          </cell>
          <cell r="L35" t="str">
            <v>FP</v>
          </cell>
          <cell r="M35">
            <v>38562</v>
          </cell>
          <cell r="N35">
            <v>39113</v>
          </cell>
          <cell r="O35">
            <v>1632</v>
          </cell>
          <cell r="P35">
            <v>5712</v>
          </cell>
          <cell r="Q35">
            <v>1632</v>
          </cell>
          <cell r="R35">
            <v>0.5577731092436975</v>
          </cell>
          <cell r="S35">
            <v>-1.2344362745098039</v>
          </cell>
          <cell r="T35" t="str">
            <v/>
          </cell>
          <cell r="U35" t="str">
            <v/>
          </cell>
          <cell r="V35" t="str">
            <v>Y</v>
          </cell>
          <cell r="W35" t="str">
            <v>Y</v>
          </cell>
          <cell r="X35" t="str">
            <v>Y</v>
          </cell>
          <cell r="Y35" t="str">
            <v>Y</v>
          </cell>
          <cell r="Z35" t="str">
            <v/>
          </cell>
          <cell r="AA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U35" t="str">
            <v>HUMAN CAPITAL MANAGEMENT</v>
          </cell>
          <cell r="AV35" t="str">
            <v>O</v>
          </cell>
          <cell r="AW35">
            <v>0.5</v>
          </cell>
          <cell r="AX35">
            <v>0.5</v>
          </cell>
          <cell r="AY35">
            <v>1</v>
          </cell>
          <cell r="AZ35">
            <v>5712</v>
          </cell>
          <cell r="BA35">
            <v>2526</v>
          </cell>
          <cell r="BB35">
            <v>3186</v>
          </cell>
          <cell r="BC35">
            <v>102</v>
          </cell>
          <cell r="BD35">
            <v>4.0380047505938245E-2</v>
          </cell>
          <cell r="BE35">
            <v>4080</v>
          </cell>
          <cell r="BF35">
            <v>9116.5</v>
          </cell>
          <cell r="BG35">
            <v>-5036.5</v>
          </cell>
          <cell r="BH35">
            <v>-8222.5</v>
          </cell>
          <cell r="BI35">
            <v>-1.7922093837535014</v>
          </cell>
          <cell r="BJ35">
            <v>4080</v>
          </cell>
          <cell r="BK35">
            <v>9116.5</v>
          </cell>
          <cell r="BL35">
            <v>-5036.5</v>
          </cell>
          <cell r="BM35">
            <v>-1.2344362745098039</v>
          </cell>
          <cell r="BN35">
            <v>-1.7922093837535014</v>
          </cell>
          <cell r="BO35" t="str">
            <v>ISU</v>
          </cell>
          <cell r="BP35" t="str">
            <v>O</v>
          </cell>
          <cell r="BQ35" t="str">
            <v>FX</v>
          </cell>
          <cell r="BR35">
            <v>895667</v>
          </cell>
          <cell r="BS35" t="str">
            <v>6Y9</v>
          </cell>
          <cell r="BT35">
            <v>904000</v>
          </cell>
          <cell r="BW35" t="str">
            <v/>
          </cell>
          <cell r="BX35" t="str">
            <v>Unrated</v>
          </cell>
          <cell r="BY35" t="str">
            <v>Under</v>
          </cell>
          <cell r="BZ35" t="str">
            <v/>
          </cell>
          <cell r="CA35" t="str">
            <v/>
          </cell>
          <cell r="CG35">
            <v>5712</v>
          </cell>
          <cell r="CH35">
            <v>9000</v>
          </cell>
          <cell r="CI35">
            <v>-3288</v>
          </cell>
          <cell r="CJ35">
            <v>-0.57563025210084029</v>
          </cell>
          <cell r="CK35">
            <v>-1.1334033613445378</v>
          </cell>
          <cell r="CL35" t="str">
            <v/>
          </cell>
          <cell r="CM35" t="str">
            <v/>
          </cell>
          <cell r="CN35" t="str">
            <v/>
          </cell>
          <cell r="CO35" t="str">
            <v/>
          </cell>
          <cell r="CP35" t="str">
            <v/>
          </cell>
          <cell r="CQ35" t="str">
            <v/>
          </cell>
          <cell r="CR35" t="str">
            <v/>
          </cell>
          <cell r="CS35">
            <v>38534</v>
          </cell>
          <cell r="CT35" t="str">
            <v/>
          </cell>
          <cell r="CV35" t="str">
            <v/>
          </cell>
          <cell r="CW35" t="str">
            <v>HUMAN CAPITAL MANAGEMENT</v>
          </cell>
        </row>
        <row r="36">
          <cell r="A36" t="str">
            <v>CFT4BPN</v>
          </cell>
          <cell r="B36" t="str">
            <v>TEL</v>
          </cell>
          <cell r="C36" t="str">
            <v>SCS</v>
          </cell>
          <cell r="D36" t="str">
            <v>SCS</v>
          </cell>
          <cell r="E36" t="str">
            <v>C&amp;SI</v>
          </cell>
          <cell r="F36" t="str">
            <v>BELLSO CORP</v>
          </cell>
          <cell r="G36" t="str">
            <v>Siebel Training for Cons</v>
          </cell>
          <cell r="H36" t="str">
            <v>CFT4BPN</v>
          </cell>
          <cell r="I36">
            <v>1</v>
          </cell>
          <cell r="J36" t="str">
            <v>Tony Caudill/Irvine/IBM</v>
          </cell>
          <cell r="K36" t="str">
            <v>Daniel W Lassiter/Atlanta/IBM</v>
          </cell>
          <cell r="L36" t="str">
            <v>BE</v>
          </cell>
          <cell r="M36">
            <v>38677</v>
          </cell>
          <cell r="N36">
            <v>38751</v>
          </cell>
          <cell r="O36">
            <v>125300</v>
          </cell>
          <cell r="P36">
            <v>165933</v>
          </cell>
          <cell r="Q36">
            <v>125300</v>
          </cell>
          <cell r="R36">
            <v>0.45860076054793197</v>
          </cell>
          <cell r="S36">
            <v>0.48209804838431819</v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U36" t="str">
            <v>STRATEGY AND CHANGE</v>
          </cell>
          <cell r="AV36" t="str">
            <v>O</v>
          </cell>
          <cell r="AW36">
            <v>298</v>
          </cell>
          <cell r="AX36">
            <v>0</v>
          </cell>
          <cell r="AY36">
            <v>0</v>
          </cell>
          <cell r="AZ36">
            <v>165933</v>
          </cell>
          <cell r="BA36">
            <v>89836</v>
          </cell>
          <cell r="BB36">
            <v>76097</v>
          </cell>
          <cell r="BC36">
            <v>3757</v>
          </cell>
          <cell r="BD36">
            <v>4.1820650963978807E-2</v>
          </cell>
          <cell r="BE36">
            <v>40633</v>
          </cell>
          <cell r="BF36">
            <v>21043.91</v>
          </cell>
          <cell r="BG36">
            <v>19589.09</v>
          </cell>
          <cell r="BH36">
            <v>-56507.91</v>
          </cell>
          <cell r="BI36">
            <v>2.3497287836386216E-2</v>
          </cell>
          <cell r="BJ36">
            <v>40633</v>
          </cell>
          <cell r="BK36">
            <v>21043.91</v>
          </cell>
          <cell r="BL36">
            <v>19589.09</v>
          </cell>
          <cell r="BM36">
            <v>0.48209804838431819</v>
          </cell>
          <cell r="BN36">
            <v>2.3497287836386216E-2</v>
          </cell>
          <cell r="BO36" t="str">
            <v>ISU</v>
          </cell>
          <cell r="BP36" t="str">
            <v>O</v>
          </cell>
          <cell r="BQ36" t="str">
            <v>FX</v>
          </cell>
          <cell r="BR36">
            <v>897506</v>
          </cell>
          <cell r="BS36" t="str">
            <v>6Y9</v>
          </cell>
          <cell r="BT36">
            <v>904000</v>
          </cell>
          <cell r="BW36" t="str">
            <v/>
          </cell>
          <cell r="BX36" t="str">
            <v>Unrated</v>
          </cell>
          <cell r="BY36" t="str">
            <v>Under</v>
          </cell>
          <cell r="BZ36" t="str">
            <v/>
          </cell>
          <cell r="CA36" t="str">
            <v/>
          </cell>
          <cell r="CG36">
            <v>125300</v>
          </cell>
          <cell r="CH36">
            <v>144820</v>
          </cell>
          <cell r="CI36">
            <v>-19520</v>
          </cell>
          <cell r="CJ36">
            <v>-0.15578611332801276</v>
          </cell>
          <cell r="CK36">
            <v>-0.61438687387594471</v>
          </cell>
          <cell r="CM36" t="e">
            <v>#N/A</v>
          </cell>
          <cell r="CN36" t="str">
            <v/>
          </cell>
          <cell r="CO36" t="str">
            <v/>
          </cell>
          <cell r="CP36" t="str">
            <v/>
          </cell>
          <cell r="CQ36" t="str">
            <v/>
          </cell>
          <cell r="CR36" t="str">
            <v/>
          </cell>
          <cell r="CS36">
            <v>38657</v>
          </cell>
          <cell r="CT36" t="str">
            <v/>
          </cell>
          <cell r="CU36" t="str">
            <v/>
          </cell>
          <cell r="CV36" t="str">
            <v/>
          </cell>
          <cell r="CW36" t="str">
            <v>STRATEGY AND CHANGE</v>
          </cell>
        </row>
        <row r="37">
          <cell r="A37" t="str">
            <v>CFT4R5M</v>
          </cell>
          <cell r="B37" t="str">
            <v>TEL</v>
          </cell>
          <cell r="C37" t="str">
            <v>AIS</v>
          </cell>
          <cell r="D37" t="str">
            <v>AIS</v>
          </cell>
          <cell r="E37" t="str">
            <v>C&amp;SI</v>
          </cell>
          <cell r="F37" t="str">
            <v>BELLSO TECH GRO</v>
          </cell>
          <cell r="G37" t="str">
            <v>IT Tech Design Services</v>
          </cell>
          <cell r="H37" t="str">
            <v>CFT4R5M</v>
          </cell>
          <cell r="I37">
            <v>1</v>
          </cell>
          <cell r="J37" t="str">
            <v>Thomas R Crane/Baltimore/IBM</v>
          </cell>
          <cell r="K37" t="str">
            <v>David Hartquist/Kingsport/IBM</v>
          </cell>
          <cell r="L37" t="str">
            <v>FP</v>
          </cell>
          <cell r="M37">
            <v>38355</v>
          </cell>
          <cell r="N37">
            <v>38717</v>
          </cell>
          <cell r="O37">
            <v>16679.009999999998</v>
          </cell>
          <cell r="P37">
            <v>1128600</v>
          </cell>
          <cell r="Q37">
            <v>16679.009999999998</v>
          </cell>
          <cell r="R37">
            <v>0.44018607123870279</v>
          </cell>
          <cell r="S37">
            <v>0.48928391935473753</v>
          </cell>
          <cell r="T37" t="str">
            <v/>
          </cell>
          <cell r="U37" t="str">
            <v>Y</v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C37" t="str">
            <v>Y</v>
          </cell>
          <cell r="AD37" t="str">
            <v/>
          </cell>
          <cell r="AE37" t="str">
            <v>Coleman</v>
          </cell>
          <cell r="AF37" t="str">
            <v/>
          </cell>
          <cell r="AG37" t="str">
            <v/>
          </cell>
          <cell r="AH37" t="str">
            <v>NA</v>
          </cell>
          <cell r="AI37" t="str">
            <v>L</v>
          </cell>
          <cell r="AJ37" t="str">
            <v>*CLOSING*</v>
          </cell>
          <cell r="AK37" t="str">
            <v/>
          </cell>
          <cell r="AL37" t="str">
            <v>N/A</v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U37" t="str">
            <v>APPLICATION INNOVATION</v>
          </cell>
          <cell r="AV37" t="str">
            <v>O</v>
          </cell>
          <cell r="AW37">
            <v>6016.5</v>
          </cell>
          <cell r="AX37">
            <v>131</v>
          </cell>
          <cell r="AY37">
            <v>2.1773456328430151E-2</v>
          </cell>
          <cell r="AZ37">
            <v>1128600</v>
          </cell>
          <cell r="BA37">
            <v>631806</v>
          </cell>
          <cell r="BB37">
            <v>496794</v>
          </cell>
          <cell r="BC37">
            <v>25272</v>
          </cell>
          <cell r="BD37">
            <v>3.9999620136560908E-2</v>
          </cell>
          <cell r="BE37">
            <v>1111920.99</v>
          </cell>
          <cell r="BF37">
            <v>567875.93000000005</v>
          </cell>
          <cell r="BG37">
            <v>544045.06000000006</v>
          </cell>
          <cell r="BH37">
            <v>47251.059999999939</v>
          </cell>
          <cell r="BI37">
            <v>4.9097848116034737E-2</v>
          </cell>
          <cell r="BJ37">
            <v>1111920.99</v>
          </cell>
          <cell r="BK37">
            <v>567875.93000000005</v>
          </cell>
          <cell r="BL37">
            <v>544045.06000000006</v>
          </cell>
          <cell r="BM37">
            <v>0.48928391935473753</v>
          </cell>
          <cell r="BN37">
            <v>4.9097848116034737E-2</v>
          </cell>
          <cell r="BO37" t="str">
            <v>ISU</v>
          </cell>
          <cell r="BP37" t="str">
            <v>O</v>
          </cell>
          <cell r="BQ37" t="str">
            <v>FY</v>
          </cell>
          <cell r="BR37">
            <v>8295231</v>
          </cell>
          <cell r="BS37" t="str">
            <v>6Y9</v>
          </cell>
          <cell r="BT37">
            <v>904000</v>
          </cell>
          <cell r="BW37" t="str">
            <v/>
          </cell>
          <cell r="BX37" t="str">
            <v>Rated</v>
          </cell>
          <cell r="BY37" t="str">
            <v>Over</v>
          </cell>
          <cell r="BZ37" t="str">
            <v>Other</v>
          </cell>
          <cell r="CA37" t="str">
            <v/>
          </cell>
          <cell r="CG37">
            <v>1128600</v>
          </cell>
          <cell r="CH37">
            <v>522376.41</v>
          </cell>
          <cell r="CI37">
            <v>606223.59</v>
          </cell>
          <cell r="CJ37">
            <v>0.53714654439128118</v>
          </cell>
          <cell r="CK37">
            <v>9.6960473152578386E-2</v>
          </cell>
          <cell r="CL37" t="str">
            <v>Closing</v>
          </cell>
          <cell r="CM37" t="str">
            <v/>
          </cell>
          <cell r="CN37" t="str">
            <v/>
          </cell>
          <cell r="CO37" t="str">
            <v/>
          </cell>
          <cell r="CP37" t="str">
            <v/>
          </cell>
          <cell r="CQ37" t="str">
            <v>Enterprise Arch</v>
          </cell>
          <cell r="CR37" t="str">
            <v>Waived: closing</v>
          </cell>
          <cell r="CS37">
            <v>38353</v>
          </cell>
          <cell r="CT37" t="str">
            <v/>
          </cell>
          <cell r="CU37" t="str">
            <v>6955-24D</v>
          </cell>
          <cell r="CV37" t="str">
            <v>AMS</v>
          </cell>
          <cell r="CW37" t="str">
            <v>APPLICATION INNOVATION</v>
          </cell>
        </row>
        <row r="38">
          <cell r="A38" t="str">
            <v>CFTPK3N</v>
          </cell>
          <cell r="B38" t="str">
            <v>TEL</v>
          </cell>
          <cell r="C38" t="str">
            <v>HCM</v>
          </cell>
          <cell r="D38" t="str">
            <v>HCM</v>
          </cell>
          <cell r="E38" t="str">
            <v>C&amp;SI</v>
          </cell>
          <cell r="F38" t="str">
            <v>BELLSO TECH GRO</v>
          </cell>
          <cell r="G38" t="str">
            <v>Consumer Training        ...</v>
          </cell>
          <cell r="H38" t="str">
            <v>CFTPK3N</v>
          </cell>
          <cell r="I38">
            <v>1</v>
          </cell>
          <cell r="J38" t="str">
            <v>Mary K Vona/Tampa/IBM</v>
          </cell>
          <cell r="K38" t="str">
            <v>Daniel W Lassiter/Atlanta/IBM</v>
          </cell>
          <cell r="L38" t="str">
            <v>BE</v>
          </cell>
          <cell r="M38">
            <v>38544</v>
          </cell>
          <cell r="N38">
            <v>38776</v>
          </cell>
          <cell r="O38">
            <v>247390</v>
          </cell>
          <cell r="P38">
            <v>388960</v>
          </cell>
          <cell r="Q38">
            <v>247390</v>
          </cell>
          <cell r="R38">
            <v>0.45275863842040315</v>
          </cell>
          <cell r="S38">
            <v>0.41703079748534294</v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>Y</v>
          </cell>
          <cell r="Y38" t="str">
            <v/>
          </cell>
          <cell r="Z38" t="str">
            <v/>
          </cell>
          <cell r="AA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U38" t="str">
            <v>HUMAN CAPITAL MANAGEMENT</v>
          </cell>
          <cell r="AV38" t="str">
            <v>O</v>
          </cell>
          <cell r="AW38">
            <v>990</v>
          </cell>
          <cell r="AX38">
            <v>0</v>
          </cell>
          <cell r="AY38">
            <v>0</v>
          </cell>
          <cell r="AZ38">
            <v>388960</v>
          </cell>
          <cell r="BA38">
            <v>212855</v>
          </cell>
          <cell r="BB38">
            <v>176105</v>
          </cell>
          <cell r="BC38">
            <v>8701</v>
          </cell>
          <cell r="BD38">
            <v>4.0877592727443568E-2</v>
          </cell>
          <cell r="BE38">
            <v>141570</v>
          </cell>
          <cell r="BF38">
            <v>82530.95</v>
          </cell>
          <cell r="BG38">
            <v>59039.05</v>
          </cell>
          <cell r="BH38">
            <v>-117065.95</v>
          </cell>
          <cell r="BI38">
            <v>-3.5727840935060207E-2</v>
          </cell>
          <cell r="BJ38">
            <v>141570</v>
          </cell>
          <cell r="BK38">
            <v>82530.95</v>
          </cell>
          <cell r="BL38">
            <v>59039.05</v>
          </cell>
          <cell r="BM38">
            <v>0.41703079748534294</v>
          </cell>
          <cell r="BN38">
            <v>-3.5727840935060207E-2</v>
          </cell>
          <cell r="BO38" t="str">
            <v>ISU</v>
          </cell>
          <cell r="BP38" t="str">
            <v>O</v>
          </cell>
          <cell r="BQ38" t="str">
            <v>FX</v>
          </cell>
          <cell r="BR38">
            <v>895819</v>
          </cell>
          <cell r="BS38" t="str">
            <v>6Y9</v>
          </cell>
          <cell r="BT38">
            <v>904000</v>
          </cell>
          <cell r="BW38" t="str">
            <v/>
          </cell>
          <cell r="BX38" t="str">
            <v>Unrated</v>
          </cell>
          <cell r="BY38" t="str">
            <v>Under</v>
          </cell>
          <cell r="BZ38" t="str">
            <v/>
          </cell>
          <cell r="CA38" t="str">
            <v/>
          </cell>
          <cell r="CG38">
            <v>214142</v>
          </cell>
          <cell r="CH38">
            <v>82530.95</v>
          </cell>
          <cell r="CI38">
            <v>131611.04999999999</v>
          </cell>
          <cell r="CJ38">
            <v>0.61459708978154681</v>
          </cell>
          <cell r="CK38">
            <v>0.16183845136114366</v>
          </cell>
          <cell r="CL38" t="str">
            <v/>
          </cell>
          <cell r="CM38" t="str">
            <v/>
          </cell>
          <cell r="CN38" t="str">
            <v/>
          </cell>
          <cell r="CO38" t="str">
            <v/>
          </cell>
          <cell r="CP38" t="str">
            <v/>
          </cell>
          <cell r="CQ38" t="str">
            <v/>
          </cell>
          <cell r="CR38" t="str">
            <v/>
          </cell>
          <cell r="CS38">
            <v>38534</v>
          </cell>
          <cell r="CT38" t="str">
            <v/>
          </cell>
          <cell r="CV38" t="str">
            <v/>
          </cell>
          <cell r="CW38" t="str">
            <v>HUMAN CAPITAL MANAGEMENT</v>
          </cell>
        </row>
        <row r="39">
          <cell r="A39" t="str">
            <v>CFTRHCL</v>
          </cell>
          <cell r="B39" t="str">
            <v>TEL</v>
          </cell>
          <cell r="C39" t="str">
            <v>HCM</v>
          </cell>
          <cell r="D39" t="str">
            <v>HCM</v>
          </cell>
          <cell r="E39" t="str">
            <v>C&amp;SI</v>
          </cell>
          <cell r="F39" t="str">
            <v>BELLSO TELECOMM</v>
          </cell>
          <cell r="G39" t="str">
            <v>INTEGRATED TRAINING IMP  ...</v>
          </cell>
          <cell r="H39" t="str">
            <v>CFTRHCL</v>
          </cell>
          <cell r="I39">
            <v>1</v>
          </cell>
          <cell r="J39" t="str">
            <v>Mary K Vona/Tampa/IBM</v>
          </cell>
          <cell r="K39" t="str">
            <v>Paula Morawski/Chicago/IBM</v>
          </cell>
          <cell r="L39" t="str">
            <v>BE</v>
          </cell>
          <cell r="M39">
            <v>37949</v>
          </cell>
          <cell r="N39">
            <v>38717</v>
          </cell>
          <cell r="O39">
            <v>330494.09999999998</v>
          </cell>
          <cell r="P39">
            <v>4336113.5999999996</v>
          </cell>
          <cell r="Q39">
            <v>330494.09999999998</v>
          </cell>
          <cell r="R39">
            <v>0.41694101372251868</v>
          </cell>
          <cell r="S39">
            <v>0.44819735873564626</v>
          </cell>
          <cell r="T39" t="str">
            <v/>
          </cell>
          <cell r="U39" t="str">
            <v>Y</v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C39" t="str">
            <v/>
          </cell>
          <cell r="AD39" t="str">
            <v/>
          </cell>
          <cell r="AE39" t="str">
            <v>Sills</v>
          </cell>
          <cell r="AF39" t="str">
            <v/>
          </cell>
          <cell r="AG39" t="str">
            <v/>
          </cell>
          <cell r="AH39" t="str">
            <v/>
          </cell>
          <cell r="AI39" t="str">
            <v>L</v>
          </cell>
          <cell r="AJ39" t="str">
            <v>A</v>
          </cell>
          <cell r="AK39">
            <v>38596</v>
          </cell>
          <cell r="AL39" t="str">
            <v>N/A</v>
          </cell>
          <cell r="AM39" t="str">
            <v>G</v>
          </cell>
          <cell r="AN39" t="str">
            <v>G</v>
          </cell>
          <cell r="AO39" t="str">
            <v>G</v>
          </cell>
          <cell r="AP39" t="str">
            <v>G</v>
          </cell>
          <cell r="AQ39" t="str">
            <v>G</v>
          </cell>
          <cell r="AR39" t="str">
            <v>G</v>
          </cell>
          <cell r="AS39" t="str">
            <v>G</v>
          </cell>
          <cell r="AU39" t="str">
            <v>HUMAN CAPITAL MANAGEMENT</v>
          </cell>
          <cell r="AV39" t="str">
            <v>O</v>
          </cell>
          <cell r="AW39">
            <v>22773.3</v>
          </cell>
          <cell r="AX39">
            <v>13</v>
          </cell>
          <cell r="AY39">
            <v>5.7084392687928407E-4</v>
          </cell>
          <cell r="AZ39">
            <v>4336113.5999999996</v>
          </cell>
          <cell r="BA39">
            <v>2528210</v>
          </cell>
          <cell r="BB39">
            <v>1807903.6</v>
          </cell>
          <cell r="BC39">
            <v>101128</v>
          </cell>
          <cell r="BD39">
            <v>3.9999841785294733E-2</v>
          </cell>
          <cell r="BE39">
            <v>4005619.5</v>
          </cell>
          <cell r="BF39">
            <v>2210311.42</v>
          </cell>
          <cell r="BG39">
            <v>1795308.08</v>
          </cell>
          <cell r="BH39">
            <v>-12595.519999999553</v>
          </cell>
          <cell r="BI39">
            <v>3.1256345013127573E-2</v>
          </cell>
          <cell r="BJ39">
            <v>1305510.8</v>
          </cell>
          <cell r="BK39">
            <v>638802.81999999995</v>
          </cell>
          <cell r="BL39">
            <v>666707.98</v>
          </cell>
          <cell r="BM39">
            <v>0.51068744892803652</v>
          </cell>
          <cell r="BN39">
            <v>9.3746435205517842E-2</v>
          </cell>
          <cell r="BO39" t="str">
            <v>ISU</v>
          </cell>
          <cell r="BP39" t="str">
            <v>O</v>
          </cell>
          <cell r="BQ39" t="str">
            <v>FX</v>
          </cell>
          <cell r="BR39">
            <v>889477</v>
          </cell>
          <cell r="BS39" t="str">
            <v>6Y9</v>
          </cell>
          <cell r="BT39">
            <v>904000</v>
          </cell>
          <cell r="BW39" t="str">
            <v/>
          </cell>
          <cell r="BX39" t="str">
            <v>Rated</v>
          </cell>
          <cell r="BY39" t="str">
            <v>Over</v>
          </cell>
          <cell r="BZ39" t="str">
            <v>A</v>
          </cell>
          <cell r="CA39" t="str">
            <v>L</v>
          </cell>
          <cell r="CG39">
            <v>4005619.5</v>
          </cell>
          <cell r="CH39">
            <v>2210311.42</v>
          </cell>
          <cell r="CI39">
            <v>1795308.08</v>
          </cell>
          <cell r="CJ39">
            <v>0.44819735873564626</v>
          </cell>
          <cell r="CK39">
            <v>3.1256345013127573E-2</v>
          </cell>
          <cell r="CL39" t="str">
            <v>*closing status….JoEllen to ck</v>
          </cell>
          <cell r="CM39" t="str">
            <v/>
          </cell>
          <cell r="CN39" t="str">
            <v>To Sills</v>
          </cell>
          <cell r="CO39" t="str">
            <v/>
          </cell>
          <cell r="CP39" t="str">
            <v/>
          </cell>
          <cell r="CQ39" t="str">
            <v/>
          </cell>
          <cell r="CR39" t="str">
            <v/>
          </cell>
          <cell r="CS39">
            <v>37926</v>
          </cell>
          <cell r="CT39" t="str">
            <v/>
          </cell>
          <cell r="CV39" t="str">
            <v/>
          </cell>
          <cell r="CW39" t="str">
            <v>HUMAN CAPITAL MANAGEMENT</v>
          </cell>
        </row>
        <row r="40">
          <cell r="A40" t="str">
            <v>CFTFF4M</v>
          </cell>
          <cell r="B40" t="str">
            <v>TEL</v>
          </cell>
          <cell r="C40" t="str">
            <v>FM</v>
          </cell>
          <cell r="D40" t="str">
            <v>FM</v>
          </cell>
          <cell r="E40" t="str">
            <v>C&amp;SI</v>
          </cell>
          <cell r="F40" t="str">
            <v>BELLSO TELECOMM</v>
          </cell>
          <cell r="G40" t="str">
            <v>Hyperion HFM</v>
          </cell>
          <cell r="H40" t="str">
            <v>CFTFF4M</v>
          </cell>
          <cell r="I40">
            <v>1</v>
          </cell>
          <cell r="J40" t="str">
            <v>Raymond D Trakimas/New York/IBM</v>
          </cell>
          <cell r="K40" t="str">
            <v>Pablo A Vegas/Atlanta/IBM</v>
          </cell>
          <cell r="L40" t="str">
            <v>BE</v>
          </cell>
          <cell r="M40">
            <v>38169</v>
          </cell>
          <cell r="N40">
            <v>38321</v>
          </cell>
          <cell r="O40">
            <v>142172.5</v>
          </cell>
          <cell r="P40">
            <v>332775</v>
          </cell>
          <cell r="Q40">
            <v>142172.5</v>
          </cell>
          <cell r="R40">
            <v>0.2008834798287131</v>
          </cell>
          <cell r="S40">
            <v>5.6806809984129222E-2</v>
          </cell>
          <cell r="T40" t="str">
            <v/>
          </cell>
          <cell r="U40" t="str">
            <v>Y</v>
          </cell>
          <cell r="V40" t="str">
            <v/>
          </cell>
          <cell r="W40" t="str">
            <v/>
          </cell>
          <cell r="X40" t="str">
            <v>Y</v>
          </cell>
          <cell r="Y40" t="str">
            <v>Y</v>
          </cell>
          <cell r="Z40" t="str">
            <v/>
          </cell>
          <cell r="AA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U40" t="str">
            <v>FINANCIAL MANAGEMENT</v>
          </cell>
          <cell r="AV40" t="str">
            <v>O</v>
          </cell>
          <cell r="AW40">
            <v>1324.5</v>
          </cell>
          <cell r="AX40">
            <v>0</v>
          </cell>
          <cell r="AY40">
            <v>0</v>
          </cell>
          <cell r="AZ40">
            <v>332775</v>
          </cell>
          <cell r="BA40">
            <v>265926</v>
          </cell>
          <cell r="BB40">
            <v>66849</v>
          </cell>
          <cell r="BC40">
            <v>8765</v>
          </cell>
          <cell r="BD40">
            <v>3.2960297225543951E-2</v>
          </cell>
          <cell r="BE40">
            <v>190602.5</v>
          </cell>
          <cell r="BF40">
            <v>179774.98</v>
          </cell>
          <cell r="BG40">
            <v>10827.52</v>
          </cell>
          <cell r="BH40">
            <v>-56021.48</v>
          </cell>
          <cell r="BI40">
            <v>-0.14407666984458389</v>
          </cell>
          <cell r="BJ40">
            <v>24070</v>
          </cell>
          <cell r="BK40">
            <v>10249</v>
          </cell>
          <cell r="BL40">
            <v>13821</v>
          </cell>
          <cell r="BM40">
            <v>0.57420024927295388</v>
          </cell>
          <cell r="BN40">
            <v>0.37331676944424075</v>
          </cell>
          <cell r="BO40" t="str">
            <v>ISU</v>
          </cell>
          <cell r="BP40" t="str">
            <v>O</v>
          </cell>
          <cell r="BQ40" t="str">
            <v>FY</v>
          </cell>
          <cell r="BR40">
            <v>889477</v>
          </cell>
          <cell r="BS40" t="str">
            <v>6Y9</v>
          </cell>
          <cell r="BT40">
            <v>904000</v>
          </cell>
          <cell r="BW40" t="str">
            <v/>
          </cell>
          <cell r="BX40" t="str">
            <v>Unrated</v>
          </cell>
          <cell r="BY40" t="str">
            <v>Under</v>
          </cell>
          <cell r="BZ40" t="str">
            <v/>
          </cell>
          <cell r="CA40" t="str">
            <v/>
          </cell>
          <cell r="CG40">
            <v>190602.5</v>
          </cell>
          <cell r="CH40">
            <v>179774.98</v>
          </cell>
          <cell r="CI40">
            <v>10827.52</v>
          </cell>
          <cell r="CJ40">
            <v>5.6806809984129278E-2</v>
          </cell>
          <cell r="CK40">
            <v>-0.14407666984458384</v>
          </cell>
          <cell r="CM40" t="e">
            <v>#N/A</v>
          </cell>
          <cell r="CN40" t="str">
            <v/>
          </cell>
          <cell r="CO40" t="str">
            <v/>
          </cell>
          <cell r="CP40" t="str">
            <v/>
          </cell>
          <cell r="CQ40" t="str">
            <v/>
          </cell>
          <cell r="CR40" t="str">
            <v/>
          </cell>
          <cell r="CS40">
            <v>38169</v>
          </cell>
          <cell r="CT40" t="str">
            <v/>
          </cell>
          <cell r="CU40" t="str">
            <v/>
          </cell>
          <cell r="CV40" t="str">
            <v/>
          </cell>
          <cell r="CW40" t="str">
            <v>FINANCIAL MANAGEMENT</v>
          </cell>
        </row>
        <row r="41">
          <cell r="A41" t="str">
            <v>CFT7WYM</v>
          </cell>
          <cell r="B41" t="str">
            <v>TEL</v>
          </cell>
          <cell r="C41" t="str">
            <v>HCM</v>
          </cell>
          <cell r="D41" t="str">
            <v>HCM</v>
          </cell>
          <cell r="E41" t="str">
            <v>C&amp;SI</v>
          </cell>
          <cell r="F41" t="str">
            <v>BELLSO TELECOMM</v>
          </cell>
          <cell r="G41" t="str">
            <v>TRAINING ON SIMULATION</v>
          </cell>
          <cell r="H41" t="str">
            <v>CFT7WYM</v>
          </cell>
          <cell r="I41">
            <v>4</v>
          </cell>
          <cell r="J41" t="str">
            <v>Mary K Vona/Tampa/IBM</v>
          </cell>
          <cell r="K41" t="str">
            <v>Tony Caudill/Irvine/IBM</v>
          </cell>
          <cell r="L41" t="str">
            <v>FP</v>
          </cell>
          <cell r="M41">
            <v>38400</v>
          </cell>
          <cell r="N41">
            <v>39478</v>
          </cell>
          <cell r="O41">
            <v>225441.26</v>
          </cell>
          <cell r="P41">
            <v>248228</v>
          </cell>
          <cell r="Q41">
            <v>225441.26</v>
          </cell>
          <cell r="R41">
            <v>0.48431683774594325</v>
          </cell>
          <cell r="S41">
            <v>-1.5135671008665563</v>
          </cell>
          <cell r="T41" t="str">
            <v/>
          </cell>
          <cell r="U41" t="str">
            <v/>
          </cell>
          <cell r="V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Z41" t="str">
            <v/>
          </cell>
          <cell r="AA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U41" t="str">
            <v>HUMAN CAPITAL MANAGEMENT</v>
          </cell>
          <cell r="AV41" t="str">
            <v>O</v>
          </cell>
          <cell r="AW41">
            <v>80</v>
          </cell>
          <cell r="AX41">
            <v>0</v>
          </cell>
          <cell r="AY41">
            <v>0</v>
          </cell>
          <cell r="AZ41">
            <v>248228</v>
          </cell>
          <cell r="BA41">
            <v>128007</v>
          </cell>
          <cell r="BB41">
            <v>120221</v>
          </cell>
          <cell r="BC41">
            <v>5237</v>
          </cell>
          <cell r="BD41">
            <v>4.0911825134562957E-2</v>
          </cell>
          <cell r="BE41">
            <v>22786.74</v>
          </cell>
          <cell r="BF41">
            <v>57276</v>
          </cell>
          <cell r="BG41">
            <v>-34489.26</v>
          </cell>
          <cell r="BH41">
            <v>-154710.26</v>
          </cell>
          <cell r="BI41">
            <v>-1.9978839386124996</v>
          </cell>
          <cell r="BJ41">
            <v>22786.74</v>
          </cell>
          <cell r="BK41">
            <v>57276</v>
          </cell>
          <cell r="BL41">
            <v>-34489.26</v>
          </cell>
          <cell r="BM41">
            <v>-1.5135671008665563</v>
          </cell>
          <cell r="BN41">
            <v>-1.9978839386124996</v>
          </cell>
          <cell r="BO41" t="str">
            <v>ISU</v>
          </cell>
          <cell r="BP41" t="str">
            <v>O</v>
          </cell>
          <cell r="BQ41" t="str">
            <v>FX</v>
          </cell>
          <cell r="BR41">
            <v>895886</v>
          </cell>
          <cell r="BS41" t="str">
            <v>6Y9</v>
          </cell>
          <cell r="BT41">
            <v>904000</v>
          </cell>
          <cell r="BW41" t="str">
            <v/>
          </cell>
          <cell r="BX41" t="str">
            <v>Unrated</v>
          </cell>
          <cell r="BY41" t="str">
            <v>Under</v>
          </cell>
          <cell r="BZ41" t="str">
            <v/>
          </cell>
          <cell r="CA41" t="str">
            <v/>
          </cell>
          <cell r="CG41">
            <v>164228</v>
          </cell>
          <cell r="CH41">
            <v>57276</v>
          </cell>
          <cell r="CI41">
            <v>106952</v>
          </cell>
          <cell r="CJ41">
            <v>0.65124095769296342</v>
          </cell>
          <cell r="CK41">
            <v>0.16692411994702017</v>
          </cell>
          <cell r="CL41" t="str">
            <v/>
          </cell>
          <cell r="CM41" t="str">
            <v/>
          </cell>
          <cell r="CN41" t="str">
            <v/>
          </cell>
          <cell r="CO41" t="str">
            <v/>
          </cell>
          <cell r="CP41" t="str">
            <v/>
          </cell>
          <cell r="CQ41" t="str">
            <v/>
          </cell>
          <cell r="CR41" t="str">
            <v/>
          </cell>
          <cell r="CS41">
            <v>38384</v>
          </cell>
          <cell r="CT41" t="str">
            <v/>
          </cell>
          <cell r="CV41" t="str">
            <v/>
          </cell>
          <cell r="CW41" t="str">
            <v>HUMAN CAPITAL MANAGEMENT</v>
          </cell>
        </row>
        <row r="42">
          <cell r="A42" t="str">
            <v>CFT5RCN</v>
          </cell>
          <cell r="B42" t="str">
            <v>MED</v>
          </cell>
          <cell r="C42" t="str">
            <v>CRM</v>
          </cell>
          <cell r="D42" t="str">
            <v>CRM</v>
          </cell>
          <cell r="E42" t="str">
            <v>C&amp;SI</v>
          </cell>
          <cell r="F42" t="str">
            <v>BELO MANA SRVCS</v>
          </cell>
          <cell r="G42" t="str">
            <v>*NS CRM Build &amp; IMP</v>
          </cell>
          <cell r="H42" t="str">
            <v>CFT5RCN</v>
          </cell>
          <cell r="I42">
            <v>1</v>
          </cell>
          <cell r="J42" t="str">
            <v>Richard P Whittington/Irvine/IBM</v>
          </cell>
          <cell r="K42" t="str">
            <v>Luc Ducrocq/Philadelphia/IBM</v>
          </cell>
          <cell r="L42" t="str">
            <v>BE</v>
          </cell>
          <cell r="M42">
            <v>38691</v>
          </cell>
          <cell r="N42">
            <v>38817</v>
          </cell>
          <cell r="O42">
            <v>851760</v>
          </cell>
          <cell r="P42">
            <v>888420</v>
          </cell>
          <cell r="Q42">
            <v>851760</v>
          </cell>
          <cell r="R42">
            <v>0.42950518898719076</v>
          </cell>
          <cell r="S42">
            <v>0.5396213857064921</v>
          </cell>
          <cell r="T42" t="str">
            <v>Y</v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>Y</v>
          </cell>
          <cell r="AA42" t="str">
            <v/>
          </cell>
          <cell r="AC42" t="str">
            <v/>
          </cell>
          <cell r="AD42" t="str">
            <v>Y</v>
          </cell>
          <cell r="AU42" t="str">
            <v>CUSTOMER RELATIONSHIP MANAGEMENT</v>
          </cell>
          <cell r="AV42" t="str">
            <v>O</v>
          </cell>
          <cell r="AW42">
            <v>415</v>
          </cell>
          <cell r="AX42">
            <v>0</v>
          </cell>
          <cell r="AY42">
            <v>0</v>
          </cell>
          <cell r="AZ42">
            <v>888420</v>
          </cell>
          <cell r="BA42">
            <v>506839</v>
          </cell>
          <cell r="BB42">
            <v>381581</v>
          </cell>
          <cell r="BC42">
            <v>20694</v>
          </cell>
          <cell r="BD42">
            <v>4.0829533638887298E-2</v>
          </cell>
          <cell r="BE42">
            <v>36660</v>
          </cell>
          <cell r="BF42">
            <v>16877.48</v>
          </cell>
          <cell r="BG42">
            <v>19782.52</v>
          </cell>
          <cell r="BH42">
            <v>-361798.48</v>
          </cell>
          <cell r="BI42">
            <v>0.11011619671930134</v>
          </cell>
          <cell r="BJ42">
            <v>36660</v>
          </cell>
          <cell r="BK42">
            <v>16877.48</v>
          </cell>
          <cell r="BL42">
            <v>19782.52</v>
          </cell>
          <cell r="BM42">
            <v>0.5396213857064921</v>
          </cell>
          <cell r="BN42">
            <v>0.11011619671930134</v>
          </cell>
          <cell r="BO42" t="str">
            <v>SMB</v>
          </cell>
          <cell r="BP42" t="str">
            <v>O</v>
          </cell>
          <cell r="BQ42" t="str">
            <v>FX</v>
          </cell>
          <cell r="BR42">
            <v>900753</v>
          </cell>
          <cell r="BS42" t="str">
            <v>Q3R</v>
          </cell>
          <cell r="BT42">
            <v>2337400</v>
          </cell>
          <cell r="BW42" t="str">
            <v/>
          </cell>
          <cell r="BX42" t="str">
            <v>Unrated</v>
          </cell>
          <cell r="BY42" t="str">
            <v>Under</v>
          </cell>
          <cell r="BZ42" t="str">
            <v/>
          </cell>
          <cell r="CA42" t="str">
            <v/>
          </cell>
          <cell r="CG42">
            <v>851760</v>
          </cell>
          <cell r="CH42">
            <v>380130</v>
          </cell>
          <cell r="CI42">
            <v>471630</v>
          </cell>
          <cell r="CJ42">
            <v>0.55371231332769799</v>
          </cell>
          <cell r="CK42">
            <v>0.12420712434050724</v>
          </cell>
          <cell r="CM42" t="e">
            <v>#N/A</v>
          </cell>
          <cell r="CS42">
            <v>38687</v>
          </cell>
          <cell r="CV42" t="str">
            <v/>
          </cell>
          <cell r="CW42" t="str">
            <v>CUSTOMER RELATIONSHIP MANAGEMENT</v>
          </cell>
        </row>
        <row r="43">
          <cell r="A43" t="str">
            <v>CFTW56N</v>
          </cell>
          <cell r="B43" t="str">
            <v>MED</v>
          </cell>
          <cell r="C43" t="str">
            <v>CRM</v>
          </cell>
          <cell r="D43" t="str">
            <v>CRM</v>
          </cell>
          <cell r="E43" t="str">
            <v>C&amp;SI</v>
          </cell>
          <cell r="F43" t="str">
            <v>BELO MANA SRVCS</v>
          </cell>
          <cell r="G43" t="str">
            <v>BELO CRM Information Arc</v>
          </cell>
          <cell r="H43" t="str">
            <v>CFTW56N</v>
          </cell>
          <cell r="I43">
            <v>1</v>
          </cell>
          <cell r="J43" t="str">
            <v>Richard P Whittington/Irvine/IBM</v>
          </cell>
          <cell r="K43" t="str">
            <v>Luc Ducrocq/Philadelphia/IBM</v>
          </cell>
          <cell r="L43" t="str">
            <v>FP</v>
          </cell>
          <cell r="M43">
            <v>38613</v>
          </cell>
          <cell r="N43">
            <v>38739</v>
          </cell>
          <cell r="O43">
            <v>0</v>
          </cell>
          <cell r="P43">
            <v>311000</v>
          </cell>
          <cell r="Q43">
            <v>0</v>
          </cell>
          <cell r="R43">
            <v>0.47383601286173632</v>
          </cell>
          <cell r="S43">
            <v>0.42530009646302247</v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>Y</v>
          </cell>
          <cell r="Y43" t="str">
            <v/>
          </cell>
          <cell r="Z43" t="str">
            <v/>
          </cell>
          <cell r="AA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U43" t="str">
            <v>CUSTOMER RELATIONSHIP MANAGEMENT</v>
          </cell>
          <cell r="AV43" t="str">
            <v>O</v>
          </cell>
          <cell r="AW43">
            <v>1378.5</v>
          </cell>
          <cell r="AX43">
            <v>0</v>
          </cell>
          <cell r="AY43">
            <v>0</v>
          </cell>
          <cell r="AZ43">
            <v>311000</v>
          </cell>
          <cell r="BA43">
            <v>163637</v>
          </cell>
          <cell r="BB43">
            <v>147363</v>
          </cell>
          <cell r="BC43">
            <v>16747</v>
          </cell>
          <cell r="BD43">
            <v>0.10234237977963419</v>
          </cell>
          <cell r="BE43">
            <v>311000</v>
          </cell>
          <cell r="BF43">
            <v>178731.67</v>
          </cell>
          <cell r="BG43">
            <v>132268.32999999999</v>
          </cell>
          <cell r="BH43">
            <v>-15094.67</v>
          </cell>
          <cell r="BI43">
            <v>-4.8535916398713852E-2</v>
          </cell>
          <cell r="BJ43">
            <v>311000</v>
          </cell>
          <cell r="BK43">
            <v>178731.67</v>
          </cell>
          <cell r="BL43">
            <v>132268.32999999999</v>
          </cell>
          <cell r="BM43">
            <v>0.42530009646302247</v>
          </cell>
          <cell r="BN43">
            <v>-4.8535916398713852E-2</v>
          </cell>
          <cell r="BO43" t="str">
            <v>SMB</v>
          </cell>
          <cell r="BP43" t="str">
            <v>O</v>
          </cell>
          <cell r="BQ43" t="str">
            <v>FX</v>
          </cell>
          <cell r="BR43">
            <v>900753</v>
          </cell>
          <cell r="BS43" t="str">
            <v>Q3R</v>
          </cell>
          <cell r="BT43">
            <v>2337400</v>
          </cell>
          <cell r="BW43" t="str">
            <v/>
          </cell>
          <cell r="BX43" t="str">
            <v>Unrated</v>
          </cell>
          <cell r="BY43" t="str">
            <v>Under</v>
          </cell>
          <cell r="BZ43" t="str">
            <v/>
          </cell>
          <cell r="CA43" t="str">
            <v/>
          </cell>
          <cell r="CG43">
            <v>311000</v>
          </cell>
          <cell r="CH43">
            <v>109851.37</v>
          </cell>
          <cell r="CI43">
            <v>201148.63</v>
          </cell>
          <cell r="CJ43">
            <v>0.64678016077170419</v>
          </cell>
          <cell r="CK43">
            <v>0.17294414790996787</v>
          </cell>
          <cell r="CL43" t="str">
            <v/>
          </cell>
          <cell r="CM43" t="str">
            <v/>
          </cell>
          <cell r="CN43" t="str">
            <v/>
          </cell>
          <cell r="CO43" t="str">
            <v/>
          </cell>
          <cell r="CP43" t="str">
            <v/>
          </cell>
          <cell r="CQ43" t="str">
            <v/>
          </cell>
          <cell r="CR43" t="str">
            <v/>
          </cell>
          <cell r="CS43">
            <v>38596</v>
          </cell>
          <cell r="CT43" t="str">
            <v/>
          </cell>
          <cell r="CV43" t="str">
            <v/>
          </cell>
          <cell r="CW43" t="str">
            <v>CUSTOMER RELATIONSHIP MANAGEMENT</v>
          </cell>
        </row>
        <row r="44">
          <cell r="A44" t="str">
            <v>CFT11MN</v>
          </cell>
          <cell r="B44" t="str">
            <v>MED</v>
          </cell>
          <cell r="C44" t="str">
            <v>CRM</v>
          </cell>
          <cell r="D44" t="str">
            <v>CRM</v>
          </cell>
          <cell r="E44" t="str">
            <v>C&amp;SI</v>
          </cell>
          <cell r="F44" t="str">
            <v>BELO MANA SRVCS</v>
          </cell>
          <cell r="G44" t="str">
            <v>BELO CRM Marketing readi</v>
          </cell>
          <cell r="H44" t="str">
            <v>CFT11MN</v>
          </cell>
          <cell r="I44">
            <v>1</v>
          </cell>
          <cell r="J44" t="str">
            <v>Richard P Whittington/Irvine/IBM</v>
          </cell>
          <cell r="K44" t="str">
            <v>Luc Ducrocq/Philadelphia/IBM</v>
          </cell>
          <cell r="L44" t="str">
            <v>FP</v>
          </cell>
          <cell r="M44">
            <v>38611</v>
          </cell>
          <cell r="N44">
            <v>38639</v>
          </cell>
          <cell r="O44">
            <v>0</v>
          </cell>
          <cell r="P44">
            <v>50000</v>
          </cell>
          <cell r="Q44">
            <v>0</v>
          </cell>
          <cell r="R44">
            <v>0.47560000000000002</v>
          </cell>
          <cell r="S44">
            <v>0.46087359999999999</v>
          </cell>
          <cell r="T44" t="str">
            <v/>
          </cell>
          <cell r="U44" t="str">
            <v>Y</v>
          </cell>
          <cell r="V44" t="str">
            <v/>
          </cell>
          <cell r="W44" t="str">
            <v/>
          </cell>
          <cell r="X44" t="str">
            <v>Y</v>
          </cell>
          <cell r="Y44" t="str">
            <v/>
          </cell>
          <cell r="Z44" t="str">
            <v/>
          </cell>
          <cell r="AA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U44" t="str">
            <v>CUSTOMER RELATIONSHIP MANAGEMENT</v>
          </cell>
          <cell r="AV44" t="str">
            <v>O</v>
          </cell>
          <cell r="AW44">
            <v>207.5</v>
          </cell>
          <cell r="AX44">
            <v>0</v>
          </cell>
          <cell r="AY44">
            <v>0</v>
          </cell>
          <cell r="AZ44">
            <v>50000</v>
          </cell>
          <cell r="BA44">
            <v>26220</v>
          </cell>
          <cell r="BB44">
            <v>23780</v>
          </cell>
          <cell r="BC44">
            <v>2684</v>
          </cell>
          <cell r="BD44">
            <v>0.10236460717009917</v>
          </cell>
          <cell r="BE44">
            <v>50000</v>
          </cell>
          <cell r="BF44">
            <v>26956.32</v>
          </cell>
          <cell r="BG44">
            <v>23043.68</v>
          </cell>
          <cell r="BH44">
            <v>-736.32</v>
          </cell>
          <cell r="BI44">
            <v>-1.4726400000000028E-2</v>
          </cell>
          <cell r="BJ44">
            <v>50000</v>
          </cell>
          <cell r="BK44">
            <v>26956.32</v>
          </cell>
          <cell r="BL44">
            <v>23043.68</v>
          </cell>
          <cell r="BM44">
            <v>0.46087359999999999</v>
          </cell>
          <cell r="BN44">
            <v>-1.4726400000000028E-2</v>
          </cell>
          <cell r="BO44" t="str">
            <v>SMB</v>
          </cell>
          <cell r="BP44" t="str">
            <v>O</v>
          </cell>
          <cell r="BQ44" t="str">
            <v>FX</v>
          </cell>
          <cell r="BR44">
            <v>900753</v>
          </cell>
          <cell r="BS44" t="str">
            <v>Q3R</v>
          </cell>
          <cell r="BT44">
            <v>2337400</v>
          </cell>
          <cell r="BW44" t="str">
            <v/>
          </cell>
          <cell r="BX44" t="str">
            <v>Unrated</v>
          </cell>
          <cell r="BY44" t="str">
            <v>Under</v>
          </cell>
          <cell r="BZ44" t="str">
            <v/>
          </cell>
          <cell r="CA44" t="str">
            <v/>
          </cell>
          <cell r="CG44">
            <v>50000</v>
          </cell>
          <cell r="CH44">
            <v>0</v>
          </cell>
          <cell r="CI44">
            <v>50000</v>
          </cell>
          <cell r="CJ44">
            <v>1</v>
          </cell>
          <cell r="CK44">
            <v>0.52439999999999998</v>
          </cell>
          <cell r="CM44" t="e">
            <v>#N/A</v>
          </cell>
          <cell r="CN44" t="str">
            <v/>
          </cell>
          <cell r="CO44" t="str">
            <v/>
          </cell>
          <cell r="CP44" t="str">
            <v/>
          </cell>
          <cell r="CQ44" t="str">
            <v/>
          </cell>
          <cell r="CR44" t="str">
            <v/>
          </cell>
          <cell r="CS44">
            <v>38596</v>
          </cell>
          <cell r="CT44" t="str">
            <v/>
          </cell>
          <cell r="CU44" t="str">
            <v/>
          </cell>
          <cell r="CV44" t="str">
            <v/>
          </cell>
          <cell r="CW44" t="str">
            <v>CUSTOMER RELATIONSHIP MANAGEMENT</v>
          </cell>
        </row>
        <row r="45">
          <cell r="A45" t="str">
            <v>CFTHXJN</v>
          </cell>
          <cell r="B45" t="str">
            <v>MED</v>
          </cell>
          <cell r="C45" t="str">
            <v>AIS</v>
          </cell>
          <cell r="D45" t="str">
            <v>AIS</v>
          </cell>
          <cell r="E45" t="str">
            <v>C&amp;SI</v>
          </cell>
          <cell r="F45" t="str">
            <v>BLOOMB L P</v>
          </cell>
          <cell r="G45" t="str">
            <v>CM ANCEPT PHOT LIB AND K</v>
          </cell>
          <cell r="H45" t="str">
            <v>CFTHXJN</v>
          </cell>
          <cell r="I45">
            <v>1</v>
          </cell>
          <cell r="J45" t="str">
            <v>Edward Hanapole/New York/IBM</v>
          </cell>
          <cell r="K45" t="str">
            <v>George Schlaughenhoupt/Atlanta/IBM</v>
          </cell>
          <cell r="L45" t="str">
            <v>BE</v>
          </cell>
          <cell r="M45">
            <v>38467</v>
          </cell>
          <cell r="N45">
            <v>38597</v>
          </cell>
          <cell r="O45">
            <v>38500</v>
          </cell>
          <cell r="P45">
            <v>69520</v>
          </cell>
          <cell r="Q45">
            <v>38500</v>
          </cell>
          <cell r="R45">
            <v>0.46447065592635212</v>
          </cell>
          <cell r="S45">
            <v>0.33901386202450029</v>
          </cell>
          <cell r="T45" t="str">
            <v/>
          </cell>
          <cell r="U45" t="str">
            <v>Y</v>
          </cell>
          <cell r="V45" t="str">
            <v/>
          </cell>
          <cell r="W45" t="str">
            <v/>
          </cell>
          <cell r="X45" t="str">
            <v>Y</v>
          </cell>
          <cell r="Y45" t="str">
            <v>Y</v>
          </cell>
          <cell r="Z45" t="str">
            <v/>
          </cell>
          <cell r="AA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U45" t="str">
            <v>APPLICATION INNOVATION</v>
          </cell>
          <cell r="AV45" t="str">
            <v>O</v>
          </cell>
          <cell r="AW45">
            <v>141</v>
          </cell>
          <cell r="AX45">
            <v>0</v>
          </cell>
          <cell r="AY45">
            <v>0</v>
          </cell>
          <cell r="AZ45">
            <v>69520</v>
          </cell>
          <cell r="BA45">
            <v>37230</v>
          </cell>
          <cell r="BB45">
            <v>32290</v>
          </cell>
          <cell r="BC45">
            <v>3723</v>
          </cell>
          <cell r="BD45">
            <v>0.1</v>
          </cell>
          <cell r="BE45">
            <v>31020</v>
          </cell>
          <cell r="BF45">
            <v>20503.79</v>
          </cell>
          <cell r="BG45">
            <v>10516.21</v>
          </cell>
          <cell r="BH45">
            <v>-21773.79</v>
          </cell>
          <cell r="BI45">
            <v>-0.12545679390185183</v>
          </cell>
          <cell r="BJ45">
            <v>31020</v>
          </cell>
          <cell r="BK45">
            <v>20503.79</v>
          </cell>
          <cell r="BL45">
            <v>10516.21</v>
          </cell>
          <cell r="BM45">
            <v>0.33901386202450029</v>
          </cell>
          <cell r="BN45">
            <v>-0.12545679390185183</v>
          </cell>
          <cell r="BO45" t="str">
            <v>ISU</v>
          </cell>
          <cell r="BP45" t="str">
            <v>O</v>
          </cell>
          <cell r="BQ45" t="str">
            <v>FX</v>
          </cell>
          <cell r="BR45">
            <v>1110887</v>
          </cell>
          <cell r="BS45" t="str">
            <v>6YR</v>
          </cell>
          <cell r="BT45">
            <v>1032814</v>
          </cell>
          <cell r="BW45" t="str">
            <v/>
          </cell>
          <cell r="BX45" t="str">
            <v>Unrated</v>
          </cell>
          <cell r="BY45" t="str">
            <v>Under</v>
          </cell>
          <cell r="BZ45" t="str">
            <v/>
          </cell>
          <cell r="CA45" t="str">
            <v/>
          </cell>
          <cell r="CG45">
            <v>31020</v>
          </cell>
          <cell r="CH45">
            <v>20503.79</v>
          </cell>
          <cell r="CI45">
            <v>10516.21</v>
          </cell>
          <cell r="CJ45">
            <v>0.33901386202450029</v>
          </cell>
          <cell r="CK45">
            <v>-0.12545679390185183</v>
          </cell>
          <cell r="CL45" t="str">
            <v/>
          </cell>
          <cell r="CM45" t="str">
            <v/>
          </cell>
          <cell r="CN45" t="str">
            <v/>
          </cell>
          <cell r="CO45" t="str">
            <v/>
          </cell>
          <cell r="CP45" t="str">
            <v/>
          </cell>
          <cell r="CQ45" t="str">
            <v/>
          </cell>
          <cell r="CR45" t="str">
            <v/>
          </cell>
          <cell r="CS45">
            <v>38443</v>
          </cell>
          <cell r="CT45" t="str">
            <v/>
          </cell>
          <cell r="CU45" t="str">
            <v>6955-24A</v>
          </cell>
          <cell r="CV45" t="str">
            <v>AIS</v>
          </cell>
          <cell r="CW45" t="str">
            <v>APPLICATION INNOVATION</v>
          </cell>
        </row>
        <row r="46">
          <cell r="A46" t="str">
            <v>CFTX4CN</v>
          </cell>
          <cell r="B46" t="str">
            <v>MED</v>
          </cell>
          <cell r="C46" t="str">
            <v>SCM</v>
          </cell>
          <cell r="D46" t="str">
            <v>SCM</v>
          </cell>
          <cell r="E46" t="str">
            <v>C&amp;SI</v>
          </cell>
          <cell r="F46" t="str">
            <v>BUENA VIST HOM</v>
          </cell>
          <cell r="G46" t="str">
            <v>Disney BVHE Retail Reple</v>
          </cell>
          <cell r="H46" t="str">
            <v>CFTX4CN</v>
          </cell>
          <cell r="I46">
            <v>1</v>
          </cell>
          <cell r="J46" t="str">
            <v>Larry Layden/Chicago/IBM</v>
          </cell>
          <cell r="K46" t="str">
            <v>Kate M Hoisington/Los Angeles/IBM</v>
          </cell>
          <cell r="L46" t="str">
            <v>BE</v>
          </cell>
          <cell r="M46">
            <v>38628</v>
          </cell>
          <cell r="N46">
            <v>38898</v>
          </cell>
          <cell r="O46">
            <v>1223922</v>
          </cell>
          <cell r="P46">
            <v>1391040</v>
          </cell>
          <cell r="Q46">
            <v>1223922</v>
          </cell>
          <cell r="R46">
            <v>0.43120758569128137</v>
          </cell>
          <cell r="S46">
            <v>0.44065229358896107</v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C46" t="str">
            <v/>
          </cell>
          <cell r="AD46" t="str">
            <v>Y</v>
          </cell>
          <cell r="AE46" t="str">
            <v>Imam</v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>Launch</v>
          </cell>
          <cell r="AK46" t="str">
            <v/>
          </cell>
          <cell r="AL46">
            <v>38777</v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U46" t="str">
            <v>SUPPLY CHAIN MANAGEMENT</v>
          </cell>
          <cell r="AV46" t="str">
            <v>O</v>
          </cell>
          <cell r="AW46">
            <v>1222</v>
          </cell>
          <cell r="AX46">
            <v>24</v>
          </cell>
          <cell r="AY46">
            <v>1.9639934533551555E-2</v>
          </cell>
          <cell r="AZ46">
            <v>1391040</v>
          </cell>
          <cell r="BA46">
            <v>791213</v>
          </cell>
          <cell r="BB46">
            <v>599827</v>
          </cell>
          <cell r="BC46">
            <v>31649</v>
          </cell>
          <cell r="BD46">
            <v>4.0000606663439554E-2</v>
          </cell>
          <cell r="BE46">
            <v>167118</v>
          </cell>
          <cell r="BF46">
            <v>93477.07</v>
          </cell>
          <cell r="BG46">
            <v>73640.929999999993</v>
          </cell>
          <cell r="BH46">
            <v>-526186.06999999995</v>
          </cell>
          <cell r="BI46">
            <v>9.444707897679705E-3</v>
          </cell>
          <cell r="BJ46">
            <v>167118</v>
          </cell>
          <cell r="BK46">
            <v>93477.07</v>
          </cell>
          <cell r="BL46">
            <v>73640.929999999993</v>
          </cell>
          <cell r="BM46">
            <v>0.44065229358896107</v>
          </cell>
          <cell r="BN46">
            <v>9.444707897679705E-3</v>
          </cell>
          <cell r="BO46" t="str">
            <v>ISU</v>
          </cell>
          <cell r="BP46" t="str">
            <v>O</v>
          </cell>
          <cell r="BQ46" t="str">
            <v>FX</v>
          </cell>
          <cell r="BR46">
            <v>1249877</v>
          </cell>
          <cell r="BS46" t="str">
            <v>6YM</v>
          </cell>
          <cell r="BT46">
            <v>9831300</v>
          </cell>
          <cell r="BW46" t="str">
            <v/>
          </cell>
          <cell r="BX46" t="str">
            <v>Rated</v>
          </cell>
          <cell r="BY46" t="str">
            <v>Over</v>
          </cell>
          <cell r="BZ46" t="str">
            <v>Other</v>
          </cell>
          <cell r="CA46" t="str">
            <v/>
          </cell>
          <cell r="CG46">
            <v>1226659</v>
          </cell>
          <cell r="CH46">
            <v>785314.65</v>
          </cell>
          <cell r="CI46">
            <v>441344.35</v>
          </cell>
          <cell r="CJ46">
            <v>0.35979383838540291</v>
          </cell>
          <cell r="CK46">
            <v>-7.1413747305878461E-2</v>
          </cell>
          <cell r="CL46" t="str">
            <v>Launch to be started and Q will also schedule PMR</v>
          </cell>
          <cell r="CM46" t="str">
            <v/>
          </cell>
          <cell r="CN46" t="str">
            <v/>
          </cell>
          <cell r="CO46" t="str">
            <v/>
          </cell>
          <cell r="CP46" t="str">
            <v/>
          </cell>
          <cell r="CQ46" t="str">
            <v/>
          </cell>
          <cell r="CR46" t="str">
            <v/>
          </cell>
          <cell r="CS46">
            <v>38626</v>
          </cell>
          <cell r="CT46" t="str">
            <v/>
          </cell>
          <cell r="CV46" t="str">
            <v/>
          </cell>
          <cell r="CW46" t="str">
            <v>SUPPLY CHAIN MANAGEMENT</v>
          </cell>
        </row>
        <row r="47">
          <cell r="A47" t="str">
            <v>CFTW8CN</v>
          </cell>
          <cell r="B47" t="str">
            <v>MED</v>
          </cell>
          <cell r="C47" t="str">
            <v>CRM</v>
          </cell>
          <cell r="D47" t="str">
            <v>CRM</v>
          </cell>
          <cell r="E47" t="str">
            <v>C&amp;SI</v>
          </cell>
          <cell r="F47" t="str">
            <v>BUENA VIST INT</v>
          </cell>
          <cell r="G47" t="str">
            <v>Disney WDIG BI Solution</v>
          </cell>
          <cell r="H47" t="str">
            <v>CFTW8CN</v>
          </cell>
          <cell r="I47">
            <v>1</v>
          </cell>
          <cell r="J47" t="str">
            <v>David R Padmos/San Francisco/IBM</v>
          </cell>
          <cell r="K47" t="str">
            <v>William W Gregory/Charlotte/IBM</v>
          </cell>
          <cell r="L47" t="str">
            <v>BE</v>
          </cell>
          <cell r="M47">
            <v>38609</v>
          </cell>
          <cell r="N47">
            <v>38653</v>
          </cell>
          <cell r="O47">
            <v>0</v>
          </cell>
          <cell r="P47">
            <v>108000</v>
          </cell>
          <cell r="Q47">
            <v>0</v>
          </cell>
          <cell r="R47">
            <v>0.45279629629629631</v>
          </cell>
          <cell r="S47">
            <v>0.3937437962962963</v>
          </cell>
          <cell r="T47" t="str">
            <v/>
          </cell>
          <cell r="U47" t="str">
            <v>Y</v>
          </cell>
          <cell r="V47" t="str">
            <v/>
          </cell>
          <cell r="W47" t="str">
            <v/>
          </cell>
          <cell r="X47" t="str">
            <v>Y</v>
          </cell>
          <cell r="Y47" t="str">
            <v>Y</v>
          </cell>
          <cell r="Z47" t="str">
            <v/>
          </cell>
          <cell r="AA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U47" t="str">
            <v>CUSTOMER RELATIONSHIP MANAGEMENT</v>
          </cell>
          <cell r="AV47" t="str">
            <v>O</v>
          </cell>
          <cell r="AW47">
            <v>500</v>
          </cell>
          <cell r="AX47">
            <v>0</v>
          </cell>
          <cell r="AY47">
            <v>0</v>
          </cell>
          <cell r="AZ47">
            <v>108000</v>
          </cell>
          <cell r="BA47">
            <v>59098</v>
          </cell>
          <cell r="BB47">
            <v>48902</v>
          </cell>
          <cell r="BC47">
            <v>2417</v>
          </cell>
          <cell r="BD47">
            <v>4.0898169142779786E-2</v>
          </cell>
          <cell r="BE47">
            <v>108000</v>
          </cell>
          <cell r="BF47">
            <v>65475.67</v>
          </cell>
          <cell r="BG47">
            <v>42524.33</v>
          </cell>
          <cell r="BH47">
            <v>-6377.67</v>
          </cell>
          <cell r="BI47">
            <v>-5.9052500000000008E-2</v>
          </cell>
          <cell r="BJ47">
            <v>108000</v>
          </cell>
          <cell r="BK47">
            <v>65475.67</v>
          </cell>
          <cell r="BL47">
            <v>42524.33</v>
          </cell>
          <cell r="BM47">
            <v>0.3937437962962963</v>
          </cell>
          <cell r="BN47">
            <v>-5.9052500000000008E-2</v>
          </cell>
          <cell r="BO47" t="str">
            <v>ISU</v>
          </cell>
          <cell r="BP47" t="str">
            <v>O</v>
          </cell>
          <cell r="BQ47" t="str">
            <v>FX</v>
          </cell>
          <cell r="BR47">
            <v>1250101</v>
          </cell>
          <cell r="BS47" t="str">
            <v>6YM</v>
          </cell>
          <cell r="BT47">
            <v>9831300</v>
          </cell>
          <cell r="BW47" t="str">
            <v/>
          </cell>
          <cell r="BX47" t="str">
            <v>Unrated</v>
          </cell>
          <cell r="BY47" t="str">
            <v>Under</v>
          </cell>
          <cell r="BZ47" t="str">
            <v/>
          </cell>
          <cell r="CA47" t="str">
            <v/>
          </cell>
          <cell r="CG47">
            <v>107568</v>
          </cell>
          <cell r="CH47">
            <v>64907.82</v>
          </cell>
          <cell r="CI47">
            <v>42660.18</v>
          </cell>
          <cell r="CJ47">
            <v>0.39658801874163319</v>
          </cell>
          <cell r="CK47">
            <v>-5.6208277554663122E-2</v>
          </cell>
          <cell r="CL47" t="str">
            <v/>
          </cell>
          <cell r="CM47" t="str">
            <v/>
          </cell>
          <cell r="CN47" t="str">
            <v/>
          </cell>
          <cell r="CO47" t="str">
            <v/>
          </cell>
          <cell r="CP47" t="str">
            <v/>
          </cell>
          <cell r="CQ47" t="str">
            <v/>
          </cell>
          <cell r="CR47" t="str">
            <v/>
          </cell>
          <cell r="CS47">
            <v>38596</v>
          </cell>
          <cell r="CT47" t="str">
            <v/>
          </cell>
          <cell r="CV47" t="str">
            <v/>
          </cell>
          <cell r="CW47" t="str">
            <v>CUSTOMER RELATIONSHIP MANAGEMENT</v>
          </cell>
        </row>
        <row r="48">
          <cell r="A48" t="str">
            <v>CFT476N</v>
          </cell>
          <cell r="B48" t="str">
            <v>TEL</v>
          </cell>
          <cell r="C48" t="str">
            <v>CRM</v>
          </cell>
          <cell r="D48" t="str">
            <v>CRM</v>
          </cell>
          <cell r="E48" t="str">
            <v>C&amp;SI</v>
          </cell>
          <cell r="F48" t="str">
            <v>CELLCO PART DBA</v>
          </cell>
          <cell r="G48" t="str">
            <v>Kana IQ Integration</v>
          </cell>
          <cell r="H48" t="str">
            <v>CFT476N</v>
          </cell>
          <cell r="I48">
            <v>2</v>
          </cell>
          <cell r="J48" t="str">
            <v>Peter Cavallo/New York/IBM</v>
          </cell>
          <cell r="K48" t="str">
            <v>Jolinda Vega/Lenexa/IBM</v>
          </cell>
          <cell r="L48" t="str">
            <v>FP</v>
          </cell>
          <cell r="M48">
            <v>38684</v>
          </cell>
          <cell r="N48">
            <v>38716</v>
          </cell>
          <cell r="O48">
            <v>77000</v>
          </cell>
          <cell r="P48">
            <v>77000</v>
          </cell>
          <cell r="Q48">
            <v>77000</v>
          </cell>
          <cell r="R48">
            <v>0.12241558441558442</v>
          </cell>
          <cell r="S48">
            <v>0</v>
          </cell>
          <cell r="T48" t="str">
            <v/>
          </cell>
          <cell r="U48" t="str">
            <v>Y</v>
          </cell>
          <cell r="V48" t="str">
            <v>Y</v>
          </cell>
          <cell r="W48" t="str">
            <v>Y</v>
          </cell>
          <cell r="X48" t="str">
            <v>Y</v>
          </cell>
          <cell r="Y48" t="str">
            <v/>
          </cell>
          <cell r="Z48" t="str">
            <v/>
          </cell>
          <cell r="AA48" t="str">
            <v>Y</v>
          </cell>
          <cell r="AC48" t="str">
            <v/>
          </cell>
          <cell r="AD48" t="str">
            <v/>
          </cell>
          <cell r="AU48" t="str">
            <v>CUSTOMER RELATIONSHIP MANAGEMENT</v>
          </cell>
          <cell r="AV48" t="str">
            <v>P</v>
          </cell>
          <cell r="AW48">
            <v>331</v>
          </cell>
          <cell r="AX48">
            <v>0</v>
          </cell>
          <cell r="AY48">
            <v>0</v>
          </cell>
          <cell r="AZ48">
            <v>77000</v>
          </cell>
          <cell r="BA48">
            <v>67574</v>
          </cell>
          <cell r="BB48">
            <v>9426</v>
          </cell>
          <cell r="BC48">
            <v>6757</v>
          </cell>
          <cell r="BD48">
            <v>9.9994080563530346E-2</v>
          </cell>
          <cell r="BE48">
            <v>0</v>
          </cell>
          <cell r="BF48">
            <v>29570.87</v>
          </cell>
          <cell r="BG48">
            <v>-29570.87</v>
          </cell>
          <cell r="BH48">
            <v>-38996.870000000003</v>
          </cell>
          <cell r="BI48">
            <v>-0.12241558441558442</v>
          </cell>
          <cell r="BJ48">
            <v>0</v>
          </cell>
          <cell r="BK48">
            <v>29570.87</v>
          </cell>
          <cell r="BL48">
            <v>-29570.87</v>
          </cell>
          <cell r="BM48">
            <v>0</v>
          </cell>
          <cell r="BN48">
            <v>-0.12241558441558442</v>
          </cell>
          <cell r="BO48" t="str">
            <v>ISU</v>
          </cell>
          <cell r="BP48" t="str">
            <v>P</v>
          </cell>
          <cell r="BQ48" t="str">
            <v>FX</v>
          </cell>
          <cell r="BR48">
            <v>9416230</v>
          </cell>
          <cell r="BS48" t="str">
            <v>6Y9</v>
          </cell>
          <cell r="BT48">
            <v>899000</v>
          </cell>
          <cell r="BW48" t="str">
            <v/>
          </cell>
          <cell r="BX48" t="str">
            <v>Unrated</v>
          </cell>
          <cell r="BY48" t="str">
            <v>Under</v>
          </cell>
          <cell r="BZ48" t="str">
            <v/>
          </cell>
          <cell r="CA48" t="str">
            <v/>
          </cell>
          <cell r="CG48">
            <v>77000</v>
          </cell>
          <cell r="CH48">
            <v>0</v>
          </cell>
          <cell r="CI48">
            <v>77000</v>
          </cell>
          <cell r="CJ48">
            <v>1</v>
          </cell>
          <cell r="CK48">
            <v>0.87758441558441558</v>
          </cell>
          <cell r="CM48" t="e">
            <v>#N/A</v>
          </cell>
          <cell r="CS48">
            <v>38657</v>
          </cell>
          <cell r="CV48" t="str">
            <v/>
          </cell>
          <cell r="CW48" t="str">
            <v>CUSTOMER RELATIONSHIP MANAGEMENT</v>
          </cell>
        </row>
        <row r="49">
          <cell r="A49" t="str">
            <v>CFT50VN</v>
          </cell>
          <cell r="B49" t="str">
            <v>UTL</v>
          </cell>
          <cell r="C49" t="str">
            <v>AIS</v>
          </cell>
          <cell r="D49" t="str">
            <v>AIS</v>
          </cell>
          <cell r="E49" t="str">
            <v>C&amp;SI</v>
          </cell>
          <cell r="F49" t="str">
            <v>CENTER ENER SV</v>
          </cell>
          <cell r="G49">
            <v>0</v>
          </cell>
          <cell r="H49" t="str">
            <v>CFT50VN</v>
          </cell>
          <cell r="I49">
            <v>1</v>
          </cell>
          <cell r="J49">
            <v>0</v>
          </cell>
          <cell r="K49">
            <v>0</v>
          </cell>
          <cell r="L49" t="str">
            <v>BE</v>
          </cell>
          <cell r="M49">
            <v>38718</v>
          </cell>
          <cell r="N49">
            <v>39082</v>
          </cell>
          <cell r="O49">
            <v>1286710</v>
          </cell>
          <cell r="P49">
            <v>1286710</v>
          </cell>
          <cell r="Q49">
            <v>1286710</v>
          </cell>
          <cell r="R49">
            <v>1</v>
          </cell>
          <cell r="S49">
            <v>0</v>
          </cell>
          <cell r="T49" t="str">
            <v>Y</v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C49" t="str">
            <v/>
          </cell>
          <cell r="AD49" t="str">
            <v>Y</v>
          </cell>
          <cell r="AE49" t="str">
            <v>Coleman</v>
          </cell>
          <cell r="AH49" t="str">
            <v>TBD</v>
          </cell>
          <cell r="AJ49" t="str">
            <v>Launch</v>
          </cell>
          <cell r="AL49" t="str">
            <v>TBD</v>
          </cell>
          <cell r="AU49" t="str">
            <v>APPLICATION INNOVATION</v>
          </cell>
          <cell r="AV49" t="str">
            <v>O</v>
          </cell>
          <cell r="AW49">
            <v>0</v>
          </cell>
          <cell r="AX49">
            <v>0</v>
          </cell>
          <cell r="AY49">
            <v>0</v>
          </cell>
          <cell r="AZ49">
            <v>1286710</v>
          </cell>
          <cell r="BA49">
            <v>0</v>
          </cell>
          <cell r="BB49">
            <v>1286710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-1286710</v>
          </cell>
          <cell r="BI49">
            <v>-1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-1</v>
          </cell>
          <cell r="BO49" t="str">
            <v>ISU</v>
          </cell>
          <cell r="BP49" t="str">
            <v>O</v>
          </cell>
          <cell r="BQ49" t="str">
            <v>FX</v>
          </cell>
          <cell r="BR49">
            <v>1560435</v>
          </cell>
          <cell r="BS49" t="str">
            <v>8NY</v>
          </cell>
          <cell r="BT49">
            <v>7767931</v>
          </cell>
          <cell r="BW49" t="str">
            <v/>
          </cell>
          <cell r="BX49" t="str">
            <v>Rated</v>
          </cell>
          <cell r="BY49" t="str">
            <v>Over</v>
          </cell>
          <cell r="BZ49" t="str">
            <v>Other</v>
          </cell>
          <cell r="CA49" t="str">
            <v/>
          </cell>
          <cell r="CG49">
            <v>1286710</v>
          </cell>
          <cell r="CH49">
            <v>0</v>
          </cell>
          <cell r="CI49">
            <v>1286710</v>
          </cell>
          <cell r="CJ49">
            <v>1</v>
          </cell>
          <cell r="CK49">
            <v>0</v>
          </cell>
          <cell r="CM49" t="e">
            <v>#N/A</v>
          </cell>
          <cell r="CS49">
            <v>38718</v>
          </cell>
          <cell r="CV49" t="str">
            <v/>
          </cell>
          <cell r="CW49" t="str">
            <v>APPLICATION INNOVATION</v>
          </cell>
        </row>
        <row r="50">
          <cell r="A50" t="str">
            <v>CFTDDFM</v>
          </cell>
          <cell r="B50" t="str">
            <v>UTL</v>
          </cell>
          <cell r="C50" t="str">
            <v>AIS</v>
          </cell>
          <cell r="D50" t="str">
            <v>AIS</v>
          </cell>
          <cell r="E50" t="str">
            <v>C&amp;SI</v>
          </cell>
          <cell r="F50" t="str">
            <v>CGE/139 E 4TH</v>
          </cell>
          <cell r="G50" t="str">
            <v>Project Mgmt TC/OMS Trans...</v>
          </cell>
          <cell r="H50" t="str">
            <v>CFTDDFM</v>
          </cell>
          <cell r="I50">
            <v>8</v>
          </cell>
          <cell r="J50" t="str">
            <v>Michael Valocchi/Philadelphia/IBM</v>
          </cell>
          <cell r="K50" t="str">
            <v>Robert K Amster/Cincinnati/IBM</v>
          </cell>
          <cell r="L50" t="str">
            <v>FP</v>
          </cell>
          <cell r="M50">
            <v>38149</v>
          </cell>
          <cell r="N50">
            <v>40178</v>
          </cell>
          <cell r="O50">
            <v>70940505.560000002</v>
          </cell>
          <cell r="P50">
            <v>87897126.310000002</v>
          </cell>
          <cell r="Q50">
            <v>70940505.560000002</v>
          </cell>
          <cell r="R50">
            <v>0.23734077763161859</v>
          </cell>
          <cell r="S50">
            <v>0.32454810077650648</v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>Y</v>
          </cell>
          <cell r="AA50" t="str">
            <v/>
          </cell>
          <cell r="AC50" t="str">
            <v>Y</v>
          </cell>
          <cell r="AD50" t="str">
            <v>Y</v>
          </cell>
          <cell r="AE50" t="str">
            <v>Imam</v>
          </cell>
          <cell r="AF50" t="str">
            <v/>
          </cell>
          <cell r="AG50" t="str">
            <v/>
          </cell>
          <cell r="AH50" t="str">
            <v>Kevin Klein</v>
          </cell>
          <cell r="AI50" t="str">
            <v>M</v>
          </cell>
          <cell r="AJ50" t="str">
            <v>C</v>
          </cell>
          <cell r="AK50">
            <v>38687</v>
          </cell>
          <cell r="AL50">
            <v>38777</v>
          </cell>
          <cell r="AM50" t="str">
            <v>G</v>
          </cell>
          <cell r="AN50" t="str">
            <v>Y</v>
          </cell>
          <cell r="AO50" t="str">
            <v>Y</v>
          </cell>
          <cell r="AP50" t="str">
            <v>Y</v>
          </cell>
          <cell r="AQ50" t="str">
            <v>G</v>
          </cell>
          <cell r="AR50" t="str">
            <v>Y</v>
          </cell>
          <cell r="AS50" t="str">
            <v>R</v>
          </cell>
          <cell r="AU50" t="str">
            <v>APPLICATION INNOVATION</v>
          </cell>
          <cell r="AV50" t="str">
            <v>O</v>
          </cell>
          <cell r="AW50">
            <v>186242.8</v>
          </cell>
          <cell r="AX50">
            <v>51404.2</v>
          </cell>
          <cell r="AY50">
            <v>0.27600637447461063</v>
          </cell>
          <cell r="AZ50">
            <v>87897126.310000002</v>
          </cell>
          <cell r="BA50">
            <v>67035554</v>
          </cell>
          <cell r="BB50">
            <v>20861572.310000002</v>
          </cell>
          <cell r="BC50">
            <v>4471206</v>
          </cell>
          <cell r="BD50">
            <v>6.6699023625582332E-2</v>
          </cell>
          <cell r="BE50">
            <v>16956620.75</v>
          </cell>
          <cell r="BF50">
            <v>11453381.689999999</v>
          </cell>
          <cell r="BG50">
            <v>5503239.0600000005</v>
          </cell>
          <cell r="BH50">
            <v>-15358333.250000002</v>
          </cell>
          <cell r="BI50">
            <v>8.7207323144887883E-2</v>
          </cell>
          <cell r="BJ50">
            <v>14907862.48</v>
          </cell>
          <cell r="BK50">
            <v>10103866.74</v>
          </cell>
          <cell r="BL50">
            <v>4803995.74</v>
          </cell>
          <cell r="BM50">
            <v>0.32224577778638053</v>
          </cell>
          <cell r="BN50">
            <v>8.4905000154761934E-2</v>
          </cell>
          <cell r="BO50" t="str">
            <v>SMB</v>
          </cell>
          <cell r="BP50" t="str">
            <v>O</v>
          </cell>
          <cell r="BQ50" t="str">
            <v>FY</v>
          </cell>
          <cell r="BR50">
            <v>1750756</v>
          </cell>
          <cell r="BS50" t="str">
            <v>Q3P</v>
          </cell>
          <cell r="BT50">
            <v>7368000</v>
          </cell>
          <cell r="BW50" t="str">
            <v/>
          </cell>
          <cell r="BX50" t="str">
            <v>Rated</v>
          </cell>
          <cell r="BY50" t="str">
            <v>Over</v>
          </cell>
          <cell r="BZ50" t="str">
            <v>C</v>
          </cell>
          <cell r="CA50" t="str">
            <v>M</v>
          </cell>
          <cell r="CG50">
            <v>59376236.909999996</v>
          </cell>
          <cell r="CH50">
            <v>51240330.030000001</v>
          </cell>
          <cell r="CI50">
            <v>8135906.8799999999</v>
          </cell>
          <cell r="CJ50">
            <v>0.13702294559913025</v>
          </cell>
          <cell r="CK50">
            <v>-0.10031783203248834</v>
          </cell>
          <cell r="CL50" t="str">
            <v>Production Support and heavy AMS</v>
          </cell>
          <cell r="CM50" t="str">
            <v/>
          </cell>
          <cell r="CN50" t="str">
            <v/>
          </cell>
          <cell r="CO50" t="str">
            <v/>
          </cell>
          <cell r="CP50" t="str">
            <v/>
          </cell>
          <cell r="CQ50" t="str">
            <v>AMS</v>
          </cell>
          <cell r="CR50" t="str">
            <v>Part of Sundance?  Giblin review. Cincinnati?</v>
          </cell>
          <cell r="CS50">
            <v>38139</v>
          </cell>
          <cell r="CT50" t="str">
            <v/>
          </cell>
          <cell r="CU50" t="str">
            <v>6955-24D</v>
          </cell>
          <cell r="CV50" t="str">
            <v>AMS</v>
          </cell>
          <cell r="CW50" t="str">
            <v>APPLICATION INNOVATION</v>
          </cell>
        </row>
        <row r="51">
          <cell r="A51" t="str">
            <v>CFTY7PJ</v>
          </cell>
          <cell r="B51" t="str">
            <v>TEL</v>
          </cell>
          <cell r="C51" t="str">
            <v>AIS</v>
          </cell>
          <cell r="D51" t="str">
            <v>AIS</v>
          </cell>
          <cell r="E51" t="str">
            <v>C&amp;SI</v>
          </cell>
          <cell r="F51" t="str">
            <v>CINGUL WIRE LLC</v>
          </cell>
          <cell r="G51" t="str">
            <v>Messaging Data HLR       ...</v>
          </cell>
          <cell r="H51" t="str">
            <v>CFTY7PJ</v>
          </cell>
          <cell r="I51">
            <v>1</v>
          </cell>
          <cell r="J51" t="str">
            <v>Michael B Askew/Dallas/IBM</v>
          </cell>
          <cell r="K51" t="str">
            <v>John P Charron/Atlanta/IBM</v>
          </cell>
          <cell r="L51" t="str">
            <v>BE</v>
          </cell>
          <cell r="M51">
            <v>37391</v>
          </cell>
          <cell r="N51">
            <v>38564</v>
          </cell>
          <cell r="O51">
            <v>0</v>
          </cell>
          <cell r="P51">
            <v>7161311.6299999999</v>
          </cell>
          <cell r="Q51">
            <v>0</v>
          </cell>
          <cell r="R51">
            <v>0.26549809982225281</v>
          </cell>
          <cell r="S51">
            <v>-0.21301100815242696</v>
          </cell>
          <cell r="T51" t="str">
            <v/>
          </cell>
          <cell r="U51" t="str">
            <v>Y</v>
          </cell>
          <cell r="V51" t="str">
            <v>Y</v>
          </cell>
          <cell r="W51" t="str">
            <v>Y</v>
          </cell>
          <cell r="X51" t="str">
            <v>Y</v>
          </cell>
          <cell r="Y51" t="str">
            <v>Y</v>
          </cell>
          <cell r="Z51" t="str">
            <v/>
          </cell>
          <cell r="AA51" t="str">
            <v/>
          </cell>
          <cell r="AC51" t="str">
            <v>Y</v>
          </cell>
          <cell r="AD51" t="str">
            <v/>
          </cell>
          <cell r="AE51" t="str">
            <v>Giblin</v>
          </cell>
          <cell r="AF51" t="str">
            <v/>
          </cell>
          <cell r="AG51" t="str">
            <v/>
          </cell>
          <cell r="AH51" t="str">
            <v>NA</v>
          </cell>
          <cell r="AI51" t="str">
            <v>L</v>
          </cell>
          <cell r="AJ51" t="str">
            <v>*CLOSING*</v>
          </cell>
          <cell r="AK51" t="str">
            <v/>
          </cell>
          <cell r="AL51" t="str">
            <v>N/A</v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U51" t="str">
            <v>APPLICATION INNOVATION</v>
          </cell>
          <cell r="AV51" t="str">
            <v>O</v>
          </cell>
          <cell r="AW51">
            <v>73110.2</v>
          </cell>
          <cell r="AX51">
            <v>29780.2</v>
          </cell>
          <cell r="AY51">
            <v>0.407333039712653</v>
          </cell>
          <cell r="AZ51">
            <v>7161311.6299999999</v>
          </cell>
          <cell r="BA51">
            <v>5259997</v>
          </cell>
          <cell r="BB51">
            <v>1901314.63</v>
          </cell>
          <cell r="BC51">
            <v>428747</v>
          </cell>
          <cell r="BD51">
            <v>8.1510882990997902E-2</v>
          </cell>
          <cell r="BE51">
            <v>7161311.6299999999</v>
          </cell>
          <cell r="BF51">
            <v>8686749.8399999999</v>
          </cell>
          <cell r="BG51">
            <v>-1525438.21</v>
          </cell>
          <cell r="BH51">
            <v>-3426752.84</v>
          </cell>
          <cell r="BI51">
            <v>-0.47850910797467977</v>
          </cell>
          <cell r="BJ51">
            <v>0</v>
          </cell>
          <cell r="BK51">
            <v>5367.5200000000223</v>
          </cell>
          <cell r="BL51">
            <v>-5367.5200000000223</v>
          </cell>
          <cell r="BM51">
            <v>0</v>
          </cell>
          <cell r="BN51">
            <v>-0.26549809982225281</v>
          </cell>
          <cell r="BO51" t="str">
            <v>ISU</v>
          </cell>
          <cell r="BP51" t="str">
            <v>O</v>
          </cell>
          <cell r="BQ51" t="str">
            <v>FY</v>
          </cell>
          <cell r="BR51">
            <v>1730344</v>
          </cell>
          <cell r="BS51" t="str">
            <v>6Y9</v>
          </cell>
          <cell r="BT51">
            <v>8333000</v>
          </cell>
          <cell r="BW51" t="str">
            <v/>
          </cell>
          <cell r="BX51" t="str">
            <v>Rated</v>
          </cell>
          <cell r="BY51" t="str">
            <v>Over</v>
          </cell>
          <cell r="BZ51" t="str">
            <v>Other</v>
          </cell>
          <cell r="CA51" t="str">
            <v/>
          </cell>
          <cell r="CG51">
            <v>7161311.6299999999</v>
          </cell>
          <cell r="CH51">
            <v>8665749.8399999999</v>
          </cell>
          <cell r="CI51">
            <v>-1504438.21</v>
          </cell>
          <cell r="CJ51">
            <v>-0.21007858444501179</v>
          </cell>
          <cell r="CK51">
            <v>-0.47557668426726463</v>
          </cell>
          <cell r="CL51" t="str">
            <v>CLOSING down w/I the week</v>
          </cell>
          <cell r="CM51" t="str">
            <v/>
          </cell>
          <cell r="CN51" t="str">
            <v/>
          </cell>
          <cell r="CO51" t="str">
            <v/>
          </cell>
          <cell r="CP51" t="str">
            <v/>
          </cell>
          <cell r="CQ51" t="str">
            <v>NA</v>
          </cell>
          <cell r="CR51" t="str">
            <v>Waived: closing</v>
          </cell>
          <cell r="CS51">
            <v>37377</v>
          </cell>
          <cell r="CT51" t="str">
            <v/>
          </cell>
          <cell r="CU51" t="str">
            <v>6955-24D</v>
          </cell>
          <cell r="CV51" t="str">
            <v>AMS</v>
          </cell>
          <cell r="CW51" t="str">
            <v>APPLICATION INNOVATION</v>
          </cell>
        </row>
        <row r="52">
          <cell r="A52" t="str">
            <v>CFTAV2L</v>
          </cell>
          <cell r="B52" t="str">
            <v>TEL</v>
          </cell>
          <cell r="C52" t="str">
            <v>SCM</v>
          </cell>
          <cell r="D52" t="str">
            <v>SCM</v>
          </cell>
          <cell r="E52" t="str">
            <v>C&amp;SI</v>
          </cell>
          <cell r="F52" t="str">
            <v>CINGUL WIRE LLC</v>
          </cell>
          <cell r="G52" t="str">
            <v>Reverse Logistics        ...</v>
          </cell>
          <cell r="H52" t="str">
            <v>CFTAV2L</v>
          </cell>
          <cell r="I52">
            <v>1</v>
          </cell>
          <cell r="J52" t="str">
            <v>Maurice Trebuchon/Atlanta/IBM</v>
          </cell>
          <cell r="K52" t="str">
            <v>Phillip Mitchell/Atlanta/IBM</v>
          </cell>
          <cell r="L52" t="str">
            <v>FP</v>
          </cell>
          <cell r="M52">
            <v>37803</v>
          </cell>
          <cell r="N52">
            <v>38868</v>
          </cell>
          <cell r="O52">
            <v>1537539</v>
          </cell>
          <cell r="P52">
            <v>6756757.5</v>
          </cell>
          <cell r="Q52">
            <v>1537539</v>
          </cell>
          <cell r="R52">
            <v>0.54596609394372964</v>
          </cell>
          <cell r="S52">
            <v>0.47190995356871918</v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>Y</v>
          </cell>
          <cell r="Y52" t="str">
            <v>Y</v>
          </cell>
          <cell r="Z52" t="str">
            <v/>
          </cell>
          <cell r="AA52" t="str">
            <v/>
          </cell>
          <cell r="AC52" t="str">
            <v/>
          </cell>
          <cell r="AD52" t="str">
            <v>Y</v>
          </cell>
          <cell r="AE52" t="str">
            <v>Giblin</v>
          </cell>
          <cell r="AF52" t="str">
            <v/>
          </cell>
          <cell r="AG52" t="str">
            <v/>
          </cell>
          <cell r="AH52" t="str">
            <v>NA</v>
          </cell>
          <cell r="AI52" t="str">
            <v>M</v>
          </cell>
          <cell r="AJ52" t="str">
            <v>*CLOSING*</v>
          </cell>
          <cell r="AK52">
            <v>38108</v>
          </cell>
          <cell r="AL52" t="str">
            <v>N/A</v>
          </cell>
          <cell r="AM52" t="str">
            <v/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U52" t="str">
            <v>SUPPLY CHAIN MANAGEMENT</v>
          </cell>
          <cell r="AV52" t="str">
            <v>O</v>
          </cell>
          <cell r="AW52">
            <v>24879.5</v>
          </cell>
          <cell r="AX52">
            <v>48</v>
          </cell>
          <cell r="AY52">
            <v>1.929299222251251E-3</v>
          </cell>
          <cell r="AZ52">
            <v>6756757.5</v>
          </cell>
          <cell r="BA52">
            <v>3067797</v>
          </cell>
          <cell r="BB52">
            <v>3688960.5</v>
          </cell>
          <cell r="BC52">
            <v>122826</v>
          </cell>
          <cell r="BD52">
            <v>4.0037199332289587E-2</v>
          </cell>
          <cell r="BE52">
            <v>5219218.5</v>
          </cell>
          <cell r="BF52">
            <v>2756217.34</v>
          </cell>
          <cell r="BG52">
            <v>2463001.16</v>
          </cell>
          <cell r="BH52">
            <v>-1225959.3400000001</v>
          </cell>
          <cell r="BI52">
            <v>-7.405614037501046E-2</v>
          </cell>
          <cell r="BJ52">
            <v>1312347.5</v>
          </cell>
          <cell r="BK52">
            <v>661062.31000000006</v>
          </cell>
          <cell r="BL52">
            <v>651285.18999999994</v>
          </cell>
          <cell r="BM52">
            <v>0.49627495004181432</v>
          </cell>
          <cell r="BN52">
            <v>-4.9691143901915313E-2</v>
          </cell>
          <cell r="BO52" t="str">
            <v>ISU</v>
          </cell>
          <cell r="BP52" t="str">
            <v>O</v>
          </cell>
          <cell r="BQ52" t="str">
            <v>FX</v>
          </cell>
          <cell r="BR52">
            <v>1731426</v>
          </cell>
          <cell r="BS52" t="str">
            <v>6Y9</v>
          </cell>
          <cell r="BT52">
            <v>8333000</v>
          </cell>
          <cell r="BW52" t="str">
            <v/>
          </cell>
          <cell r="BX52" t="str">
            <v>Rated</v>
          </cell>
          <cell r="BY52" t="str">
            <v>Over</v>
          </cell>
          <cell r="BZ52" t="str">
            <v>Other</v>
          </cell>
          <cell r="CA52" t="str">
            <v/>
          </cell>
          <cell r="CG52">
            <v>6756757.5</v>
          </cell>
          <cell r="CH52">
            <v>3351441.13</v>
          </cell>
          <cell r="CI52">
            <v>3405316.37</v>
          </cell>
          <cell r="CJ52">
            <v>0.50398676732145564</v>
          </cell>
          <cell r="CK52">
            <v>-4.1979326622273994E-2</v>
          </cell>
          <cell r="CL52" t="str">
            <v>Paul will get update</v>
          </cell>
          <cell r="CM52" t="str">
            <v/>
          </cell>
          <cell r="CN52" t="str">
            <v/>
          </cell>
          <cell r="CO52" t="str">
            <v/>
          </cell>
          <cell r="CP52" t="str">
            <v/>
          </cell>
          <cell r="CQ52" t="str">
            <v/>
          </cell>
          <cell r="CR52" t="str">
            <v/>
          </cell>
          <cell r="CS52">
            <v>37803</v>
          </cell>
          <cell r="CT52" t="str">
            <v/>
          </cell>
          <cell r="CV52" t="str">
            <v/>
          </cell>
          <cell r="CW52" t="str">
            <v>SUPPLY CHAIN MANAGEMENT</v>
          </cell>
        </row>
        <row r="53">
          <cell r="A53" t="str">
            <v>CFTJ2WN</v>
          </cell>
          <cell r="B53" t="str">
            <v>TEL</v>
          </cell>
          <cell r="C53" t="str">
            <v>HCM</v>
          </cell>
          <cell r="D53" t="str">
            <v>HCM</v>
          </cell>
          <cell r="E53" t="str">
            <v>C&amp;SI</v>
          </cell>
          <cell r="F53" t="str">
            <v>CINGUL WIRE LLC</v>
          </cell>
          <cell r="G53" t="str">
            <v>HR / LEARNING MANAGEMENT ...</v>
          </cell>
          <cell r="H53" t="str">
            <v>CFTJ2WN</v>
          </cell>
          <cell r="I53">
            <v>11</v>
          </cell>
          <cell r="J53" t="str">
            <v>Tony Caudill/Irvine/IBM</v>
          </cell>
          <cell r="K53" t="str">
            <v>Michelle Page-Rivera/Atlanta/IBM</v>
          </cell>
          <cell r="L53" t="str">
            <v>BE</v>
          </cell>
          <cell r="M53">
            <v>38433</v>
          </cell>
          <cell r="N53">
            <v>39202</v>
          </cell>
          <cell r="O53">
            <v>1641593</v>
          </cell>
          <cell r="P53">
            <v>5399966</v>
          </cell>
          <cell r="Q53">
            <v>1641593</v>
          </cell>
          <cell r="R53">
            <v>0.25017564925408792</v>
          </cell>
          <cell r="S53">
            <v>0.18877684040407919</v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>Y</v>
          </cell>
          <cell r="Y53" t="str">
            <v>Y</v>
          </cell>
          <cell r="Z53" t="str">
            <v/>
          </cell>
          <cell r="AA53" t="str">
            <v/>
          </cell>
          <cell r="AC53" t="str">
            <v/>
          </cell>
          <cell r="AD53" t="str">
            <v>Y</v>
          </cell>
          <cell r="AE53" t="str">
            <v>Sills</v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>
            <v>38718</v>
          </cell>
          <cell r="AM53" t="str">
            <v/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U53" t="str">
            <v>HUMAN CAPITAL MANAGEMENT</v>
          </cell>
          <cell r="AV53" t="str">
            <v>O</v>
          </cell>
          <cell r="AW53">
            <v>42016.6</v>
          </cell>
          <cell r="AX53">
            <v>40.4</v>
          </cell>
          <cell r="AY53">
            <v>9.6152473070167501E-4</v>
          </cell>
          <cell r="AZ53">
            <v>5399966</v>
          </cell>
          <cell r="BA53">
            <v>4049026</v>
          </cell>
          <cell r="BB53">
            <v>1350940</v>
          </cell>
          <cell r="BC53">
            <v>161962</v>
          </cell>
          <cell r="BD53">
            <v>4.0000237094056694E-2</v>
          </cell>
          <cell r="BE53">
            <v>3758373</v>
          </cell>
          <cell r="BF53">
            <v>3048879.22</v>
          </cell>
          <cell r="BG53">
            <v>709493.78</v>
          </cell>
          <cell r="BH53">
            <v>-641446.22</v>
          </cell>
          <cell r="BI53">
            <v>-6.1398808850008729E-2</v>
          </cell>
          <cell r="BJ53">
            <v>3758373</v>
          </cell>
          <cell r="BK53">
            <v>3048879.22</v>
          </cell>
          <cell r="BL53">
            <v>709493.78</v>
          </cell>
          <cell r="BM53">
            <v>0.18877684040407919</v>
          </cell>
          <cell r="BN53">
            <v>-6.1398808850008729E-2</v>
          </cell>
          <cell r="BO53" t="str">
            <v>ISU</v>
          </cell>
          <cell r="BP53" t="str">
            <v>O</v>
          </cell>
          <cell r="BQ53" t="str">
            <v>FY</v>
          </cell>
          <cell r="BR53">
            <v>1730530</v>
          </cell>
          <cell r="BS53" t="str">
            <v>6Y9</v>
          </cell>
          <cell r="BT53">
            <v>8333000</v>
          </cell>
          <cell r="BW53" t="str">
            <v/>
          </cell>
          <cell r="BX53" t="str">
            <v>Unrated</v>
          </cell>
          <cell r="BY53" t="str">
            <v>Over</v>
          </cell>
          <cell r="BZ53" t="str">
            <v/>
          </cell>
          <cell r="CA53" t="str">
            <v/>
          </cell>
          <cell r="CG53">
            <v>3391938</v>
          </cell>
          <cell r="CH53">
            <v>2836845.71</v>
          </cell>
          <cell r="CI53">
            <v>555092.29</v>
          </cell>
          <cell r="CJ53">
            <v>0.16365048240858171</v>
          </cell>
          <cell r="CK53">
            <v>-8.6525166845506207E-2</v>
          </cell>
          <cell r="CL53" t="str">
            <v>No formal review, JoEllen to work w/ Lisa to understand status; staff aug, no deliverables…should be tracking to Ascendant</v>
          </cell>
          <cell r="CM53" t="str">
            <v/>
          </cell>
          <cell r="CN53" t="str">
            <v/>
          </cell>
          <cell r="CO53" t="str">
            <v/>
          </cell>
          <cell r="CP53" t="str">
            <v/>
          </cell>
          <cell r="CQ53" t="str">
            <v/>
          </cell>
          <cell r="CR53" t="str">
            <v/>
          </cell>
          <cell r="CS53">
            <v>38412</v>
          </cell>
          <cell r="CT53" t="str">
            <v/>
          </cell>
          <cell r="CV53" t="str">
            <v/>
          </cell>
          <cell r="CW53" t="str">
            <v>HUMAN CAPITAL MANAGEMENT</v>
          </cell>
        </row>
        <row r="54">
          <cell r="A54" t="str">
            <v>CFTH2RN</v>
          </cell>
          <cell r="B54" t="str">
            <v>TEL</v>
          </cell>
          <cell r="C54" t="str">
            <v>SCS</v>
          </cell>
          <cell r="D54" t="str">
            <v>SCS</v>
          </cell>
          <cell r="E54" t="str">
            <v>C&amp;SI</v>
          </cell>
          <cell r="F54" t="str">
            <v>CINGUL WIRE LLC</v>
          </cell>
          <cell r="G54" t="str">
            <v>ECPM Phase 1             ...</v>
          </cell>
          <cell r="H54" t="str">
            <v>CFTH2RN</v>
          </cell>
          <cell r="I54">
            <v>1</v>
          </cell>
          <cell r="J54" t="str">
            <v>Daniel W Rizer/Bethesda/IBM</v>
          </cell>
          <cell r="K54" t="str">
            <v>Marc J Wisniewski/Atlanta/IBM</v>
          </cell>
          <cell r="L54" t="str">
            <v>FP</v>
          </cell>
          <cell r="M54">
            <v>38488</v>
          </cell>
          <cell r="N54">
            <v>38716</v>
          </cell>
          <cell r="O54">
            <v>269457.59999999998</v>
          </cell>
          <cell r="P54">
            <v>1899750</v>
          </cell>
          <cell r="Q54">
            <v>269457.59999999998</v>
          </cell>
          <cell r="R54">
            <v>0.46649295959994735</v>
          </cell>
          <cell r="S54">
            <v>0.52781174714425461</v>
          </cell>
          <cell r="T54" t="str">
            <v/>
          </cell>
          <cell r="U54" t="str">
            <v>Y</v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>Y</v>
          </cell>
          <cell r="AA54" t="str">
            <v/>
          </cell>
          <cell r="AC54" t="str">
            <v/>
          </cell>
          <cell r="AD54" t="str">
            <v/>
          </cell>
          <cell r="AE54" t="str">
            <v>Giblin</v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>Waived</v>
          </cell>
          <cell r="AK54" t="str">
            <v/>
          </cell>
          <cell r="AL54" t="str">
            <v>TBD</v>
          </cell>
          <cell r="AM54" t="str">
            <v/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U54" t="str">
            <v>STRATEGY AND CHANGE</v>
          </cell>
          <cell r="AV54" t="str">
            <v>O</v>
          </cell>
          <cell r="AW54">
            <v>5243</v>
          </cell>
          <cell r="AX54">
            <v>0</v>
          </cell>
          <cell r="AY54">
            <v>0</v>
          </cell>
          <cell r="AZ54">
            <v>1899750</v>
          </cell>
          <cell r="BA54">
            <v>1013530</v>
          </cell>
          <cell r="BB54">
            <v>886220</v>
          </cell>
          <cell r="BC54">
            <v>101352</v>
          </cell>
          <cell r="BD54">
            <v>9.9999013349382854E-2</v>
          </cell>
          <cell r="BE54">
            <v>1630292.4</v>
          </cell>
          <cell r="BF54">
            <v>769804.92</v>
          </cell>
          <cell r="BG54">
            <v>860487.48</v>
          </cell>
          <cell r="BH54">
            <v>-25732.520000000135</v>
          </cell>
          <cell r="BI54">
            <v>6.1318787544307252E-2</v>
          </cell>
          <cell r="BJ54">
            <v>1630292.4</v>
          </cell>
          <cell r="BK54">
            <v>769804.92</v>
          </cell>
          <cell r="BL54">
            <v>860487.48</v>
          </cell>
          <cell r="BM54">
            <v>0.52781174714425461</v>
          </cell>
          <cell r="BN54">
            <v>6.1318787544307252E-2</v>
          </cell>
          <cell r="BO54" t="str">
            <v>ISU</v>
          </cell>
          <cell r="BP54" t="str">
            <v>O</v>
          </cell>
          <cell r="BQ54" t="str">
            <v>FX</v>
          </cell>
          <cell r="BR54">
            <v>1730978</v>
          </cell>
          <cell r="BS54" t="str">
            <v>6Y9</v>
          </cell>
          <cell r="BT54">
            <v>8333000</v>
          </cell>
          <cell r="BW54" t="str">
            <v/>
          </cell>
          <cell r="BX54" t="str">
            <v>Rated</v>
          </cell>
          <cell r="BY54" t="str">
            <v>Over</v>
          </cell>
          <cell r="BZ54" t="str">
            <v>Other</v>
          </cell>
          <cell r="CA54" t="str">
            <v/>
          </cell>
          <cell r="CG54">
            <v>1899750</v>
          </cell>
          <cell r="CH54">
            <v>909166.88</v>
          </cell>
          <cell r="CI54">
            <v>990583.12</v>
          </cell>
          <cell r="CJ54">
            <v>0.52142814580865904</v>
          </cell>
          <cell r="CK54">
            <v>5.4935186208711684E-2</v>
          </cell>
          <cell r="CL54" t="str">
            <v>PCRs driving over $1M, no real backlog…will keep eye on it</v>
          </cell>
          <cell r="CM54" t="str">
            <v/>
          </cell>
          <cell r="CN54" t="str">
            <v/>
          </cell>
          <cell r="CO54" t="str">
            <v/>
          </cell>
          <cell r="CP54" t="str">
            <v/>
          </cell>
          <cell r="CQ54" t="str">
            <v/>
          </cell>
          <cell r="CR54" t="str">
            <v/>
          </cell>
          <cell r="CS54">
            <v>38473</v>
          </cell>
          <cell r="CT54" t="str">
            <v/>
          </cell>
          <cell r="CV54" t="str">
            <v/>
          </cell>
          <cell r="CW54" t="str">
            <v>STRATEGY AND CHANGE</v>
          </cell>
        </row>
        <row r="55">
          <cell r="A55" t="str">
            <v>CFTJ6KN</v>
          </cell>
          <cell r="B55" t="str">
            <v>TEL</v>
          </cell>
          <cell r="C55" t="str">
            <v>HCM</v>
          </cell>
          <cell r="D55" t="str">
            <v>HCM</v>
          </cell>
          <cell r="E55" t="str">
            <v>C&amp;SI</v>
          </cell>
          <cell r="F55" t="str">
            <v>CINGUL WIRE LLC</v>
          </cell>
          <cell r="G55" t="str">
            <v>*NS Siebel SFA Training  ...</v>
          </cell>
          <cell r="H55" t="str">
            <v>CFTJ6KN</v>
          </cell>
          <cell r="I55">
            <v>1</v>
          </cell>
          <cell r="J55" t="str">
            <v>Tony Caudill/Irvine/IBM</v>
          </cell>
          <cell r="K55" t="str">
            <v>Michelle Page-Rivera/Atlanta/IBM</v>
          </cell>
          <cell r="L55" t="str">
            <v>BE</v>
          </cell>
          <cell r="M55">
            <v>38503</v>
          </cell>
          <cell r="N55">
            <v>38748</v>
          </cell>
          <cell r="O55">
            <v>208157</v>
          </cell>
          <cell r="P55">
            <v>1553690</v>
          </cell>
          <cell r="Q55">
            <v>208157</v>
          </cell>
          <cell r="R55">
            <v>0.43872844647259107</v>
          </cell>
          <cell r="S55">
            <v>0.75653917815467919</v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>Y</v>
          </cell>
          <cell r="AA55" t="str">
            <v/>
          </cell>
          <cell r="AC55" t="str">
            <v/>
          </cell>
          <cell r="AD55" t="str">
            <v/>
          </cell>
          <cell r="AE55" t="str">
            <v>Sills</v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>*CLOSING*</v>
          </cell>
          <cell r="AK55" t="str">
            <v/>
          </cell>
          <cell r="AL55" t="str">
            <v>N/A</v>
          </cell>
          <cell r="AM55" t="str">
            <v/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U55" t="str">
            <v>HUMAN CAPITAL MANAGEMENT</v>
          </cell>
          <cell r="AV55" t="str">
            <v>O</v>
          </cell>
          <cell r="AW55">
            <v>7532</v>
          </cell>
          <cell r="AX55">
            <v>0</v>
          </cell>
          <cell r="AY55">
            <v>0</v>
          </cell>
          <cell r="AZ55">
            <v>1553690</v>
          </cell>
          <cell r="BA55">
            <v>872042</v>
          </cell>
          <cell r="BB55">
            <v>681648</v>
          </cell>
          <cell r="BC55">
            <v>34944</v>
          </cell>
          <cell r="BD55">
            <v>4.0071464447813294E-2</v>
          </cell>
          <cell r="BE55">
            <v>1345533</v>
          </cell>
          <cell r="BF55">
            <v>327584.57</v>
          </cell>
          <cell r="BG55">
            <v>1017948.43</v>
          </cell>
          <cell r="BH55">
            <v>336300.43</v>
          </cell>
          <cell r="BI55">
            <v>0.31781073168208812</v>
          </cell>
          <cell r="BJ55">
            <v>1345533</v>
          </cell>
          <cell r="BK55">
            <v>327584.57</v>
          </cell>
          <cell r="BL55">
            <v>1017948.43</v>
          </cell>
          <cell r="BM55">
            <v>0.75653917815467919</v>
          </cell>
          <cell r="BN55">
            <v>0.31781073168208812</v>
          </cell>
          <cell r="BO55" t="str">
            <v>ISU</v>
          </cell>
          <cell r="BP55" t="str">
            <v>O</v>
          </cell>
          <cell r="BQ55" t="str">
            <v>FX</v>
          </cell>
          <cell r="BR55">
            <v>1730530</v>
          </cell>
          <cell r="BS55" t="str">
            <v>6Y9</v>
          </cell>
          <cell r="BT55">
            <v>8333000</v>
          </cell>
          <cell r="BW55" t="str">
            <v/>
          </cell>
          <cell r="BX55" t="str">
            <v>Rated</v>
          </cell>
          <cell r="BY55" t="str">
            <v>Over</v>
          </cell>
          <cell r="BZ55" t="str">
            <v>Other</v>
          </cell>
          <cell r="CA55" t="str">
            <v/>
          </cell>
          <cell r="CG55">
            <v>1122681</v>
          </cell>
          <cell r="CH55">
            <v>201049.86</v>
          </cell>
          <cell r="CI55">
            <v>921631.14</v>
          </cell>
          <cell r="CJ55">
            <v>0.82091986949097739</v>
          </cell>
          <cell r="CK55">
            <v>0.38219142301838632</v>
          </cell>
          <cell r="CL55" t="str">
            <v>Project finished</v>
          </cell>
          <cell r="CM55" t="str">
            <v/>
          </cell>
          <cell r="CN55" t="str">
            <v/>
          </cell>
          <cell r="CO55" t="str">
            <v/>
          </cell>
          <cell r="CP55" t="str">
            <v/>
          </cell>
          <cell r="CQ55" t="str">
            <v/>
          </cell>
          <cell r="CR55" t="str">
            <v/>
          </cell>
          <cell r="CS55">
            <v>38473</v>
          </cell>
          <cell r="CT55" t="str">
            <v/>
          </cell>
          <cell r="CV55" t="str">
            <v/>
          </cell>
          <cell r="CW55" t="str">
            <v>HUMAN CAPITAL MANAGEMENT</v>
          </cell>
        </row>
        <row r="56">
          <cell r="A56" t="str">
            <v>CFTM6TN</v>
          </cell>
          <cell r="B56" t="str">
            <v>TEL</v>
          </cell>
          <cell r="C56" t="str">
            <v>HCM</v>
          </cell>
          <cell r="D56" t="str">
            <v>HCM</v>
          </cell>
          <cell r="E56" t="str">
            <v>C&amp;SI</v>
          </cell>
          <cell r="F56" t="str">
            <v>CINGUL WIRE LLC</v>
          </cell>
          <cell r="G56" t="str">
            <v>AMS SERVICES FOR DOCENT A...</v>
          </cell>
          <cell r="H56" t="str">
            <v>CFTM6TN</v>
          </cell>
          <cell r="I56">
            <v>2</v>
          </cell>
          <cell r="J56" t="str">
            <v>Tony Caudill/Irvine/IBM</v>
          </cell>
          <cell r="K56" t="str">
            <v>Michelle Page-Rivera/Atlanta/IBM</v>
          </cell>
          <cell r="L56" t="str">
            <v>FP</v>
          </cell>
          <cell r="M56">
            <v>38519</v>
          </cell>
          <cell r="N56">
            <v>39447</v>
          </cell>
          <cell r="O56">
            <v>771689.2</v>
          </cell>
          <cell r="P56">
            <v>937643</v>
          </cell>
          <cell r="Q56">
            <v>771689.2</v>
          </cell>
          <cell r="R56">
            <v>0.27800666138391689</v>
          </cell>
          <cell r="S56">
            <v>0.31811871737796904</v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C56" t="str">
            <v>Y</v>
          </cell>
          <cell r="AD56" t="str">
            <v>Y</v>
          </cell>
          <cell r="AE56" t="str">
            <v/>
          </cell>
          <cell r="AF56" t="str">
            <v/>
          </cell>
          <cell r="AG56" t="str">
            <v/>
          </cell>
          <cell r="AH56" t="str">
            <v/>
          </cell>
          <cell r="AI56" t="str">
            <v/>
          </cell>
          <cell r="AJ56" t="str">
            <v/>
          </cell>
          <cell r="AK56" t="str">
            <v/>
          </cell>
          <cell r="AL56" t="str">
            <v/>
          </cell>
          <cell r="AM56" t="str">
            <v/>
          </cell>
          <cell r="AN56" t="str">
            <v/>
          </cell>
          <cell r="AO56" t="str">
            <v/>
          </cell>
          <cell r="AP56" t="str">
            <v/>
          </cell>
          <cell r="AQ56" t="str">
            <v/>
          </cell>
          <cell r="AR56" t="str">
            <v/>
          </cell>
          <cell r="AS56" t="str">
            <v/>
          </cell>
          <cell r="AU56" t="str">
            <v>HUMAN CAPITAL MANAGEMENT</v>
          </cell>
          <cell r="AV56" t="str">
            <v>O</v>
          </cell>
          <cell r="AW56">
            <v>1595</v>
          </cell>
          <cell r="AX56">
            <v>158</v>
          </cell>
          <cell r="AY56">
            <v>9.9059561128526652E-2</v>
          </cell>
          <cell r="AZ56">
            <v>937643</v>
          </cell>
          <cell r="BA56">
            <v>676972</v>
          </cell>
          <cell r="BB56">
            <v>260671</v>
          </cell>
          <cell r="BC56">
            <v>27079</v>
          </cell>
          <cell r="BD56">
            <v>4.0000177259916218E-2</v>
          </cell>
          <cell r="BE56">
            <v>165953.79999999999</v>
          </cell>
          <cell r="BF56">
            <v>113160.79</v>
          </cell>
          <cell r="BG56">
            <v>52793.01</v>
          </cell>
          <cell r="BH56">
            <v>-207877.99</v>
          </cell>
          <cell r="BI56">
            <v>4.0112055994052154E-2</v>
          </cell>
          <cell r="BJ56">
            <v>165953.79999999999</v>
          </cell>
          <cell r="BK56">
            <v>113160.79</v>
          </cell>
          <cell r="BL56">
            <v>52793.01</v>
          </cell>
          <cell r="BM56">
            <v>0.31811871737796904</v>
          </cell>
          <cell r="BN56">
            <v>4.0112055994052154E-2</v>
          </cell>
          <cell r="BO56" t="str">
            <v>ISU</v>
          </cell>
          <cell r="BP56" t="str">
            <v>O</v>
          </cell>
          <cell r="BQ56" t="str">
            <v>FY</v>
          </cell>
          <cell r="BR56">
            <v>1730530</v>
          </cell>
          <cell r="BS56" t="str">
            <v>6Y9</v>
          </cell>
          <cell r="BT56">
            <v>8333000</v>
          </cell>
          <cell r="BW56" t="str">
            <v/>
          </cell>
          <cell r="BX56" t="str">
            <v>Unrated</v>
          </cell>
          <cell r="BY56" t="str">
            <v>Under</v>
          </cell>
          <cell r="BZ56" t="str">
            <v/>
          </cell>
          <cell r="CA56" t="str">
            <v/>
          </cell>
          <cell r="CG56">
            <v>899555</v>
          </cell>
          <cell r="CH56">
            <v>586803.22</v>
          </cell>
          <cell r="CI56">
            <v>312751.78000000003</v>
          </cell>
          <cell r="CJ56">
            <v>0.3476738831978034</v>
          </cell>
          <cell r="CK56">
            <v>6.9667221813886515E-2</v>
          </cell>
          <cell r="CL56" t="str">
            <v/>
          </cell>
          <cell r="CM56" t="str">
            <v/>
          </cell>
          <cell r="CN56" t="str">
            <v/>
          </cell>
          <cell r="CO56" t="str">
            <v/>
          </cell>
          <cell r="CP56" t="str">
            <v/>
          </cell>
          <cell r="CQ56" t="str">
            <v/>
          </cell>
          <cell r="CR56" t="str">
            <v/>
          </cell>
          <cell r="CS56">
            <v>38504</v>
          </cell>
          <cell r="CT56" t="str">
            <v/>
          </cell>
          <cell r="CV56" t="str">
            <v/>
          </cell>
          <cell r="CW56" t="str">
            <v>HUMAN CAPITAL MANAGEMENT</v>
          </cell>
        </row>
        <row r="57">
          <cell r="A57" t="str">
            <v>CFT2GBM</v>
          </cell>
          <cell r="B57" t="str">
            <v>TEL</v>
          </cell>
          <cell r="C57" t="str">
            <v>SCM</v>
          </cell>
          <cell r="D57" t="str">
            <v>SCM</v>
          </cell>
          <cell r="E57" t="str">
            <v>C&amp;SI</v>
          </cell>
          <cell r="F57" t="str">
            <v>CINGUL WIRE LLC</v>
          </cell>
          <cell r="G57" t="str">
            <v>CPP Implementation</v>
          </cell>
          <cell r="H57" t="str">
            <v>CFT2GBM</v>
          </cell>
          <cell r="I57">
            <v>1</v>
          </cell>
          <cell r="J57" t="str">
            <v>Maurice Trebuchon/Atlanta/IBM</v>
          </cell>
          <cell r="K57" t="str">
            <v>Susan Powell/Atlanta/IBM</v>
          </cell>
          <cell r="L57" t="str">
            <v>BE</v>
          </cell>
          <cell r="M57">
            <v>38356</v>
          </cell>
          <cell r="N57">
            <v>38776</v>
          </cell>
          <cell r="O57">
            <v>233788</v>
          </cell>
          <cell r="P57">
            <v>883063</v>
          </cell>
          <cell r="Q57">
            <v>233788</v>
          </cell>
          <cell r="R57">
            <v>0.44813563698173292</v>
          </cell>
          <cell r="S57">
            <v>0.45272924415694432</v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C57" t="str">
            <v/>
          </cell>
          <cell r="AD57" t="str">
            <v/>
          </cell>
          <cell r="AE57" t="str">
            <v/>
          </cell>
          <cell r="AF57" t="str">
            <v/>
          </cell>
          <cell r="AG57" t="str">
            <v/>
          </cell>
          <cell r="AH57" t="str">
            <v/>
          </cell>
          <cell r="AI57" t="str">
            <v/>
          </cell>
          <cell r="AJ57" t="str">
            <v/>
          </cell>
          <cell r="AK57" t="str">
            <v/>
          </cell>
          <cell r="AL57" t="str">
            <v/>
          </cell>
          <cell r="AM57" t="str">
            <v/>
          </cell>
          <cell r="AN57" t="str">
            <v/>
          </cell>
          <cell r="AO57" t="str">
            <v/>
          </cell>
          <cell r="AP57" t="str">
            <v/>
          </cell>
          <cell r="AQ57" t="str">
            <v/>
          </cell>
          <cell r="AR57" t="str">
            <v/>
          </cell>
          <cell r="AS57" t="str">
            <v/>
          </cell>
          <cell r="AU57" t="str">
            <v>SUPPLY CHAIN MANAGEMENT</v>
          </cell>
          <cell r="AV57" t="str">
            <v>O</v>
          </cell>
          <cell r="AW57">
            <v>3718</v>
          </cell>
          <cell r="AX57">
            <v>0</v>
          </cell>
          <cell r="AY57">
            <v>0</v>
          </cell>
          <cell r="AZ57">
            <v>883063</v>
          </cell>
          <cell r="BA57">
            <v>487331</v>
          </cell>
          <cell r="BB57">
            <v>395732</v>
          </cell>
          <cell r="BC57">
            <v>19493</v>
          </cell>
          <cell r="BD57">
            <v>3.9999507521581844E-2</v>
          </cell>
          <cell r="BE57">
            <v>649275</v>
          </cell>
          <cell r="BF57">
            <v>355329.22</v>
          </cell>
          <cell r="BG57">
            <v>293945.78000000003</v>
          </cell>
          <cell r="BH57">
            <v>-101786.22</v>
          </cell>
          <cell r="BI57">
            <v>4.5936071752114005E-3</v>
          </cell>
          <cell r="BJ57">
            <v>649275</v>
          </cell>
          <cell r="BK57">
            <v>355329.22</v>
          </cell>
          <cell r="BL57">
            <v>293945.78000000003</v>
          </cell>
          <cell r="BM57">
            <v>0.45272924415694432</v>
          </cell>
          <cell r="BN57">
            <v>4.5936071752114005E-3</v>
          </cell>
          <cell r="BO57" t="str">
            <v>ISU</v>
          </cell>
          <cell r="BP57" t="str">
            <v>O</v>
          </cell>
          <cell r="BQ57" t="str">
            <v>FX</v>
          </cell>
          <cell r="BR57">
            <v>1731425</v>
          </cell>
          <cell r="BS57" t="str">
            <v>6Y9</v>
          </cell>
          <cell r="BT57">
            <v>8333000</v>
          </cell>
          <cell r="BW57" t="str">
            <v/>
          </cell>
          <cell r="BX57" t="str">
            <v>Unrated</v>
          </cell>
          <cell r="BY57" t="str">
            <v>Under</v>
          </cell>
          <cell r="BZ57" t="str">
            <v/>
          </cell>
          <cell r="CA57" t="str">
            <v/>
          </cell>
          <cell r="CG57">
            <v>757249</v>
          </cell>
          <cell r="CH57">
            <v>408807.03</v>
          </cell>
          <cell r="CI57">
            <v>348441.97</v>
          </cell>
          <cell r="CJ57">
            <v>0.46014186879084684</v>
          </cell>
          <cell r="CK57">
            <v>1.2006231809113921E-2</v>
          </cell>
          <cell r="CL57" t="str">
            <v/>
          </cell>
          <cell r="CM57" t="str">
            <v/>
          </cell>
          <cell r="CN57" t="str">
            <v/>
          </cell>
          <cell r="CO57" t="str">
            <v/>
          </cell>
          <cell r="CP57" t="str">
            <v/>
          </cell>
          <cell r="CQ57" t="str">
            <v/>
          </cell>
          <cell r="CR57" t="str">
            <v/>
          </cell>
          <cell r="CS57">
            <v>38353</v>
          </cell>
          <cell r="CT57" t="str">
            <v/>
          </cell>
          <cell r="CV57" t="str">
            <v/>
          </cell>
          <cell r="CW57" t="str">
            <v>SUPPLY CHAIN MANAGEMENT</v>
          </cell>
        </row>
        <row r="58">
          <cell r="A58" t="str">
            <v>CFTGDCN</v>
          </cell>
          <cell r="B58" t="str">
            <v>TEL</v>
          </cell>
          <cell r="C58" t="str">
            <v>SCS</v>
          </cell>
          <cell r="D58" t="str">
            <v>SCS</v>
          </cell>
          <cell r="E58" t="str">
            <v>C&amp;SI</v>
          </cell>
          <cell r="F58" t="str">
            <v>CINGUL WIRE LLC</v>
          </cell>
          <cell r="G58" t="str">
            <v>SFA DATA MIGRATION PH 2</v>
          </cell>
          <cell r="H58" t="str">
            <v>CFTGDCN</v>
          </cell>
          <cell r="I58">
            <v>2</v>
          </cell>
          <cell r="J58" t="str">
            <v>Daniel W Rizer/Bethesda/IBM</v>
          </cell>
          <cell r="K58" t="str">
            <v>Marc J Wisniewski/Atlanta/IBM</v>
          </cell>
          <cell r="L58" t="str">
            <v>FP</v>
          </cell>
          <cell r="M58">
            <v>38474</v>
          </cell>
          <cell r="N58">
            <v>38639</v>
          </cell>
          <cell r="O58">
            <v>1</v>
          </cell>
          <cell r="P58">
            <v>784976</v>
          </cell>
          <cell r="Q58">
            <v>1</v>
          </cell>
          <cell r="R58">
            <v>0.3717616844336642</v>
          </cell>
          <cell r="S58">
            <v>0.52843290550654487</v>
          </cell>
          <cell r="T58" t="str">
            <v/>
          </cell>
          <cell r="U58" t="str">
            <v>Y</v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>Y</v>
          </cell>
          <cell r="AA58" t="str">
            <v/>
          </cell>
          <cell r="AC58" t="str">
            <v/>
          </cell>
          <cell r="AD58" t="str">
            <v/>
          </cell>
          <cell r="AE58" t="str">
            <v/>
          </cell>
          <cell r="AF58" t="str">
            <v/>
          </cell>
          <cell r="AG58" t="str">
            <v/>
          </cell>
          <cell r="AH58" t="str">
            <v/>
          </cell>
          <cell r="AI58" t="str">
            <v/>
          </cell>
          <cell r="AJ58" t="str">
            <v/>
          </cell>
          <cell r="AK58" t="str">
            <v/>
          </cell>
          <cell r="AL58" t="str">
            <v/>
          </cell>
          <cell r="AM58" t="str">
            <v/>
          </cell>
          <cell r="AN58" t="str">
            <v/>
          </cell>
          <cell r="AO58" t="str">
            <v/>
          </cell>
          <cell r="AP58" t="str">
            <v/>
          </cell>
          <cell r="AQ58" t="str">
            <v/>
          </cell>
          <cell r="AR58" t="str">
            <v/>
          </cell>
          <cell r="AS58" t="str">
            <v/>
          </cell>
          <cell r="AU58" t="str">
            <v>STRATEGY AND CHANGE</v>
          </cell>
          <cell r="AV58" t="str">
            <v>O</v>
          </cell>
          <cell r="AW58">
            <v>3156</v>
          </cell>
          <cell r="AX58">
            <v>0</v>
          </cell>
          <cell r="AY58">
            <v>0</v>
          </cell>
          <cell r="AZ58">
            <v>784976</v>
          </cell>
          <cell r="BA58">
            <v>493152</v>
          </cell>
          <cell r="BB58">
            <v>291824</v>
          </cell>
          <cell r="BC58">
            <v>50936</v>
          </cell>
          <cell r="BD58">
            <v>0.10328661345791967</v>
          </cell>
          <cell r="BE58">
            <v>784975</v>
          </cell>
          <cell r="BF58">
            <v>370168.38</v>
          </cell>
          <cell r="BG58">
            <v>414806.62</v>
          </cell>
          <cell r="BH58">
            <v>122982.62</v>
          </cell>
          <cell r="BI58">
            <v>0.15667122107288067</v>
          </cell>
          <cell r="BJ58">
            <v>784975</v>
          </cell>
          <cell r="BK58">
            <v>370168.38</v>
          </cell>
          <cell r="BL58">
            <v>414806.62</v>
          </cell>
          <cell r="BM58">
            <v>0.52843290550654487</v>
          </cell>
          <cell r="BN58">
            <v>0.15667122107288067</v>
          </cell>
          <cell r="BO58" t="str">
            <v>ISU</v>
          </cell>
          <cell r="BP58" t="str">
            <v>O</v>
          </cell>
          <cell r="BQ58" t="str">
            <v>FX</v>
          </cell>
          <cell r="BR58">
            <v>1730545</v>
          </cell>
          <cell r="BS58" t="str">
            <v>6Y9</v>
          </cell>
          <cell r="BT58">
            <v>8333000</v>
          </cell>
          <cell r="BW58" t="str">
            <v/>
          </cell>
          <cell r="BX58" t="str">
            <v>Unrated</v>
          </cell>
          <cell r="BY58" t="str">
            <v>Under</v>
          </cell>
          <cell r="BZ58" t="str">
            <v/>
          </cell>
          <cell r="CA58" t="str">
            <v/>
          </cell>
          <cell r="CG58">
            <v>784975</v>
          </cell>
          <cell r="CH58">
            <v>382643.55</v>
          </cell>
          <cell r="CI58">
            <v>402331.45</v>
          </cell>
          <cell r="CJ58">
            <v>0.51254046307207235</v>
          </cell>
          <cell r="CK58">
            <v>0.14077877863840815</v>
          </cell>
          <cell r="CL58" t="str">
            <v/>
          </cell>
          <cell r="CM58" t="str">
            <v/>
          </cell>
          <cell r="CN58" t="str">
            <v/>
          </cell>
          <cell r="CO58" t="str">
            <v/>
          </cell>
          <cell r="CP58" t="str">
            <v/>
          </cell>
          <cell r="CQ58" t="str">
            <v/>
          </cell>
          <cell r="CR58" t="str">
            <v/>
          </cell>
          <cell r="CS58">
            <v>38473</v>
          </cell>
          <cell r="CT58" t="str">
            <v/>
          </cell>
          <cell r="CV58" t="str">
            <v/>
          </cell>
          <cell r="CW58" t="str">
            <v>STRATEGY AND CHANGE</v>
          </cell>
        </row>
        <row r="59">
          <cell r="A59" t="str">
            <v>CFTNWXN</v>
          </cell>
          <cell r="B59" t="str">
            <v>TEL</v>
          </cell>
          <cell r="C59" t="str">
            <v>SCS</v>
          </cell>
          <cell r="D59" t="str">
            <v>SCS</v>
          </cell>
          <cell r="E59" t="str">
            <v>C&amp;SI</v>
          </cell>
          <cell r="F59" t="str">
            <v>CINGUL WIRE LLC</v>
          </cell>
          <cell r="G59" t="str">
            <v>BMG Contracts Analysis   ...</v>
          </cell>
          <cell r="H59" t="str">
            <v>CFTNWXN</v>
          </cell>
          <cell r="I59">
            <v>1</v>
          </cell>
          <cell r="J59" t="str">
            <v>Marc J Wisniewski/Atlanta/IBM</v>
          </cell>
          <cell r="K59" t="str">
            <v>Marc J Wisniewski/Atlanta/IBM</v>
          </cell>
          <cell r="L59" t="str">
            <v>BE</v>
          </cell>
          <cell r="M59">
            <v>38531</v>
          </cell>
          <cell r="N59">
            <v>38733</v>
          </cell>
          <cell r="O59">
            <v>139230</v>
          </cell>
          <cell r="P59">
            <v>444450</v>
          </cell>
          <cell r="Q59">
            <v>139230</v>
          </cell>
          <cell r="R59">
            <v>0.60266171672854085</v>
          </cell>
          <cell r="S59">
            <v>0.48186436013367412</v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>Y</v>
          </cell>
          <cell r="Y59" t="str">
            <v>Y</v>
          </cell>
          <cell r="Z59" t="str">
            <v/>
          </cell>
          <cell r="AA59" t="str">
            <v/>
          </cell>
          <cell r="AC59" t="str">
            <v/>
          </cell>
          <cell r="AD59" t="str">
            <v/>
          </cell>
          <cell r="AE59" t="str">
            <v/>
          </cell>
          <cell r="AF59" t="str">
            <v/>
          </cell>
          <cell r="AG59" t="str">
            <v/>
          </cell>
          <cell r="AH59" t="str">
            <v/>
          </cell>
          <cell r="AI59" t="str">
            <v/>
          </cell>
          <cell r="AJ59" t="str">
            <v/>
          </cell>
          <cell r="AK59" t="str">
            <v/>
          </cell>
          <cell r="AL59" t="str">
            <v/>
          </cell>
          <cell r="AM59" t="str">
            <v/>
          </cell>
          <cell r="AN59" t="str">
            <v/>
          </cell>
          <cell r="AO59" t="str">
            <v/>
          </cell>
          <cell r="AP59" t="str">
            <v/>
          </cell>
          <cell r="AQ59" t="str">
            <v/>
          </cell>
          <cell r="AR59" t="str">
            <v/>
          </cell>
          <cell r="AS59" t="str">
            <v/>
          </cell>
          <cell r="AU59" t="str">
            <v>STRATEGY AND CHANGE</v>
          </cell>
          <cell r="AV59" t="str">
            <v>O</v>
          </cell>
          <cell r="AW59">
            <v>2087</v>
          </cell>
          <cell r="AX59">
            <v>0</v>
          </cell>
          <cell r="AY59">
            <v>0</v>
          </cell>
          <cell r="AZ59">
            <v>444450</v>
          </cell>
          <cell r="BA59">
            <v>176597</v>
          </cell>
          <cell r="BB59">
            <v>267853</v>
          </cell>
          <cell r="BC59">
            <v>7064</v>
          </cell>
          <cell r="BD59">
            <v>4.0000679513242016E-2</v>
          </cell>
          <cell r="BE59">
            <v>305220</v>
          </cell>
          <cell r="BF59">
            <v>158145.35999999999</v>
          </cell>
          <cell r="BG59">
            <v>147074.64000000001</v>
          </cell>
          <cell r="BH59">
            <v>-120778.36</v>
          </cell>
          <cell r="BI59">
            <v>-0.12079735659486673</v>
          </cell>
          <cell r="BJ59">
            <v>305220</v>
          </cell>
          <cell r="BK59">
            <v>158145.35999999999</v>
          </cell>
          <cell r="BL59">
            <v>147074.64000000001</v>
          </cell>
          <cell r="BM59">
            <v>0.48186436013367412</v>
          </cell>
          <cell r="BN59">
            <v>-0.12079735659486673</v>
          </cell>
          <cell r="BO59" t="str">
            <v>ISU</v>
          </cell>
          <cell r="BP59" t="str">
            <v>O</v>
          </cell>
          <cell r="BQ59" t="str">
            <v>FX</v>
          </cell>
          <cell r="BR59">
            <v>1730978</v>
          </cell>
          <cell r="BS59" t="str">
            <v>6Y9</v>
          </cell>
          <cell r="BT59">
            <v>8333000</v>
          </cell>
          <cell r="BW59" t="str">
            <v/>
          </cell>
          <cell r="BX59" t="str">
            <v>Unrated</v>
          </cell>
          <cell r="BY59" t="str">
            <v>Under</v>
          </cell>
          <cell r="BZ59" t="str">
            <v/>
          </cell>
          <cell r="CA59" t="str">
            <v/>
          </cell>
          <cell r="CG59">
            <v>304965</v>
          </cell>
          <cell r="CH59">
            <v>130240.68</v>
          </cell>
          <cell r="CI59">
            <v>174724.32</v>
          </cell>
          <cell r="CJ59">
            <v>0.57293236928827895</v>
          </cell>
          <cell r="CK59">
            <v>-2.97293474402619E-2</v>
          </cell>
          <cell r="CL59" t="str">
            <v/>
          </cell>
          <cell r="CM59" t="str">
            <v/>
          </cell>
          <cell r="CN59" t="str">
            <v/>
          </cell>
          <cell r="CO59" t="str">
            <v/>
          </cell>
          <cell r="CP59" t="str">
            <v/>
          </cell>
          <cell r="CQ59" t="str">
            <v/>
          </cell>
          <cell r="CR59" t="str">
            <v/>
          </cell>
          <cell r="CS59">
            <v>38504</v>
          </cell>
          <cell r="CT59" t="str">
            <v/>
          </cell>
          <cell r="CV59" t="str">
            <v/>
          </cell>
          <cell r="CW59" t="str">
            <v>STRATEGY AND CHANGE</v>
          </cell>
        </row>
        <row r="60">
          <cell r="A60" t="str">
            <v>CFTQ6RN</v>
          </cell>
          <cell r="B60" t="str">
            <v>TEL</v>
          </cell>
          <cell r="C60" t="str">
            <v>SCS</v>
          </cell>
          <cell r="D60" t="str">
            <v>SCS</v>
          </cell>
          <cell r="E60" t="str">
            <v>C&amp;SI</v>
          </cell>
          <cell r="F60" t="str">
            <v>CINGUL WIRE LLC</v>
          </cell>
          <cell r="G60" t="str">
            <v>BMG Contracts Analysis</v>
          </cell>
          <cell r="H60" t="str">
            <v>CFTQ6RN</v>
          </cell>
          <cell r="I60">
            <v>1</v>
          </cell>
          <cell r="J60" t="str">
            <v>Marc J Wisniewski/Atlanta/IBM</v>
          </cell>
          <cell r="K60" t="str">
            <v>Marc J Wisniewski/Atlanta/IBM</v>
          </cell>
          <cell r="L60" t="str">
            <v>BE</v>
          </cell>
          <cell r="M60">
            <v>38567</v>
          </cell>
          <cell r="N60">
            <v>38709</v>
          </cell>
          <cell r="O60">
            <v>158932.79</v>
          </cell>
          <cell r="P60">
            <v>438240.3</v>
          </cell>
          <cell r="Q60">
            <v>158932.79</v>
          </cell>
          <cell r="R60">
            <v>0.46599160323685429</v>
          </cell>
          <cell r="S60">
            <v>-1.1914036969503588E-2</v>
          </cell>
          <cell r="T60" t="str">
            <v/>
          </cell>
          <cell r="U60" t="str">
            <v>Y</v>
          </cell>
          <cell r="V60" t="str">
            <v>Y</v>
          </cell>
          <cell r="W60" t="str">
            <v>Y</v>
          </cell>
          <cell r="X60" t="str">
            <v>Y</v>
          </cell>
          <cell r="Y60" t="str">
            <v>Y</v>
          </cell>
          <cell r="Z60" t="str">
            <v/>
          </cell>
          <cell r="AA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  <cell r="AI60" t="str">
            <v/>
          </cell>
          <cell r="AJ60" t="str">
            <v/>
          </cell>
          <cell r="AK60" t="str">
            <v/>
          </cell>
          <cell r="AL60" t="str">
            <v/>
          </cell>
          <cell r="AM60" t="str">
            <v/>
          </cell>
          <cell r="AN60" t="str">
            <v/>
          </cell>
          <cell r="AO60" t="str">
            <v/>
          </cell>
          <cell r="AP60" t="str">
            <v/>
          </cell>
          <cell r="AQ60" t="str">
            <v/>
          </cell>
          <cell r="AR60" t="str">
            <v/>
          </cell>
          <cell r="AS60" t="str">
            <v/>
          </cell>
          <cell r="AU60" t="str">
            <v>STRATEGY AND CHANGE</v>
          </cell>
          <cell r="AV60" t="str">
            <v>O</v>
          </cell>
          <cell r="AW60">
            <v>2592.5</v>
          </cell>
          <cell r="AX60">
            <v>0</v>
          </cell>
          <cell r="AY60">
            <v>0</v>
          </cell>
          <cell r="AZ60">
            <v>438240.3</v>
          </cell>
          <cell r="BA60">
            <v>234024</v>
          </cell>
          <cell r="BB60">
            <v>204216.3</v>
          </cell>
          <cell r="BC60">
            <v>9361</v>
          </cell>
          <cell r="BD60">
            <v>4.000017092264041E-2</v>
          </cell>
          <cell r="BE60">
            <v>279307.51</v>
          </cell>
          <cell r="BF60">
            <v>282635.19</v>
          </cell>
          <cell r="BG60">
            <v>-3327.679999999993</v>
          </cell>
          <cell r="BH60">
            <v>-207543.98</v>
          </cell>
          <cell r="BI60">
            <v>-0.4779056402063579</v>
          </cell>
          <cell r="BJ60">
            <v>279307.51</v>
          </cell>
          <cell r="BK60">
            <v>282635.19</v>
          </cell>
          <cell r="BL60">
            <v>-3327.679999999993</v>
          </cell>
          <cell r="BM60">
            <v>-1.1914036969503588E-2</v>
          </cell>
          <cell r="BN60">
            <v>-0.4779056402063579</v>
          </cell>
          <cell r="BO60" t="str">
            <v>ISU</v>
          </cell>
          <cell r="BP60" t="str">
            <v>O</v>
          </cell>
          <cell r="BQ60" t="str">
            <v>FX</v>
          </cell>
          <cell r="BR60">
            <v>1730978</v>
          </cell>
          <cell r="BS60" t="str">
            <v>6Y9</v>
          </cell>
          <cell r="BT60">
            <v>8333000</v>
          </cell>
          <cell r="BW60" t="str">
            <v/>
          </cell>
          <cell r="BX60" t="str">
            <v>Unrated</v>
          </cell>
          <cell r="BY60" t="str">
            <v>Under</v>
          </cell>
          <cell r="BZ60" t="str">
            <v/>
          </cell>
          <cell r="CA60" t="str">
            <v/>
          </cell>
          <cell r="CG60">
            <v>418187.18</v>
          </cell>
          <cell r="CH60">
            <v>259372.14</v>
          </cell>
          <cell r="CI60">
            <v>158815.04000000001</v>
          </cell>
          <cell r="CJ60">
            <v>0.37977022633740232</v>
          </cell>
          <cell r="CK60">
            <v>-8.6221376899451974E-2</v>
          </cell>
          <cell r="CL60" t="str">
            <v/>
          </cell>
          <cell r="CM60" t="str">
            <v/>
          </cell>
          <cell r="CN60" t="str">
            <v/>
          </cell>
          <cell r="CO60" t="str">
            <v/>
          </cell>
          <cell r="CP60" t="str">
            <v/>
          </cell>
          <cell r="CQ60" t="str">
            <v/>
          </cell>
          <cell r="CR60" t="str">
            <v/>
          </cell>
          <cell r="CS60">
            <v>38565</v>
          </cell>
          <cell r="CT60" t="str">
            <v/>
          </cell>
          <cell r="CV60" t="str">
            <v/>
          </cell>
          <cell r="CW60" t="str">
            <v>STRATEGY AND CHANGE</v>
          </cell>
        </row>
        <row r="61">
          <cell r="A61" t="str">
            <v>CFTD3YN</v>
          </cell>
          <cell r="B61" t="str">
            <v>TEL</v>
          </cell>
          <cell r="C61" t="str">
            <v>SCS</v>
          </cell>
          <cell r="D61" t="str">
            <v>SCS</v>
          </cell>
          <cell r="E61" t="str">
            <v>C&amp;SI</v>
          </cell>
          <cell r="F61" t="str">
            <v>CINGUL WIRE LLC</v>
          </cell>
          <cell r="G61" t="str">
            <v>BMG ECPM Phase 0</v>
          </cell>
          <cell r="H61" t="str">
            <v>CFTD3YN</v>
          </cell>
          <cell r="I61">
            <v>1</v>
          </cell>
          <cell r="J61" t="str">
            <v>Daniel W Rizer/Bethesda/IBM</v>
          </cell>
          <cell r="K61" t="str">
            <v>Marc J Wisniewski/Atlanta/IBM</v>
          </cell>
          <cell r="L61" t="str">
            <v>BE</v>
          </cell>
          <cell r="M61">
            <v>38432</v>
          </cell>
          <cell r="N61">
            <v>38485</v>
          </cell>
          <cell r="O61">
            <v>0</v>
          </cell>
          <cell r="P61">
            <v>424040.32</v>
          </cell>
          <cell r="Q61">
            <v>0</v>
          </cell>
          <cell r="R61">
            <v>0.52208318303316059</v>
          </cell>
          <cell r="S61">
            <v>0.38217457717228398</v>
          </cell>
          <cell r="T61" t="str">
            <v/>
          </cell>
          <cell r="U61" t="str">
            <v>Y</v>
          </cell>
          <cell r="V61" t="str">
            <v/>
          </cell>
          <cell r="W61" t="str">
            <v/>
          </cell>
          <cell r="X61" t="str">
            <v>Y</v>
          </cell>
          <cell r="Y61" t="str">
            <v>Y</v>
          </cell>
          <cell r="Z61" t="str">
            <v/>
          </cell>
          <cell r="AA61" t="str">
            <v/>
          </cell>
          <cell r="AC61" t="str">
            <v/>
          </cell>
          <cell r="AD61" t="str">
            <v/>
          </cell>
          <cell r="AE61" t="str">
            <v/>
          </cell>
          <cell r="AF61" t="str">
            <v/>
          </cell>
          <cell r="AG61" t="str">
            <v/>
          </cell>
          <cell r="AH61" t="str">
            <v/>
          </cell>
          <cell r="AI61" t="str">
            <v/>
          </cell>
          <cell r="AJ61" t="str">
            <v/>
          </cell>
          <cell r="AK61" t="str">
            <v/>
          </cell>
          <cell r="AL61" t="str">
            <v/>
          </cell>
          <cell r="AM61" t="str">
            <v/>
          </cell>
          <cell r="AN61" t="str">
            <v/>
          </cell>
          <cell r="AO61" t="str">
            <v/>
          </cell>
          <cell r="AP61" t="str">
            <v/>
          </cell>
          <cell r="AQ61" t="str">
            <v/>
          </cell>
          <cell r="AR61" t="str">
            <v/>
          </cell>
          <cell r="AS61" t="str">
            <v/>
          </cell>
          <cell r="AU61" t="str">
            <v>STRATEGY AND CHANGE</v>
          </cell>
          <cell r="AV61" t="str">
            <v>O</v>
          </cell>
          <cell r="AW61">
            <v>1816</v>
          </cell>
          <cell r="AX61">
            <v>0</v>
          </cell>
          <cell r="AY61">
            <v>0</v>
          </cell>
          <cell r="AZ61">
            <v>424040.32</v>
          </cell>
          <cell r="BA61">
            <v>202656</v>
          </cell>
          <cell r="BB61">
            <v>221384.32000000001</v>
          </cell>
          <cell r="BC61">
            <v>20065</v>
          </cell>
          <cell r="BD61">
            <v>9.9010145270803721E-2</v>
          </cell>
          <cell r="BE61">
            <v>424040.32</v>
          </cell>
          <cell r="BF61">
            <v>261982.89</v>
          </cell>
          <cell r="BG61">
            <v>162057.43</v>
          </cell>
          <cell r="BH61">
            <v>-59326.89</v>
          </cell>
          <cell r="BI61">
            <v>-0.13990860586087661</v>
          </cell>
          <cell r="BJ61">
            <v>424040.32</v>
          </cell>
          <cell r="BK61">
            <v>261982.89</v>
          </cell>
          <cell r="BL61">
            <v>162057.43</v>
          </cell>
          <cell r="BM61">
            <v>0.38217457717228398</v>
          </cell>
          <cell r="BN61">
            <v>-0.13990860586087661</v>
          </cell>
          <cell r="BO61" t="str">
            <v>ISU</v>
          </cell>
          <cell r="BP61" t="str">
            <v>O</v>
          </cell>
          <cell r="BQ61" t="str">
            <v>FX</v>
          </cell>
          <cell r="BR61">
            <v>1730978</v>
          </cell>
          <cell r="BS61" t="str">
            <v>6Y9</v>
          </cell>
          <cell r="BT61">
            <v>8333000</v>
          </cell>
          <cell r="BW61" t="str">
            <v/>
          </cell>
          <cell r="BX61" t="str">
            <v>Unrated</v>
          </cell>
          <cell r="BY61" t="str">
            <v>Under</v>
          </cell>
          <cell r="BZ61" t="str">
            <v/>
          </cell>
          <cell r="CA61" t="str">
            <v/>
          </cell>
          <cell r="CG61">
            <v>424040.32</v>
          </cell>
          <cell r="CH61">
            <v>261982.89</v>
          </cell>
          <cell r="CI61">
            <v>162057.43</v>
          </cell>
          <cell r="CJ61">
            <v>0.38217457717228398</v>
          </cell>
          <cell r="CK61">
            <v>-0.13990860586087661</v>
          </cell>
          <cell r="CL61" t="str">
            <v/>
          </cell>
          <cell r="CM61" t="str">
            <v/>
          </cell>
          <cell r="CN61" t="str">
            <v/>
          </cell>
          <cell r="CO61" t="str">
            <v/>
          </cell>
          <cell r="CP61" t="str">
            <v/>
          </cell>
          <cell r="CQ61" t="str">
            <v/>
          </cell>
          <cell r="CR61" t="str">
            <v/>
          </cell>
          <cell r="CS61">
            <v>38412</v>
          </cell>
          <cell r="CT61" t="str">
            <v/>
          </cell>
          <cell r="CV61" t="str">
            <v/>
          </cell>
          <cell r="CW61" t="str">
            <v>STRATEGY AND CHANGE</v>
          </cell>
        </row>
        <row r="62">
          <cell r="A62" t="str">
            <v>CFTM54N</v>
          </cell>
          <cell r="B62" t="str">
            <v>TEL</v>
          </cell>
          <cell r="C62" t="str">
            <v>HCM</v>
          </cell>
          <cell r="D62" t="str">
            <v>HCM</v>
          </cell>
          <cell r="E62" t="str">
            <v>C&amp;SI</v>
          </cell>
          <cell r="F62" t="str">
            <v>CINGUL WIRE LLC</v>
          </cell>
          <cell r="G62" t="str">
            <v>IT Training Design and G ...</v>
          </cell>
          <cell r="H62" t="str">
            <v>CFTM54N</v>
          </cell>
          <cell r="I62">
            <v>1</v>
          </cell>
          <cell r="J62" t="str">
            <v>Mary K Vona/Tampa/IBM</v>
          </cell>
          <cell r="K62" t="str">
            <v>Michelle Page-Rivera/Atlanta/IBM</v>
          </cell>
          <cell r="L62" t="str">
            <v>BE</v>
          </cell>
          <cell r="M62">
            <v>38519</v>
          </cell>
          <cell r="N62">
            <v>38748</v>
          </cell>
          <cell r="O62">
            <v>63140</v>
          </cell>
          <cell r="P62">
            <v>268580</v>
          </cell>
          <cell r="Q62">
            <v>63140</v>
          </cell>
          <cell r="R62">
            <v>0.44144761337404126</v>
          </cell>
          <cell r="S62">
            <v>0.5053124513239875</v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>Y</v>
          </cell>
          <cell r="AA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  <cell r="AI62" t="str">
            <v/>
          </cell>
          <cell r="AJ62" t="str">
            <v/>
          </cell>
          <cell r="AK62" t="str">
            <v/>
          </cell>
          <cell r="AL62" t="str">
            <v/>
          </cell>
          <cell r="AM62" t="str">
            <v/>
          </cell>
          <cell r="AN62" t="str">
            <v/>
          </cell>
          <cell r="AO62" t="str">
            <v/>
          </cell>
          <cell r="AP62" t="str">
            <v/>
          </cell>
          <cell r="AQ62" t="str">
            <v/>
          </cell>
          <cell r="AR62" t="str">
            <v/>
          </cell>
          <cell r="AS62" t="str">
            <v/>
          </cell>
          <cell r="AU62" t="str">
            <v>HUMAN CAPITAL MANAGEMENT</v>
          </cell>
          <cell r="AV62" t="str">
            <v>O</v>
          </cell>
          <cell r="AW62">
            <v>1366</v>
          </cell>
          <cell r="AX62">
            <v>0</v>
          </cell>
          <cell r="AY62">
            <v>0</v>
          </cell>
          <cell r="AZ62">
            <v>268580</v>
          </cell>
          <cell r="BA62">
            <v>150016</v>
          </cell>
          <cell r="BB62">
            <v>118564</v>
          </cell>
          <cell r="BC62">
            <v>6001</v>
          </cell>
          <cell r="BD62">
            <v>4.0002399744027306E-2</v>
          </cell>
          <cell r="BE62">
            <v>205440</v>
          </cell>
          <cell r="BF62">
            <v>101628.61</v>
          </cell>
          <cell r="BG62">
            <v>103811.39</v>
          </cell>
          <cell r="BH62">
            <v>-14752.61</v>
          </cell>
          <cell r="BI62">
            <v>6.386483794994624E-2</v>
          </cell>
          <cell r="BJ62">
            <v>205440</v>
          </cell>
          <cell r="BK62">
            <v>101628.61</v>
          </cell>
          <cell r="BL62">
            <v>103811.39</v>
          </cell>
          <cell r="BM62">
            <v>0.5053124513239875</v>
          </cell>
          <cell r="BN62">
            <v>6.386483794994624E-2</v>
          </cell>
          <cell r="BO62" t="str">
            <v>ISU</v>
          </cell>
          <cell r="BP62" t="str">
            <v>O</v>
          </cell>
          <cell r="BQ62" t="str">
            <v>FX</v>
          </cell>
          <cell r="BR62">
            <v>1730530</v>
          </cell>
          <cell r="BS62" t="str">
            <v>6Y9</v>
          </cell>
          <cell r="BT62">
            <v>8333000</v>
          </cell>
          <cell r="BW62" t="str">
            <v/>
          </cell>
          <cell r="BX62" t="str">
            <v>Unrated</v>
          </cell>
          <cell r="BY62" t="str">
            <v>Under</v>
          </cell>
          <cell r="BZ62" t="str">
            <v/>
          </cell>
          <cell r="CA62" t="str">
            <v/>
          </cell>
          <cell r="CG62">
            <v>169218</v>
          </cell>
          <cell r="CH62">
            <v>88327.31</v>
          </cell>
          <cell r="CI62">
            <v>80890.69</v>
          </cell>
          <cell r="CJ62">
            <v>0.47802651018213194</v>
          </cell>
          <cell r="CK62">
            <v>3.6578896808090677E-2</v>
          </cell>
          <cell r="CL62" t="str">
            <v/>
          </cell>
          <cell r="CM62" t="str">
            <v/>
          </cell>
          <cell r="CN62" t="str">
            <v/>
          </cell>
          <cell r="CO62" t="str">
            <v/>
          </cell>
          <cell r="CP62" t="str">
            <v/>
          </cell>
          <cell r="CQ62" t="str">
            <v/>
          </cell>
          <cell r="CR62" t="str">
            <v/>
          </cell>
          <cell r="CS62">
            <v>38504</v>
          </cell>
          <cell r="CT62" t="str">
            <v/>
          </cell>
          <cell r="CV62" t="str">
            <v/>
          </cell>
          <cell r="CW62" t="str">
            <v>HUMAN CAPITAL MANAGEMENT</v>
          </cell>
        </row>
        <row r="63">
          <cell r="A63" t="str">
            <v>CFTF8PN</v>
          </cell>
          <cell r="B63" t="str">
            <v>TEL</v>
          </cell>
          <cell r="C63" t="str">
            <v>HCM</v>
          </cell>
          <cell r="D63" t="str">
            <v>HCM</v>
          </cell>
          <cell r="E63" t="str">
            <v>C&amp;SI</v>
          </cell>
          <cell r="F63" t="str">
            <v>CINGUL WIRE LLC</v>
          </cell>
          <cell r="G63" t="str">
            <v>IT Training Phase II</v>
          </cell>
          <cell r="H63" t="str">
            <v>CFTF8PN</v>
          </cell>
          <cell r="I63">
            <v>1</v>
          </cell>
          <cell r="J63" t="str">
            <v>Tony Caudill/Irvine/IBM</v>
          </cell>
          <cell r="K63" t="str">
            <v>Michelle Page-Rivera/Atlanta/IBM</v>
          </cell>
          <cell r="L63" t="str">
            <v>BE</v>
          </cell>
          <cell r="M63">
            <v>38470</v>
          </cell>
          <cell r="N63">
            <v>38698</v>
          </cell>
          <cell r="O63">
            <v>2288</v>
          </cell>
          <cell r="P63">
            <v>262240</v>
          </cell>
          <cell r="Q63">
            <v>2288</v>
          </cell>
          <cell r="R63">
            <v>0.47877135448444175</v>
          </cell>
          <cell r="S63">
            <v>0.41635944328183666</v>
          </cell>
          <cell r="T63" t="str">
            <v/>
          </cell>
          <cell r="U63" t="str">
            <v>Y</v>
          </cell>
          <cell r="V63" t="str">
            <v/>
          </cell>
          <cell r="W63" t="str">
            <v/>
          </cell>
          <cell r="X63" t="str">
            <v>Y</v>
          </cell>
          <cell r="Y63" t="str">
            <v>Y</v>
          </cell>
          <cell r="Z63" t="str">
            <v/>
          </cell>
          <cell r="AA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O63" t="str">
            <v/>
          </cell>
          <cell r="AP63" t="str">
            <v/>
          </cell>
          <cell r="AQ63" t="str">
            <v/>
          </cell>
          <cell r="AR63" t="str">
            <v/>
          </cell>
          <cell r="AS63" t="str">
            <v/>
          </cell>
          <cell r="AU63" t="str">
            <v>HUMAN CAPITAL MANAGEMENT</v>
          </cell>
          <cell r="AV63" t="str">
            <v>O</v>
          </cell>
          <cell r="AW63">
            <v>1477</v>
          </cell>
          <cell r="AX63">
            <v>0</v>
          </cell>
          <cell r="AY63">
            <v>0</v>
          </cell>
          <cell r="AZ63">
            <v>262240</v>
          </cell>
          <cell r="BA63">
            <v>136687</v>
          </cell>
          <cell r="BB63">
            <v>125553</v>
          </cell>
          <cell r="BC63">
            <v>5468</v>
          </cell>
          <cell r="BD63">
            <v>4.0003804312041376E-2</v>
          </cell>
          <cell r="BE63">
            <v>259952</v>
          </cell>
          <cell r="BF63">
            <v>151718.53</v>
          </cell>
          <cell r="BG63">
            <v>108233.47</v>
          </cell>
          <cell r="BH63">
            <v>-17319.53</v>
          </cell>
          <cell r="BI63">
            <v>-6.2411911202605086E-2</v>
          </cell>
          <cell r="BJ63">
            <v>259952</v>
          </cell>
          <cell r="BK63">
            <v>151718.53</v>
          </cell>
          <cell r="BL63">
            <v>108233.47</v>
          </cell>
          <cell r="BM63">
            <v>0.41635944328183666</v>
          </cell>
          <cell r="BN63">
            <v>-6.2411911202605086E-2</v>
          </cell>
          <cell r="BO63" t="str">
            <v>ISU</v>
          </cell>
          <cell r="BP63" t="str">
            <v>O</v>
          </cell>
          <cell r="BQ63" t="str">
            <v>FX</v>
          </cell>
          <cell r="BR63">
            <v>1730530</v>
          </cell>
          <cell r="BS63" t="str">
            <v>6Y9</v>
          </cell>
          <cell r="BT63">
            <v>8333000</v>
          </cell>
          <cell r="BW63" t="str">
            <v/>
          </cell>
          <cell r="BX63" t="str">
            <v>Unrated</v>
          </cell>
          <cell r="BY63" t="str">
            <v>Under</v>
          </cell>
          <cell r="BZ63" t="str">
            <v/>
          </cell>
          <cell r="CA63" t="str">
            <v/>
          </cell>
          <cell r="CG63">
            <v>259952</v>
          </cell>
          <cell r="CH63">
            <v>151718.53</v>
          </cell>
          <cell r="CI63">
            <v>108233.47</v>
          </cell>
          <cell r="CJ63">
            <v>0.41635944328183666</v>
          </cell>
          <cell r="CK63">
            <v>-6.2411911202605086E-2</v>
          </cell>
          <cell r="CL63" t="str">
            <v/>
          </cell>
          <cell r="CM63" t="str">
            <v/>
          </cell>
          <cell r="CN63" t="str">
            <v/>
          </cell>
          <cell r="CO63" t="str">
            <v/>
          </cell>
          <cell r="CP63" t="str">
            <v/>
          </cell>
          <cell r="CQ63" t="str">
            <v/>
          </cell>
          <cell r="CR63" t="str">
            <v/>
          </cell>
          <cell r="CS63">
            <v>38443</v>
          </cell>
          <cell r="CT63" t="str">
            <v/>
          </cell>
          <cell r="CV63" t="str">
            <v/>
          </cell>
          <cell r="CW63" t="str">
            <v>HUMAN CAPITAL MANAGEMENT</v>
          </cell>
        </row>
        <row r="64">
          <cell r="A64" t="str">
            <v>CFTD2PN</v>
          </cell>
          <cell r="B64" t="str">
            <v>TEL</v>
          </cell>
          <cell r="C64" t="str">
            <v>SCS</v>
          </cell>
          <cell r="D64" t="str">
            <v>SCS</v>
          </cell>
          <cell r="E64" t="str">
            <v>C&amp;SI</v>
          </cell>
          <cell r="F64" t="str">
            <v>CINGUL WIRE LLC</v>
          </cell>
          <cell r="G64" t="str">
            <v>SFA Data Migration</v>
          </cell>
          <cell r="H64" t="str">
            <v>CFTD2PN</v>
          </cell>
          <cell r="I64">
            <v>1</v>
          </cell>
          <cell r="J64" t="str">
            <v>Daniel W Rizer/Bethesda/IBM</v>
          </cell>
          <cell r="K64" t="str">
            <v>Marc J Wisniewski/Atlanta/IBM</v>
          </cell>
          <cell r="L64" t="str">
            <v>BE</v>
          </cell>
          <cell r="M64">
            <v>38439</v>
          </cell>
          <cell r="N64">
            <v>38471</v>
          </cell>
          <cell r="O64">
            <v>0</v>
          </cell>
          <cell r="P64">
            <v>178450</v>
          </cell>
          <cell r="Q64">
            <v>0</v>
          </cell>
          <cell r="R64">
            <v>0.51071448585037826</v>
          </cell>
          <cell r="S64">
            <v>0.40808024656766601</v>
          </cell>
          <cell r="T64" t="str">
            <v/>
          </cell>
          <cell r="U64" t="str">
            <v>Y</v>
          </cell>
          <cell r="V64" t="str">
            <v/>
          </cell>
          <cell r="W64" t="str">
            <v/>
          </cell>
          <cell r="X64" t="str">
            <v>Y</v>
          </cell>
          <cell r="Y64" t="str">
            <v>Y</v>
          </cell>
          <cell r="Z64" t="str">
            <v/>
          </cell>
          <cell r="AA64" t="str">
            <v/>
          </cell>
          <cell r="AC64" t="str">
            <v/>
          </cell>
          <cell r="AD64" t="str">
            <v/>
          </cell>
          <cell r="AE64" t="str">
            <v/>
          </cell>
          <cell r="AF64" t="str">
            <v/>
          </cell>
          <cell r="AG64" t="str">
            <v/>
          </cell>
          <cell r="AH64" t="str">
            <v/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O64" t="str">
            <v/>
          </cell>
          <cell r="AP64" t="str">
            <v/>
          </cell>
          <cell r="AQ64" t="str">
            <v/>
          </cell>
          <cell r="AR64" t="str">
            <v/>
          </cell>
          <cell r="AS64" t="str">
            <v/>
          </cell>
          <cell r="AU64" t="str">
            <v>STRATEGY AND CHANGE</v>
          </cell>
          <cell r="AV64" t="str">
            <v>O</v>
          </cell>
          <cell r="AW64">
            <v>830</v>
          </cell>
          <cell r="AX64">
            <v>0</v>
          </cell>
          <cell r="AY64">
            <v>0</v>
          </cell>
          <cell r="AZ64">
            <v>178450</v>
          </cell>
          <cell r="BA64">
            <v>87313</v>
          </cell>
          <cell r="BB64">
            <v>91137</v>
          </cell>
          <cell r="BC64">
            <v>3493</v>
          </cell>
          <cell r="BD64">
            <v>4.0005497463149818E-2</v>
          </cell>
          <cell r="BE64">
            <v>178450</v>
          </cell>
          <cell r="BF64">
            <v>105628.08</v>
          </cell>
          <cell r="BG64">
            <v>72821.919999999998</v>
          </cell>
          <cell r="BH64">
            <v>-18315.080000000002</v>
          </cell>
          <cell r="BI64">
            <v>-0.10263423928271226</v>
          </cell>
          <cell r="BJ64">
            <v>178450</v>
          </cell>
          <cell r="BK64">
            <v>105628.08</v>
          </cell>
          <cell r="BL64">
            <v>72821.919999999998</v>
          </cell>
          <cell r="BM64">
            <v>0.40808024656766601</v>
          </cell>
          <cell r="BN64">
            <v>-0.10263423928271226</v>
          </cell>
          <cell r="BO64" t="str">
            <v>ISU</v>
          </cell>
          <cell r="BP64" t="str">
            <v>O</v>
          </cell>
          <cell r="BQ64" t="str">
            <v>FX</v>
          </cell>
          <cell r="BR64">
            <v>1730545</v>
          </cell>
          <cell r="BS64" t="str">
            <v>6Y9</v>
          </cell>
          <cell r="BT64">
            <v>8333000</v>
          </cell>
          <cell r="BW64" t="str">
            <v/>
          </cell>
          <cell r="BX64" t="str">
            <v>Unrated</v>
          </cell>
          <cell r="BY64" t="str">
            <v>Under</v>
          </cell>
          <cell r="BZ64" t="str">
            <v/>
          </cell>
          <cell r="CA64" t="str">
            <v/>
          </cell>
          <cell r="CG64">
            <v>178450</v>
          </cell>
          <cell r="CH64">
            <v>105628.08</v>
          </cell>
          <cell r="CI64">
            <v>72821.919999999998</v>
          </cell>
          <cell r="CJ64">
            <v>0.40808024656766601</v>
          </cell>
          <cell r="CK64">
            <v>-0.10263423928271226</v>
          </cell>
          <cell r="CL64" t="str">
            <v/>
          </cell>
          <cell r="CM64" t="str">
            <v/>
          </cell>
          <cell r="CN64" t="str">
            <v/>
          </cell>
          <cell r="CO64" t="str">
            <v/>
          </cell>
          <cell r="CP64" t="str">
            <v/>
          </cell>
          <cell r="CQ64" t="str">
            <v/>
          </cell>
          <cell r="CR64" t="str">
            <v/>
          </cell>
          <cell r="CS64">
            <v>38412</v>
          </cell>
          <cell r="CT64" t="str">
            <v/>
          </cell>
          <cell r="CV64" t="str">
            <v/>
          </cell>
          <cell r="CW64" t="str">
            <v>STRATEGY AND CHANGE</v>
          </cell>
        </row>
        <row r="65">
          <cell r="A65" t="str">
            <v>CFT4BRN</v>
          </cell>
          <cell r="B65" t="str">
            <v>TEL</v>
          </cell>
          <cell r="C65" t="str">
            <v>HCM</v>
          </cell>
          <cell r="D65" t="str">
            <v>HCM</v>
          </cell>
          <cell r="E65" t="str">
            <v>C&amp;SI</v>
          </cell>
          <cell r="F65" t="str">
            <v>CINGUL WIRE LLC</v>
          </cell>
          <cell r="G65" t="str">
            <v>Prospecting Best Practis</v>
          </cell>
          <cell r="H65" t="str">
            <v>CFT4BRN</v>
          </cell>
          <cell r="I65">
            <v>1</v>
          </cell>
          <cell r="J65" t="str">
            <v>Tony Caudill/Irvine/IBM</v>
          </cell>
          <cell r="K65" t="str">
            <v>Michelle Page-Rivera/Atlanta/IBM</v>
          </cell>
          <cell r="L65" t="str">
            <v>BE</v>
          </cell>
          <cell r="M65">
            <v>38673</v>
          </cell>
          <cell r="N65">
            <v>38717</v>
          </cell>
          <cell r="O65">
            <v>40920</v>
          </cell>
          <cell r="P65">
            <v>52700</v>
          </cell>
          <cell r="Q65">
            <v>40920</v>
          </cell>
          <cell r="R65">
            <v>0.44275142314990512</v>
          </cell>
          <cell r="S65">
            <v>0.34522071307300506</v>
          </cell>
          <cell r="T65" t="str">
            <v/>
          </cell>
          <cell r="U65" t="str">
            <v>Y</v>
          </cell>
          <cell r="V65" t="str">
            <v/>
          </cell>
          <cell r="W65" t="str">
            <v/>
          </cell>
          <cell r="X65" t="str">
            <v>Y</v>
          </cell>
          <cell r="Y65" t="str">
            <v>Y</v>
          </cell>
          <cell r="Z65" t="str">
            <v/>
          </cell>
          <cell r="AA65" t="str">
            <v/>
          </cell>
          <cell r="AC65" t="str">
            <v/>
          </cell>
          <cell r="AD65" t="str">
            <v/>
          </cell>
          <cell r="AE65" t="str">
            <v/>
          </cell>
          <cell r="AF65" t="str">
            <v/>
          </cell>
          <cell r="AG65" t="str">
            <v/>
          </cell>
          <cell r="AH65" t="str">
            <v/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U65" t="str">
            <v>HUMAN CAPITAL MANAGEMENT</v>
          </cell>
          <cell r="AV65" t="str">
            <v>O</v>
          </cell>
          <cell r="AW65">
            <v>153</v>
          </cell>
          <cell r="AX65">
            <v>2</v>
          </cell>
          <cell r="AY65">
            <v>1.3071895424836602E-2</v>
          </cell>
          <cell r="AZ65">
            <v>52700</v>
          </cell>
          <cell r="BA65">
            <v>29367</v>
          </cell>
          <cell r="BB65">
            <v>23333</v>
          </cell>
          <cell r="BC65">
            <v>1175</v>
          </cell>
          <cell r="BD65">
            <v>4.0010896584601767E-2</v>
          </cell>
          <cell r="BE65">
            <v>11780</v>
          </cell>
          <cell r="BF65">
            <v>7713.3</v>
          </cell>
          <cell r="BG65">
            <v>4066.7</v>
          </cell>
          <cell r="BH65">
            <v>-19266.3</v>
          </cell>
          <cell r="BI65">
            <v>-9.7530710076900062E-2</v>
          </cell>
          <cell r="BJ65">
            <v>11780</v>
          </cell>
          <cell r="BK65">
            <v>7713.3</v>
          </cell>
          <cell r="BL65">
            <v>4066.7</v>
          </cell>
          <cell r="BM65">
            <v>0.34522071307300506</v>
          </cell>
          <cell r="BN65">
            <v>-9.7530710076900062E-2</v>
          </cell>
          <cell r="BO65" t="str">
            <v>ISU</v>
          </cell>
          <cell r="BP65" t="str">
            <v>O</v>
          </cell>
          <cell r="BQ65" t="str">
            <v>FX</v>
          </cell>
          <cell r="BR65">
            <v>1730530</v>
          </cell>
          <cell r="BS65" t="str">
            <v>6Y9</v>
          </cell>
          <cell r="BT65">
            <v>8333000</v>
          </cell>
          <cell r="BW65" t="str">
            <v/>
          </cell>
          <cell r="BX65" t="str">
            <v>Unrated</v>
          </cell>
          <cell r="BY65" t="str">
            <v>Under</v>
          </cell>
          <cell r="BZ65" t="str">
            <v/>
          </cell>
          <cell r="CA65" t="str">
            <v/>
          </cell>
          <cell r="CG65">
            <v>5890</v>
          </cell>
          <cell r="CH65">
            <v>0</v>
          </cell>
          <cell r="CI65">
            <v>5890</v>
          </cell>
          <cell r="CJ65">
            <v>1</v>
          </cell>
          <cell r="CK65">
            <v>0.55724857685009488</v>
          </cell>
          <cell r="CM65" t="e">
            <v>#N/A</v>
          </cell>
          <cell r="CN65" t="str">
            <v/>
          </cell>
          <cell r="CO65" t="str">
            <v/>
          </cell>
          <cell r="CP65" t="str">
            <v/>
          </cell>
          <cell r="CQ65" t="str">
            <v/>
          </cell>
          <cell r="CR65" t="str">
            <v/>
          </cell>
          <cell r="CS65">
            <v>38657</v>
          </cell>
          <cell r="CT65" t="str">
            <v/>
          </cell>
          <cell r="CU65" t="str">
            <v/>
          </cell>
          <cell r="CV65" t="str">
            <v/>
          </cell>
          <cell r="CW65" t="str">
            <v>HUMAN CAPITAL MANAGEMENT</v>
          </cell>
        </row>
        <row r="66">
          <cell r="A66" t="str">
            <v>CFTPJ0N</v>
          </cell>
          <cell r="B66" t="str">
            <v>TEL</v>
          </cell>
          <cell r="C66" t="str">
            <v>SCS</v>
          </cell>
          <cell r="D66" t="str">
            <v>SCS</v>
          </cell>
          <cell r="E66" t="str">
            <v>C&amp;SI</v>
          </cell>
          <cell r="F66" t="str">
            <v>CINGUL WIRE LLC</v>
          </cell>
          <cell r="G66" t="str">
            <v>Contracts &amp; Profile Mgr</v>
          </cell>
          <cell r="H66" t="str">
            <v>CFTPJ0N</v>
          </cell>
          <cell r="I66">
            <v>1</v>
          </cell>
          <cell r="J66" t="str">
            <v>Marc J Wisniewski/Atlanta/IBM</v>
          </cell>
          <cell r="K66" t="str">
            <v>Marc J Wisniewski/Atlanta/IBM</v>
          </cell>
          <cell r="L66" t="str">
            <v>BE</v>
          </cell>
          <cell r="M66">
            <v>38544</v>
          </cell>
          <cell r="N66">
            <v>38673</v>
          </cell>
          <cell r="O66">
            <v>0</v>
          </cell>
          <cell r="P66">
            <v>50310</v>
          </cell>
          <cell r="Q66">
            <v>0</v>
          </cell>
          <cell r="R66">
            <v>-7.7777777777777779E-2</v>
          </cell>
          <cell r="S66">
            <v>-0.79594653150467121</v>
          </cell>
          <cell r="T66" t="str">
            <v/>
          </cell>
          <cell r="U66" t="str">
            <v>Y</v>
          </cell>
          <cell r="V66" t="str">
            <v>Y</v>
          </cell>
          <cell r="W66" t="str">
            <v>Y</v>
          </cell>
          <cell r="X66" t="str">
            <v>Y</v>
          </cell>
          <cell r="Y66" t="str">
            <v>Y</v>
          </cell>
          <cell r="Z66" t="str">
            <v/>
          </cell>
          <cell r="AA66" t="str">
            <v/>
          </cell>
          <cell r="AC66" t="str">
            <v/>
          </cell>
          <cell r="AD66" t="str">
            <v/>
          </cell>
          <cell r="AE66" t="str">
            <v/>
          </cell>
          <cell r="AF66" t="str">
            <v/>
          </cell>
          <cell r="AG66" t="str">
            <v/>
          </cell>
          <cell r="AH66" t="str">
            <v/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S66" t="str">
            <v/>
          </cell>
          <cell r="AU66" t="str">
            <v>STRATEGY AND CHANGE</v>
          </cell>
          <cell r="AV66" t="str">
            <v>O</v>
          </cell>
          <cell r="AW66">
            <v>855</v>
          </cell>
          <cell r="AX66">
            <v>0</v>
          </cell>
          <cell r="AY66">
            <v>0</v>
          </cell>
          <cell r="AZ66">
            <v>50310</v>
          </cell>
          <cell r="BA66">
            <v>54223</v>
          </cell>
          <cell r="BB66">
            <v>-3913</v>
          </cell>
          <cell r="BC66">
            <v>2169</v>
          </cell>
          <cell r="BD66">
            <v>4.0001475388672707E-2</v>
          </cell>
          <cell r="BE66">
            <v>50310</v>
          </cell>
          <cell r="BF66">
            <v>90354.07</v>
          </cell>
          <cell r="BG66">
            <v>-40044.07</v>
          </cell>
          <cell r="BH66">
            <v>-36131.07</v>
          </cell>
          <cell r="BI66">
            <v>-0.71816875372689348</v>
          </cell>
          <cell r="BJ66">
            <v>50310</v>
          </cell>
          <cell r="BK66">
            <v>90354.07</v>
          </cell>
          <cell r="BL66">
            <v>-40044.07</v>
          </cell>
          <cell r="BM66">
            <v>-0.79594653150467121</v>
          </cell>
          <cell r="BN66">
            <v>-0.71816875372689348</v>
          </cell>
          <cell r="BO66" t="str">
            <v>ISU</v>
          </cell>
          <cell r="BP66" t="str">
            <v>O</v>
          </cell>
          <cell r="BQ66" t="str">
            <v>FX</v>
          </cell>
          <cell r="BR66">
            <v>1730339</v>
          </cell>
          <cell r="BS66" t="str">
            <v>6Y9</v>
          </cell>
          <cell r="BT66">
            <v>8333000</v>
          </cell>
          <cell r="BW66" t="str">
            <v/>
          </cell>
          <cell r="BX66" t="str">
            <v>Unrated</v>
          </cell>
          <cell r="BY66" t="str">
            <v>Under</v>
          </cell>
          <cell r="BZ66" t="str">
            <v/>
          </cell>
          <cell r="CA66" t="str">
            <v/>
          </cell>
          <cell r="CG66">
            <v>111150</v>
          </cell>
          <cell r="CH66">
            <v>62198.98</v>
          </cell>
          <cell r="CI66">
            <v>48951.02</v>
          </cell>
          <cell r="CJ66">
            <v>0.44040503823661714</v>
          </cell>
          <cell r="CK66">
            <v>0.51818281601439486</v>
          </cell>
          <cell r="CL66" t="str">
            <v/>
          </cell>
          <cell r="CM66" t="str">
            <v/>
          </cell>
          <cell r="CN66" t="str">
            <v/>
          </cell>
          <cell r="CO66" t="str">
            <v/>
          </cell>
          <cell r="CP66" t="str">
            <v/>
          </cell>
          <cell r="CQ66" t="str">
            <v/>
          </cell>
          <cell r="CR66" t="str">
            <v/>
          </cell>
          <cell r="CS66">
            <v>38534</v>
          </cell>
          <cell r="CT66" t="str">
            <v/>
          </cell>
          <cell r="CV66" t="str">
            <v/>
          </cell>
          <cell r="CW66" t="str">
            <v>STRATEGY AND CHANGE</v>
          </cell>
        </row>
        <row r="67">
          <cell r="A67" t="str">
            <v>CFTTCFN</v>
          </cell>
          <cell r="B67" t="str">
            <v>TEL</v>
          </cell>
          <cell r="C67" t="str">
            <v>SCS</v>
          </cell>
          <cell r="D67" t="str">
            <v>SCS</v>
          </cell>
          <cell r="E67" t="str">
            <v>C&amp;SI</v>
          </cell>
          <cell r="F67" t="str">
            <v>CINGUL WIRE LLC</v>
          </cell>
          <cell r="G67" t="str">
            <v>BMG SFA Data Migration</v>
          </cell>
          <cell r="H67" t="str">
            <v>CFTTCFN</v>
          </cell>
          <cell r="I67">
            <v>1</v>
          </cell>
          <cell r="J67" t="str">
            <v>Marc J Wisniewski/Atlanta/IBM</v>
          </cell>
          <cell r="K67" t="str">
            <v>Marc J Wisniewski/Atlanta/IBM</v>
          </cell>
          <cell r="L67" t="str">
            <v>BE</v>
          </cell>
          <cell r="M67">
            <v>38580</v>
          </cell>
          <cell r="N67">
            <v>38611</v>
          </cell>
          <cell r="O67">
            <v>1300</v>
          </cell>
          <cell r="P67">
            <v>1300</v>
          </cell>
          <cell r="Q67">
            <v>1300</v>
          </cell>
          <cell r="R67">
            <v>-10.601538461538462</v>
          </cell>
          <cell r="S67">
            <v>0</v>
          </cell>
          <cell r="T67" t="str">
            <v/>
          </cell>
          <cell r="U67" t="str">
            <v>Y</v>
          </cell>
          <cell r="V67" t="str">
            <v>Y</v>
          </cell>
          <cell r="W67" t="str">
            <v>Y</v>
          </cell>
          <cell r="X67" t="str">
            <v/>
          </cell>
          <cell r="Y67" t="str">
            <v/>
          </cell>
          <cell r="Z67" t="str">
            <v>Y</v>
          </cell>
          <cell r="AA67" t="str">
            <v>Y</v>
          </cell>
          <cell r="AC67" t="str">
            <v/>
          </cell>
          <cell r="AD67" t="str">
            <v/>
          </cell>
          <cell r="AE67" t="str">
            <v/>
          </cell>
          <cell r="AF67" t="str">
            <v/>
          </cell>
          <cell r="AG67" t="str">
            <v/>
          </cell>
          <cell r="AH67" t="str">
            <v/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U67" t="str">
            <v>STRATEGY AND CHANGE</v>
          </cell>
          <cell r="AV67" t="str">
            <v>O</v>
          </cell>
          <cell r="AW67">
            <v>137</v>
          </cell>
          <cell r="AX67">
            <v>0</v>
          </cell>
          <cell r="AY67">
            <v>0</v>
          </cell>
          <cell r="AZ67">
            <v>1300</v>
          </cell>
          <cell r="BA67">
            <v>15082</v>
          </cell>
          <cell r="BB67">
            <v>-13782</v>
          </cell>
          <cell r="BC67">
            <v>603</v>
          </cell>
          <cell r="BD67">
            <v>3.9981434822967774E-2</v>
          </cell>
          <cell r="BE67">
            <v>0</v>
          </cell>
          <cell r="BF67">
            <v>16046.02</v>
          </cell>
          <cell r="BG67">
            <v>-16046.02</v>
          </cell>
          <cell r="BH67">
            <v>-2264.02</v>
          </cell>
          <cell r="BI67">
            <v>10.601538461538462</v>
          </cell>
          <cell r="BJ67">
            <v>0</v>
          </cell>
          <cell r="BK67">
            <v>16046.02</v>
          </cell>
          <cell r="BL67">
            <v>-16046.02</v>
          </cell>
          <cell r="BM67">
            <v>0</v>
          </cell>
          <cell r="BN67">
            <v>10.601538461538462</v>
          </cell>
          <cell r="BO67" t="str">
            <v>ISU</v>
          </cell>
          <cell r="BP67" t="str">
            <v>O</v>
          </cell>
          <cell r="BQ67" t="str">
            <v>FX</v>
          </cell>
          <cell r="BR67">
            <v>1730339</v>
          </cell>
          <cell r="BS67" t="str">
            <v>6Y9</v>
          </cell>
          <cell r="BT67">
            <v>8333000</v>
          </cell>
          <cell r="BW67" t="str">
            <v/>
          </cell>
          <cell r="BX67" t="str">
            <v>Unrated</v>
          </cell>
          <cell r="BY67" t="str">
            <v>Under</v>
          </cell>
          <cell r="BZ67" t="str">
            <v/>
          </cell>
          <cell r="CA67" t="str">
            <v/>
          </cell>
          <cell r="CG67">
            <v>0</v>
          </cell>
          <cell r="CH67">
            <v>16046.02</v>
          </cell>
          <cell r="CI67">
            <v>-16046.02</v>
          </cell>
          <cell r="CJ67">
            <v>0</v>
          </cell>
          <cell r="CK67">
            <v>10.601538461538462</v>
          </cell>
          <cell r="CL67" t="str">
            <v/>
          </cell>
          <cell r="CM67" t="str">
            <v/>
          </cell>
          <cell r="CN67" t="str">
            <v/>
          </cell>
          <cell r="CO67" t="str">
            <v/>
          </cell>
          <cell r="CP67" t="str">
            <v/>
          </cell>
          <cell r="CQ67" t="str">
            <v/>
          </cell>
          <cell r="CR67" t="str">
            <v/>
          </cell>
          <cell r="CS67">
            <v>38565</v>
          </cell>
          <cell r="CT67" t="str">
            <v/>
          </cell>
          <cell r="CV67" t="str">
            <v/>
          </cell>
          <cell r="CW67" t="str">
            <v>STRATEGY AND CHANGE</v>
          </cell>
        </row>
        <row r="68">
          <cell r="A68" t="str">
            <v>CFTT3KL</v>
          </cell>
          <cell r="B68" t="str">
            <v>TEL</v>
          </cell>
          <cell r="C68" t="str">
            <v>AIS</v>
          </cell>
          <cell r="D68" t="str">
            <v>AIS</v>
          </cell>
          <cell r="E68" t="str">
            <v>C&amp;SI</v>
          </cell>
          <cell r="F68" t="str">
            <v>CINGULAR/AWS</v>
          </cell>
          <cell r="G68" t="str">
            <v>AWS PCR8 MMS VITRIA</v>
          </cell>
          <cell r="H68" t="str">
            <v>CFTT3KL</v>
          </cell>
          <cell r="I68">
            <v>1</v>
          </cell>
          <cell r="J68" t="str">
            <v>Peter J Kranz/San Francisco/IBM</v>
          </cell>
          <cell r="K68" t="str">
            <v>Dorothy L Mckee/Atlanta/IBM</v>
          </cell>
          <cell r="L68" t="str">
            <v>BE</v>
          </cell>
          <cell r="M68">
            <v>38353</v>
          </cell>
          <cell r="N68">
            <v>38748</v>
          </cell>
          <cell r="O68">
            <v>337789</v>
          </cell>
          <cell r="P68">
            <v>2577296</v>
          </cell>
          <cell r="Q68">
            <v>337789</v>
          </cell>
          <cell r="R68">
            <v>0.53336752937962884</v>
          </cell>
          <cell r="S68">
            <v>0.40835722326387019</v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>Y</v>
          </cell>
          <cell r="Y68" t="str">
            <v>Y</v>
          </cell>
          <cell r="Z68" t="str">
            <v/>
          </cell>
          <cell r="AA68" t="str">
            <v/>
          </cell>
          <cell r="AC68" t="str">
            <v/>
          </cell>
          <cell r="AD68" t="str">
            <v/>
          </cell>
          <cell r="AE68" t="str">
            <v>Coleman</v>
          </cell>
          <cell r="AF68" t="str">
            <v/>
          </cell>
          <cell r="AG68" t="str">
            <v/>
          </cell>
          <cell r="AH68" t="str">
            <v>Don Mak</v>
          </cell>
          <cell r="AI68" t="str">
            <v>L</v>
          </cell>
          <cell r="AJ68" t="str">
            <v>A</v>
          </cell>
          <cell r="AK68">
            <v>38353</v>
          </cell>
          <cell r="AL68">
            <v>38718</v>
          </cell>
          <cell r="AM68" t="str">
            <v>G</v>
          </cell>
          <cell r="AN68" t="str">
            <v>G</v>
          </cell>
          <cell r="AO68" t="str">
            <v>G</v>
          </cell>
          <cell r="AP68" t="str">
            <v>Y</v>
          </cell>
          <cell r="AQ68" t="str">
            <v>G</v>
          </cell>
          <cell r="AR68" t="str">
            <v>G</v>
          </cell>
          <cell r="AS68" t="str">
            <v>G</v>
          </cell>
          <cell r="AU68" t="str">
            <v>APPLICATION INNOVATION</v>
          </cell>
          <cell r="AV68" t="str">
            <v>O</v>
          </cell>
          <cell r="AW68">
            <v>16330.5</v>
          </cell>
          <cell r="AX68">
            <v>13.5</v>
          </cell>
          <cell r="AY68">
            <v>8.2667401488013229E-4</v>
          </cell>
          <cell r="AZ68">
            <v>2577296</v>
          </cell>
          <cell r="BA68">
            <v>1202650</v>
          </cell>
          <cell r="BB68">
            <v>1374646</v>
          </cell>
          <cell r="BC68">
            <v>94007</v>
          </cell>
          <cell r="BD68">
            <v>7.8166548871242678E-2</v>
          </cell>
          <cell r="BE68">
            <v>2239507</v>
          </cell>
          <cell r="BF68">
            <v>1324988.1399999999</v>
          </cell>
          <cell r="BG68">
            <v>914518.86</v>
          </cell>
          <cell r="BH68">
            <v>-460127.14</v>
          </cell>
          <cell r="BI68">
            <v>-0.12501030611575864</v>
          </cell>
          <cell r="BJ68">
            <v>2239507</v>
          </cell>
          <cell r="BK68">
            <v>1324988.1399999999</v>
          </cell>
          <cell r="BL68">
            <v>914518.86</v>
          </cell>
          <cell r="BM68">
            <v>0.40835722326387019</v>
          </cell>
          <cell r="BN68">
            <v>-0.12501030611575864</v>
          </cell>
          <cell r="BO68" t="str">
            <v>ISU</v>
          </cell>
          <cell r="BP68" t="str">
            <v>O</v>
          </cell>
          <cell r="BQ68" t="str">
            <v>FY</v>
          </cell>
          <cell r="BR68">
            <v>1730829</v>
          </cell>
          <cell r="BS68" t="str">
            <v>6Y3</v>
          </cell>
          <cell r="BT68">
            <v>8333000</v>
          </cell>
          <cell r="BW68" t="str">
            <v/>
          </cell>
          <cell r="BX68" t="str">
            <v>Rated</v>
          </cell>
          <cell r="BY68" t="str">
            <v>Over</v>
          </cell>
          <cell r="BZ68" t="str">
            <v>A</v>
          </cell>
          <cell r="CA68" t="str">
            <v>L</v>
          </cell>
          <cell r="CG68">
            <v>2091329</v>
          </cell>
          <cell r="CH68">
            <v>1241985</v>
          </cell>
          <cell r="CI68">
            <v>849344</v>
          </cell>
          <cell r="CJ68">
            <v>0.40612643921640257</v>
          </cell>
          <cell r="CK68">
            <v>-0.12724109016322627</v>
          </cell>
          <cell r="CL68" t="str">
            <v>Abbreviated Phone Review</v>
          </cell>
          <cell r="CM68" t="str">
            <v/>
          </cell>
          <cell r="CN68" t="str">
            <v/>
          </cell>
          <cell r="CO68" t="str">
            <v/>
          </cell>
          <cell r="CP68" t="str">
            <v/>
          </cell>
          <cell r="CQ68" t="str">
            <v>Enterprise Integration</v>
          </cell>
          <cell r="CR68" t="str">
            <v>Phone review?</v>
          </cell>
          <cell r="CS68">
            <v>38353</v>
          </cell>
          <cell r="CT68" t="str">
            <v/>
          </cell>
          <cell r="CU68" t="str">
            <v>6955-24D</v>
          </cell>
          <cell r="CV68" t="str">
            <v>AMS</v>
          </cell>
          <cell r="CW68" t="str">
            <v>APPLICATION INNOVATION</v>
          </cell>
        </row>
        <row r="69">
          <cell r="A69" t="str">
            <v>CFTKPPN</v>
          </cell>
          <cell r="B69" t="str">
            <v>MED</v>
          </cell>
          <cell r="C69" t="str">
            <v>SCS</v>
          </cell>
          <cell r="D69" t="str">
            <v>AIS</v>
          </cell>
          <cell r="E69" t="str">
            <v>C&amp;SI</v>
          </cell>
          <cell r="F69" t="str">
            <v>COMCAS</v>
          </cell>
          <cell r="G69" t="str">
            <v>Network Assessment and St...</v>
          </cell>
          <cell r="H69" t="str">
            <v>CFTKPPN</v>
          </cell>
          <cell r="I69">
            <v>1</v>
          </cell>
          <cell r="J69" t="str">
            <v>Sonny Saksena/New York/IBM</v>
          </cell>
          <cell r="K69" t="str">
            <v>Matthew J King/Los Angeles/IBM</v>
          </cell>
          <cell r="L69" t="str">
            <v>FP</v>
          </cell>
          <cell r="M69">
            <v>38509</v>
          </cell>
          <cell r="N69">
            <v>38671</v>
          </cell>
          <cell r="O69">
            <v>19186.919999999925</v>
          </cell>
          <cell r="P69">
            <v>1160000</v>
          </cell>
          <cell r="Q69">
            <v>19186.919999999925</v>
          </cell>
          <cell r="R69">
            <v>0.4765844827586207</v>
          </cell>
          <cell r="S69">
            <v>0.45454668174036011</v>
          </cell>
          <cell r="T69" t="str">
            <v/>
          </cell>
          <cell r="U69" t="str">
            <v>Y</v>
          </cell>
          <cell r="V69" t="str">
            <v/>
          </cell>
          <cell r="W69" t="str">
            <v/>
          </cell>
          <cell r="X69" t="str">
            <v>Y</v>
          </cell>
          <cell r="Y69" t="str">
            <v/>
          </cell>
          <cell r="Z69" t="str">
            <v/>
          </cell>
          <cell r="AA69" t="str">
            <v/>
          </cell>
          <cell r="AC69" t="str">
            <v>Y</v>
          </cell>
          <cell r="AD69" t="str">
            <v/>
          </cell>
          <cell r="AE69" t="str">
            <v>Haidet</v>
          </cell>
          <cell r="AF69" t="str">
            <v/>
          </cell>
          <cell r="AG69" t="str">
            <v/>
          </cell>
          <cell r="AH69" t="str">
            <v>Tom Crane</v>
          </cell>
          <cell r="AI69" t="str">
            <v>M</v>
          </cell>
          <cell r="AJ69" t="str">
            <v>B</v>
          </cell>
          <cell r="AK69">
            <v>38565</v>
          </cell>
          <cell r="AL69" t="str">
            <v>N/A</v>
          </cell>
          <cell r="AM69" t="str">
            <v>G</v>
          </cell>
          <cell r="AN69" t="str">
            <v>G</v>
          </cell>
          <cell r="AO69" t="str">
            <v>G</v>
          </cell>
          <cell r="AP69" t="str">
            <v>Y</v>
          </cell>
          <cell r="AQ69" t="str">
            <v>Y</v>
          </cell>
          <cell r="AR69" t="str">
            <v>G</v>
          </cell>
          <cell r="AS69" t="str">
            <v>Y</v>
          </cell>
          <cell r="AU69" t="str">
            <v>STRATEGY AND CHANGE</v>
          </cell>
          <cell r="AV69" t="str">
            <v>O</v>
          </cell>
          <cell r="AW69">
            <v>3771.1</v>
          </cell>
          <cell r="AX69">
            <v>326.89999999999998</v>
          </cell>
          <cell r="AY69">
            <v>8.6685582456047308E-2</v>
          </cell>
          <cell r="AZ69">
            <v>1160000</v>
          </cell>
          <cell r="BA69">
            <v>607162</v>
          </cell>
          <cell r="BB69">
            <v>552838</v>
          </cell>
          <cell r="BC69">
            <v>60716</v>
          </cell>
          <cell r="BD69">
            <v>9.9999670598621124E-2</v>
          </cell>
          <cell r="BE69">
            <v>1140813.08</v>
          </cell>
          <cell r="BF69">
            <v>622260.28</v>
          </cell>
          <cell r="BG69">
            <v>518552.8</v>
          </cell>
          <cell r="BH69">
            <v>-34285.199999999997</v>
          </cell>
          <cell r="BI69">
            <v>-2.2037801018260583E-2</v>
          </cell>
          <cell r="BJ69">
            <v>1140813.08</v>
          </cell>
          <cell r="BK69">
            <v>622260.28</v>
          </cell>
          <cell r="BL69">
            <v>518552.8</v>
          </cell>
          <cell r="BM69">
            <v>0.45454668174036011</v>
          </cell>
          <cell r="BN69">
            <v>-2.2037801018260583E-2</v>
          </cell>
          <cell r="BO69" t="str">
            <v>ISU</v>
          </cell>
          <cell r="BP69" t="str">
            <v>O</v>
          </cell>
          <cell r="BQ69" t="str">
            <v>FX</v>
          </cell>
          <cell r="BR69">
            <v>1979342</v>
          </cell>
          <cell r="BS69" t="str">
            <v>6YR</v>
          </cell>
          <cell r="BT69">
            <v>1980930</v>
          </cell>
          <cell r="BW69" t="str">
            <v/>
          </cell>
          <cell r="BX69" t="str">
            <v>Rated</v>
          </cell>
          <cell r="BY69" t="str">
            <v>Over</v>
          </cell>
          <cell r="BZ69" t="str">
            <v>B</v>
          </cell>
          <cell r="CA69" t="str">
            <v>M</v>
          </cell>
          <cell r="CG69">
            <v>1160000</v>
          </cell>
          <cell r="CH69">
            <v>630377.54</v>
          </cell>
          <cell r="CI69">
            <v>529622.46</v>
          </cell>
          <cell r="CJ69">
            <v>0.45657108620689651</v>
          </cell>
          <cell r="CK69">
            <v>-2.0013396551724183E-2</v>
          </cell>
          <cell r="CL69" t="str">
            <v>Changed to AIS</v>
          </cell>
          <cell r="CM69" t="str">
            <v/>
          </cell>
          <cell r="CN69" t="str">
            <v/>
          </cell>
          <cell r="CO69" t="str">
            <v>SC</v>
          </cell>
          <cell r="CP69" t="str">
            <v>AIS</v>
          </cell>
          <cell r="CQ69" t="str">
            <v>IT Strategy / Architectural</v>
          </cell>
          <cell r="CR69" t="str">
            <v>Should be AIS.- High Risk.  Should be SC</v>
          </cell>
          <cell r="CS69">
            <v>38504</v>
          </cell>
          <cell r="CT69" t="str">
            <v/>
          </cell>
          <cell r="CU69" t="str">
            <v>6955-24A</v>
          </cell>
          <cell r="CV69" t="str">
            <v>AIS</v>
          </cell>
          <cell r="CW69" t="str">
            <v>APPLICATION INNOVATION</v>
          </cell>
        </row>
        <row r="70">
          <cell r="A70" t="str">
            <v>CFT5YDN</v>
          </cell>
          <cell r="B70" t="str">
            <v>MED</v>
          </cell>
          <cell r="C70" t="str">
            <v>AIS</v>
          </cell>
          <cell r="D70" t="str">
            <v>AIS</v>
          </cell>
          <cell r="E70" t="str">
            <v>C&amp;SI</v>
          </cell>
          <cell r="F70" t="str">
            <v>COMCAS</v>
          </cell>
          <cell r="G70" t="str">
            <v>Next Gen Messaging</v>
          </cell>
          <cell r="H70" t="str">
            <v>CFT5YDN</v>
          </cell>
          <cell r="I70">
            <v>1</v>
          </cell>
          <cell r="J70" t="str">
            <v>JACQUES PEAY/New York/IBM</v>
          </cell>
          <cell r="K70" t="str">
            <v>JACQUES PEAY/New York/IBM</v>
          </cell>
          <cell r="L70" t="str">
            <v>BE</v>
          </cell>
          <cell r="M70">
            <v>38719</v>
          </cell>
          <cell r="N70">
            <v>38780</v>
          </cell>
          <cell r="O70">
            <v>190080</v>
          </cell>
          <cell r="P70">
            <v>190080</v>
          </cell>
          <cell r="Q70">
            <v>190080</v>
          </cell>
          <cell r="R70">
            <v>1</v>
          </cell>
          <cell r="S70">
            <v>0</v>
          </cell>
          <cell r="T70" t="str">
            <v>Y</v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C70" t="str">
            <v/>
          </cell>
          <cell r="AD70" t="str">
            <v/>
          </cell>
          <cell r="AU70" t="str">
            <v>APPLICATION INNOVATION</v>
          </cell>
          <cell r="AV70" t="str">
            <v>O</v>
          </cell>
          <cell r="AW70">
            <v>0</v>
          </cell>
          <cell r="AX70">
            <v>0</v>
          </cell>
          <cell r="AY70">
            <v>0</v>
          </cell>
          <cell r="AZ70">
            <v>190080</v>
          </cell>
          <cell r="BA70">
            <v>0</v>
          </cell>
          <cell r="BB70">
            <v>190080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-190080</v>
          </cell>
          <cell r="BI70">
            <v>-1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-1</v>
          </cell>
          <cell r="BO70" t="str">
            <v>ISU</v>
          </cell>
          <cell r="BP70" t="str">
            <v>O</v>
          </cell>
          <cell r="BQ70" t="str">
            <v>FX</v>
          </cell>
          <cell r="BR70">
            <v>1979342</v>
          </cell>
          <cell r="BS70" t="str">
            <v>6YR</v>
          </cell>
          <cell r="BT70">
            <v>1980930</v>
          </cell>
          <cell r="BW70" t="str">
            <v/>
          </cell>
          <cell r="BX70" t="str">
            <v>Unrated</v>
          </cell>
          <cell r="BY70" t="str">
            <v>Under</v>
          </cell>
          <cell r="BZ70" t="str">
            <v/>
          </cell>
          <cell r="CA70" t="str">
            <v/>
          </cell>
          <cell r="CG70">
            <v>190089</v>
          </cell>
          <cell r="CH70">
            <v>111369</v>
          </cell>
          <cell r="CI70">
            <v>78720</v>
          </cell>
          <cell r="CJ70">
            <v>0.41412180610135252</v>
          </cell>
          <cell r="CK70">
            <v>-0.58587819389864748</v>
          </cell>
          <cell r="CM70" t="e">
            <v>#N/A</v>
          </cell>
          <cell r="CS70">
            <v>38718</v>
          </cell>
          <cell r="CV70" t="str">
            <v/>
          </cell>
          <cell r="CW70" t="str">
            <v>APPLICATION INNOVATION</v>
          </cell>
        </row>
        <row r="71">
          <cell r="A71" t="str">
            <v>CFTKS4G</v>
          </cell>
          <cell r="B71" t="str">
            <v>UTL</v>
          </cell>
          <cell r="C71" t="str">
            <v>CRM</v>
          </cell>
          <cell r="D71" t="str">
            <v>CRM</v>
          </cell>
          <cell r="E71" t="str">
            <v>C&amp;SI</v>
          </cell>
          <cell r="F71" t="str">
            <v>CON EDISON NY</v>
          </cell>
          <cell r="G71" t="str">
            <v>ONE BILL CONTRACT</v>
          </cell>
          <cell r="H71" t="str">
            <v>CFTKS4G</v>
          </cell>
          <cell r="I71">
            <v>1</v>
          </cell>
          <cell r="J71" t="str">
            <v>John Hutchinson/Piscataway/IBM</v>
          </cell>
          <cell r="K71" t="str">
            <v>Lyndon D Leffler/Cleveland/IBM</v>
          </cell>
          <cell r="L71" t="str">
            <v>BE</v>
          </cell>
          <cell r="M71">
            <v>37193</v>
          </cell>
          <cell r="N71">
            <v>39082</v>
          </cell>
          <cell r="O71">
            <v>662831.6</v>
          </cell>
          <cell r="P71">
            <v>3585683.6</v>
          </cell>
          <cell r="Q71">
            <v>662831.6</v>
          </cell>
          <cell r="R71">
            <v>0.2077979217128918</v>
          </cell>
          <cell r="S71">
            <v>0.36797567581252827</v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>Y</v>
          </cell>
          <cell r="AA71" t="str">
            <v/>
          </cell>
          <cell r="AC71" t="str">
            <v>Y</v>
          </cell>
          <cell r="AD71" t="str">
            <v>Y</v>
          </cell>
          <cell r="AE71" t="str">
            <v>Imam</v>
          </cell>
          <cell r="AF71" t="str">
            <v/>
          </cell>
          <cell r="AG71" t="str">
            <v/>
          </cell>
          <cell r="AH71" t="str">
            <v/>
          </cell>
          <cell r="AI71" t="str">
            <v>L</v>
          </cell>
          <cell r="AJ71" t="str">
            <v>B</v>
          </cell>
          <cell r="AK71">
            <v>38565</v>
          </cell>
          <cell r="AL71">
            <v>38754</v>
          </cell>
          <cell r="AM71" t="str">
            <v>G</v>
          </cell>
          <cell r="AN71" t="str">
            <v>G</v>
          </cell>
          <cell r="AO71" t="str">
            <v>G</v>
          </cell>
          <cell r="AP71" t="str">
            <v>G</v>
          </cell>
          <cell r="AQ71" t="str">
            <v>G</v>
          </cell>
          <cell r="AR71" t="str">
            <v>G</v>
          </cell>
          <cell r="AS71" t="str">
            <v>Y</v>
          </cell>
          <cell r="AU71" t="str">
            <v>CUSTOMER RELATIONSHIP MANAGEMENT</v>
          </cell>
          <cell r="AV71" t="str">
            <v>O</v>
          </cell>
          <cell r="AW71">
            <v>22163.200000000001</v>
          </cell>
          <cell r="AX71">
            <v>385.2</v>
          </cell>
          <cell r="AY71">
            <v>1.7380161709500432E-2</v>
          </cell>
          <cell r="AZ71">
            <v>3585683.6</v>
          </cell>
          <cell r="BA71">
            <v>2840586</v>
          </cell>
          <cell r="BB71">
            <v>745097.6</v>
          </cell>
          <cell r="BC71">
            <v>80948</v>
          </cell>
          <cell r="BD71">
            <v>2.8496936899639721E-2</v>
          </cell>
          <cell r="BE71">
            <v>2922852</v>
          </cell>
          <cell r="BF71">
            <v>1847313.56</v>
          </cell>
          <cell r="BG71">
            <v>1075538.44</v>
          </cell>
          <cell r="BH71">
            <v>330440.84000000003</v>
          </cell>
          <cell r="BI71">
            <v>0.16017775409963647</v>
          </cell>
          <cell r="BJ71">
            <v>848045</v>
          </cell>
          <cell r="BK71">
            <v>514504.85</v>
          </cell>
          <cell r="BL71">
            <v>333540.15000000002</v>
          </cell>
          <cell r="BM71">
            <v>0.39330477745874337</v>
          </cell>
          <cell r="BN71">
            <v>0.18550685574585157</v>
          </cell>
          <cell r="BO71" t="str">
            <v>ISU</v>
          </cell>
          <cell r="BP71" t="str">
            <v>O</v>
          </cell>
          <cell r="BQ71" t="str">
            <v>FX</v>
          </cell>
          <cell r="BR71">
            <v>2096000</v>
          </cell>
          <cell r="BS71" t="str">
            <v>6Y0</v>
          </cell>
          <cell r="BT71">
            <v>2096000</v>
          </cell>
          <cell r="BW71" t="str">
            <v/>
          </cell>
          <cell r="BX71" t="str">
            <v>Rated</v>
          </cell>
          <cell r="BY71" t="str">
            <v>Over</v>
          </cell>
          <cell r="BZ71" t="str">
            <v>B</v>
          </cell>
          <cell r="CA71" t="str">
            <v>L</v>
          </cell>
          <cell r="CG71">
            <v>3095484</v>
          </cell>
          <cell r="CH71">
            <v>1948632.15</v>
          </cell>
          <cell r="CI71">
            <v>1146851.8500000001</v>
          </cell>
          <cell r="CJ71">
            <v>0.37049193276398784</v>
          </cell>
          <cell r="CK71">
            <v>0.16269401105109604</v>
          </cell>
          <cell r="CL71" t="str">
            <v>Got an extension</v>
          </cell>
          <cell r="CM71" t="str">
            <v/>
          </cell>
          <cell r="CN71" t="str">
            <v/>
          </cell>
          <cell r="CO71" t="str">
            <v/>
          </cell>
          <cell r="CP71" t="str">
            <v/>
          </cell>
          <cell r="CQ71" t="str">
            <v/>
          </cell>
          <cell r="CR71" t="str">
            <v/>
          </cell>
          <cell r="CS71">
            <v>37165</v>
          </cell>
          <cell r="CT71" t="str">
            <v/>
          </cell>
          <cell r="CV71" t="str">
            <v/>
          </cell>
          <cell r="CW71" t="str">
            <v>CUSTOMER RELATIONSHIP MANAGEMENT</v>
          </cell>
        </row>
        <row r="72">
          <cell r="A72" t="str">
            <v>CFT449N</v>
          </cell>
          <cell r="B72" t="str">
            <v>MED</v>
          </cell>
          <cell r="C72" t="str">
            <v>HCM</v>
          </cell>
          <cell r="D72" t="str">
            <v>HCM</v>
          </cell>
          <cell r="E72" t="str">
            <v>C&amp;SI</v>
          </cell>
          <cell r="F72" t="str">
            <v>DIRECT OP LLC</v>
          </cell>
          <cell r="G72" t="str">
            <v>DTV Testing Methodology</v>
          </cell>
          <cell r="H72" t="str">
            <v>CFT449N</v>
          </cell>
          <cell r="I72">
            <v>1</v>
          </cell>
          <cell r="J72" t="str">
            <v>Richard P Whittington/Irvine/IBM</v>
          </cell>
          <cell r="K72" t="str">
            <v>Uday Bindingnavle/Baltimore/IBM</v>
          </cell>
          <cell r="L72" t="str">
            <v>BE</v>
          </cell>
          <cell r="M72">
            <v>38691</v>
          </cell>
          <cell r="N72">
            <v>38758</v>
          </cell>
          <cell r="O72">
            <v>203280</v>
          </cell>
          <cell r="P72">
            <v>274912</v>
          </cell>
          <cell r="Q72">
            <v>203280</v>
          </cell>
          <cell r="R72">
            <v>0.44884544872541032</v>
          </cell>
          <cell r="S72">
            <v>0.37549070247933886</v>
          </cell>
          <cell r="T72" t="str">
            <v>Y</v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>Y</v>
          </cell>
          <cell r="Z72" t="str">
            <v/>
          </cell>
          <cell r="AA72" t="str">
            <v/>
          </cell>
          <cell r="AC72" t="str">
            <v/>
          </cell>
          <cell r="AD72" t="str">
            <v/>
          </cell>
          <cell r="AU72" t="str">
            <v>HUMAN CAPITAL MANAGEMENT</v>
          </cell>
          <cell r="AV72" t="str">
            <v>O</v>
          </cell>
          <cell r="AW72">
            <v>346</v>
          </cell>
          <cell r="AX72">
            <v>0</v>
          </cell>
          <cell r="AY72">
            <v>0</v>
          </cell>
          <cell r="AZ72">
            <v>274912</v>
          </cell>
          <cell r="BA72">
            <v>151519</v>
          </cell>
          <cell r="BB72">
            <v>123393</v>
          </cell>
          <cell r="BC72">
            <v>6256</v>
          </cell>
          <cell r="BD72">
            <v>4.1288551270797724E-2</v>
          </cell>
          <cell r="BE72">
            <v>71632</v>
          </cell>
          <cell r="BF72">
            <v>44734.85</v>
          </cell>
          <cell r="BG72">
            <v>26897.15</v>
          </cell>
          <cell r="BH72">
            <v>-96495.85</v>
          </cell>
          <cell r="BI72">
            <v>-7.3354746246071467E-2</v>
          </cell>
          <cell r="BJ72">
            <v>71632</v>
          </cell>
          <cell r="BK72">
            <v>44734.85</v>
          </cell>
          <cell r="BL72">
            <v>26897.15</v>
          </cell>
          <cell r="BM72">
            <v>0.37549070247933886</v>
          </cell>
          <cell r="BN72">
            <v>-7.3354746246071467E-2</v>
          </cell>
          <cell r="BO72" t="str">
            <v>ISU</v>
          </cell>
          <cell r="BP72" t="str">
            <v>O</v>
          </cell>
          <cell r="BQ72" t="str">
            <v>FX</v>
          </cell>
          <cell r="BR72">
            <v>2556106</v>
          </cell>
          <cell r="BS72" t="str">
            <v>6YM</v>
          </cell>
          <cell r="BT72">
            <v>8828035</v>
          </cell>
          <cell r="BW72" t="str">
            <v/>
          </cell>
          <cell r="BX72" t="str">
            <v>Unrated</v>
          </cell>
          <cell r="BY72" t="str">
            <v>Under</v>
          </cell>
          <cell r="BZ72" t="str">
            <v/>
          </cell>
          <cell r="CA72" t="str">
            <v/>
          </cell>
          <cell r="CG72">
            <v>203280</v>
          </cell>
          <cell r="CH72">
            <v>101013</v>
          </cell>
          <cell r="CI72">
            <v>102267</v>
          </cell>
          <cell r="CJ72">
            <v>0.50308441558441563</v>
          </cell>
          <cell r="CK72">
            <v>5.4238966859005311E-2</v>
          </cell>
          <cell r="CM72" t="e">
            <v>#N/A</v>
          </cell>
          <cell r="CS72">
            <v>38687</v>
          </cell>
          <cell r="CV72" t="str">
            <v/>
          </cell>
          <cell r="CW72" t="str">
            <v>HUMAN CAPITAL MANAGEMENT</v>
          </cell>
        </row>
        <row r="73">
          <cell r="A73" t="str">
            <v>CFTM5NM</v>
          </cell>
          <cell r="B73" t="str">
            <v>MED</v>
          </cell>
          <cell r="C73" t="str">
            <v>SCM</v>
          </cell>
          <cell r="D73" t="str">
            <v>SCM</v>
          </cell>
          <cell r="E73" t="str">
            <v>C&amp;SI</v>
          </cell>
          <cell r="F73" t="str">
            <v>DISNEY - BVHV</v>
          </cell>
          <cell r="G73" t="str">
            <v>PDM Implementation       ...</v>
          </cell>
          <cell r="H73" t="str">
            <v>CFTM5NM</v>
          </cell>
          <cell r="I73">
            <v>1</v>
          </cell>
          <cell r="J73" t="str">
            <v>Larry Layden/Chicago/IBM</v>
          </cell>
          <cell r="K73" t="str">
            <v>Kate M Hoisington/Los Angeles/IBM</v>
          </cell>
          <cell r="L73" t="str">
            <v>BE</v>
          </cell>
          <cell r="M73">
            <v>38237</v>
          </cell>
          <cell r="N73">
            <v>38709</v>
          </cell>
          <cell r="O73">
            <v>30646</v>
          </cell>
          <cell r="P73">
            <v>1466200</v>
          </cell>
          <cell r="Q73">
            <v>30646</v>
          </cell>
          <cell r="R73">
            <v>0.4402953212385759</v>
          </cell>
          <cell r="S73">
            <v>0.40187035109790364</v>
          </cell>
          <cell r="T73" t="str">
            <v/>
          </cell>
          <cell r="U73" t="str">
            <v>Y</v>
          </cell>
          <cell r="V73" t="str">
            <v/>
          </cell>
          <cell r="W73" t="str">
            <v/>
          </cell>
          <cell r="X73" t="str">
            <v>Y</v>
          </cell>
          <cell r="Y73" t="str">
            <v/>
          </cell>
          <cell r="Z73" t="str">
            <v/>
          </cell>
          <cell r="AA73" t="str">
            <v/>
          </cell>
          <cell r="AC73" t="str">
            <v>Y</v>
          </cell>
          <cell r="AD73" t="str">
            <v/>
          </cell>
          <cell r="AE73" t="str">
            <v>Imam</v>
          </cell>
          <cell r="AF73" t="str">
            <v/>
          </cell>
          <cell r="AG73" t="str">
            <v/>
          </cell>
          <cell r="AH73" t="str">
            <v/>
          </cell>
          <cell r="AI73" t="str">
            <v>L</v>
          </cell>
          <cell r="AJ73" t="str">
            <v>*CLOSING*</v>
          </cell>
          <cell r="AK73">
            <v>38120</v>
          </cell>
          <cell r="AL73" t="str">
            <v>N/A</v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U73" t="str">
            <v>SUPPLY CHAIN MANAGEMENT</v>
          </cell>
          <cell r="AV73" t="str">
            <v>O</v>
          </cell>
          <cell r="AW73">
            <v>10429.5</v>
          </cell>
          <cell r="AX73">
            <v>2209.5</v>
          </cell>
          <cell r="AY73">
            <v>0.21185099956853157</v>
          </cell>
          <cell r="AZ73">
            <v>1466200</v>
          </cell>
          <cell r="BA73">
            <v>820639</v>
          </cell>
          <cell r="BB73">
            <v>645561</v>
          </cell>
          <cell r="BC73">
            <v>32825</v>
          </cell>
          <cell r="BD73">
            <v>3.9999317604939563E-2</v>
          </cell>
          <cell r="BE73">
            <v>1435554</v>
          </cell>
          <cell r="BF73">
            <v>858647.41</v>
          </cell>
          <cell r="BG73">
            <v>576906.59</v>
          </cell>
          <cell r="BH73">
            <v>-68654.41</v>
          </cell>
          <cell r="BI73">
            <v>-3.8424970140672254E-2</v>
          </cell>
          <cell r="BJ73">
            <v>1101164</v>
          </cell>
          <cell r="BK73">
            <v>620194.32999999996</v>
          </cell>
          <cell r="BL73">
            <v>480969.67</v>
          </cell>
          <cell r="BM73">
            <v>0.43678295876000311</v>
          </cell>
          <cell r="BN73">
            <v>-3.5123624785727836E-3</v>
          </cell>
          <cell r="BO73" t="str">
            <v>ISU</v>
          </cell>
          <cell r="BP73" t="str">
            <v>O</v>
          </cell>
          <cell r="BQ73" t="str">
            <v>FX</v>
          </cell>
          <cell r="BR73">
            <v>3043280</v>
          </cell>
          <cell r="BS73" t="str">
            <v>6YM</v>
          </cell>
          <cell r="BT73">
            <v>9831300</v>
          </cell>
          <cell r="BW73" t="str">
            <v/>
          </cell>
          <cell r="BX73" t="str">
            <v>Rated</v>
          </cell>
          <cell r="BY73" t="str">
            <v>Over</v>
          </cell>
          <cell r="BZ73" t="str">
            <v>Other</v>
          </cell>
          <cell r="CA73" t="str">
            <v/>
          </cell>
          <cell r="CG73">
            <v>1425362</v>
          </cell>
          <cell r="CH73">
            <v>853107.53</v>
          </cell>
          <cell r="CI73">
            <v>572254.47</v>
          </cell>
          <cell r="CJ73">
            <v>0.40148009417958386</v>
          </cell>
          <cell r="CK73">
            <v>-3.8815227058992041E-2</v>
          </cell>
          <cell r="CL73" t="str">
            <v/>
          </cell>
          <cell r="CM73" t="str">
            <v/>
          </cell>
          <cell r="CN73" t="str">
            <v/>
          </cell>
          <cell r="CO73" t="str">
            <v/>
          </cell>
          <cell r="CP73" t="str">
            <v/>
          </cell>
          <cell r="CQ73" t="str">
            <v/>
          </cell>
          <cell r="CR73" t="str">
            <v/>
          </cell>
          <cell r="CS73">
            <v>38231</v>
          </cell>
          <cell r="CT73" t="str">
            <v/>
          </cell>
          <cell r="CV73" t="str">
            <v/>
          </cell>
          <cell r="CW73" t="str">
            <v>SUPPLY CHAIN MANAGEMENT</v>
          </cell>
        </row>
        <row r="74">
          <cell r="A74" t="str">
            <v>CFTM73N</v>
          </cell>
          <cell r="B74" t="str">
            <v>MED</v>
          </cell>
          <cell r="C74" t="str">
            <v>FM</v>
          </cell>
          <cell r="D74" t="str">
            <v>FM</v>
          </cell>
          <cell r="E74" t="str">
            <v>C&amp;SI</v>
          </cell>
          <cell r="F74" t="str">
            <v>DISNEY WORL SV</v>
          </cell>
          <cell r="G74" t="str">
            <v>DISNEY DES RETAINED BACKF...</v>
          </cell>
          <cell r="H74" t="str">
            <v>CFTM73N</v>
          </cell>
          <cell r="I74">
            <v>1</v>
          </cell>
          <cell r="J74">
            <v>0</v>
          </cell>
          <cell r="K74" t="str">
            <v>Robin Erwin/Irvine/IBM</v>
          </cell>
          <cell r="L74" t="str">
            <v>FP</v>
          </cell>
          <cell r="M74">
            <v>38558</v>
          </cell>
          <cell r="N74">
            <v>38717</v>
          </cell>
          <cell r="O74">
            <v>248356</v>
          </cell>
          <cell r="P74">
            <v>248356</v>
          </cell>
          <cell r="Q74">
            <v>248356</v>
          </cell>
          <cell r="R74">
            <v>1</v>
          </cell>
          <cell r="S74">
            <v>0</v>
          </cell>
          <cell r="T74" t="str">
            <v/>
          </cell>
          <cell r="U74" t="str">
            <v>Y</v>
          </cell>
          <cell r="V74" t="str">
            <v/>
          </cell>
          <cell r="W74" t="str">
            <v/>
          </cell>
          <cell r="X74" t="str">
            <v>Y</v>
          </cell>
          <cell r="Y74" t="str">
            <v/>
          </cell>
          <cell r="Z74" t="str">
            <v/>
          </cell>
          <cell r="AA74" t="str">
            <v>Y</v>
          </cell>
          <cell r="AC74" t="str">
            <v/>
          </cell>
          <cell r="AD74" t="str">
            <v/>
          </cell>
          <cell r="AU74" t="str">
            <v>FINANCIAL MANAGEMENT</v>
          </cell>
          <cell r="AV74" t="str">
            <v>O</v>
          </cell>
          <cell r="AW74">
            <v>32</v>
          </cell>
          <cell r="AX74">
            <v>0</v>
          </cell>
          <cell r="AY74">
            <v>0</v>
          </cell>
          <cell r="AZ74">
            <v>248356</v>
          </cell>
          <cell r="BA74">
            <v>0</v>
          </cell>
          <cell r="BB74">
            <v>248356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-248356</v>
          </cell>
          <cell r="BI74">
            <v>-1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-1</v>
          </cell>
          <cell r="BO74" t="str">
            <v>ISU</v>
          </cell>
          <cell r="BP74" t="str">
            <v>O</v>
          </cell>
          <cell r="BQ74" t="str">
            <v>FY</v>
          </cell>
          <cell r="BR74">
            <v>2556267</v>
          </cell>
          <cell r="BS74" t="str">
            <v>6YM</v>
          </cell>
          <cell r="BT74">
            <v>9831300</v>
          </cell>
          <cell r="BW74" t="str">
            <v/>
          </cell>
          <cell r="BX74" t="str">
            <v>Unrated</v>
          </cell>
          <cell r="BY74" t="str">
            <v>Under</v>
          </cell>
          <cell r="BZ74" t="str">
            <v/>
          </cell>
          <cell r="CA74" t="str">
            <v/>
          </cell>
          <cell r="CG74">
            <v>248356</v>
          </cell>
          <cell r="CH74">
            <v>0</v>
          </cell>
          <cell r="CI74">
            <v>248356</v>
          </cell>
          <cell r="CJ74">
            <v>1</v>
          </cell>
          <cell r="CK74">
            <v>0</v>
          </cell>
          <cell r="CM74" t="e">
            <v>#N/A</v>
          </cell>
          <cell r="CS74">
            <v>38534</v>
          </cell>
          <cell r="CV74" t="str">
            <v/>
          </cell>
          <cell r="CW74" t="str">
            <v>FINANCIAL MANAGEMENT</v>
          </cell>
        </row>
        <row r="75">
          <cell r="A75" t="str">
            <v>CFTWCYN</v>
          </cell>
          <cell r="B75" t="str">
            <v>MED</v>
          </cell>
          <cell r="C75" t="str">
            <v>AIS</v>
          </cell>
          <cell r="D75" t="str">
            <v>AIS</v>
          </cell>
          <cell r="E75" t="str">
            <v>C&amp;SI</v>
          </cell>
          <cell r="F75" t="str">
            <v>DISNEY WORL SV</v>
          </cell>
          <cell r="G75" t="str">
            <v>Disney Zeus Performance</v>
          </cell>
          <cell r="H75" t="str">
            <v>CFTWCYN</v>
          </cell>
          <cell r="I75">
            <v>1</v>
          </cell>
          <cell r="J75" t="str">
            <v>David R Padmos/San Francisco/IBM</v>
          </cell>
          <cell r="K75" t="str">
            <v>Richard Bui/Los Angeles/IBM</v>
          </cell>
          <cell r="L75" t="str">
            <v>BE</v>
          </cell>
          <cell r="M75">
            <v>38607</v>
          </cell>
          <cell r="N75">
            <v>38635</v>
          </cell>
          <cell r="O75">
            <v>0</v>
          </cell>
          <cell r="P75">
            <v>65920</v>
          </cell>
          <cell r="Q75">
            <v>0</v>
          </cell>
          <cell r="R75">
            <v>0.45579490291262137</v>
          </cell>
          <cell r="S75">
            <v>0.53262135922330101</v>
          </cell>
          <cell r="T75" t="str">
            <v/>
          </cell>
          <cell r="U75" t="str">
            <v>Y</v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>Y</v>
          </cell>
          <cell r="AA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U75" t="str">
            <v>APPLICATION INNOVATION</v>
          </cell>
          <cell r="AV75" t="str">
            <v>O</v>
          </cell>
          <cell r="AW75">
            <v>320</v>
          </cell>
          <cell r="AX75">
            <v>0</v>
          </cell>
          <cell r="AY75">
            <v>0</v>
          </cell>
          <cell r="AZ75">
            <v>65920</v>
          </cell>
          <cell r="BA75">
            <v>35874</v>
          </cell>
          <cell r="BB75">
            <v>30046</v>
          </cell>
          <cell r="BC75">
            <v>1468</v>
          </cell>
          <cell r="BD75">
            <v>4.0921001282265709E-2</v>
          </cell>
          <cell r="BE75">
            <v>65920</v>
          </cell>
          <cell r="BF75">
            <v>30809.599999999999</v>
          </cell>
          <cell r="BG75">
            <v>35110.400000000001</v>
          </cell>
          <cell r="BH75">
            <v>5064.3999999999996</v>
          </cell>
          <cell r="BI75">
            <v>7.6826456310679636E-2</v>
          </cell>
          <cell r="BJ75">
            <v>65920</v>
          </cell>
          <cell r="BK75">
            <v>30809.599999999999</v>
          </cell>
          <cell r="BL75">
            <v>35110.400000000001</v>
          </cell>
          <cell r="BM75">
            <v>0.53262135922330101</v>
          </cell>
          <cell r="BN75">
            <v>7.6826456310679636E-2</v>
          </cell>
          <cell r="BO75" t="str">
            <v>ISU</v>
          </cell>
          <cell r="BP75" t="str">
            <v>O</v>
          </cell>
          <cell r="BQ75" t="str">
            <v>FX</v>
          </cell>
          <cell r="BR75">
            <v>2531264</v>
          </cell>
          <cell r="BS75" t="str">
            <v>6YM</v>
          </cell>
          <cell r="BT75">
            <v>9831300</v>
          </cell>
          <cell r="BW75" t="str">
            <v/>
          </cell>
          <cell r="BX75" t="str">
            <v>Unrated</v>
          </cell>
          <cell r="BY75" t="str">
            <v>Under</v>
          </cell>
          <cell r="BZ75" t="str">
            <v/>
          </cell>
          <cell r="CA75" t="str">
            <v/>
          </cell>
          <cell r="CG75">
            <v>65920</v>
          </cell>
          <cell r="CH75">
            <v>36174.449999999997</v>
          </cell>
          <cell r="CI75">
            <v>29745.55</v>
          </cell>
          <cell r="CJ75">
            <v>0.45123710558252428</v>
          </cell>
          <cell r="CK75">
            <v>-4.5577973300970909E-3</v>
          </cell>
          <cell r="CL75" t="str">
            <v/>
          </cell>
          <cell r="CM75" t="str">
            <v/>
          </cell>
          <cell r="CN75" t="str">
            <v/>
          </cell>
          <cell r="CO75" t="str">
            <v/>
          </cell>
          <cell r="CP75" t="str">
            <v/>
          </cell>
          <cell r="CQ75" t="str">
            <v/>
          </cell>
          <cell r="CR75" t="str">
            <v/>
          </cell>
          <cell r="CS75">
            <v>38596</v>
          </cell>
          <cell r="CT75" t="str">
            <v/>
          </cell>
          <cell r="CU75" t="str">
            <v>6955-24A</v>
          </cell>
          <cell r="CV75" t="str">
            <v>AIS</v>
          </cell>
          <cell r="CW75" t="str">
            <v>APPLICATION INNOVATION</v>
          </cell>
        </row>
        <row r="76">
          <cell r="A76" t="str">
            <v>CFT55CN</v>
          </cell>
          <cell r="B76" t="str">
            <v>MED</v>
          </cell>
          <cell r="C76" t="str">
            <v>AIS</v>
          </cell>
          <cell r="D76" t="str">
            <v>AIS</v>
          </cell>
          <cell r="E76" t="str">
            <v>C&amp;SI</v>
          </cell>
          <cell r="F76" t="str">
            <v>DOW JONES</v>
          </cell>
          <cell r="G76" t="str">
            <v>News Visualization</v>
          </cell>
          <cell r="H76" t="str">
            <v>CFT55CN</v>
          </cell>
          <cell r="I76">
            <v>1</v>
          </cell>
          <cell r="J76" t="str">
            <v>Edward Germain/New York/IBM</v>
          </cell>
          <cell r="K76" t="str">
            <v>Mikki Shull/New York/IBM</v>
          </cell>
          <cell r="L76" t="str">
            <v>BE</v>
          </cell>
          <cell r="M76">
            <v>38726</v>
          </cell>
          <cell r="N76">
            <v>38807</v>
          </cell>
          <cell r="O76">
            <v>28000</v>
          </cell>
          <cell r="P76">
            <v>28000</v>
          </cell>
          <cell r="Q76">
            <v>28000</v>
          </cell>
          <cell r="R76">
            <v>1</v>
          </cell>
          <cell r="S76">
            <v>0</v>
          </cell>
          <cell r="T76" t="str">
            <v>Y</v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C76" t="str">
            <v/>
          </cell>
          <cell r="AD76" t="str">
            <v/>
          </cell>
          <cell r="AU76" t="str">
            <v>APPLICATION INNOVATION</v>
          </cell>
          <cell r="AV76" t="str">
            <v>O</v>
          </cell>
          <cell r="AW76">
            <v>0</v>
          </cell>
          <cell r="AX76">
            <v>0</v>
          </cell>
          <cell r="AY76">
            <v>0</v>
          </cell>
          <cell r="AZ76">
            <v>28000</v>
          </cell>
          <cell r="BA76">
            <v>0</v>
          </cell>
          <cell r="BB76">
            <v>28000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-28000</v>
          </cell>
          <cell r="BI76">
            <v>-1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-1</v>
          </cell>
          <cell r="BO76" t="str">
            <v>ISU</v>
          </cell>
          <cell r="BP76" t="str">
            <v>O</v>
          </cell>
          <cell r="BQ76" t="str">
            <v>FX</v>
          </cell>
          <cell r="BR76">
            <v>2568524</v>
          </cell>
          <cell r="BS76" t="str">
            <v>6YR</v>
          </cell>
          <cell r="BT76">
            <v>2570500</v>
          </cell>
          <cell r="BW76" t="str">
            <v/>
          </cell>
          <cell r="BX76" t="str">
            <v>Unrated</v>
          </cell>
          <cell r="BY76" t="str">
            <v>Under</v>
          </cell>
          <cell r="BZ76" t="str">
            <v/>
          </cell>
          <cell r="CA76" t="str">
            <v/>
          </cell>
          <cell r="CG76">
            <v>28000</v>
          </cell>
          <cell r="CH76">
            <v>0</v>
          </cell>
          <cell r="CI76">
            <v>28000</v>
          </cell>
          <cell r="CJ76">
            <v>1</v>
          </cell>
          <cell r="CK76">
            <v>0</v>
          </cell>
          <cell r="CM76" t="e">
            <v>#N/A</v>
          </cell>
          <cell r="CS76">
            <v>38718</v>
          </cell>
          <cell r="CV76" t="str">
            <v/>
          </cell>
          <cell r="CW76" t="str">
            <v>APPLICATION INNOVATION</v>
          </cell>
        </row>
        <row r="77">
          <cell r="A77" t="str">
            <v>CFTKVCL</v>
          </cell>
          <cell r="B77" t="str">
            <v>UTL</v>
          </cell>
          <cell r="C77" t="str">
            <v>HCM</v>
          </cell>
          <cell r="D77" t="str">
            <v>SCM</v>
          </cell>
          <cell r="E77" t="str">
            <v>C&amp;SI</v>
          </cell>
          <cell r="F77" t="str">
            <v>DTE ENERGY</v>
          </cell>
          <cell r="G77" t="str">
            <v>DTE2 TRAINING SUPTEXT</v>
          </cell>
          <cell r="H77" t="str">
            <v>CFTKVCL</v>
          </cell>
          <cell r="I77">
            <v>6</v>
          </cell>
          <cell r="J77" t="str">
            <v>Thom Tillis/Charlotte/IBM</v>
          </cell>
          <cell r="K77" t="str">
            <v>Edward D Kaiser/St Louis/IBM</v>
          </cell>
          <cell r="L77" t="str">
            <v>BE</v>
          </cell>
          <cell r="M77">
            <v>37865</v>
          </cell>
          <cell r="N77">
            <v>38898</v>
          </cell>
          <cell r="O77">
            <v>12177535.190000001</v>
          </cell>
          <cell r="P77">
            <v>37372099</v>
          </cell>
          <cell r="Q77">
            <v>12177535.190000001</v>
          </cell>
          <cell r="R77">
            <v>0.36300567436685854</v>
          </cell>
          <cell r="S77">
            <v>0.29616846579571721</v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>Y</v>
          </cell>
          <cell r="Y77" t="str">
            <v>Y</v>
          </cell>
          <cell r="Z77" t="str">
            <v/>
          </cell>
          <cell r="AA77" t="str">
            <v/>
          </cell>
          <cell r="AC77" t="str">
            <v>Y</v>
          </cell>
          <cell r="AD77" t="str">
            <v>Y</v>
          </cell>
          <cell r="AE77" t="str">
            <v>Imam</v>
          </cell>
          <cell r="AF77" t="str">
            <v>Y</v>
          </cell>
          <cell r="AG77" t="str">
            <v>Christiaan Bezuidenhout</v>
          </cell>
          <cell r="AH77" t="str">
            <v>N/A</v>
          </cell>
          <cell r="AI77" t="str">
            <v>M</v>
          </cell>
          <cell r="AJ77" t="str">
            <v>B</v>
          </cell>
          <cell r="AK77">
            <v>38657</v>
          </cell>
          <cell r="AL77">
            <v>38777</v>
          </cell>
          <cell r="AM77" t="str">
            <v>G</v>
          </cell>
          <cell r="AN77" t="str">
            <v>G</v>
          </cell>
          <cell r="AO77" t="str">
            <v>Y</v>
          </cell>
          <cell r="AP77" t="str">
            <v>Y</v>
          </cell>
          <cell r="AQ77" t="str">
            <v>G</v>
          </cell>
          <cell r="AR77" t="str">
            <v>G</v>
          </cell>
          <cell r="AS77" t="str">
            <v>Y</v>
          </cell>
          <cell r="AU77" t="str">
            <v>HUMAN CAPITAL MANAGEMENT</v>
          </cell>
          <cell r="AV77" t="str">
            <v>O</v>
          </cell>
          <cell r="AW77">
            <v>165268.29999999999</v>
          </cell>
          <cell r="AX77">
            <v>7407.5</v>
          </cell>
          <cell r="AY77">
            <v>4.4821057637792608E-2</v>
          </cell>
          <cell r="AZ77">
            <v>37372099</v>
          </cell>
          <cell r="BA77">
            <v>23805815</v>
          </cell>
          <cell r="BB77">
            <v>13566284</v>
          </cell>
          <cell r="BC77">
            <v>1657839</v>
          </cell>
          <cell r="BD77">
            <v>6.9640085836170706E-2</v>
          </cell>
          <cell r="BE77">
            <v>25194563.809999999</v>
          </cell>
          <cell r="BF77">
            <v>17732728.5</v>
          </cell>
          <cell r="BG77">
            <v>7461835.3099999987</v>
          </cell>
          <cell r="BH77">
            <v>-6104448.6900000013</v>
          </cell>
          <cell r="BI77">
            <v>-6.6837208571141338E-2</v>
          </cell>
          <cell r="BJ77">
            <v>12697737.609999999</v>
          </cell>
          <cell r="BK77">
            <v>9154004.7700000014</v>
          </cell>
          <cell r="BL77">
            <v>3543732.84</v>
          </cell>
          <cell r="BM77">
            <v>0.27908379814126577</v>
          </cell>
          <cell r="BN77">
            <v>-8.3921876225592773E-2</v>
          </cell>
          <cell r="BO77" t="str">
            <v>ISU</v>
          </cell>
          <cell r="BP77" t="str">
            <v>O</v>
          </cell>
          <cell r="BQ77" t="str">
            <v>FX</v>
          </cell>
          <cell r="BR77">
            <v>2603657</v>
          </cell>
          <cell r="BS77" t="str">
            <v>6YX</v>
          </cell>
          <cell r="BT77">
            <v>2695102</v>
          </cell>
          <cell r="BW77" t="str">
            <v/>
          </cell>
          <cell r="BX77" t="str">
            <v>Rated</v>
          </cell>
          <cell r="BY77" t="str">
            <v>Over</v>
          </cell>
          <cell r="BZ77" t="str">
            <v>B</v>
          </cell>
          <cell r="CA77" t="str">
            <v>M</v>
          </cell>
          <cell r="CG77">
            <v>30969913.68</v>
          </cell>
          <cell r="CH77">
            <v>22025906.509999998</v>
          </cell>
          <cell r="CI77">
            <v>8944007.1699999999</v>
          </cell>
          <cell r="CJ77">
            <v>0.28879664510579289</v>
          </cell>
          <cell r="CK77">
            <v>-7.4209029261065651E-2</v>
          </cell>
          <cell r="CL77" t="str">
            <v xml:space="preserve">SAP </v>
          </cell>
          <cell r="CM77" t="str">
            <v/>
          </cell>
          <cell r="CN77" t="str">
            <v/>
          </cell>
          <cell r="CO77" t="str">
            <v>HCM</v>
          </cell>
          <cell r="CP77" t="str">
            <v>SCM</v>
          </cell>
          <cell r="CQ77" t="str">
            <v/>
          </cell>
          <cell r="CR77" t="str">
            <v/>
          </cell>
          <cell r="CS77">
            <v>37865</v>
          </cell>
          <cell r="CT77" t="str">
            <v/>
          </cell>
          <cell r="CV77" t="str">
            <v/>
          </cell>
          <cell r="CW77" t="str">
            <v>SUPPLY CHAIN MANAGEMENT</v>
          </cell>
        </row>
        <row r="78">
          <cell r="A78" t="str">
            <v>CFTCW3M</v>
          </cell>
          <cell r="B78" t="str">
            <v>UTL</v>
          </cell>
          <cell r="C78" t="str">
            <v>HCM</v>
          </cell>
          <cell r="D78" t="str">
            <v>HCM</v>
          </cell>
          <cell r="E78" t="str">
            <v>C&amp;SI</v>
          </cell>
          <cell r="F78" t="str">
            <v>DTE ENERGY</v>
          </cell>
          <cell r="G78" t="str">
            <v>DTE2 Training Support</v>
          </cell>
          <cell r="H78" t="str">
            <v>CFTCW3M</v>
          </cell>
          <cell r="I78">
            <v>1</v>
          </cell>
          <cell r="J78" t="str">
            <v>Christopher A Lilley/Wayne/IBM</v>
          </cell>
          <cell r="K78" t="str">
            <v>Edward D Kaiser/St Louis/IBM</v>
          </cell>
          <cell r="L78" t="str">
            <v>BE</v>
          </cell>
          <cell r="M78">
            <v>38111</v>
          </cell>
          <cell r="N78">
            <v>38442</v>
          </cell>
          <cell r="O78">
            <v>3997.3500000000931</v>
          </cell>
          <cell r="P78">
            <v>1309608</v>
          </cell>
          <cell r="Q78">
            <v>3997.3500000000931</v>
          </cell>
          <cell r="R78">
            <v>0.41205994465519452</v>
          </cell>
          <cell r="S78">
            <v>0.34149254986545946</v>
          </cell>
          <cell r="T78" t="str">
            <v/>
          </cell>
          <cell r="U78" t="str">
            <v>Y</v>
          </cell>
          <cell r="V78" t="str">
            <v/>
          </cell>
          <cell r="W78" t="str">
            <v/>
          </cell>
          <cell r="X78" t="str">
            <v>Y</v>
          </cell>
          <cell r="Y78" t="str">
            <v>Y</v>
          </cell>
          <cell r="Z78" t="str">
            <v/>
          </cell>
          <cell r="AA78" t="str">
            <v/>
          </cell>
          <cell r="AC78" t="str">
            <v/>
          </cell>
          <cell r="AD78" t="str">
            <v/>
          </cell>
          <cell r="AE78" t="str">
            <v>Imam</v>
          </cell>
          <cell r="AF78" t="str">
            <v/>
          </cell>
          <cell r="AG78" t="str">
            <v/>
          </cell>
          <cell r="AH78" t="str">
            <v/>
          </cell>
          <cell r="AI78" t="str">
            <v/>
          </cell>
          <cell r="AJ78" t="str">
            <v>*CLOSING*</v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 t="str">
            <v/>
          </cell>
          <cell r="AS78" t="str">
            <v/>
          </cell>
          <cell r="AU78" t="str">
            <v>HUMAN CAPITAL MANAGEMENT</v>
          </cell>
          <cell r="AV78" t="str">
            <v>O</v>
          </cell>
          <cell r="AW78">
            <v>10794.5</v>
          </cell>
          <cell r="AX78">
            <v>87</v>
          </cell>
          <cell r="AY78">
            <v>8.05966001204317E-3</v>
          </cell>
          <cell r="AZ78">
            <v>1309608</v>
          </cell>
          <cell r="BA78">
            <v>769971</v>
          </cell>
          <cell r="BB78">
            <v>539637</v>
          </cell>
          <cell r="BC78">
            <v>33670</v>
          </cell>
          <cell r="BD78">
            <v>4.3728919660610592E-2</v>
          </cell>
          <cell r="BE78">
            <v>1305610.6499999999</v>
          </cell>
          <cell r="BF78">
            <v>859754.34</v>
          </cell>
          <cell r="BG78">
            <v>445856.31</v>
          </cell>
          <cell r="BH78">
            <v>-93780.690000000061</v>
          </cell>
          <cell r="BI78">
            <v>-7.0567394789735061E-2</v>
          </cell>
          <cell r="BJ78">
            <v>57358.8</v>
          </cell>
          <cell r="BK78">
            <v>44481.43</v>
          </cell>
          <cell r="BL78">
            <v>12877.37</v>
          </cell>
          <cell r="BM78">
            <v>0.22450556845680178</v>
          </cell>
          <cell r="BN78">
            <v>-0.18755437619839274</v>
          </cell>
          <cell r="BO78" t="str">
            <v>ISU</v>
          </cell>
          <cell r="BP78" t="str">
            <v>O</v>
          </cell>
          <cell r="BQ78" t="str">
            <v>FX</v>
          </cell>
          <cell r="BR78">
            <v>2603657</v>
          </cell>
          <cell r="BS78" t="str">
            <v>6YX</v>
          </cell>
          <cell r="BT78">
            <v>2695102</v>
          </cell>
          <cell r="BW78" t="str">
            <v/>
          </cell>
          <cell r="BX78" t="str">
            <v>Rated</v>
          </cell>
          <cell r="BY78" t="str">
            <v>Over</v>
          </cell>
          <cell r="BZ78" t="str">
            <v>Other</v>
          </cell>
          <cell r="CA78" t="str">
            <v/>
          </cell>
          <cell r="CG78">
            <v>1296473.8500000001</v>
          </cell>
          <cell r="CH78">
            <v>866669.47</v>
          </cell>
          <cell r="CI78">
            <v>429804.38</v>
          </cell>
          <cell r="CJ78">
            <v>0.3315179708406768</v>
          </cell>
          <cell r="CK78">
            <v>-8.054197381451772E-2</v>
          </cell>
          <cell r="CL78" t="str">
            <v>Sub to previous one….actually closing</v>
          </cell>
          <cell r="CM78" t="e">
            <v>#N/A</v>
          </cell>
          <cell r="CN78" t="str">
            <v/>
          </cell>
          <cell r="CO78" t="str">
            <v/>
          </cell>
          <cell r="CP78" t="str">
            <v/>
          </cell>
          <cell r="CQ78" t="str">
            <v/>
          </cell>
          <cell r="CR78" t="str">
            <v/>
          </cell>
          <cell r="CS78">
            <v>38108</v>
          </cell>
          <cell r="CT78" t="str">
            <v/>
          </cell>
          <cell r="CU78" t="str">
            <v/>
          </cell>
          <cell r="CV78" t="str">
            <v/>
          </cell>
          <cell r="CW78" t="str">
            <v>HUMAN CAPITAL MANAGEMENT</v>
          </cell>
        </row>
        <row r="79">
          <cell r="A79" t="str">
            <v>CFTW5XN</v>
          </cell>
          <cell r="B79" t="str">
            <v>UTL</v>
          </cell>
          <cell r="C79" t="str">
            <v>SCM</v>
          </cell>
          <cell r="D79" t="str">
            <v>SCM</v>
          </cell>
          <cell r="E79" t="str">
            <v>C&amp;SI</v>
          </cell>
          <cell r="F79" t="str">
            <v>DUKE ENERGY</v>
          </cell>
          <cell r="G79" t="str">
            <v>*NS MRO CSI and Roll-out</v>
          </cell>
          <cell r="H79" t="str">
            <v>CFTW5XN</v>
          </cell>
          <cell r="I79">
            <v>1</v>
          </cell>
          <cell r="J79" t="str">
            <v>Gerard Metzler/Pittsburgh/IBM</v>
          </cell>
          <cell r="K79" t="str">
            <v>David S Carpenter/Houston/IBM</v>
          </cell>
          <cell r="L79" t="str">
            <v>BE</v>
          </cell>
          <cell r="M79">
            <v>38621</v>
          </cell>
          <cell r="N79">
            <v>39171</v>
          </cell>
          <cell r="O79">
            <v>3635460</v>
          </cell>
          <cell r="P79">
            <v>3966400</v>
          </cell>
          <cell r="Q79">
            <v>3635460</v>
          </cell>
          <cell r="R79">
            <v>0.41404296087131909</v>
          </cell>
          <cell r="S79">
            <v>0.40667967003082134</v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>Y</v>
          </cell>
          <cell r="Y79" t="str">
            <v/>
          </cell>
          <cell r="Z79" t="str">
            <v/>
          </cell>
          <cell r="AA79" t="str">
            <v/>
          </cell>
          <cell r="AC79" t="str">
            <v/>
          </cell>
          <cell r="AD79" t="str">
            <v>Y</v>
          </cell>
          <cell r="AE79" t="str">
            <v>Imam</v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>Launch</v>
          </cell>
          <cell r="AK79" t="str">
            <v/>
          </cell>
          <cell r="AL79">
            <v>38749</v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U79" t="str">
            <v>SUPPLY CHAIN MANAGEMENT</v>
          </cell>
          <cell r="AV79" t="str">
            <v>O</v>
          </cell>
          <cell r="AW79">
            <v>2040.7</v>
          </cell>
          <cell r="AX79">
            <v>7.2</v>
          </cell>
          <cell r="AY79">
            <v>3.5282011074631255E-3</v>
          </cell>
          <cell r="AZ79">
            <v>3966400</v>
          </cell>
          <cell r="BA79">
            <v>2324140</v>
          </cell>
          <cell r="BB79">
            <v>1642260</v>
          </cell>
          <cell r="BC79">
            <v>236921</v>
          </cell>
          <cell r="BD79">
            <v>0.10193921192355021</v>
          </cell>
          <cell r="BE79">
            <v>330940</v>
          </cell>
          <cell r="BF79">
            <v>196353.43</v>
          </cell>
          <cell r="BG79">
            <v>134586.57</v>
          </cell>
          <cell r="BH79">
            <v>-1507673.43</v>
          </cell>
          <cell r="BI79">
            <v>-7.3632908404977493E-3</v>
          </cell>
          <cell r="BJ79">
            <v>330940</v>
          </cell>
          <cell r="BK79">
            <v>196353.43</v>
          </cell>
          <cell r="BL79">
            <v>134586.57</v>
          </cell>
          <cell r="BM79">
            <v>0.40667967003082134</v>
          </cell>
          <cell r="BN79">
            <v>-7.3632908404977493E-3</v>
          </cell>
          <cell r="BO79" t="str">
            <v>ISU</v>
          </cell>
          <cell r="BP79" t="str">
            <v>O</v>
          </cell>
          <cell r="BQ79" t="str">
            <v>FX</v>
          </cell>
          <cell r="BR79">
            <v>2601708</v>
          </cell>
          <cell r="BS79" t="str">
            <v>8NY</v>
          </cell>
          <cell r="BT79">
            <v>2602000</v>
          </cell>
          <cell r="BW79" t="str">
            <v/>
          </cell>
          <cell r="BX79" t="str">
            <v>Rated</v>
          </cell>
          <cell r="BY79" t="str">
            <v>Over</v>
          </cell>
          <cell r="BZ79" t="str">
            <v>Other</v>
          </cell>
          <cell r="CA79" t="str">
            <v/>
          </cell>
          <cell r="CG79">
            <v>3738588</v>
          </cell>
          <cell r="CH79">
            <v>1928454.48</v>
          </cell>
          <cell r="CI79">
            <v>1810133.52</v>
          </cell>
          <cell r="CJ79">
            <v>0.48417571553752381</v>
          </cell>
          <cell r="CK79">
            <v>7.0132754666204722E-2</v>
          </cell>
          <cell r="CL79" t="str">
            <v/>
          </cell>
          <cell r="CM79" t="str">
            <v/>
          </cell>
          <cell r="CN79" t="str">
            <v/>
          </cell>
          <cell r="CO79" t="str">
            <v/>
          </cell>
          <cell r="CP79" t="str">
            <v/>
          </cell>
          <cell r="CQ79" t="str">
            <v/>
          </cell>
          <cell r="CR79" t="str">
            <v/>
          </cell>
          <cell r="CS79">
            <v>38596</v>
          </cell>
          <cell r="CT79" t="str">
            <v/>
          </cell>
          <cell r="CU79" t="str">
            <v/>
          </cell>
          <cell r="CV79" t="str">
            <v/>
          </cell>
          <cell r="CW79" t="str">
            <v>SUPPLY CHAIN MANAGEMENT</v>
          </cell>
        </row>
        <row r="80">
          <cell r="A80" t="str">
            <v>CFT2VJN</v>
          </cell>
          <cell r="B80" t="str">
            <v>UTL</v>
          </cell>
          <cell r="C80" t="str">
            <v>CRM</v>
          </cell>
          <cell r="D80" t="str">
            <v>CRM</v>
          </cell>
          <cell r="E80" t="str">
            <v>C&amp;SI</v>
          </cell>
          <cell r="F80" t="str">
            <v>DUKE ENERGY</v>
          </cell>
          <cell r="G80" t="str">
            <v>CRM Workshop             ...</v>
          </cell>
          <cell r="H80" t="str">
            <v>CFT2VJN</v>
          </cell>
          <cell r="I80">
            <v>1</v>
          </cell>
          <cell r="J80" t="str">
            <v>Peter Cavallo/New York/IBM</v>
          </cell>
          <cell r="K80" t="str">
            <v>Jolinda Vega/Lenexa/IBM</v>
          </cell>
          <cell r="L80" t="str">
            <v>BE</v>
          </cell>
          <cell r="M80">
            <v>38670</v>
          </cell>
          <cell r="N80">
            <v>38674</v>
          </cell>
          <cell r="O80">
            <v>0</v>
          </cell>
          <cell r="P80">
            <v>5000</v>
          </cell>
          <cell r="Q80">
            <v>0</v>
          </cell>
          <cell r="R80">
            <v>0.42280000000000001</v>
          </cell>
          <cell r="S80">
            <v>7.329200000000001E-2</v>
          </cell>
          <cell r="T80" t="str">
            <v/>
          </cell>
          <cell r="U80" t="str">
            <v>Y</v>
          </cell>
          <cell r="V80" t="str">
            <v/>
          </cell>
          <cell r="W80" t="str">
            <v/>
          </cell>
          <cell r="X80" t="str">
            <v>Y</v>
          </cell>
          <cell r="Y80" t="str">
            <v>Y</v>
          </cell>
          <cell r="Z80" t="str">
            <v/>
          </cell>
          <cell r="AA80" t="str">
            <v/>
          </cell>
          <cell r="AC80" t="str">
            <v/>
          </cell>
          <cell r="AD80" t="str">
            <v/>
          </cell>
          <cell r="AE80" t="str">
            <v/>
          </cell>
          <cell r="AF80" t="str">
            <v/>
          </cell>
          <cell r="AG80" t="str">
            <v/>
          </cell>
          <cell r="AH80" t="str">
            <v/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O80" t="str">
            <v/>
          </cell>
          <cell r="AP80" t="str">
            <v/>
          </cell>
          <cell r="AQ80" t="str">
            <v/>
          </cell>
          <cell r="AR80" t="str">
            <v/>
          </cell>
          <cell r="AS80" t="str">
            <v/>
          </cell>
          <cell r="AU80" t="str">
            <v>CUSTOMER RELATIONSHIP MANAGEMENT</v>
          </cell>
          <cell r="AV80" t="str">
            <v>O</v>
          </cell>
          <cell r="AW80">
            <v>20</v>
          </cell>
          <cell r="AX80">
            <v>0</v>
          </cell>
          <cell r="AY80">
            <v>0</v>
          </cell>
          <cell r="AZ80">
            <v>5000</v>
          </cell>
          <cell r="BA80">
            <v>2886</v>
          </cell>
          <cell r="BB80">
            <v>2114</v>
          </cell>
          <cell r="BC80">
            <v>115</v>
          </cell>
          <cell r="BD80">
            <v>3.9847539847539845E-2</v>
          </cell>
          <cell r="BE80">
            <v>5000</v>
          </cell>
          <cell r="BF80">
            <v>4633.54</v>
          </cell>
          <cell r="BG80">
            <v>366.46</v>
          </cell>
          <cell r="BH80">
            <v>-1747.54</v>
          </cell>
          <cell r="BI80">
            <v>-0.34950799999999999</v>
          </cell>
          <cell r="BJ80">
            <v>5000</v>
          </cell>
          <cell r="BK80">
            <v>4633.54</v>
          </cell>
          <cell r="BL80">
            <v>366.46</v>
          </cell>
          <cell r="BM80">
            <v>7.329200000000001E-2</v>
          </cell>
          <cell r="BN80">
            <v>-0.34950799999999999</v>
          </cell>
          <cell r="BO80" t="str">
            <v>ISU</v>
          </cell>
          <cell r="BP80" t="str">
            <v>O</v>
          </cell>
          <cell r="BQ80" t="str">
            <v>FX</v>
          </cell>
          <cell r="BR80">
            <v>2602421</v>
          </cell>
          <cell r="BS80" t="str">
            <v>6Y0</v>
          </cell>
          <cell r="BT80">
            <v>2602000</v>
          </cell>
          <cell r="BW80" t="str">
            <v/>
          </cell>
          <cell r="BX80" t="str">
            <v>Unrated</v>
          </cell>
          <cell r="BY80" t="str">
            <v>Under</v>
          </cell>
          <cell r="BZ80" t="str">
            <v/>
          </cell>
          <cell r="CA80" t="str">
            <v/>
          </cell>
          <cell r="CG80">
            <v>0</v>
          </cell>
          <cell r="CH80">
            <v>2598.1999999999998</v>
          </cell>
          <cell r="CI80">
            <v>-2598.1999999999998</v>
          </cell>
          <cell r="CJ80">
            <v>0</v>
          </cell>
          <cell r="CK80">
            <v>-0.42280000000000001</v>
          </cell>
          <cell r="CM80" t="e">
            <v>#N/A</v>
          </cell>
          <cell r="CN80" t="str">
            <v/>
          </cell>
          <cell r="CO80" t="str">
            <v/>
          </cell>
          <cell r="CP80" t="str">
            <v/>
          </cell>
          <cell r="CQ80" t="str">
            <v/>
          </cell>
          <cell r="CR80" t="str">
            <v/>
          </cell>
          <cell r="CS80">
            <v>38657</v>
          </cell>
          <cell r="CT80" t="str">
            <v/>
          </cell>
          <cell r="CU80" t="str">
            <v/>
          </cell>
          <cell r="CV80" t="str">
            <v/>
          </cell>
          <cell r="CW80" t="str">
            <v>CUSTOMER RELATIONSHIP MANAGEMENT</v>
          </cell>
        </row>
        <row r="81">
          <cell r="A81" t="str">
            <v>CFT31GN</v>
          </cell>
          <cell r="B81" t="str">
            <v>MED</v>
          </cell>
          <cell r="C81" t="str">
            <v>SCS</v>
          </cell>
          <cell r="D81" t="str">
            <v>SCS</v>
          </cell>
          <cell r="E81" t="str">
            <v>C&amp;SI</v>
          </cell>
          <cell r="F81" t="str">
            <v>EAST TN ECO DEV</v>
          </cell>
          <cell r="G81" t="str">
            <v>*MM Speaking engagement  ...</v>
          </cell>
          <cell r="H81" t="str">
            <v>CFT31GN</v>
          </cell>
          <cell r="I81">
            <v>1</v>
          </cell>
          <cell r="J81" t="str">
            <v>Gene DePrez/Morristown/IBM</v>
          </cell>
          <cell r="K81" t="str">
            <v>Robert Frederickson/Morristown/IBM</v>
          </cell>
          <cell r="L81" t="str">
            <v>FP</v>
          </cell>
          <cell r="M81">
            <v>38686</v>
          </cell>
          <cell r="N81">
            <v>38687</v>
          </cell>
          <cell r="O81">
            <v>0.01</v>
          </cell>
          <cell r="P81">
            <v>0.01</v>
          </cell>
          <cell r="Q81">
            <v>0.01</v>
          </cell>
          <cell r="R81">
            <v>-272899</v>
          </cell>
          <cell r="S81">
            <v>0</v>
          </cell>
          <cell r="T81" t="str">
            <v/>
          </cell>
          <cell r="U81" t="str">
            <v>Y</v>
          </cell>
          <cell r="V81" t="str">
            <v>Y</v>
          </cell>
          <cell r="W81" t="str">
            <v>Y</v>
          </cell>
          <cell r="X81" t="str">
            <v/>
          </cell>
          <cell r="Y81" t="str">
            <v/>
          </cell>
          <cell r="Z81" t="str">
            <v>Y</v>
          </cell>
          <cell r="AA81" t="str">
            <v>Y</v>
          </cell>
          <cell r="AC81" t="str">
            <v/>
          </cell>
          <cell r="AD81" t="str">
            <v/>
          </cell>
          <cell r="AE81" t="str">
            <v/>
          </cell>
          <cell r="AF81" t="str">
            <v/>
          </cell>
          <cell r="AG81" t="str">
            <v/>
          </cell>
          <cell r="AH81" t="str">
            <v/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S81" t="str">
            <v/>
          </cell>
          <cell r="AU81" t="str">
            <v>STRATEGY AND CHANGE</v>
          </cell>
          <cell r="AV81" t="str">
            <v>P</v>
          </cell>
          <cell r="AW81">
            <v>13</v>
          </cell>
          <cell r="AX81">
            <v>0</v>
          </cell>
          <cell r="AY81">
            <v>0</v>
          </cell>
          <cell r="AZ81">
            <v>0.01</v>
          </cell>
          <cell r="BA81">
            <v>2729</v>
          </cell>
          <cell r="BB81">
            <v>-2728.99</v>
          </cell>
          <cell r="BC81">
            <v>109</v>
          </cell>
          <cell r="BD81">
            <v>3.9941370465371932E-2</v>
          </cell>
          <cell r="BE81">
            <v>0</v>
          </cell>
          <cell r="BF81">
            <v>2829.46</v>
          </cell>
          <cell r="BG81">
            <v>-2829.46</v>
          </cell>
          <cell r="BH81">
            <v>-100.47</v>
          </cell>
          <cell r="BI81">
            <v>272899</v>
          </cell>
          <cell r="BJ81">
            <v>0</v>
          </cell>
          <cell r="BK81">
            <v>2829.46</v>
          </cell>
          <cell r="BL81">
            <v>-2829.46</v>
          </cell>
          <cell r="BM81">
            <v>0</v>
          </cell>
          <cell r="BN81">
            <v>272899</v>
          </cell>
          <cell r="BO81" t="str">
            <v>SMB</v>
          </cell>
          <cell r="BP81" t="str">
            <v>P</v>
          </cell>
          <cell r="BQ81" t="str">
            <v>FX</v>
          </cell>
          <cell r="BR81">
            <v>2657652</v>
          </cell>
          <cell r="BS81" t="str">
            <v>X21</v>
          </cell>
          <cell r="BT81">
            <v>2657652</v>
          </cell>
          <cell r="BW81" t="str">
            <v/>
          </cell>
          <cell r="BX81" t="str">
            <v>Unrated</v>
          </cell>
          <cell r="BY81" t="str">
            <v>Under</v>
          </cell>
          <cell r="BZ81" t="str">
            <v/>
          </cell>
          <cell r="CA81" t="str">
            <v/>
          </cell>
          <cell r="CG81">
            <v>0.01</v>
          </cell>
          <cell r="CH81">
            <v>1364</v>
          </cell>
          <cell r="CI81">
            <v>-1363.99</v>
          </cell>
          <cell r="CJ81">
            <v>-136399</v>
          </cell>
          <cell r="CK81">
            <v>136500</v>
          </cell>
          <cell r="CM81" t="e">
            <v>#N/A</v>
          </cell>
          <cell r="CN81" t="str">
            <v/>
          </cell>
          <cell r="CO81" t="str">
            <v/>
          </cell>
          <cell r="CP81" t="str">
            <v/>
          </cell>
          <cell r="CQ81" t="str">
            <v/>
          </cell>
          <cell r="CR81" t="str">
            <v/>
          </cell>
          <cell r="CS81">
            <v>38657</v>
          </cell>
          <cell r="CT81" t="str">
            <v/>
          </cell>
          <cell r="CU81" t="str">
            <v/>
          </cell>
          <cell r="CV81" t="str">
            <v/>
          </cell>
          <cell r="CW81" t="str">
            <v>STRATEGY AND CHANGE</v>
          </cell>
        </row>
        <row r="82">
          <cell r="A82" t="str">
            <v>CFTX20N</v>
          </cell>
          <cell r="B82" t="str">
            <v>MED</v>
          </cell>
          <cell r="C82" t="str">
            <v>CRM</v>
          </cell>
          <cell r="D82" t="str">
            <v>CRM</v>
          </cell>
          <cell r="E82" t="str">
            <v>C&amp;SI</v>
          </cell>
          <cell r="F82" t="str">
            <v>ECHOST SATE LLC</v>
          </cell>
          <cell r="G82" t="str">
            <v>Commission Redesign Sieb</v>
          </cell>
          <cell r="H82" t="str">
            <v>CFTX20N</v>
          </cell>
          <cell r="I82">
            <v>1</v>
          </cell>
          <cell r="J82" t="str">
            <v>Robert Schwartz jr/Houston/IBM</v>
          </cell>
          <cell r="K82" t="str">
            <v>Pierre Roulier/Philadelphia/IBM</v>
          </cell>
          <cell r="L82" t="str">
            <v>FP</v>
          </cell>
          <cell r="M82">
            <v>38628</v>
          </cell>
          <cell r="N82">
            <v>38730</v>
          </cell>
          <cell r="O82">
            <v>501461.58</v>
          </cell>
          <cell r="P82">
            <v>1328100</v>
          </cell>
          <cell r="Q82">
            <v>501461.58</v>
          </cell>
          <cell r="R82">
            <v>0.43752127098863036</v>
          </cell>
          <cell r="S82">
            <v>0.47348083579275213</v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C82" t="str">
            <v/>
          </cell>
          <cell r="AD82" t="str">
            <v>Y</v>
          </cell>
          <cell r="AE82" t="str">
            <v>Graham</v>
          </cell>
          <cell r="AF82" t="str">
            <v/>
          </cell>
          <cell r="AG82" t="str">
            <v/>
          </cell>
          <cell r="AH82" t="str">
            <v/>
          </cell>
          <cell r="AI82" t="str">
            <v/>
          </cell>
          <cell r="AJ82" t="str">
            <v/>
          </cell>
          <cell r="AK82" t="str">
            <v/>
          </cell>
          <cell r="AL82">
            <v>38687</v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/>
          </cell>
          <cell r="AS82" t="str">
            <v/>
          </cell>
          <cell r="AU82" t="str">
            <v>CUSTOMER RELATIONSHIP MANAGEMENT</v>
          </cell>
          <cell r="AV82" t="str">
            <v>O</v>
          </cell>
          <cell r="AW82">
            <v>4854.5</v>
          </cell>
          <cell r="AX82">
            <v>16</v>
          </cell>
          <cell r="AY82">
            <v>3.2959110104027189E-3</v>
          </cell>
          <cell r="AZ82">
            <v>1328100</v>
          </cell>
          <cell r="BA82">
            <v>747028</v>
          </cell>
          <cell r="BB82">
            <v>581072</v>
          </cell>
          <cell r="BC82">
            <v>77922</v>
          </cell>
          <cell r="BD82">
            <v>0.10430934315715074</v>
          </cell>
          <cell r="BE82">
            <v>826638.42</v>
          </cell>
          <cell r="BF82">
            <v>435240.97</v>
          </cell>
          <cell r="BG82">
            <v>391397.45</v>
          </cell>
          <cell r="BH82">
            <v>-189674.55</v>
          </cell>
          <cell r="BI82">
            <v>3.5959564804121769E-2</v>
          </cell>
          <cell r="BJ82">
            <v>826638.42</v>
          </cell>
          <cell r="BK82">
            <v>435240.97</v>
          </cell>
          <cell r="BL82">
            <v>391397.45</v>
          </cell>
          <cell r="BM82">
            <v>0.47348083579275213</v>
          </cell>
          <cell r="BN82">
            <v>3.5959564804121769E-2</v>
          </cell>
          <cell r="BO82" t="str">
            <v>ISU</v>
          </cell>
          <cell r="BP82" t="str">
            <v>O</v>
          </cell>
          <cell r="BQ82" t="str">
            <v>FX</v>
          </cell>
          <cell r="BR82">
            <v>2696339</v>
          </cell>
          <cell r="BS82" t="str">
            <v>6YM</v>
          </cell>
          <cell r="BT82">
            <v>2696055</v>
          </cell>
          <cell r="BW82" t="str">
            <v/>
          </cell>
          <cell r="BX82" t="str">
            <v>Unrated</v>
          </cell>
          <cell r="BY82" t="str">
            <v>Over</v>
          </cell>
          <cell r="BZ82" t="str">
            <v/>
          </cell>
          <cell r="CA82" t="str">
            <v/>
          </cell>
          <cell r="CG82">
            <v>1328100</v>
          </cell>
          <cell r="CH82">
            <v>530408.57999999996</v>
          </cell>
          <cell r="CI82">
            <v>797691.42</v>
          </cell>
          <cell r="CJ82">
            <v>0.60062602213688732</v>
          </cell>
          <cell r="CK82">
            <v>0.16310475114825695</v>
          </cell>
          <cell r="CL82" t="str">
            <v>New, need launch; PMR w/I 1st 60 days</v>
          </cell>
          <cell r="CM82" t="str">
            <v/>
          </cell>
          <cell r="CN82" t="str">
            <v/>
          </cell>
          <cell r="CO82" t="str">
            <v/>
          </cell>
          <cell r="CP82" t="str">
            <v/>
          </cell>
          <cell r="CQ82" t="str">
            <v/>
          </cell>
          <cell r="CR82" t="str">
            <v/>
          </cell>
          <cell r="CS82">
            <v>38626</v>
          </cell>
          <cell r="CT82" t="str">
            <v/>
          </cell>
          <cell r="CV82" t="str">
            <v/>
          </cell>
          <cell r="CW82" t="str">
            <v>CUSTOMER RELATIONSHIP MANAGEMENT</v>
          </cell>
        </row>
        <row r="83">
          <cell r="A83" t="str">
            <v>CFTMLVK</v>
          </cell>
          <cell r="B83" t="str">
            <v>UTL</v>
          </cell>
          <cell r="C83" t="str">
            <v>BTO</v>
          </cell>
          <cell r="D83" t="str">
            <v>BTO</v>
          </cell>
          <cell r="E83" t="str">
            <v>BTO</v>
          </cell>
          <cell r="F83" t="str">
            <v>ENTERGY BTO OPERATIONS</v>
          </cell>
          <cell r="G83" t="str">
            <v>Contract Support - Entergy</v>
          </cell>
          <cell r="H83" t="str">
            <v>CFTMLVK</v>
          </cell>
          <cell r="I83">
            <v>1</v>
          </cell>
          <cell r="J83">
            <v>0</v>
          </cell>
          <cell r="K83">
            <v>0</v>
          </cell>
          <cell r="L83" t="str">
            <v>FP</v>
          </cell>
          <cell r="M83">
            <v>37618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 t="str">
            <v/>
          </cell>
          <cell r="U83" t="str">
            <v>Y</v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>Y</v>
          </cell>
          <cell r="AC83" t="str">
            <v/>
          </cell>
          <cell r="AD83" t="str">
            <v/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O83" t="str">
            <v/>
          </cell>
          <cell r="AP83" t="str">
            <v/>
          </cell>
          <cell r="AQ83" t="str">
            <v/>
          </cell>
          <cell r="AR83" t="str">
            <v/>
          </cell>
          <cell r="AS83" t="str">
            <v/>
          </cell>
          <cell r="AU83" t="str">
            <v>BTO</v>
          </cell>
          <cell r="AV83" t="str">
            <v>O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 t="str">
            <v>ISU</v>
          </cell>
          <cell r="BP83" t="str">
            <v>O</v>
          </cell>
          <cell r="BQ83" t="str">
            <v>FZ</v>
          </cell>
          <cell r="BR83">
            <v>2846735</v>
          </cell>
          <cell r="BS83" t="str">
            <v>Q3T</v>
          </cell>
          <cell r="BT83">
            <v>5882700</v>
          </cell>
          <cell r="BW83" t="str">
            <v/>
          </cell>
          <cell r="BX83" t="str">
            <v>Unrated</v>
          </cell>
          <cell r="BY83" t="str">
            <v>Under</v>
          </cell>
          <cell r="BZ83" t="str">
            <v/>
          </cell>
          <cell r="CA83" t="str">
            <v/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M83" t="e">
            <v>#N/A</v>
          </cell>
          <cell r="CN83" t="str">
            <v/>
          </cell>
          <cell r="CO83" t="str">
            <v/>
          </cell>
          <cell r="CP83" t="str">
            <v/>
          </cell>
          <cell r="CQ83" t="str">
            <v/>
          </cell>
          <cell r="CR83" t="str">
            <v/>
          </cell>
          <cell r="CS83">
            <v>37591</v>
          </cell>
          <cell r="CT83" t="str">
            <v/>
          </cell>
          <cell r="CU83" t="str">
            <v/>
          </cell>
          <cell r="CV83" t="str">
            <v/>
          </cell>
          <cell r="CW83" t="str">
            <v>BTO</v>
          </cell>
        </row>
        <row r="84">
          <cell r="A84" t="str">
            <v>CFT96WK</v>
          </cell>
          <cell r="B84" t="str">
            <v>UTL</v>
          </cell>
          <cell r="C84" t="str">
            <v>AIS</v>
          </cell>
          <cell r="D84" t="str">
            <v>AIS</v>
          </cell>
          <cell r="E84" t="str">
            <v>C&amp;SI</v>
          </cell>
          <cell r="F84" t="str">
            <v>FLORIDA P&amp;L</v>
          </cell>
          <cell r="G84" t="str">
            <v>TCMS Out Tasking</v>
          </cell>
          <cell r="H84" t="str">
            <v>CFT96WK</v>
          </cell>
          <cell r="I84">
            <v>1</v>
          </cell>
          <cell r="J84" t="str">
            <v>John Gustafson/Bethesda/IBM</v>
          </cell>
          <cell r="K84" t="str">
            <v>Yolanda Pinkard/Dallas/IBM</v>
          </cell>
          <cell r="L84" t="str">
            <v>BE</v>
          </cell>
          <cell r="M84">
            <v>37803</v>
          </cell>
          <cell r="N84">
            <v>39080</v>
          </cell>
          <cell r="O84">
            <v>565357.80000000005</v>
          </cell>
          <cell r="P84">
            <v>2311124.2999999998</v>
          </cell>
          <cell r="Q84">
            <v>565357.80000000005</v>
          </cell>
          <cell r="R84">
            <v>0.26533332716029157</v>
          </cell>
          <cell r="S84">
            <v>0.2612447139981206</v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>Y</v>
          </cell>
          <cell r="Y84" t="str">
            <v/>
          </cell>
          <cell r="Z84" t="str">
            <v/>
          </cell>
          <cell r="AA84" t="str">
            <v/>
          </cell>
          <cell r="AC84" t="str">
            <v>Y</v>
          </cell>
          <cell r="AD84" t="str">
            <v>Y</v>
          </cell>
          <cell r="AE84" t="str">
            <v>Coleman</v>
          </cell>
          <cell r="AF84" t="str">
            <v/>
          </cell>
          <cell r="AG84" t="str">
            <v/>
          </cell>
          <cell r="AH84" t="str">
            <v>NA</v>
          </cell>
          <cell r="AI84" t="str">
            <v>M</v>
          </cell>
          <cell r="AJ84" t="str">
            <v>B</v>
          </cell>
          <cell r="AK84">
            <v>38565</v>
          </cell>
          <cell r="AL84">
            <v>38718</v>
          </cell>
          <cell r="AM84" t="str">
            <v>G</v>
          </cell>
          <cell r="AN84" t="str">
            <v>G</v>
          </cell>
          <cell r="AO84" t="str">
            <v>G</v>
          </cell>
          <cell r="AP84" t="str">
            <v>G</v>
          </cell>
          <cell r="AQ84" t="str">
            <v>G</v>
          </cell>
          <cell r="AR84" t="str">
            <v>G</v>
          </cell>
          <cell r="AS84" t="str">
            <v>Y</v>
          </cell>
          <cell r="AU84" t="str">
            <v>APPLICATION INNOVATION</v>
          </cell>
          <cell r="AV84" t="str">
            <v>O</v>
          </cell>
          <cell r="AW84">
            <v>21230</v>
          </cell>
          <cell r="AX84">
            <v>133</v>
          </cell>
          <cell r="AY84">
            <v>6.2647197362223272E-3</v>
          </cell>
          <cell r="AZ84">
            <v>2311124.2999999998</v>
          </cell>
          <cell r="BA84">
            <v>1697906</v>
          </cell>
          <cell r="BB84">
            <v>613218.30000000005</v>
          </cell>
          <cell r="BC84">
            <v>80380</v>
          </cell>
          <cell r="BD84">
            <v>4.7340665502094932E-2</v>
          </cell>
          <cell r="BE84">
            <v>1745766.5</v>
          </cell>
          <cell r="BF84">
            <v>1289694.23</v>
          </cell>
          <cell r="BG84">
            <v>456072.27</v>
          </cell>
          <cell r="BH84">
            <v>-157146.03</v>
          </cell>
          <cell r="BI84">
            <v>-4.088613162170962E-3</v>
          </cell>
          <cell r="BJ84">
            <v>576029</v>
          </cell>
          <cell r="BK84">
            <v>453575.4</v>
          </cell>
          <cell r="BL84">
            <v>122453.6</v>
          </cell>
          <cell r="BM84">
            <v>0.2125823526246074</v>
          </cell>
          <cell r="BN84">
            <v>-5.275097453568417E-2</v>
          </cell>
          <cell r="BO84" t="str">
            <v>ISU</v>
          </cell>
          <cell r="BP84" t="str">
            <v>O</v>
          </cell>
          <cell r="BQ84" t="str">
            <v>FY</v>
          </cell>
          <cell r="BR84">
            <v>3425513</v>
          </cell>
          <cell r="BS84" t="str">
            <v>6Y0</v>
          </cell>
          <cell r="BT84">
            <v>3435500</v>
          </cell>
          <cell r="BW84" t="str">
            <v/>
          </cell>
          <cell r="BX84" t="str">
            <v>Rated</v>
          </cell>
          <cell r="BY84" t="str">
            <v>Over</v>
          </cell>
          <cell r="BZ84" t="str">
            <v>B</v>
          </cell>
          <cell r="CA84" t="str">
            <v>M</v>
          </cell>
          <cell r="CG84">
            <v>1969502.5</v>
          </cell>
          <cell r="CH84">
            <v>1453808.6</v>
          </cell>
          <cell r="CI84">
            <v>515693.9</v>
          </cell>
          <cell r="CJ84">
            <v>0.26183967778664918</v>
          </cell>
          <cell r="CK84">
            <v>-3.4936493736423824E-3</v>
          </cell>
          <cell r="CL84" t="str">
            <v/>
          </cell>
          <cell r="CM84" t="str">
            <v/>
          </cell>
          <cell r="CN84" t="str">
            <v/>
          </cell>
          <cell r="CO84" t="str">
            <v/>
          </cell>
          <cell r="CP84" t="str">
            <v/>
          </cell>
          <cell r="CQ84" t="str">
            <v>AMS</v>
          </cell>
          <cell r="CR84" t="str">
            <v>Potential phone interview</v>
          </cell>
          <cell r="CS84">
            <v>37803</v>
          </cell>
          <cell r="CT84" t="str">
            <v/>
          </cell>
          <cell r="CU84" t="str">
            <v>6955-24D</v>
          </cell>
          <cell r="CV84" t="str">
            <v>AMS</v>
          </cell>
          <cell r="CW84" t="str">
            <v>APPLICATION INNOVATION</v>
          </cell>
        </row>
        <row r="85">
          <cell r="A85" t="str">
            <v>CFTY2XM</v>
          </cell>
          <cell r="B85" t="str">
            <v>MED</v>
          </cell>
          <cell r="C85" t="str">
            <v>FM</v>
          </cell>
          <cell r="D85" t="str">
            <v>FM</v>
          </cell>
          <cell r="E85" t="str">
            <v>C&amp;SI</v>
          </cell>
          <cell r="F85" t="str">
            <v>FOX TELE STATIO</v>
          </cell>
          <cell r="G85" t="str">
            <v>Vendor PoC &amp; Stress Test</v>
          </cell>
          <cell r="H85" t="str">
            <v>CFTY2XM</v>
          </cell>
          <cell r="I85">
            <v>1</v>
          </cell>
          <cell r="J85" t="str">
            <v>Raymond D Trakimas/New York/IBM</v>
          </cell>
          <cell r="K85" t="str">
            <v>Caryn Conklin/New York/IBM</v>
          </cell>
          <cell r="L85" t="str">
            <v>BE</v>
          </cell>
          <cell r="M85">
            <v>38313</v>
          </cell>
          <cell r="N85">
            <v>38544</v>
          </cell>
          <cell r="O85">
            <v>0</v>
          </cell>
          <cell r="P85">
            <v>407912.8</v>
          </cell>
          <cell r="Q85">
            <v>0</v>
          </cell>
          <cell r="R85">
            <v>0.4687688152958181</v>
          </cell>
          <cell r="S85">
            <v>0.52932751803816891</v>
          </cell>
          <cell r="T85" t="str">
            <v/>
          </cell>
          <cell r="U85" t="str">
            <v>Y</v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>Y</v>
          </cell>
          <cell r="AA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U85" t="str">
            <v>FINANCIAL MANAGEMENT</v>
          </cell>
          <cell r="AV85" t="str">
            <v>O</v>
          </cell>
          <cell r="AW85">
            <v>1826</v>
          </cell>
          <cell r="AX85">
            <v>0</v>
          </cell>
          <cell r="AY85">
            <v>0</v>
          </cell>
          <cell r="AZ85">
            <v>407912.8</v>
          </cell>
          <cell r="BA85">
            <v>216696</v>
          </cell>
          <cell r="BB85">
            <v>191216.8</v>
          </cell>
          <cell r="BC85">
            <v>21786</v>
          </cell>
          <cell r="BD85">
            <v>0.10053715804629527</v>
          </cell>
          <cell r="BE85">
            <v>407912.8</v>
          </cell>
          <cell r="BF85">
            <v>191993.33</v>
          </cell>
          <cell r="BG85">
            <v>215919.47</v>
          </cell>
          <cell r="BH85">
            <v>24702.67</v>
          </cell>
          <cell r="BI85">
            <v>6.0558702742350812E-2</v>
          </cell>
          <cell r="BJ85">
            <v>286214.56</v>
          </cell>
          <cell r="BK85">
            <v>130401.65</v>
          </cell>
          <cell r="BL85">
            <v>155812.91</v>
          </cell>
          <cell r="BM85">
            <v>0.54439197642495896</v>
          </cell>
          <cell r="BN85">
            <v>7.5623161129140859E-2</v>
          </cell>
          <cell r="BO85" t="str">
            <v>ISU</v>
          </cell>
          <cell r="BP85" t="str">
            <v>O</v>
          </cell>
          <cell r="BQ85" t="str">
            <v>FX</v>
          </cell>
          <cell r="BR85">
            <v>3505894</v>
          </cell>
          <cell r="BS85" t="str">
            <v>6YM</v>
          </cell>
          <cell r="BT85">
            <v>8828035</v>
          </cell>
          <cell r="BW85" t="str">
            <v/>
          </cell>
          <cell r="BX85" t="str">
            <v>Unrated</v>
          </cell>
          <cell r="BY85" t="str">
            <v>Under</v>
          </cell>
          <cell r="BZ85" t="str">
            <v/>
          </cell>
          <cell r="CA85" t="str">
            <v/>
          </cell>
          <cell r="CG85">
            <v>407912.8</v>
          </cell>
          <cell r="CH85">
            <v>203749.84</v>
          </cell>
          <cell r="CI85">
            <v>204162.96</v>
          </cell>
          <cell r="CJ85">
            <v>0.50050638273670256</v>
          </cell>
          <cell r="CK85">
            <v>3.1737567440884462E-2</v>
          </cell>
          <cell r="CL85" t="str">
            <v/>
          </cell>
          <cell r="CM85" t="str">
            <v/>
          </cell>
          <cell r="CN85" t="str">
            <v/>
          </cell>
          <cell r="CO85" t="str">
            <v/>
          </cell>
          <cell r="CP85" t="str">
            <v/>
          </cell>
          <cell r="CQ85" t="str">
            <v/>
          </cell>
          <cell r="CR85" t="str">
            <v/>
          </cell>
          <cell r="CS85">
            <v>38292</v>
          </cell>
          <cell r="CT85" t="str">
            <v/>
          </cell>
          <cell r="CV85" t="str">
            <v/>
          </cell>
          <cell r="CW85" t="str">
            <v>FINANCIAL MANAGEMENT</v>
          </cell>
        </row>
        <row r="86">
          <cell r="A86" t="str">
            <v>CFT1XHE</v>
          </cell>
          <cell r="B86" t="str">
            <v>TEL</v>
          </cell>
          <cell r="C86" t="str">
            <v>BTO</v>
          </cell>
          <cell r="D86" t="str">
            <v>BTO</v>
          </cell>
          <cell r="E86" t="str">
            <v>BTO</v>
          </cell>
          <cell r="F86" t="str">
            <v>FUJITS NETW COM</v>
          </cell>
          <cell r="G86" t="str">
            <v>.</v>
          </cell>
          <cell r="H86" t="str">
            <v>CFT1XHE</v>
          </cell>
          <cell r="I86">
            <v>1</v>
          </cell>
          <cell r="J86">
            <v>0</v>
          </cell>
          <cell r="K86" t="str">
            <v>Helen Donovan/Southbury/IBM</v>
          </cell>
          <cell r="L86" t="str">
            <v>IC</v>
          </cell>
          <cell r="M86">
            <v>36326</v>
          </cell>
          <cell r="N86">
            <v>38717</v>
          </cell>
          <cell r="O86">
            <v>25200</v>
          </cell>
          <cell r="P86">
            <v>25200</v>
          </cell>
          <cell r="Q86">
            <v>25200</v>
          </cell>
          <cell r="R86">
            <v>1</v>
          </cell>
          <cell r="S86">
            <v>0</v>
          </cell>
          <cell r="T86" t="str">
            <v/>
          </cell>
          <cell r="U86" t="str">
            <v>Y</v>
          </cell>
          <cell r="V86" t="str">
            <v/>
          </cell>
          <cell r="W86" t="str">
            <v/>
          </cell>
          <cell r="X86" t="str">
            <v>Y</v>
          </cell>
          <cell r="Y86" t="str">
            <v/>
          </cell>
          <cell r="Z86" t="str">
            <v/>
          </cell>
          <cell r="AA86" t="str">
            <v>Y</v>
          </cell>
          <cell r="AC86" t="str">
            <v/>
          </cell>
          <cell r="AD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S86" t="str">
            <v/>
          </cell>
          <cell r="AU86" t="str">
            <v>BTO</v>
          </cell>
          <cell r="AV86" t="str">
            <v>O</v>
          </cell>
          <cell r="AW86">
            <v>0</v>
          </cell>
          <cell r="AX86">
            <v>0</v>
          </cell>
          <cell r="AY86">
            <v>0</v>
          </cell>
          <cell r="AZ86">
            <v>25200</v>
          </cell>
          <cell r="BA86">
            <v>0</v>
          </cell>
          <cell r="BB86">
            <v>25200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-25200</v>
          </cell>
          <cell r="BI86">
            <v>-1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-1</v>
          </cell>
          <cell r="BO86" t="str">
            <v>SMB</v>
          </cell>
          <cell r="BP86" t="str">
            <v>O</v>
          </cell>
          <cell r="BQ86" t="str">
            <v>FZ</v>
          </cell>
          <cell r="BR86">
            <v>3574369</v>
          </cell>
          <cell r="BS86" t="str">
            <v>Q4Z</v>
          </cell>
          <cell r="BT86">
            <v>3574317</v>
          </cell>
          <cell r="BW86" t="str">
            <v/>
          </cell>
          <cell r="BX86" t="str">
            <v>Unrated</v>
          </cell>
          <cell r="BY86" t="str">
            <v>Under</v>
          </cell>
          <cell r="BZ86" t="str">
            <v/>
          </cell>
          <cell r="CA86" t="str">
            <v/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-1</v>
          </cell>
          <cell r="CL86" t="str">
            <v/>
          </cell>
          <cell r="CM86" t="str">
            <v/>
          </cell>
          <cell r="CN86" t="str">
            <v/>
          </cell>
          <cell r="CO86" t="str">
            <v/>
          </cell>
          <cell r="CP86" t="str">
            <v/>
          </cell>
          <cell r="CQ86" t="str">
            <v/>
          </cell>
          <cell r="CR86" t="str">
            <v/>
          </cell>
          <cell r="CS86">
            <v>36312</v>
          </cell>
          <cell r="CT86" t="str">
            <v/>
          </cell>
          <cell r="CV86" t="str">
            <v/>
          </cell>
          <cell r="CW86" t="str">
            <v>BTO</v>
          </cell>
        </row>
        <row r="87">
          <cell r="A87" t="str">
            <v>CFT4DRN</v>
          </cell>
          <cell r="B87" t="str">
            <v>MED</v>
          </cell>
          <cell r="C87" t="str">
            <v>FM</v>
          </cell>
          <cell r="D87" t="str">
            <v>FM</v>
          </cell>
          <cell r="E87" t="str">
            <v>C&amp;SI</v>
          </cell>
          <cell r="F87" t="str">
            <v>GEMSTA GUID INT</v>
          </cell>
          <cell r="G87" t="str">
            <v>*NS TV Guide - ERP Imple</v>
          </cell>
          <cell r="H87" t="str">
            <v>CFT4DRN</v>
          </cell>
          <cell r="I87">
            <v>1</v>
          </cell>
          <cell r="J87" t="str">
            <v>Raymond T Ignacio/Baltimore/IBM</v>
          </cell>
          <cell r="K87" t="str">
            <v>Tobi M Davis/Fairfax/IBM</v>
          </cell>
          <cell r="L87" t="str">
            <v>BE</v>
          </cell>
          <cell r="M87">
            <v>38684</v>
          </cell>
          <cell r="N87">
            <v>39115</v>
          </cell>
          <cell r="O87">
            <v>6405297</v>
          </cell>
          <cell r="P87">
            <v>6654594</v>
          </cell>
          <cell r="Q87">
            <v>6405297</v>
          </cell>
          <cell r="R87">
            <v>0.38456560986290073</v>
          </cell>
          <cell r="S87">
            <v>0.42438376715323495</v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C87" t="str">
            <v/>
          </cell>
          <cell r="AD87" t="str">
            <v>Y</v>
          </cell>
          <cell r="AE87" t="str">
            <v>Giblin</v>
          </cell>
          <cell r="AF87" t="str">
            <v/>
          </cell>
          <cell r="AG87" t="str">
            <v/>
          </cell>
          <cell r="AH87" t="str">
            <v/>
          </cell>
          <cell r="AI87" t="str">
            <v/>
          </cell>
          <cell r="AJ87" t="str">
            <v/>
          </cell>
          <cell r="AK87" t="str">
            <v/>
          </cell>
          <cell r="AL87" t="str">
            <v>TBD</v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S87" t="str">
            <v/>
          </cell>
          <cell r="AU87" t="str">
            <v>FINANCIAL MANAGEMENT</v>
          </cell>
          <cell r="AV87" t="str">
            <v>O</v>
          </cell>
          <cell r="AW87">
            <v>1679.5</v>
          </cell>
          <cell r="AX87">
            <v>8</v>
          </cell>
          <cell r="AY87">
            <v>4.7633224173861269E-3</v>
          </cell>
          <cell r="AZ87">
            <v>6654594</v>
          </cell>
          <cell r="BA87">
            <v>4095466</v>
          </cell>
          <cell r="BB87">
            <v>2559128</v>
          </cell>
          <cell r="BC87">
            <v>409653</v>
          </cell>
          <cell r="BD87">
            <v>0.10002597994953444</v>
          </cell>
          <cell r="BE87">
            <v>249297</v>
          </cell>
          <cell r="BF87">
            <v>143499.4</v>
          </cell>
          <cell r="BG87">
            <v>105797.6</v>
          </cell>
          <cell r="BH87">
            <v>-2453330.4</v>
          </cell>
          <cell r="BI87">
            <v>3.9818157290334222E-2</v>
          </cell>
          <cell r="BJ87">
            <v>249297</v>
          </cell>
          <cell r="BK87">
            <v>143499.4</v>
          </cell>
          <cell r="BL87">
            <v>105797.6</v>
          </cell>
          <cell r="BM87">
            <v>0.42438376715323495</v>
          </cell>
          <cell r="BN87">
            <v>3.9818157290334222E-2</v>
          </cell>
          <cell r="BO87" t="str">
            <v>ISU</v>
          </cell>
          <cell r="BP87" t="str">
            <v>O</v>
          </cell>
          <cell r="BQ87" t="str">
            <v>FX</v>
          </cell>
          <cell r="BR87">
            <v>3647655</v>
          </cell>
          <cell r="BS87" t="str">
            <v>6YM</v>
          </cell>
          <cell r="BT87">
            <v>8828035</v>
          </cell>
          <cell r="BW87" t="str">
            <v/>
          </cell>
          <cell r="BX87" t="str">
            <v>Unrated</v>
          </cell>
          <cell r="BY87" t="str">
            <v>Over</v>
          </cell>
          <cell r="BZ87" t="str">
            <v/>
          </cell>
          <cell r="CA87" t="str">
            <v/>
          </cell>
          <cell r="CG87">
            <v>6398577</v>
          </cell>
          <cell r="CH87">
            <v>3831325</v>
          </cell>
          <cell r="CI87">
            <v>2567252</v>
          </cell>
          <cell r="CJ87">
            <v>0.40122233427838722</v>
          </cell>
          <cell r="CK87">
            <v>1.665672441548649E-2</v>
          </cell>
          <cell r="CM87" t="e">
            <v>#N/A</v>
          </cell>
          <cell r="CN87" t="str">
            <v/>
          </cell>
          <cell r="CO87" t="str">
            <v/>
          </cell>
          <cell r="CP87" t="str">
            <v/>
          </cell>
          <cell r="CQ87" t="str">
            <v/>
          </cell>
          <cell r="CR87" t="str">
            <v/>
          </cell>
          <cell r="CS87">
            <v>38657</v>
          </cell>
          <cell r="CT87" t="str">
            <v/>
          </cell>
          <cell r="CU87" t="str">
            <v/>
          </cell>
          <cell r="CV87" t="str">
            <v/>
          </cell>
          <cell r="CW87" t="str">
            <v>FINANCIAL MANAGEMENT</v>
          </cell>
        </row>
        <row r="88">
          <cell r="A88" t="str">
            <v>CFT214M</v>
          </cell>
          <cell r="B88" t="str">
            <v>MED</v>
          </cell>
          <cell r="C88" t="str">
            <v>AIS</v>
          </cell>
          <cell r="D88" t="str">
            <v>AIS</v>
          </cell>
          <cell r="E88" t="str">
            <v>C&amp;SI</v>
          </cell>
          <cell r="F88" t="str">
            <v>HARCOURT ASSESS</v>
          </cell>
          <cell r="G88" t="str">
            <v>Unison Dev Staff Augment</v>
          </cell>
          <cell r="H88" t="str">
            <v>CFT214M</v>
          </cell>
          <cell r="I88">
            <v>1</v>
          </cell>
          <cell r="J88" t="str">
            <v>Thomas R Crane/Baltimore/IBM</v>
          </cell>
          <cell r="K88" t="str">
            <v>James D Corry/Austin/IBM</v>
          </cell>
          <cell r="L88" t="str">
            <v>BE</v>
          </cell>
          <cell r="M88">
            <v>38353</v>
          </cell>
          <cell r="N88">
            <v>38807</v>
          </cell>
          <cell r="O88">
            <v>458923</v>
          </cell>
          <cell r="P88">
            <v>1195770</v>
          </cell>
          <cell r="Q88">
            <v>458923</v>
          </cell>
          <cell r="R88">
            <v>0.29133612651262364</v>
          </cell>
          <cell r="S88">
            <v>0.22562671762251865</v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>Y</v>
          </cell>
          <cell r="Y88" t="str">
            <v>Y</v>
          </cell>
          <cell r="Z88" t="str">
            <v/>
          </cell>
          <cell r="AA88" t="str">
            <v/>
          </cell>
          <cell r="AC88" t="str">
            <v/>
          </cell>
          <cell r="AD88" t="str">
            <v/>
          </cell>
          <cell r="AE88" t="str">
            <v>Imam</v>
          </cell>
          <cell r="AF88" t="str">
            <v/>
          </cell>
          <cell r="AG88" t="str">
            <v/>
          </cell>
          <cell r="AH88" t="str">
            <v>NA</v>
          </cell>
          <cell r="AI88" t="str">
            <v>L</v>
          </cell>
          <cell r="AJ88" t="str">
            <v>A</v>
          </cell>
          <cell r="AK88">
            <v>38687</v>
          </cell>
          <cell r="AL88" t="str">
            <v>N/A</v>
          </cell>
          <cell r="AM88" t="str">
            <v>G</v>
          </cell>
          <cell r="AN88" t="str">
            <v>G</v>
          </cell>
          <cell r="AO88" t="str">
            <v>G</v>
          </cell>
          <cell r="AP88" t="str">
            <v>G</v>
          </cell>
          <cell r="AQ88" t="str">
            <v>G</v>
          </cell>
          <cell r="AR88" t="str">
            <v>G</v>
          </cell>
          <cell r="AS88" t="str">
            <v>G</v>
          </cell>
          <cell r="AU88" t="str">
            <v>APPLICATION INNOVATION</v>
          </cell>
          <cell r="AV88" t="str">
            <v>O</v>
          </cell>
          <cell r="AW88">
            <v>10548</v>
          </cell>
          <cell r="AX88">
            <v>0</v>
          </cell>
          <cell r="AY88">
            <v>0</v>
          </cell>
          <cell r="AZ88">
            <v>1195770</v>
          </cell>
          <cell r="BA88">
            <v>847399</v>
          </cell>
          <cell r="BB88">
            <v>348371</v>
          </cell>
          <cell r="BC88">
            <v>33896</v>
          </cell>
          <cell r="BD88">
            <v>4.0000047203265519E-2</v>
          </cell>
          <cell r="BE88">
            <v>736847</v>
          </cell>
          <cell r="BF88">
            <v>570594.63</v>
          </cell>
          <cell r="BG88">
            <v>166252.37</v>
          </cell>
          <cell r="BH88">
            <v>-182118.63</v>
          </cell>
          <cell r="BI88">
            <v>-6.5709408890104987E-2</v>
          </cell>
          <cell r="BJ88">
            <v>736847</v>
          </cell>
          <cell r="BK88">
            <v>570594.63</v>
          </cell>
          <cell r="BL88">
            <v>166252.37</v>
          </cell>
          <cell r="BM88">
            <v>0.22562671762251865</v>
          </cell>
          <cell r="BN88">
            <v>-6.5709408890104987E-2</v>
          </cell>
          <cell r="BO88" t="str">
            <v>ISU</v>
          </cell>
          <cell r="BP88" t="str">
            <v>O</v>
          </cell>
          <cell r="BQ88" t="str">
            <v>FY</v>
          </cell>
          <cell r="BR88">
            <v>4111072</v>
          </cell>
          <cell r="BS88" t="str">
            <v>6YM</v>
          </cell>
          <cell r="BT88">
            <v>6192100</v>
          </cell>
          <cell r="BW88" t="str">
            <v/>
          </cell>
          <cell r="BX88" t="str">
            <v>Rated</v>
          </cell>
          <cell r="BY88" t="str">
            <v>Over</v>
          </cell>
          <cell r="BZ88" t="str">
            <v>A</v>
          </cell>
          <cell r="CA88" t="str">
            <v>L</v>
          </cell>
          <cell r="CG88">
            <v>676371</v>
          </cell>
          <cell r="CH88">
            <v>485003.73</v>
          </cell>
          <cell r="CI88">
            <v>191367.27</v>
          </cell>
          <cell r="CJ88">
            <v>0.28293239952629545</v>
          </cell>
          <cell r="CK88">
            <v>-8.403726986328186E-3</v>
          </cell>
          <cell r="CL88" t="str">
            <v/>
          </cell>
          <cell r="CM88" t="str">
            <v/>
          </cell>
          <cell r="CN88" t="str">
            <v/>
          </cell>
          <cell r="CO88" t="str">
            <v/>
          </cell>
          <cell r="CP88" t="str">
            <v/>
          </cell>
          <cell r="CQ88" t="str">
            <v>Large Scale Development</v>
          </cell>
          <cell r="CR88" t="str">
            <v>Waived SME due to size.  Phone interview</v>
          </cell>
          <cell r="CS88">
            <v>38353</v>
          </cell>
          <cell r="CT88" t="str">
            <v/>
          </cell>
          <cell r="CU88" t="str">
            <v>6955-24D</v>
          </cell>
          <cell r="CV88" t="str">
            <v>AMS</v>
          </cell>
          <cell r="CW88" t="str">
            <v>APPLICATION INNOVATION</v>
          </cell>
        </row>
        <row r="89">
          <cell r="A89" t="str">
            <v>CFTWC8N</v>
          </cell>
          <cell r="B89" t="str">
            <v>UTL</v>
          </cell>
          <cell r="C89" t="str">
            <v>SCM</v>
          </cell>
          <cell r="D89" t="str">
            <v>SCM</v>
          </cell>
          <cell r="E89" t="str">
            <v>C&amp;SI</v>
          </cell>
          <cell r="F89" t="str">
            <v>HARSCO</v>
          </cell>
          <cell r="G89" t="str">
            <v>Manufacturing JDE XE sup ...</v>
          </cell>
          <cell r="H89" t="str">
            <v>CFTWC8N</v>
          </cell>
          <cell r="I89">
            <v>1</v>
          </cell>
          <cell r="J89" t="str">
            <v>Tom D O'sullivan/Atlanta/IBM</v>
          </cell>
          <cell r="K89" t="str">
            <v>Paul Arnot/Madison/IBM</v>
          </cell>
          <cell r="L89" t="str">
            <v>BE</v>
          </cell>
          <cell r="M89">
            <v>38621</v>
          </cell>
          <cell r="N89">
            <v>38625</v>
          </cell>
          <cell r="O89">
            <v>0</v>
          </cell>
          <cell r="P89">
            <v>8200</v>
          </cell>
          <cell r="Q89">
            <v>0</v>
          </cell>
          <cell r="R89">
            <v>0.44585365853658537</v>
          </cell>
          <cell r="S89">
            <v>0.47141219512195121</v>
          </cell>
          <cell r="T89" t="str">
            <v/>
          </cell>
          <cell r="U89" t="str">
            <v>Y</v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O89" t="str">
            <v/>
          </cell>
          <cell r="AP89" t="str">
            <v/>
          </cell>
          <cell r="AQ89" t="str">
            <v/>
          </cell>
          <cell r="AR89" t="str">
            <v/>
          </cell>
          <cell r="AS89" t="str">
            <v/>
          </cell>
          <cell r="AU89" t="str">
            <v>SUPPLY CHAIN MANAGEMENT</v>
          </cell>
          <cell r="AV89" t="str">
            <v>O</v>
          </cell>
          <cell r="AW89">
            <v>40</v>
          </cell>
          <cell r="AX89">
            <v>0</v>
          </cell>
          <cell r="AY89">
            <v>0</v>
          </cell>
          <cell r="AZ89">
            <v>8200</v>
          </cell>
          <cell r="BA89">
            <v>4544</v>
          </cell>
          <cell r="BB89">
            <v>3656</v>
          </cell>
          <cell r="BC89">
            <v>182</v>
          </cell>
          <cell r="BD89">
            <v>4.0052816901408453E-2</v>
          </cell>
          <cell r="BE89">
            <v>8200</v>
          </cell>
          <cell r="BF89">
            <v>4334.42</v>
          </cell>
          <cell r="BG89">
            <v>3865.58</v>
          </cell>
          <cell r="BH89">
            <v>209.58</v>
          </cell>
          <cell r="BI89">
            <v>2.5558536585365832E-2</v>
          </cell>
          <cell r="BJ89">
            <v>8200</v>
          </cell>
          <cell r="BK89">
            <v>4334.42</v>
          </cell>
          <cell r="BL89">
            <v>3865.58</v>
          </cell>
          <cell r="BM89">
            <v>0.47141219512195121</v>
          </cell>
          <cell r="BN89">
            <v>2.5558536585365832E-2</v>
          </cell>
          <cell r="BO89" t="str">
            <v>SMB</v>
          </cell>
          <cell r="BP89" t="str">
            <v>O</v>
          </cell>
          <cell r="BQ89" t="str">
            <v>FX</v>
          </cell>
          <cell r="BR89">
            <v>4127464</v>
          </cell>
          <cell r="BS89" t="str">
            <v>X22</v>
          </cell>
          <cell r="BT89">
            <v>4148200</v>
          </cell>
          <cell r="BW89" t="str">
            <v/>
          </cell>
          <cell r="BX89" t="str">
            <v>Unrated</v>
          </cell>
          <cell r="BY89" t="str">
            <v>Under</v>
          </cell>
          <cell r="BZ89" t="str">
            <v/>
          </cell>
          <cell r="CA89" t="str">
            <v/>
          </cell>
          <cell r="CG89">
            <v>8200</v>
          </cell>
          <cell r="CH89">
            <v>4334.42</v>
          </cell>
          <cell r="CI89">
            <v>3865.58</v>
          </cell>
          <cell r="CJ89">
            <v>0.47141219512195121</v>
          </cell>
          <cell r="CK89">
            <v>2.5558536585365832E-2</v>
          </cell>
          <cell r="CL89" t="str">
            <v/>
          </cell>
          <cell r="CM89" t="str">
            <v/>
          </cell>
          <cell r="CN89" t="str">
            <v/>
          </cell>
          <cell r="CO89" t="str">
            <v/>
          </cell>
          <cell r="CP89" t="str">
            <v/>
          </cell>
          <cell r="CQ89" t="str">
            <v/>
          </cell>
          <cell r="CR89" t="str">
            <v/>
          </cell>
          <cell r="CS89">
            <v>38596</v>
          </cell>
          <cell r="CT89" t="str">
            <v/>
          </cell>
          <cell r="CV89" t="str">
            <v/>
          </cell>
          <cell r="CW89" t="str">
            <v>SUPPLY CHAIN MANAGEMENT</v>
          </cell>
        </row>
        <row r="90">
          <cell r="A90" t="str">
            <v>CFTTDMN</v>
          </cell>
          <cell r="B90" t="str">
            <v>UTL</v>
          </cell>
          <cell r="C90" t="str">
            <v>SCS</v>
          </cell>
          <cell r="D90" t="str">
            <v>SCS</v>
          </cell>
          <cell r="E90" t="str">
            <v>C&amp;SI</v>
          </cell>
          <cell r="F90" t="str">
            <v>HARSCO</v>
          </cell>
          <cell r="G90" t="str">
            <v>Performance Issues Consu ...</v>
          </cell>
          <cell r="H90" t="str">
            <v>CFTTDMN</v>
          </cell>
          <cell r="I90">
            <v>1</v>
          </cell>
          <cell r="J90" t="str">
            <v>Tom D O'sullivan/Atlanta/IBM</v>
          </cell>
          <cell r="K90" t="str">
            <v>Daniel McMahon/Tampa/IBM</v>
          </cell>
          <cell r="L90" t="str">
            <v>BE</v>
          </cell>
          <cell r="M90">
            <v>38579</v>
          </cell>
          <cell r="N90">
            <v>38597</v>
          </cell>
          <cell r="O90">
            <v>4050</v>
          </cell>
          <cell r="P90">
            <v>5400</v>
          </cell>
          <cell r="Q90">
            <v>4050</v>
          </cell>
          <cell r="R90">
            <v>0.42259259259259258</v>
          </cell>
          <cell r="S90">
            <v>0.63244444444444436</v>
          </cell>
          <cell r="T90" t="str">
            <v/>
          </cell>
          <cell r="U90" t="str">
            <v>Y</v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>Y</v>
          </cell>
          <cell r="AA90" t="str">
            <v/>
          </cell>
          <cell r="AC90" t="str">
            <v/>
          </cell>
          <cell r="AD90" t="str">
            <v/>
          </cell>
          <cell r="AE90" t="str">
            <v/>
          </cell>
          <cell r="AF90" t="str">
            <v/>
          </cell>
          <cell r="AG90" t="str">
            <v/>
          </cell>
          <cell r="AH90" t="str">
            <v/>
          </cell>
          <cell r="AI90" t="str">
            <v/>
          </cell>
          <cell r="AJ90" t="str">
            <v/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 t="str">
            <v/>
          </cell>
          <cell r="AS90" t="str">
            <v/>
          </cell>
          <cell r="AU90" t="str">
            <v>STRATEGY AND CHANGE</v>
          </cell>
          <cell r="AV90" t="str">
            <v>O</v>
          </cell>
          <cell r="AW90">
            <v>6</v>
          </cell>
          <cell r="AX90">
            <v>0</v>
          </cell>
          <cell r="AY90">
            <v>0</v>
          </cell>
          <cell r="AZ90">
            <v>5400</v>
          </cell>
          <cell r="BA90">
            <v>3118</v>
          </cell>
          <cell r="BB90">
            <v>2282</v>
          </cell>
          <cell r="BC90">
            <v>125</v>
          </cell>
          <cell r="BD90">
            <v>4.0089801154586276E-2</v>
          </cell>
          <cell r="BE90">
            <v>1350</v>
          </cell>
          <cell r="BF90">
            <v>496.2</v>
          </cell>
          <cell r="BG90">
            <v>853.8</v>
          </cell>
          <cell r="BH90">
            <v>-1428.2</v>
          </cell>
          <cell r="BI90">
            <v>0.20985185185185179</v>
          </cell>
          <cell r="BJ90">
            <v>1350</v>
          </cell>
          <cell r="BK90">
            <v>496.2</v>
          </cell>
          <cell r="BL90">
            <v>853.8</v>
          </cell>
          <cell r="BM90">
            <v>0.63244444444444436</v>
          </cell>
          <cell r="BN90">
            <v>0.20985185185185179</v>
          </cell>
          <cell r="BO90" t="str">
            <v>SMB</v>
          </cell>
          <cell r="BP90" t="str">
            <v>O</v>
          </cell>
          <cell r="BQ90" t="str">
            <v>FX</v>
          </cell>
          <cell r="BR90">
            <v>4127464</v>
          </cell>
          <cell r="BS90" t="str">
            <v>X22</v>
          </cell>
          <cell r="BT90">
            <v>4148200</v>
          </cell>
          <cell r="BW90" t="str">
            <v/>
          </cell>
          <cell r="BX90" t="str">
            <v>Unrated</v>
          </cell>
          <cell r="BY90" t="str">
            <v>Under</v>
          </cell>
          <cell r="BZ90" t="str">
            <v/>
          </cell>
          <cell r="CA90" t="str">
            <v/>
          </cell>
          <cell r="CG90">
            <v>1350</v>
          </cell>
          <cell r="CH90">
            <v>496.2</v>
          </cell>
          <cell r="CI90">
            <v>853.8</v>
          </cell>
          <cell r="CJ90">
            <v>0.63244444444444436</v>
          </cell>
          <cell r="CK90">
            <v>0.20985185185185179</v>
          </cell>
          <cell r="CL90" t="str">
            <v/>
          </cell>
          <cell r="CM90" t="str">
            <v/>
          </cell>
          <cell r="CN90" t="str">
            <v/>
          </cell>
          <cell r="CO90" t="str">
            <v/>
          </cell>
          <cell r="CP90" t="str">
            <v/>
          </cell>
          <cell r="CQ90" t="str">
            <v/>
          </cell>
          <cell r="CR90" t="str">
            <v/>
          </cell>
          <cell r="CS90">
            <v>38565</v>
          </cell>
          <cell r="CT90" t="str">
            <v/>
          </cell>
          <cell r="CV90" t="str">
            <v/>
          </cell>
          <cell r="CW90" t="str">
            <v>STRATEGY AND CHANGE</v>
          </cell>
        </row>
        <row r="91">
          <cell r="A91" t="str">
            <v>CFTD6QM</v>
          </cell>
          <cell r="B91" t="str">
            <v>MED</v>
          </cell>
          <cell r="C91" t="str">
            <v>AIS</v>
          </cell>
          <cell r="D91" t="str">
            <v>AIS</v>
          </cell>
          <cell r="E91" t="str">
            <v>C&amp;SI</v>
          </cell>
          <cell r="F91" t="str">
            <v>HEARST COMMUNIC</v>
          </cell>
          <cell r="G91" t="str">
            <v>NICA DA MgmtSol</v>
          </cell>
          <cell r="H91" t="str">
            <v>CFTD6QM</v>
          </cell>
          <cell r="I91">
            <v>1</v>
          </cell>
          <cell r="J91" t="str">
            <v>Mark Preston/Santa Teresa/IBM</v>
          </cell>
          <cell r="K91" t="str">
            <v>Mark Preston/Santa Teresa/IBM</v>
          </cell>
          <cell r="L91" t="str">
            <v>FP</v>
          </cell>
          <cell r="M91">
            <v>38148</v>
          </cell>
          <cell r="N91">
            <v>38717</v>
          </cell>
          <cell r="O91">
            <v>15000</v>
          </cell>
          <cell r="P91">
            <v>108430</v>
          </cell>
          <cell r="Q91">
            <v>15000</v>
          </cell>
          <cell r="R91">
            <v>0.23448307663930645</v>
          </cell>
          <cell r="S91">
            <v>0.54191416033393991</v>
          </cell>
          <cell r="T91" t="str">
            <v/>
          </cell>
          <cell r="U91" t="str">
            <v>Y</v>
          </cell>
          <cell r="V91" t="str">
            <v/>
          </cell>
          <cell r="W91" t="str">
            <v>Y</v>
          </cell>
          <cell r="X91" t="str">
            <v/>
          </cell>
          <cell r="Y91" t="str">
            <v/>
          </cell>
          <cell r="Z91" t="str">
            <v>Y</v>
          </cell>
          <cell r="AA91" t="str">
            <v/>
          </cell>
          <cell r="AC91" t="str">
            <v/>
          </cell>
          <cell r="AD91" t="str">
            <v/>
          </cell>
          <cell r="AE91" t="str">
            <v/>
          </cell>
          <cell r="AF91" t="str">
            <v/>
          </cell>
          <cell r="AG91" t="str">
            <v/>
          </cell>
          <cell r="AH91" t="str">
            <v/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U91" t="str">
            <v>APPLICATION INNOVATION</v>
          </cell>
          <cell r="AV91" t="str">
            <v>O</v>
          </cell>
          <cell r="AW91">
            <v>0</v>
          </cell>
          <cell r="AX91">
            <v>0</v>
          </cell>
          <cell r="AY91">
            <v>0</v>
          </cell>
          <cell r="AZ91">
            <v>108430</v>
          </cell>
          <cell r="BA91">
            <v>83005</v>
          </cell>
          <cell r="BB91">
            <v>25425</v>
          </cell>
          <cell r="BC91">
            <v>2518</v>
          </cell>
          <cell r="BD91">
            <v>3.0335521956508644E-2</v>
          </cell>
          <cell r="BE91">
            <v>93430</v>
          </cell>
          <cell r="BF91">
            <v>42798.96</v>
          </cell>
          <cell r="BG91">
            <v>50631.040000000001</v>
          </cell>
          <cell r="BH91">
            <v>25206.04</v>
          </cell>
          <cell r="BI91">
            <v>0.30743108369463346</v>
          </cell>
          <cell r="BJ91">
            <v>8830</v>
          </cell>
          <cell r="BK91">
            <v>18116.64</v>
          </cell>
          <cell r="BL91">
            <v>-9286.64</v>
          </cell>
          <cell r="BM91">
            <v>-1.0517146092865231</v>
          </cell>
          <cell r="BN91">
            <v>-1.2861976859258295</v>
          </cell>
          <cell r="BO91" t="str">
            <v>ISU</v>
          </cell>
          <cell r="BP91" t="str">
            <v>O</v>
          </cell>
          <cell r="BQ91" t="str">
            <v>FY</v>
          </cell>
          <cell r="BR91">
            <v>4201487</v>
          </cell>
          <cell r="BS91" t="str">
            <v>6YR</v>
          </cell>
          <cell r="BT91">
            <v>4199000</v>
          </cell>
          <cell r="BW91" t="str">
            <v/>
          </cell>
          <cell r="BX91" t="str">
            <v>Unrated</v>
          </cell>
          <cell r="BY91" t="str">
            <v>Under</v>
          </cell>
          <cell r="BZ91" t="str">
            <v/>
          </cell>
          <cell r="CA91" t="str">
            <v/>
          </cell>
          <cell r="CG91">
            <v>108430</v>
          </cell>
          <cell r="CH91">
            <v>42798.96</v>
          </cell>
          <cell r="CI91">
            <v>65631.039999999994</v>
          </cell>
          <cell r="CJ91">
            <v>0.60528488425712434</v>
          </cell>
          <cell r="CK91">
            <v>0.37080180761781789</v>
          </cell>
          <cell r="CL91" t="str">
            <v/>
          </cell>
          <cell r="CM91" t="str">
            <v/>
          </cell>
          <cell r="CN91" t="str">
            <v/>
          </cell>
          <cell r="CO91" t="str">
            <v/>
          </cell>
          <cell r="CP91" t="str">
            <v/>
          </cell>
          <cell r="CQ91" t="str">
            <v/>
          </cell>
          <cell r="CR91" t="str">
            <v/>
          </cell>
          <cell r="CS91">
            <v>38139</v>
          </cell>
          <cell r="CT91" t="str">
            <v/>
          </cell>
          <cell r="CU91" t="str">
            <v>6955-24A</v>
          </cell>
          <cell r="CV91" t="str">
            <v>AIS</v>
          </cell>
          <cell r="CW91" t="str">
            <v>APPLICATION INNOVATION</v>
          </cell>
        </row>
        <row r="92">
          <cell r="A92" t="str">
            <v>CFTRT2N</v>
          </cell>
          <cell r="B92" t="str">
            <v>MED</v>
          </cell>
          <cell r="C92" t="str">
            <v>FM</v>
          </cell>
          <cell r="D92" t="str">
            <v>FM</v>
          </cell>
          <cell r="E92" t="str">
            <v>C&amp;SI</v>
          </cell>
          <cell r="F92" t="str">
            <v>IMS HEALTH</v>
          </cell>
          <cell r="G92" t="str">
            <v>Phase One - high levell</v>
          </cell>
          <cell r="H92" t="str">
            <v>CFTRT2N</v>
          </cell>
          <cell r="I92">
            <v>1</v>
          </cell>
          <cell r="J92" t="str">
            <v>Joseph F Devaney/Philadelphia/IBM</v>
          </cell>
          <cell r="K92" t="str">
            <v>James B Bennett/Mechanicsburg/IBM</v>
          </cell>
          <cell r="L92" t="str">
            <v>BE</v>
          </cell>
          <cell r="M92">
            <v>38579</v>
          </cell>
          <cell r="N92">
            <v>38639</v>
          </cell>
          <cell r="O92">
            <v>82080</v>
          </cell>
          <cell r="P92">
            <v>294840</v>
          </cell>
          <cell r="Q92">
            <v>82080</v>
          </cell>
          <cell r="R92">
            <v>0.44907746574413243</v>
          </cell>
          <cell r="S92">
            <v>0.4082371216394059</v>
          </cell>
          <cell r="T92" t="str">
            <v/>
          </cell>
          <cell r="U92" t="str">
            <v>Y</v>
          </cell>
          <cell r="V92" t="str">
            <v/>
          </cell>
          <cell r="W92" t="str">
            <v/>
          </cell>
          <cell r="X92" t="str">
            <v>Y</v>
          </cell>
          <cell r="Y92" t="str">
            <v/>
          </cell>
          <cell r="Z92" t="str">
            <v/>
          </cell>
          <cell r="AA92" t="str">
            <v/>
          </cell>
          <cell r="AC92" t="str">
            <v>Y</v>
          </cell>
          <cell r="AD92" t="str">
            <v/>
          </cell>
          <cell r="AE92" t="str">
            <v/>
          </cell>
          <cell r="AF92" t="str">
            <v/>
          </cell>
          <cell r="AG92" t="str">
            <v/>
          </cell>
          <cell r="AH92" t="str">
            <v/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O92" t="str">
            <v/>
          </cell>
          <cell r="AP92" t="str">
            <v/>
          </cell>
          <cell r="AQ92" t="str">
            <v/>
          </cell>
          <cell r="AR92" t="str">
            <v/>
          </cell>
          <cell r="AS92" t="str">
            <v/>
          </cell>
          <cell r="AU92" t="str">
            <v>FINANCIAL MANAGEMENT</v>
          </cell>
          <cell r="AV92" t="str">
            <v>O</v>
          </cell>
          <cell r="AW92">
            <v>956.2</v>
          </cell>
          <cell r="AX92">
            <v>168.2</v>
          </cell>
          <cell r="AY92">
            <v>0.17590462246391966</v>
          </cell>
          <cell r="AZ92">
            <v>294840</v>
          </cell>
          <cell r="BA92">
            <v>162434</v>
          </cell>
          <cell r="BB92">
            <v>132406</v>
          </cell>
          <cell r="BC92">
            <v>6497</v>
          </cell>
          <cell r="BD92">
            <v>3.9997783715232035E-2</v>
          </cell>
          <cell r="BE92">
            <v>212760</v>
          </cell>
          <cell r="BF92">
            <v>125903.47</v>
          </cell>
          <cell r="BG92">
            <v>86856.53</v>
          </cell>
          <cell r="BH92">
            <v>-45549.47</v>
          </cell>
          <cell r="BI92">
            <v>-4.0840344104726534E-2</v>
          </cell>
          <cell r="BJ92">
            <v>212760</v>
          </cell>
          <cell r="BK92">
            <v>125903.47</v>
          </cell>
          <cell r="BL92">
            <v>86856.53</v>
          </cell>
          <cell r="BM92">
            <v>0.4082371216394059</v>
          </cell>
          <cell r="BN92">
            <v>-4.0840344104726534E-2</v>
          </cell>
          <cell r="BO92" t="str">
            <v>ISU</v>
          </cell>
          <cell r="BP92" t="str">
            <v>O</v>
          </cell>
          <cell r="BQ92" t="str">
            <v>FX</v>
          </cell>
          <cell r="BR92">
            <v>5052324</v>
          </cell>
          <cell r="BS92" t="str">
            <v>6YR</v>
          </cell>
          <cell r="BT92">
            <v>1891189</v>
          </cell>
          <cell r="BW92" t="str">
            <v/>
          </cell>
          <cell r="BX92" t="str">
            <v>Unrated</v>
          </cell>
          <cell r="BY92" t="str">
            <v>Under</v>
          </cell>
          <cell r="BZ92" t="str">
            <v/>
          </cell>
          <cell r="CA92" t="str">
            <v/>
          </cell>
          <cell r="CG92">
            <v>252585</v>
          </cell>
          <cell r="CH92">
            <v>129718.27</v>
          </cell>
          <cell r="CI92">
            <v>122866.73</v>
          </cell>
          <cell r="CJ92">
            <v>0.48643715976799889</v>
          </cell>
          <cell r="CK92">
            <v>3.7359694023866463E-2</v>
          </cell>
          <cell r="CL92" t="str">
            <v/>
          </cell>
          <cell r="CM92" t="str">
            <v/>
          </cell>
          <cell r="CN92" t="str">
            <v/>
          </cell>
          <cell r="CO92" t="str">
            <v/>
          </cell>
          <cell r="CP92" t="str">
            <v/>
          </cell>
          <cell r="CQ92" t="str">
            <v/>
          </cell>
          <cell r="CR92" t="str">
            <v/>
          </cell>
          <cell r="CS92">
            <v>38565</v>
          </cell>
          <cell r="CT92" t="str">
            <v/>
          </cell>
          <cell r="CV92" t="str">
            <v/>
          </cell>
          <cell r="CW92" t="str">
            <v>FINANCIAL MANAGEMENT</v>
          </cell>
        </row>
        <row r="93">
          <cell r="A93" t="str">
            <v>CFT1F8N</v>
          </cell>
          <cell r="B93" t="str">
            <v>MED</v>
          </cell>
          <cell r="C93" t="str">
            <v>AIS</v>
          </cell>
          <cell r="D93" t="str">
            <v>AIS</v>
          </cell>
          <cell r="E93" t="str">
            <v>C&amp;SI</v>
          </cell>
          <cell r="F93" t="str">
            <v>LDS CHURCH CC</v>
          </cell>
          <cell r="G93" t="str">
            <v>Biometric                ...</v>
          </cell>
          <cell r="H93" t="str">
            <v>CFT1F8N</v>
          </cell>
          <cell r="I93">
            <v>1</v>
          </cell>
          <cell r="J93" t="str">
            <v>Mark Preston/Santa Teresa/IBM</v>
          </cell>
          <cell r="K93" t="str">
            <v>David Asay/Salt Lake City/IBM</v>
          </cell>
          <cell r="L93" t="str">
            <v>BE</v>
          </cell>
          <cell r="M93">
            <v>38623</v>
          </cell>
          <cell r="N93">
            <v>38656</v>
          </cell>
          <cell r="O93">
            <v>0</v>
          </cell>
          <cell r="P93">
            <v>2960</v>
          </cell>
          <cell r="Q93">
            <v>0</v>
          </cell>
          <cell r="R93">
            <v>0.45641891891891889</v>
          </cell>
          <cell r="S93">
            <v>0.5637837837837838</v>
          </cell>
          <cell r="T93" t="str">
            <v/>
          </cell>
          <cell r="U93" t="str">
            <v>Y</v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>Y</v>
          </cell>
          <cell r="AA93" t="str">
            <v/>
          </cell>
          <cell r="AC93" t="str">
            <v/>
          </cell>
          <cell r="AD93" t="str">
            <v/>
          </cell>
          <cell r="AE93" t="str">
            <v/>
          </cell>
          <cell r="AF93" t="str">
            <v/>
          </cell>
          <cell r="AG93" t="str">
            <v/>
          </cell>
          <cell r="AH93" t="str">
            <v/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O93" t="str">
            <v/>
          </cell>
          <cell r="AP93" t="str">
            <v/>
          </cell>
          <cell r="AQ93" t="str">
            <v/>
          </cell>
          <cell r="AR93" t="str">
            <v/>
          </cell>
          <cell r="AS93" t="str">
            <v/>
          </cell>
          <cell r="AU93" t="str">
            <v>APPLICATION INNOVATION</v>
          </cell>
          <cell r="AV93" t="str">
            <v>O</v>
          </cell>
          <cell r="AW93">
            <v>16</v>
          </cell>
          <cell r="AX93">
            <v>0</v>
          </cell>
          <cell r="AY93">
            <v>0</v>
          </cell>
          <cell r="AZ93">
            <v>2960</v>
          </cell>
          <cell r="BA93">
            <v>1609</v>
          </cell>
          <cell r="BB93">
            <v>1351</v>
          </cell>
          <cell r="BC93">
            <v>64</v>
          </cell>
          <cell r="BD93">
            <v>3.9776258545680544E-2</v>
          </cell>
          <cell r="BE93">
            <v>2960</v>
          </cell>
          <cell r="BF93">
            <v>1291.2</v>
          </cell>
          <cell r="BG93">
            <v>1668.8</v>
          </cell>
          <cell r="BH93">
            <v>317.8</v>
          </cell>
          <cell r="BI93">
            <v>0.10736486486486491</v>
          </cell>
          <cell r="BJ93">
            <v>2960</v>
          </cell>
          <cell r="BK93">
            <v>1291.2</v>
          </cell>
          <cell r="BL93">
            <v>1668.8</v>
          </cell>
          <cell r="BM93">
            <v>0.5637837837837838</v>
          </cell>
          <cell r="BN93">
            <v>0.10736486486486491</v>
          </cell>
          <cell r="BO93" t="str">
            <v>SMB</v>
          </cell>
          <cell r="BP93" t="str">
            <v>O</v>
          </cell>
          <cell r="BQ93" t="str">
            <v>FX</v>
          </cell>
          <cell r="BR93">
            <v>5096609</v>
          </cell>
          <cell r="BS93" t="str">
            <v>X23</v>
          </cell>
          <cell r="BT93">
            <v>1714162</v>
          </cell>
          <cell r="BW93" t="str">
            <v/>
          </cell>
          <cell r="BX93" t="str">
            <v>Unrated</v>
          </cell>
          <cell r="BY93" t="str">
            <v>Under</v>
          </cell>
          <cell r="BZ93" t="str">
            <v/>
          </cell>
          <cell r="CA93" t="str">
            <v/>
          </cell>
          <cell r="CG93">
            <v>2960</v>
          </cell>
          <cell r="CH93">
            <v>1291.2</v>
          </cell>
          <cell r="CI93">
            <v>1668.8</v>
          </cell>
          <cell r="CJ93">
            <v>0.5637837837837838</v>
          </cell>
          <cell r="CK93">
            <v>0.10736486486486491</v>
          </cell>
          <cell r="CL93" t="str">
            <v/>
          </cell>
          <cell r="CM93" t="str">
            <v/>
          </cell>
          <cell r="CN93" t="str">
            <v/>
          </cell>
          <cell r="CO93" t="str">
            <v/>
          </cell>
          <cell r="CP93" t="str">
            <v/>
          </cell>
          <cell r="CQ93" t="str">
            <v/>
          </cell>
          <cell r="CR93" t="str">
            <v/>
          </cell>
          <cell r="CS93">
            <v>38596</v>
          </cell>
          <cell r="CT93" t="str">
            <v/>
          </cell>
          <cell r="CU93" t="str">
            <v>6955-24A</v>
          </cell>
          <cell r="CV93" t="str">
            <v>AIS</v>
          </cell>
          <cell r="CW93" t="str">
            <v>APPLICATION INNOVATION</v>
          </cell>
        </row>
        <row r="94">
          <cell r="A94" t="str">
            <v>CFTG22N</v>
          </cell>
          <cell r="B94" t="str">
            <v>TEL</v>
          </cell>
          <cell r="C94" t="str">
            <v>SCM</v>
          </cell>
          <cell r="D94" t="str">
            <v>SCM</v>
          </cell>
          <cell r="E94" t="str">
            <v>C&amp;SI</v>
          </cell>
          <cell r="F94" t="str">
            <v>MANUGI/CINGULAR</v>
          </cell>
          <cell r="G94" t="str">
            <v>Manu Phase II Implementa</v>
          </cell>
          <cell r="H94" t="str">
            <v>CFTG22N</v>
          </cell>
          <cell r="I94">
            <v>1</v>
          </cell>
          <cell r="J94" t="str">
            <v>Maurice Trebuchon/Atlanta/IBM</v>
          </cell>
          <cell r="K94" t="str">
            <v>Isaac Chemmanam/Atlanta/IBM</v>
          </cell>
          <cell r="L94" t="str">
            <v>BE</v>
          </cell>
          <cell r="M94">
            <v>38483</v>
          </cell>
          <cell r="N94">
            <v>38641</v>
          </cell>
          <cell r="O94">
            <v>5735</v>
          </cell>
          <cell r="P94">
            <v>294890</v>
          </cell>
          <cell r="Q94">
            <v>5735</v>
          </cell>
          <cell r="R94">
            <v>0.42162840381159078</v>
          </cell>
          <cell r="S94">
            <v>0.43280506994518508</v>
          </cell>
          <cell r="T94" t="str">
            <v/>
          </cell>
          <cell r="U94" t="str">
            <v>Y</v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C94" t="str">
            <v/>
          </cell>
          <cell r="AD94" t="str">
            <v/>
          </cell>
          <cell r="AE94" t="str">
            <v/>
          </cell>
          <cell r="AF94" t="str">
            <v/>
          </cell>
          <cell r="AG94" t="str">
            <v/>
          </cell>
          <cell r="AH94" t="str">
            <v/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U94" t="str">
            <v>SUPPLY CHAIN MANAGEMENT</v>
          </cell>
          <cell r="AV94" t="str">
            <v>O</v>
          </cell>
          <cell r="AW94">
            <v>1563</v>
          </cell>
          <cell r="AX94">
            <v>0</v>
          </cell>
          <cell r="AY94">
            <v>0</v>
          </cell>
          <cell r="AZ94">
            <v>294890</v>
          </cell>
          <cell r="BA94">
            <v>170556</v>
          </cell>
          <cell r="BB94">
            <v>124334</v>
          </cell>
          <cell r="BC94">
            <v>6822</v>
          </cell>
          <cell r="BD94">
            <v>3.9998592837543097E-2</v>
          </cell>
          <cell r="BE94">
            <v>289155</v>
          </cell>
          <cell r="BF94">
            <v>164007.25</v>
          </cell>
          <cell r="BG94">
            <v>125147.75</v>
          </cell>
          <cell r="BH94">
            <v>813.75</v>
          </cell>
          <cell r="BI94">
            <v>1.1176666133594304E-2</v>
          </cell>
          <cell r="BJ94">
            <v>289155</v>
          </cell>
          <cell r="BK94">
            <v>164007.25</v>
          </cell>
          <cell r="BL94">
            <v>125147.75</v>
          </cell>
          <cell r="BM94">
            <v>0.43280506994518508</v>
          </cell>
          <cell r="BN94">
            <v>1.1176666133594304E-2</v>
          </cell>
          <cell r="BO94" t="str">
            <v>SMB</v>
          </cell>
          <cell r="BP94" t="str">
            <v>O</v>
          </cell>
          <cell r="BQ94" t="str">
            <v>FX</v>
          </cell>
          <cell r="BR94">
            <v>5463855</v>
          </cell>
          <cell r="BS94" t="str">
            <v>6Y9</v>
          </cell>
          <cell r="BT94">
            <v>7979183</v>
          </cell>
          <cell r="BW94" t="str">
            <v/>
          </cell>
          <cell r="BX94" t="str">
            <v>Unrated</v>
          </cell>
          <cell r="BY94" t="str">
            <v>Under</v>
          </cell>
          <cell r="BZ94" t="str">
            <v/>
          </cell>
          <cell r="CA94" t="str">
            <v/>
          </cell>
          <cell r="CG94">
            <v>289155</v>
          </cell>
          <cell r="CH94">
            <v>164007.25</v>
          </cell>
          <cell r="CI94">
            <v>125147.75</v>
          </cell>
          <cell r="CJ94">
            <v>0.43280506994518508</v>
          </cell>
          <cell r="CK94">
            <v>1.1176666133594304E-2</v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  <cell r="CP94" t="str">
            <v/>
          </cell>
          <cell r="CQ94" t="str">
            <v/>
          </cell>
          <cell r="CR94" t="str">
            <v/>
          </cell>
          <cell r="CS94">
            <v>38473</v>
          </cell>
          <cell r="CT94" t="str">
            <v/>
          </cell>
          <cell r="CV94" t="str">
            <v/>
          </cell>
          <cell r="CW94" t="str">
            <v>SUPPLY CHAIN MANAGEMENT</v>
          </cell>
        </row>
        <row r="95">
          <cell r="A95" t="str">
            <v>CFTHWJN</v>
          </cell>
          <cell r="B95" t="str">
            <v>TEL</v>
          </cell>
          <cell r="C95" t="str">
            <v>CRM</v>
          </cell>
          <cell r="D95" t="str">
            <v>AIS</v>
          </cell>
          <cell r="E95" t="str">
            <v>C&amp;SI</v>
          </cell>
          <cell r="F95" t="str">
            <v>MCI WORLDCOM</v>
          </cell>
          <cell r="G95" t="str">
            <v>*NS eBonding Phase 2     ...</v>
          </cell>
          <cell r="H95" t="str">
            <v>CFTHWJN</v>
          </cell>
          <cell r="I95">
            <v>1</v>
          </cell>
          <cell r="J95" t="str">
            <v>Francis E Exley/Fairfax/IBM</v>
          </cell>
          <cell r="K95" t="str">
            <v>Gloria Benedict/Baltimore/IBM</v>
          </cell>
          <cell r="L95" t="str">
            <v>FP</v>
          </cell>
          <cell r="M95">
            <v>38474</v>
          </cell>
          <cell r="N95">
            <v>38688</v>
          </cell>
          <cell r="O95">
            <v>0</v>
          </cell>
          <cell r="P95">
            <v>1361000</v>
          </cell>
          <cell r="Q95">
            <v>0</v>
          </cell>
          <cell r="R95">
            <v>0.45045040411462162</v>
          </cell>
          <cell r="S95">
            <v>0.30129742101396034</v>
          </cell>
          <cell r="T95" t="str">
            <v/>
          </cell>
          <cell r="U95" t="str">
            <v>Y</v>
          </cell>
          <cell r="V95" t="str">
            <v/>
          </cell>
          <cell r="W95" t="str">
            <v/>
          </cell>
          <cell r="X95" t="str">
            <v>Y</v>
          </cell>
          <cell r="Y95" t="str">
            <v>Y</v>
          </cell>
          <cell r="Z95" t="str">
            <v/>
          </cell>
          <cell r="AA95" t="str">
            <v/>
          </cell>
          <cell r="AC95" t="str">
            <v/>
          </cell>
          <cell r="AD95" t="str">
            <v/>
          </cell>
          <cell r="AE95" t="str">
            <v>Graham</v>
          </cell>
          <cell r="AF95" t="str">
            <v/>
          </cell>
          <cell r="AG95" t="str">
            <v/>
          </cell>
          <cell r="AH95" t="str">
            <v/>
          </cell>
          <cell r="AI95" t="str">
            <v/>
          </cell>
          <cell r="AJ95" t="str">
            <v/>
          </cell>
          <cell r="AK95" t="str">
            <v/>
          </cell>
          <cell r="AL95" t="str">
            <v>TBD</v>
          </cell>
          <cell r="AM95" t="str">
            <v/>
          </cell>
          <cell r="AN95" t="str">
            <v/>
          </cell>
          <cell r="AO95" t="str">
            <v/>
          </cell>
          <cell r="AP95" t="str">
            <v/>
          </cell>
          <cell r="AQ95" t="str">
            <v/>
          </cell>
          <cell r="AR95" t="str">
            <v/>
          </cell>
          <cell r="AS95" t="str">
            <v/>
          </cell>
          <cell r="AU95" t="str">
            <v>CUSTOMER RELATIONSHIP MANAGEMENT</v>
          </cell>
          <cell r="AV95" t="str">
            <v>O</v>
          </cell>
          <cell r="AW95">
            <v>7494.5</v>
          </cell>
          <cell r="AX95">
            <v>0</v>
          </cell>
          <cell r="AY95">
            <v>0</v>
          </cell>
          <cell r="AZ95">
            <v>1361000</v>
          </cell>
          <cell r="BA95">
            <v>747937</v>
          </cell>
          <cell r="BB95">
            <v>613063</v>
          </cell>
          <cell r="BC95">
            <v>48160</v>
          </cell>
          <cell r="BD95">
            <v>6.4390449997793933E-2</v>
          </cell>
          <cell r="BE95">
            <v>1361000</v>
          </cell>
          <cell r="BF95">
            <v>950934.21</v>
          </cell>
          <cell r="BG95">
            <v>410065.79</v>
          </cell>
          <cell r="BH95">
            <v>-202997.21</v>
          </cell>
          <cell r="BI95">
            <v>-0.14915298310066127</v>
          </cell>
          <cell r="BJ95">
            <v>1361000</v>
          </cell>
          <cell r="BK95">
            <v>950934.21</v>
          </cell>
          <cell r="BL95">
            <v>410065.79</v>
          </cell>
          <cell r="BM95">
            <v>0.30129742101396034</v>
          </cell>
          <cell r="BN95">
            <v>-0.14915298310066127</v>
          </cell>
          <cell r="BO95" t="str">
            <v>ISU</v>
          </cell>
          <cell r="BP95" t="str">
            <v>O</v>
          </cell>
          <cell r="BQ95" t="str">
            <v>FX</v>
          </cell>
          <cell r="BR95">
            <v>5633857</v>
          </cell>
          <cell r="BS95" t="str">
            <v>6Y9</v>
          </cell>
          <cell r="BT95">
            <v>5169036</v>
          </cell>
          <cell r="BW95" t="str">
            <v/>
          </cell>
          <cell r="BX95" t="str">
            <v>Unrated</v>
          </cell>
          <cell r="BY95" t="str">
            <v>Over</v>
          </cell>
          <cell r="BZ95" t="str">
            <v/>
          </cell>
          <cell r="CA95" t="str">
            <v/>
          </cell>
          <cell r="CG95">
            <v>1361000</v>
          </cell>
          <cell r="CH95">
            <v>951051.71</v>
          </cell>
          <cell r="CI95">
            <v>409948.29</v>
          </cell>
          <cell r="CJ95">
            <v>0.30121108743570901</v>
          </cell>
          <cell r="CK95">
            <v>-0.1492393166789126</v>
          </cell>
          <cell r="CL95" t="str">
            <v/>
          </cell>
          <cell r="CM95" t="str">
            <v/>
          </cell>
          <cell r="CN95" t="str">
            <v/>
          </cell>
          <cell r="CO95" t="str">
            <v>CRM</v>
          </cell>
          <cell r="CP95" t="str">
            <v>AIS</v>
          </cell>
          <cell r="CQ95" t="str">
            <v/>
          </cell>
          <cell r="CR95" t="str">
            <v/>
          </cell>
          <cell r="CS95">
            <v>38473</v>
          </cell>
          <cell r="CT95" t="str">
            <v/>
          </cell>
          <cell r="CV95" t="str">
            <v/>
          </cell>
          <cell r="CW95" t="str">
            <v>APPLICATION INNOVATION</v>
          </cell>
        </row>
        <row r="96">
          <cell r="A96" t="str">
            <v>CFTA6HN</v>
          </cell>
          <cell r="B96" t="str">
            <v>TEL</v>
          </cell>
          <cell r="C96" t="str">
            <v>CRM</v>
          </cell>
          <cell r="D96" t="str">
            <v>AIS</v>
          </cell>
          <cell r="E96" t="str">
            <v>C&amp;SI</v>
          </cell>
          <cell r="F96" t="str">
            <v>MCI WORLDCOM</v>
          </cell>
          <cell r="G96" t="str">
            <v>E-Bonding Self Svc Ph 1</v>
          </cell>
          <cell r="H96" t="str">
            <v>CFTA6HN</v>
          </cell>
          <cell r="I96">
            <v>1</v>
          </cell>
          <cell r="J96" t="str">
            <v>Francis E Exley/Fairfax/IBM</v>
          </cell>
          <cell r="K96">
            <v>0</v>
          </cell>
          <cell r="L96" t="str">
            <v>FP</v>
          </cell>
          <cell r="M96">
            <v>38411</v>
          </cell>
          <cell r="N96">
            <v>38625</v>
          </cell>
          <cell r="O96">
            <v>200000</v>
          </cell>
          <cell r="P96">
            <v>720000</v>
          </cell>
          <cell r="Q96">
            <v>200000</v>
          </cell>
          <cell r="R96">
            <v>1</v>
          </cell>
          <cell r="S96">
            <v>1</v>
          </cell>
          <cell r="T96" t="str">
            <v/>
          </cell>
          <cell r="U96" t="str">
            <v>Y</v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C96" t="str">
            <v/>
          </cell>
          <cell r="AD96" t="str">
            <v/>
          </cell>
          <cell r="AE96" t="str">
            <v>Coleman</v>
          </cell>
          <cell r="AF96" t="str">
            <v/>
          </cell>
          <cell r="AG96" t="str">
            <v/>
          </cell>
          <cell r="AH96" t="str">
            <v>Lax Gopisetty</v>
          </cell>
          <cell r="AI96" t="str">
            <v>M</v>
          </cell>
          <cell r="AJ96" t="str">
            <v>B</v>
          </cell>
          <cell r="AK96">
            <v>38474</v>
          </cell>
          <cell r="AL96">
            <v>38749</v>
          </cell>
          <cell r="AM96" t="str">
            <v>G</v>
          </cell>
          <cell r="AN96" t="str">
            <v>G</v>
          </cell>
          <cell r="AO96" t="str">
            <v>G</v>
          </cell>
          <cell r="AP96" t="str">
            <v>Y</v>
          </cell>
          <cell r="AQ96" t="str">
            <v>G</v>
          </cell>
          <cell r="AR96" t="str">
            <v>Y</v>
          </cell>
          <cell r="AS96" t="str">
            <v>G</v>
          </cell>
          <cell r="AU96" t="str">
            <v>CUSTOMER RELATIONSHIP MANAGEMENT</v>
          </cell>
          <cell r="AV96" t="str">
            <v>O</v>
          </cell>
          <cell r="AW96">
            <v>0</v>
          </cell>
          <cell r="AX96">
            <v>0</v>
          </cell>
          <cell r="AY96">
            <v>0</v>
          </cell>
          <cell r="AZ96">
            <v>720000</v>
          </cell>
          <cell r="BA96">
            <v>0</v>
          </cell>
          <cell r="BB96">
            <v>720000</v>
          </cell>
          <cell r="BC96">
            <v>0</v>
          </cell>
          <cell r="BD96">
            <v>0</v>
          </cell>
          <cell r="BE96">
            <v>520000</v>
          </cell>
          <cell r="BF96">
            <v>0</v>
          </cell>
          <cell r="BG96">
            <v>520000</v>
          </cell>
          <cell r="BH96">
            <v>-200000</v>
          </cell>
          <cell r="BI96">
            <v>0</v>
          </cell>
          <cell r="BJ96">
            <v>520000</v>
          </cell>
          <cell r="BK96">
            <v>0</v>
          </cell>
          <cell r="BL96">
            <v>520000</v>
          </cell>
          <cell r="BM96">
            <v>1</v>
          </cell>
          <cell r="BN96">
            <v>0</v>
          </cell>
          <cell r="BO96" t="str">
            <v>ISU</v>
          </cell>
          <cell r="BP96" t="str">
            <v>O</v>
          </cell>
          <cell r="BQ96" t="str">
            <v>FX</v>
          </cell>
          <cell r="BR96">
            <v>5633857</v>
          </cell>
          <cell r="BS96" t="str">
            <v>6Y9</v>
          </cell>
          <cell r="BT96">
            <v>5169036</v>
          </cell>
          <cell r="BW96" t="str">
            <v/>
          </cell>
          <cell r="BX96" t="str">
            <v>Rated</v>
          </cell>
          <cell r="BY96" t="str">
            <v>Under</v>
          </cell>
          <cell r="BZ96" t="str">
            <v>B</v>
          </cell>
          <cell r="CA96" t="str">
            <v>M</v>
          </cell>
          <cell r="CG96">
            <v>720000</v>
          </cell>
          <cell r="CH96">
            <v>0</v>
          </cell>
          <cell r="CI96">
            <v>720000</v>
          </cell>
          <cell r="CJ96">
            <v>1</v>
          </cell>
          <cell r="CK96">
            <v>0</v>
          </cell>
          <cell r="CL96" t="str">
            <v>Passed to Jamie, work out of Colorado Springs….Jamie to provide update</v>
          </cell>
          <cell r="CM96" t="str">
            <v/>
          </cell>
          <cell r="CN96" t="str">
            <v/>
          </cell>
          <cell r="CO96" t="str">
            <v>CRM</v>
          </cell>
          <cell r="CP96" t="str">
            <v>AIS</v>
          </cell>
          <cell r="CQ96" t="str">
            <v>SOA</v>
          </cell>
          <cell r="CR96" t="str">
            <v>Paul to do. Moved to AIS by Tom / Dan.  Tom named DME, if not on job.</v>
          </cell>
          <cell r="CS96">
            <v>38384</v>
          </cell>
          <cell r="CT96" t="str">
            <v/>
          </cell>
          <cell r="CU96" t="str">
            <v>6955-24A</v>
          </cell>
          <cell r="CV96" t="str">
            <v>AIS</v>
          </cell>
          <cell r="CW96" t="str">
            <v>APPLICATION INNOVATION</v>
          </cell>
        </row>
        <row r="97">
          <cell r="A97" t="str">
            <v>CFTVX3N</v>
          </cell>
          <cell r="B97" t="str">
            <v>TEL</v>
          </cell>
          <cell r="C97" t="str">
            <v>SCM</v>
          </cell>
          <cell r="D97" t="str">
            <v>SCM</v>
          </cell>
          <cell r="E97" t="str">
            <v>C&amp;SI</v>
          </cell>
          <cell r="F97" t="str">
            <v>MCI WORLDCOM NE</v>
          </cell>
          <cell r="G97" t="str">
            <v>Networx - Cramer Inventor...</v>
          </cell>
          <cell r="H97" t="str">
            <v>CFTVX3N</v>
          </cell>
          <cell r="I97">
            <v>1</v>
          </cell>
          <cell r="J97" t="str">
            <v>Robert M Tomlin/Greensboro/IBM</v>
          </cell>
          <cell r="K97" t="str">
            <v>Carol Vekteris/Markham/IBM</v>
          </cell>
          <cell r="L97" t="str">
            <v>FP</v>
          </cell>
          <cell r="M97">
            <v>38601</v>
          </cell>
          <cell r="N97">
            <v>38681</v>
          </cell>
          <cell r="O97">
            <v>332000</v>
          </cell>
          <cell r="P97">
            <v>1200000</v>
          </cell>
          <cell r="Q97">
            <v>332000</v>
          </cell>
          <cell r="R97">
            <v>0.40683333333333332</v>
          </cell>
          <cell r="S97">
            <v>0.32559525345622126</v>
          </cell>
          <cell r="T97" t="str">
            <v/>
          </cell>
          <cell r="U97" t="str">
            <v>Y</v>
          </cell>
          <cell r="V97" t="str">
            <v/>
          </cell>
          <cell r="W97" t="str">
            <v/>
          </cell>
          <cell r="X97" t="str">
            <v>Y</v>
          </cell>
          <cell r="Y97" t="str">
            <v>Y</v>
          </cell>
          <cell r="Z97" t="str">
            <v/>
          </cell>
          <cell r="AA97" t="str">
            <v/>
          </cell>
          <cell r="AC97" t="str">
            <v/>
          </cell>
          <cell r="AD97" t="str">
            <v/>
          </cell>
          <cell r="AE97" t="str">
            <v>Imam</v>
          </cell>
          <cell r="AF97" t="str">
            <v/>
          </cell>
          <cell r="AG97" t="str">
            <v/>
          </cell>
          <cell r="AH97" t="str">
            <v/>
          </cell>
          <cell r="AI97" t="str">
            <v/>
          </cell>
          <cell r="AJ97" t="str">
            <v>Launch</v>
          </cell>
          <cell r="AK97" t="str">
            <v/>
          </cell>
          <cell r="AL97" t="str">
            <v>N/A</v>
          </cell>
          <cell r="AM97" t="str">
            <v/>
          </cell>
          <cell r="AN97" t="str">
            <v/>
          </cell>
          <cell r="AO97" t="str">
            <v/>
          </cell>
          <cell r="AP97" t="str">
            <v/>
          </cell>
          <cell r="AQ97" t="str">
            <v/>
          </cell>
          <cell r="AR97" t="str">
            <v/>
          </cell>
          <cell r="AS97" t="str">
            <v/>
          </cell>
          <cell r="AU97" t="str">
            <v>SUPPLY CHAIN MANAGEMENT</v>
          </cell>
          <cell r="AV97" t="str">
            <v>O</v>
          </cell>
          <cell r="AW97">
            <v>4885.5</v>
          </cell>
          <cell r="AX97">
            <v>0</v>
          </cell>
          <cell r="AY97">
            <v>0</v>
          </cell>
          <cell r="AZ97">
            <v>1200000</v>
          </cell>
          <cell r="BA97">
            <v>711800</v>
          </cell>
          <cell r="BB97">
            <v>488200</v>
          </cell>
          <cell r="BC97">
            <v>71180</v>
          </cell>
          <cell r="BD97">
            <v>0.1</v>
          </cell>
          <cell r="BE97">
            <v>868000</v>
          </cell>
          <cell r="BF97">
            <v>585383.31999999995</v>
          </cell>
          <cell r="BG97">
            <v>282616.68</v>
          </cell>
          <cell r="BH97">
            <v>-205583.32</v>
          </cell>
          <cell r="BI97">
            <v>-8.1238079877112068E-2</v>
          </cell>
          <cell r="BJ97">
            <v>868000</v>
          </cell>
          <cell r="BK97">
            <v>585383.31999999995</v>
          </cell>
          <cell r="BL97">
            <v>282616.68</v>
          </cell>
          <cell r="BM97">
            <v>0.32559525345622126</v>
          </cell>
          <cell r="BN97">
            <v>-8.1238079877112068E-2</v>
          </cell>
          <cell r="BO97" t="str">
            <v>ISU</v>
          </cell>
          <cell r="BP97" t="str">
            <v>O</v>
          </cell>
          <cell r="BQ97" t="str">
            <v>FX</v>
          </cell>
          <cell r="BR97">
            <v>5634019</v>
          </cell>
          <cell r="BS97" t="str">
            <v>6Y9</v>
          </cell>
          <cell r="BT97">
            <v>5169036</v>
          </cell>
          <cell r="BW97" t="str">
            <v/>
          </cell>
          <cell r="BX97" t="str">
            <v>Rated</v>
          </cell>
          <cell r="BY97" t="str">
            <v>Over</v>
          </cell>
          <cell r="BZ97" t="str">
            <v>Other</v>
          </cell>
          <cell r="CA97" t="str">
            <v/>
          </cell>
          <cell r="CG97">
            <v>1200000</v>
          </cell>
          <cell r="CH97">
            <v>529158.24</v>
          </cell>
          <cell r="CI97">
            <v>670841.76</v>
          </cell>
          <cell r="CJ97">
            <v>0.55903480000000005</v>
          </cell>
          <cell r="CK97">
            <v>0.15220146666666673</v>
          </cell>
          <cell r="CL97" t="str">
            <v>Q to look at launch for deal…</v>
          </cell>
          <cell r="CM97" t="str">
            <v/>
          </cell>
          <cell r="CN97" t="str">
            <v/>
          </cell>
          <cell r="CO97" t="str">
            <v/>
          </cell>
          <cell r="CP97" t="str">
            <v/>
          </cell>
          <cell r="CQ97" t="str">
            <v/>
          </cell>
          <cell r="CR97" t="str">
            <v/>
          </cell>
          <cell r="CS97">
            <v>38596</v>
          </cell>
          <cell r="CT97" t="str">
            <v/>
          </cell>
          <cell r="CV97" t="str">
            <v/>
          </cell>
          <cell r="CW97" t="str">
            <v>SUPPLY CHAIN MANAGEMENT</v>
          </cell>
        </row>
        <row r="98">
          <cell r="A98" t="str">
            <v>CFT43CN</v>
          </cell>
          <cell r="B98" t="str">
            <v>TEL</v>
          </cell>
          <cell r="C98" t="str">
            <v>SCM</v>
          </cell>
          <cell r="D98" t="str">
            <v>SCM</v>
          </cell>
          <cell r="E98" t="str">
            <v>C&amp;SI</v>
          </cell>
          <cell r="F98" t="str">
            <v>MCI WORLDCOM NE</v>
          </cell>
          <cell r="G98" t="str">
            <v>*NS CRAMER INV MGNT PH 2</v>
          </cell>
          <cell r="H98" t="str">
            <v>CFT43CN</v>
          </cell>
          <cell r="I98">
            <v>2</v>
          </cell>
          <cell r="J98" t="str">
            <v>Robert M Tomlin/Greensboro/IBM</v>
          </cell>
          <cell r="K98" t="str">
            <v>Carol Vekteris/Markham/IBM</v>
          </cell>
          <cell r="L98" t="str">
            <v>FP</v>
          </cell>
          <cell r="M98">
            <v>38684</v>
          </cell>
          <cell r="N98">
            <v>38737</v>
          </cell>
          <cell r="O98">
            <v>747723.15</v>
          </cell>
          <cell r="P98">
            <v>1007724</v>
          </cell>
          <cell r="Q98">
            <v>747723.15</v>
          </cell>
          <cell r="R98">
            <v>0.30935752249623905</v>
          </cell>
          <cell r="S98">
            <v>0.67142034343349255</v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>Y</v>
          </cell>
          <cell r="AA98" t="str">
            <v/>
          </cell>
          <cell r="AC98" t="str">
            <v/>
          </cell>
          <cell r="AD98" t="str">
            <v>Y</v>
          </cell>
          <cell r="AE98" t="str">
            <v>Imam</v>
          </cell>
          <cell r="AL98" t="str">
            <v>TBD</v>
          </cell>
          <cell r="AU98" t="str">
            <v>SUPPLY CHAIN MANAGEMENT</v>
          </cell>
          <cell r="AV98" t="str">
            <v>P</v>
          </cell>
          <cell r="AW98">
            <v>972.5</v>
          </cell>
          <cell r="AX98">
            <v>0</v>
          </cell>
          <cell r="AY98">
            <v>0</v>
          </cell>
          <cell r="AZ98">
            <v>1007724</v>
          </cell>
          <cell r="BA98">
            <v>695977</v>
          </cell>
          <cell r="BB98">
            <v>311747</v>
          </cell>
          <cell r="BC98">
            <v>69906</v>
          </cell>
          <cell r="BD98">
            <v>0.10044297440863707</v>
          </cell>
          <cell r="BE98">
            <v>260000.85</v>
          </cell>
          <cell r="BF98">
            <v>85430.99</v>
          </cell>
          <cell r="BG98">
            <v>174569.86</v>
          </cell>
          <cell r="BH98">
            <v>-137177.14000000001</v>
          </cell>
          <cell r="BI98">
            <v>0.3620628209372535</v>
          </cell>
          <cell r="BJ98">
            <v>260000.85</v>
          </cell>
          <cell r="BK98">
            <v>85430.99</v>
          </cell>
          <cell r="BL98">
            <v>174569.86</v>
          </cell>
          <cell r="BM98">
            <v>0.67142034343349255</v>
          </cell>
          <cell r="BN98">
            <v>0.3620628209372535</v>
          </cell>
          <cell r="BO98" t="str">
            <v>ISU</v>
          </cell>
          <cell r="BP98" t="str">
            <v>P</v>
          </cell>
          <cell r="BQ98" t="str">
            <v>FX</v>
          </cell>
          <cell r="BR98">
            <v>5634019</v>
          </cell>
          <cell r="BS98" t="str">
            <v>6Y9</v>
          </cell>
          <cell r="BT98">
            <v>5169036</v>
          </cell>
          <cell r="BW98" t="str">
            <v/>
          </cell>
          <cell r="BX98" t="str">
            <v>Unrated</v>
          </cell>
          <cell r="BY98" t="str">
            <v>Over</v>
          </cell>
          <cell r="BZ98" t="str">
            <v/>
          </cell>
          <cell r="CA98" t="str">
            <v/>
          </cell>
          <cell r="CG98">
            <v>923115</v>
          </cell>
          <cell r="CH98">
            <v>185354</v>
          </cell>
          <cell r="CI98">
            <v>737761</v>
          </cell>
          <cell r="CJ98">
            <v>0.79920811599854835</v>
          </cell>
          <cell r="CK98">
            <v>0.48985059350230931</v>
          </cell>
          <cell r="CM98" t="e">
            <v>#N/A</v>
          </cell>
          <cell r="CS98">
            <v>38657</v>
          </cell>
          <cell r="CV98" t="str">
            <v/>
          </cell>
          <cell r="CW98" t="str">
            <v>SUPPLY CHAIN MANAGEMENT</v>
          </cell>
        </row>
        <row r="99">
          <cell r="A99" t="str">
            <v>CFTMGJN</v>
          </cell>
          <cell r="B99" t="str">
            <v>UTL</v>
          </cell>
          <cell r="C99" t="str">
            <v>AIS</v>
          </cell>
          <cell r="D99" t="str">
            <v>AIS</v>
          </cell>
          <cell r="E99" t="str">
            <v>C&amp;SI</v>
          </cell>
          <cell r="F99" t="str">
            <v>MI ELEC TRA LLC</v>
          </cell>
          <cell r="G99" t="str">
            <v>*WPS2 NETWORK SERVICES   ...</v>
          </cell>
          <cell r="H99" t="str">
            <v>CFTMGJN</v>
          </cell>
          <cell r="I99">
            <v>14</v>
          </cell>
          <cell r="J99" t="str">
            <v>Kieran J Mcloughlin/Hartford/IBM</v>
          </cell>
          <cell r="K99" t="str">
            <v>Murthy V Chimalapati/Atlanta/IBM</v>
          </cell>
          <cell r="L99" t="str">
            <v>FP</v>
          </cell>
          <cell r="M99">
            <v>38503</v>
          </cell>
          <cell r="N99">
            <v>38814</v>
          </cell>
          <cell r="O99">
            <v>1189285.01</v>
          </cell>
          <cell r="P99">
            <v>2045395.01</v>
          </cell>
          <cell r="Q99">
            <v>1189285.01</v>
          </cell>
          <cell r="R99">
            <v>0.47310813083483566</v>
          </cell>
          <cell r="S99">
            <v>0.44792046582798939</v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>Y</v>
          </cell>
          <cell r="Y99" t="str">
            <v/>
          </cell>
          <cell r="Z99" t="str">
            <v/>
          </cell>
          <cell r="AA99" t="str">
            <v/>
          </cell>
          <cell r="AC99" t="str">
            <v/>
          </cell>
          <cell r="AD99" t="str">
            <v>Y</v>
          </cell>
          <cell r="AE99" t="str">
            <v>Imam</v>
          </cell>
          <cell r="AF99" t="str">
            <v/>
          </cell>
          <cell r="AG99" t="str">
            <v/>
          </cell>
          <cell r="AH99" t="str">
            <v>Don Mak</v>
          </cell>
          <cell r="AI99" t="str">
            <v/>
          </cell>
          <cell r="AJ99" t="str">
            <v>C</v>
          </cell>
          <cell r="AK99">
            <v>38626</v>
          </cell>
          <cell r="AL99">
            <v>38749</v>
          </cell>
          <cell r="AM99" t="str">
            <v>Y</v>
          </cell>
          <cell r="AN99" t="str">
            <v>G</v>
          </cell>
          <cell r="AO99" t="str">
            <v>Y</v>
          </cell>
          <cell r="AP99" t="str">
            <v>G</v>
          </cell>
          <cell r="AQ99" t="str">
            <v>Y</v>
          </cell>
          <cell r="AR99" t="str">
            <v>Y</v>
          </cell>
          <cell r="AS99" t="str">
            <v>Y</v>
          </cell>
          <cell r="AU99" t="str">
            <v>APPLICATION INNOVATION</v>
          </cell>
          <cell r="AV99" t="str">
            <v>O</v>
          </cell>
          <cell r="AW99">
            <v>3978.4</v>
          </cell>
          <cell r="AX99">
            <v>82.6</v>
          </cell>
          <cell r="AY99">
            <v>2.0762115423285744E-2</v>
          </cell>
          <cell r="AZ99">
            <v>2045395.01</v>
          </cell>
          <cell r="BA99">
            <v>1077702</v>
          </cell>
          <cell r="BB99">
            <v>967693.01</v>
          </cell>
          <cell r="BC99">
            <v>43109</v>
          </cell>
          <cell r="BD99">
            <v>4.0000853668268221E-2</v>
          </cell>
          <cell r="BE99">
            <v>856110</v>
          </cell>
          <cell r="BF99">
            <v>472640.81</v>
          </cell>
          <cell r="BG99">
            <v>383469.19</v>
          </cell>
          <cell r="BH99">
            <v>-584223.81999999995</v>
          </cell>
          <cell r="BI99">
            <v>-2.5187665006846272E-2</v>
          </cell>
          <cell r="BJ99">
            <v>856110</v>
          </cell>
          <cell r="BK99">
            <v>472640.81</v>
          </cell>
          <cell r="BL99">
            <v>383469.19</v>
          </cell>
          <cell r="BM99">
            <v>0.44792046582798939</v>
          </cell>
          <cell r="BN99">
            <v>-2.5187665006846272E-2</v>
          </cell>
          <cell r="BO99" t="str">
            <v>ISU</v>
          </cell>
          <cell r="BP99" t="str">
            <v>O</v>
          </cell>
          <cell r="BQ99" t="str">
            <v>FX</v>
          </cell>
          <cell r="BR99">
            <v>5801539</v>
          </cell>
          <cell r="BS99" t="str">
            <v>6YX</v>
          </cell>
          <cell r="BT99">
            <v>8922081</v>
          </cell>
          <cell r="BW99" t="str">
            <v/>
          </cell>
          <cell r="BX99" t="str">
            <v>Rated</v>
          </cell>
          <cell r="BY99" t="str">
            <v>Over</v>
          </cell>
          <cell r="BZ99" t="str">
            <v>C</v>
          </cell>
          <cell r="CA99" t="str">
            <v/>
          </cell>
          <cell r="CG99">
            <v>1467097.5</v>
          </cell>
          <cell r="CH99">
            <v>817777.17</v>
          </cell>
          <cell r="CI99">
            <v>649320.32999999996</v>
          </cell>
          <cell r="CJ99">
            <v>0.44258839647671677</v>
          </cell>
          <cell r="CK99">
            <v>-3.0519734358118888E-2</v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  <cell r="CP99" t="str">
            <v/>
          </cell>
          <cell r="CQ99" t="str">
            <v>Enterprise Integration</v>
          </cell>
          <cell r="CR99" t="str">
            <v>Finished launch, pmr tbd</v>
          </cell>
          <cell r="CS99">
            <v>38473</v>
          </cell>
          <cell r="CT99" t="str">
            <v/>
          </cell>
          <cell r="CU99" t="str">
            <v>6955-24A</v>
          </cell>
          <cell r="CV99" t="str">
            <v>AIS</v>
          </cell>
          <cell r="CW99" t="str">
            <v>APPLICATION INNOVATION</v>
          </cell>
        </row>
        <row r="100">
          <cell r="A100" t="str">
            <v>CFTTSGL</v>
          </cell>
          <cell r="B100" t="str">
            <v>UTL</v>
          </cell>
          <cell r="C100" t="str">
            <v>AIS</v>
          </cell>
          <cell r="D100" t="str">
            <v>AIS</v>
          </cell>
          <cell r="E100" t="str">
            <v>C&amp;SI</v>
          </cell>
          <cell r="F100" t="str">
            <v>MIDWEST ISO</v>
          </cell>
          <cell r="G100" t="str">
            <v>PCR #3--READINESS ASSESS</v>
          </cell>
          <cell r="H100" t="str">
            <v>CFTTSGL</v>
          </cell>
          <cell r="I100">
            <v>1</v>
          </cell>
          <cell r="J100" t="str">
            <v>Don Mak/Fairfax/IBM</v>
          </cell>
          <cell r="K100" t="str">
            <v>Frank Leone/Wayne/IBM</v>
          </cell>
          <cell r="L100" t="str">
            <v>BE</v>
          </cell>
          <cell r="M100">
            <v>38078</v>
          </cell>
          <cell r="N100">
            <v>38716</v>
          </cell>
          <cell r="O100">
            <v>214721</v>
          </cell>
          <cell r="P100">
            <v>1457596</v>
          </cell>
          <cell r="Q100">
            <v>214721</v>
          </cell>
          <cell r="R100">
            <v>0.36242346987779878</v>
          </cell>
          <cell r="S100">
            <v>0.46851478225887566</v>
          </cell>
          <cell r="T100" t="str">
            <v/>
          </cell>
          <cell r="U100" t="str">
            <v>Y</v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>Y</v>
          </cell>
          <cell r="AA100" t="str">
            <v/>
          </cell>
          <cell r="AC100" t="str">
            <v>Y</v>
          </cell>
          <cell r="AD100" t="str">
            <v/>
          </cell>
          <cell r="AE100" t="str">
            <v>Imam</v>
          </cell>
          <cell r="AJ100" t="str">
            <v>Sub</v>
          </cell>
          <cell r="AL100" t="str">
            <v>N/A</v>
          </cell>
          <cell r="AU100" t="str">
            <v>APPLICATION INNOVATION</v>
          </cell>
          <cell r="AV100" t="str">
            <v>O</v>
          </cell>
          <cell r="AW100">
            <v>7326</v>
          </cell>
          <cell r="AX100">
            <v>613</v>
          </cell>
          <cell r="AY100">
            <v>8.3674583674583677E-2</v>
          </cell>
          <cell r="AZ100">
            <v>1457596</v>
          </cell>
          <cell r="BA100">
            <v>929329</v>
          </cell>
          <cell r="BB100">
            <v>528267</v>
          </cell>
          <cell r="BC100">
            <v>29020</v>
          </cell>
          <cell r="BD100">
            <v>3.1226831402011559E-2</v>
          </cell>
          <cell r="BE100">
            <v>1242875</v>
          </cell>
          <cell r="BF100">
            <v>660569.68999999994</v>
          </cell>
          <cell r="BG100">
            <v>582305.31000000006</v>
          </cell>
          <cell r="BH100">
            <v>54038.310000000056</v>
          </cell>
          <cell r="BI100">
            <v>0.10609131238107689</v>
          </cell>
          <cell r="BJ100">
            <v>777994</v>
          </cell>
          <cell r="BK100">
            <v>434087.44</v>
          </cell>
          <cell r="BL100">
            <v>343906.56</v>
          </cell>
          <cell r="BM100">
            <v>0.4420426892752386</v>
          </cell>
          <cell r="BN100">
            <v>7.9619219397439822E-2</v>
          </cell>
          <cell r="BO100" t="str">
            <v>ISU</v>
          </cell>
          <cell r="BP100" t="str">
            <v>O</v>
          </cell>
          <cell r="BQ100" t="str">
            <v>FY</v>
          </cell>
          <cell r="BR100">
            <v>5845830</v>
          </cell>
          <cell r="BS100" t="str">
            <v>6YX</v>
          </cell>
          <cell r="BT100">
            <v>5845830</v>
          </cell>
          <cell r="BW100" t="str">
            <v/>
          </cell>
          <cell r="BX100" t="str">
            <v>Rated</v>
          </cell>
          <cell r="BY100" t="str">
            <v>Over</v>
          </cell>
          <cell r="BZ100" t="str">
            <v>Other</v>
          </cell>
          <cell r="CA100" t="str">
            <v/>
          </cell>
          <cell r="CG100">
            <v>1242875</v>
          </cell>
          <cell r="CH100">
            <v>660569.68999999994</v>
          </cell>
          <cell r="CI100">
            <v>582305.31000000006</v>
          </cell>
          <cell r="CJ100">
            <v>0.46851478225887566</v>
          </cell>
          <cell r="CK100">
            <v>0.10609131238107689</v>
          </cell>
          <cell r="CM100" t="e">
            <v>#N/A</v>
          </cell>
          <cell r="CS100">
            <v>38078</v>
          </cell>
          <cell r="CV100" t="str">
            <v/>
          </cell>
          <cell r="CW100" t="str">
            <v>APPLICATION INNOVATION</v>
          </cell>
        </row>
        <row r="101">
          <cell r="A101" t="str">
            <v>CFTGVSL</v>
          </cell>
          <cell r="B101" t="str">
            <v>UTL</v>
          </cell>
          <cell r="C101" t="str">
            <v>AIS</v>
          </cell>
          <cell r="D101" t="str">
            <v>AIS</v>
          </cell>
          <cell r="E101" t="str">
            <v>C&amp;SI</v>
          </cell>
          <cell r="F101" t="str">
            <v>MIDWEST ISO</v>
          </cell>
          <cell r="G101" t="str">
            <v>PCR #7--JOAS, JRCAS</v>
          </cell>
          <cell r="H101" t="str">
            <v>CFTGVSL</v>
          </cell>
          <cell r="I101">
            <v>1</v>
          </cell>
          <cell r="J101" t="str">
            <v>Don Mak/Fairfax/IBM</v>
          </cell>
          <cell r="K101" t="str">
            <v>Yolanda Pinkard/Dallas/IBM</v>
          </cell>
          <cell r="L101" t="str">
            <v>BE</v>
          </cell>
          <cell r="M101">
            <v>38353</v>
          </cell>
          <cell r="N101">
            <v>38716</v>
          </cell>
          <cell r="O101">
            <v>74816</v>
          </cell>
          <cell r="P101">
            <v>722916.8</v>
          </cell>
          <cell r="Q101">
            <v>74816</v>
          </cell>
          <cell r="R101">
            <v>0.32852992211551874</v>
          </cell>
          <cell r="S101">
            <v>0.5030462082441497</v>
          </cell>
          <cell r="T101" t="str">
            <v/>
          </cell>
          <cell r="U101" t="str">
            <v>Y</v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>Y</v>
          </cell>
          <cell r="AA101" t="str">
            <v/>
          </cell>
          <cell r="AC101" t="str">
            <v>Y</v>
          </cell>
          <cell r="AD101" t="str">
            <v/>
          </cell>
          <cell r="AE101" t="str">
            <v>Imam</v>
          </cell>
          <cell r="AF101" t="str">
            <v/>
          </cell>
          <cell r="AG101" t="str">
            <v/>
          </cell>
          <cell r="AH101" t="str">
            <v>NA</v>
          </cell>
          <cell r="AI101" t="str">
            <v>L</v>
          </cell>
          <cell r="AJ101" t="str">
            <v>A</v>
          </cell>
          <cell r="AK101">
            <v>38596</v>
          </cell>
          <cell r="AL101" t="str">
            <v>N/A</v>
          </cell>
          <cell r="AM101" t="str">
            <v>G</v>
          </cell>
          <cell r="AN101" t="str">
            <v>G</v>
          </cell>
          <cell r="AO101" t="str">
            <v>G</v>
          </cell>
          <cell r="AP101" t="str">
            <v>G</v>
          </cell>
          <cell r="AQ101" t="str">
            <v>G</v>
          </cell>
          <cell r="AR101" t="str">
            <v>G</v>
          </cell>
          <cell r="AS101" t="str">
            <v>G</v>
          </cell>
          <cell r="AU101" t="str">
            <v>APPLICATION INNOVATION</v>
          </cell>
          <cell r="AV101" t="str">
            <v>O</v>
          </cell>
          <cell r="AW101">
            <v>3470.5</v>
          </cell>
          <cell r="AX101">
            <v>291.5</v>
          </cell>
          <cell r="AY101">
            <v>8.3993660855784469E-2</v>
          </cell>
          <cell r="AZ101">
            <v>722916.8</v>
          </cell>
          <cell r="BA101">
            <v>485417</v>
          </cell>
          <cell r="BB101">
            <v>237499.8</v>
          </cell>
          <cell r="BC101">
            <v>19417</v>
          </cell>
          <cell r="BD101">
            <v>4.0000659227015123E-2</v>
          </cell>
          <cell r="BE101">
            <v>648100.80000000005</v>
          </cell>
          <cell r="BF101">
            <v>322076.15000000002</v>
          </cell>
          <cell r="BG101">
            <v>326024.65000000002</v>
          </cell>
          <cell r="BH101">
            <v>88524.85</v>
          </cell>
          <cell r="BI101">
            <v>0.17451628612863096</v>
          </cell>
          <cell r="BJ101">
            <v>648100.80000000005</v>
          </cell>
          <cell r="BK101">
            <v>322076.15000000002</v>
          </cell>
          <cell r="BL101">
            <v>326024.65000000002</v>
          </cell>
          <cell r="BM101">
            <v>0.5030462082441497</v>
          </cell>
          <cell r="BN101">
            <v>0.17451628612863096</v>
          </cell>
          <cell r="BO101" t="str">
            <v>ISU</v>
          </cell>
          <cell r="BP101" t="str">
            <v>O</v>
          </cell>
          <cell r="BQ101" t="str">
            <v>FY</v>
          </cell>
          <cell r="BR101">
            <v>5845830</v>
          </cell>
          <cell r="BS101" t="str">
            <v>6YX</v>
          </cell>
          <cell r="BT101">
            <v>5845830</v>
          </cell>
          <cell r="BW101" t="str">
            <v/>
          </cell>
          <cell r="BX101" t="str">
            <v>Rated</v>
          </cell>
          <cell r="BY101" t="str">
            <v>Under</v>
          </cell>
          <cell r="BZ101" t="str">
            <v>A</v>
          </cell>
          <cell r="CA101" t="str">
            <v>L</v>
          </cell>
          <cell r="CG101">
            <v>619855</v>
          </cell>
          <cell r="CH101">
            <v>323205.48</v>
          </cell>
          <cell r="CI101">
            <v>296649.52</v>
          </cell>
          <cell r="CJ101">
            <v>0.47857889345088772</v>
          </cell>
          <cell r="CK101">
            <v>0.15004897133536899</v>
          </cell>
          <cell r="CL101" t="str">
            <v/>
          </cell>
          <cell r="CM101" t="str">
            <v/>
          </cell>
          <cell r="CN101" t="str">
            <v/>
          </cell>
          <cell r="CO101" t="str">
            <v/>
          </cell>
          <cell r="CP101" t="str">
            <v/>
          </cell>
          <cell r="CQ101" t="str">
            <v>NA</v>
          </cell>
          <cell r="CR101" t="str">
            <v>10-7 (JT): Below threshold</v>
          </cell>
          <cell r="CS101">
            <v>38353</v>
          </cell>
          <cell r="CT101" t="str">
            <v/>
          </cell>
          <cell r="CU101" t="str">
            <v>6955-24D</v>
          </cell>
          <cell r="CV101" t="str">
            <v>AMS</v>
          </cell>
          <cell r="CW101" t="str">
            <v>APPLICATION INNOVATION</v>
          </cell>
        </row>
        <row r="102">
          <cell r="A102" t="str">
            <v>CFTNW4N</v>
          </cell>
          <cell r="B102" t="str">
            <v>UTL</v>
          </cell>
          <cell r="C102" t="str">
            <v>CRM</v>
          </cell>
          <cell r="D102" t="str">
            <v>CRM</v>
          </cell>
          <cell r="E102" t="str">
            <v>C&amp;SI</v>
          </cell>
          <cell r="F102" t="str">
            <v>NAT GRID USA SV</v>
          </cell>
          <cell r="G102" t="str">
            <v>CIS Legacy Apps</v>
          </cell>
          <cell r="H102" t="str">
            <v>CFTNW4N</v>
          </cell>
          <cell r="I102">
            <v>3</v>
          </cell>
          <cell r="J102" t="str">
            <v>Robert Brnilovich/Fairfax/IBM</v>
          </cell>
          <cell r="K102" t="str">
            <v>John Hutchinson/Piscataway/IBM</v>
          </cell>
          <cell r="L102" t="str">
            <v>FP</v>
          </cell>
          <cell r="M102">
            <v>38586</v>
          </cell>
          <cell r="N102">
            <v>39660</v>
          </cell>
          <cell r="O102">
            <v>11164261.59</v>
          </cell>
          <cell r="P102">
            <v>11796210</v>
          </cell>
          <cell r="Q102">
            <v>11164261.59</v>
          </cell>
          <cell r="R102">
            <v>0.2679097778015142</v>
          </cell>
          <cell r="S102">
            <v>0.24873873802451696</v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>Y</v>
          </cell>
          <cell r="Y102" t="str">
            <v/>
          </cell>
          <cell r="Z102" t="str">
            <v/>
          </cell>
          <cell r="AA102" t="str">
            <v/>
          </cell>
          <cell r="AC102" t="str">
            <v>Y</v>
          </cell>
          <cell r="AD102" t="str">
            <v>Y</v>
          </cell>
          <cell r="AE102" t="str">
            <v>Imam</v>
          </cell>
          <cell r="AF102" t="str">
            <v/>
          </cell>
          <cell r="AG102" t="str">
            <v/>
          </cell>
          <cell r="AH102" t="str">
            <v/>
          </cell>
          <cell r="AI102" t="str">
            <v/>
          </cell>
          <cell r="AJ102" t="str">
            <v>Launch</v>
          </cell>
          <cell r="AK102" t="str">
            <v/>
          </cell>
          <cell r="AL102">
            <v>38777</v>
          </cell>
          <cell r="AM102" t="str">
            <v/>
          </cell>
          <cell r="AN102" t="str">
            <v/>
          </cell>
          <cell r="AO102" t="str">
            <v/>
          </cell>
          <cell r="AP102" t="str">
            <v/>
          </cell>
          <cell r="AQ102" t="str">
            <v/>
          </cell>
          <cell r="AR102" t="str">
            <v/>
          </cell>
          <cell r="AS102" t="str">
            <v/>
          </cell>
          <cell r="AU102" t="str">
            <v>CUSTOMER RELATIONSHIP MANAGEMENT</v>
          </cell>
          <cell r="AV102" t="str">
            <v>O</v>
          </cell>
          <cell r="AW102">
            <v>4826</v>
          </cell>
          <cell r="AX102">
            <v>249</v>
          </cell>
          <cell r="AY102">
            <v>5.1595524243680066E-2</v>
          </cell>
          <cell r="AZ102">
            <v>11796210</v>
          </cell>
          <cell r="BA102">
            <v>8635890</v>
          </cell>
          <cell r="BB102">
            <v>3160320</v>
          </cell>
          <cell r="BC102">
            <v>436512</v>
          </cell>
          <cell r="BD102">
            <v>5.0546266800526637E-2</v>
          </cell>
          <cell r="BE102">
            <v>631948.41</v>
          </cell>
          <cell r="BF102">
            <v>474758.36</v>
          </cell>
          <cell r="BG102">
            <v>157190.04999999999</v>
          </cell>
          <cell r="BH102">
            <v>-3003129.95</v>
          </cell>
          <cell r="BI102">
            <v>-1.9171039776997245E-2</v>
          </cell>
          <cell r="BJ102">
            <v>631948.41</v>
          </cell>
          <cell r="BK102">
            <v>474758.36</v>
          </cell>
          <cell r="BL102">
            <v>157190.04999999999</v>
          </cell>
          <cell r="BM102">
            <v>0.24873873802451696</v>
          </cell>
          <cell r="BN102">
            <v>-1.9171039776997245E-2</v>
          </cell>
          <cell r="BO102" t="str">
            <v>ISU</v>
          </cell>
          <cell r="BP102" t="str">
            <v>O</v>
          </cell>
          <cell r="BQ102" t="str">
            <v>FY</v>
          </cell>
          <cell r="BR102">
            <v>6429837</v>
          </cell>
          <cell r="BS102" t="str">
            <v>6Y0</v>
          </cell>
          <cell r="BT102">
            <v>6419000</v>
          </cell>
          <cell r="BW102" t="str">
            <v/>
          </cell>
          <cell r="BX102" t="str">
            <v>Rated</v>
          </cell>
          <cell r="BY102" t="str">
            <v>Over</v>
          </cell>
          <cell r="BZ102" t="str">
            <v>Other</v>
          </cell>
          <cell r="CA102" t="str">
            <v/>
          </cell>
          <cell r="CG102">
            <v>11796210</v>
          </cell>
          <cell r="CH102">
            <v>7903584.9199999999</v>
          </cell>
          <cell r="CI102">
            <v>3892625.08</v>
          </cell>
          <cell r="CJ102">
            <v>0.32998946949910185</v>
          </cell>
          <cell r="CK102">
            <v>6.2079691697587647E-2</v>
          </cell>
          <cell r="CL102" t="str">
            <v>Project start-up delayed…launch to be completed Jan / Feb</v>
          </cell>
          <cell r="CM102" t="str">
            <v/>
          </cell>
          <cell r="CN102" t="str">
            <v/>
          </cell>
          <cell r="CO102" t="str">
            <v/>
          </cell>
          <cell r="CP102" t="str">
            <v/>
          </cell>
          <cell r="CQ102" t="str">
            <v/>
          </cell>
          <cell r="CR102" t="str">
            <v/>
          </cell>
          <cell r="CS102">
            <v>38565</v>
          </cell>
          <cell r="CT102" t="str">
            <v/>
          </cell>
          <cell r="CV102" t="str">
            <v/>
          </cell>
          <cell r="CW102" t="str">
            <v>CUSTOMER RELATIONSHIP MANAGEMENT</v>
          </cell>
        </row>
        <row r="103">
          <cell r="A103" t="str">
            <v>CFT97KM</v>
          </cell>
          <cell r="B103" t="str">
            <v>MED</v>
          </cell>
          <cell r="C103" t="str">
            <v>SCM</v>
          </cell>
          <cell r="D103" t="str">
            <v>SCM</v>
          </cell>
          <cell r="E103" t="str">
            <v>C&amp;SI</v>
          </cell>
          <cell r="F103" t="str">
            <v>NEWS AMERICA</v>
          </cell>
          <cell r="G103" t="str">
            <v>*NS News America Inc Peo</v>
          </cell>
          <cell r="H103" t="str">
            <v>CFT97KM</v>
          </cell>
          <cell r="I103">
            <v>2</v>
          </cell>
          <cell r="J103" t="str">
            <v>Thomas L Sutton/Minneapolis/IBM</v>
          </cell>
          <cell r="K103" t="str">
            <v>Daigo Echizenya/Chicago/IBM</v>
          </cell>
          <cell r="L103" t="str">
            <v>FP</v>
          </cell>
          <cell r="M103">
            <v>38418</v>
          </cell>
          <cell r="N103">
            <v>38701</v>
          </cell>
          <cell r="O103">
            <v>80426.090000000084</v>
          </cell>
          <cell r="P103">
            <v>1194920</v>
          </cell>
          <cell r="Q103">
            <v>80426.090000000084</v>
          </cell>
          <cell r="R103">
            <v>0.43270762896260839</v>
          </cell>
          <cell r="S103">
            <v>0.41245380156451456</v>
          </cell>
          <cell r="T103" t="str">
            <v/>
          </cell>
          <cell r="U103" t="str">
            <v>Y</v>
          </cell>
          <cell r="V103" t="str">
            <v/>
          </cell>
          <cell r="W103" t="str">
            <v/>
          </cell>
          <cell r="X103" t="str">
            <v>Y</v>
          </cell>
          <cell r="Y103" t="str">
            <v/>
          </cell>
          <cell r="Z103" t="str">
            <v/>
          </cell>
          <cell r="AA103" t="str">
            <v/>
          </cell>
          <cell r="AC103" t="str">
            <v/>
          </cell>
          <cell r="AD103" t="str">
            <v/>
          </cell>
          <cell r="AE103" t="str">
            <v>Imam</v>
          </cell>
          <cell r="AF103" t="str">
            <v>Y</v>
          </cell>
          <cell r="AG103" t="str">
            <v>Closing will monitor</v>
          </cell>
          <cell r="AH103" t="str">
            <v/>
          </cell>
          <cell r="AI103" t="str">
            <v/>
          </cell>
          <cell r="AJ103" t="str">
            <v>Waived</v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O103" t="str">
            <v/>
          </cell>
          <cell r="AP103" t="str">
            <v/>
          </cell>
          <cell r="AQ103" t="str">
            <v/>
          </cell>
          <cell r="AR103" t="str">
            <v/>
          </cell>
          <cell r="AS103" t="str">
            <v/>
          </cell>
          <cell r="AU103" t="str">
            <v>SUPPLY CHAIN MANAGEMENT</v>
          </cell>
          <cell r="AV103" t="str">
            <v>O</v>
          </cell>
          <cell r="AW103">
            <v>7528.5</v>
          </cell>
          <cell r="AX103">
            <v>59.5</v>
          </cell>
          <cell r="AY103">
            <v>7.9033007903300794E-3</v>
          </cell>
          <cell r="AZ103">
            <v>1194920</v>
          </cell>
          <cell r="BA103">
            <v>677869</v>
          </cell>
          <cell r="BB103">
            <v>517051</v>
          </cell>
          <cell r="BC103">
            <v>27711</v>
          </cell>
          <cell r="BD103">
            <v>4.0879579977842327E-2</v>
          </cell>
          <cell r="BE103">
            <v>1114493.9099999999</v>
          </cell>
          <cell r="BF103">
            <v>654816.66</v>
          </cell>
          <cell r="BG103">
            <v>459677.25</v>
          </cell>
          <cell r="BH103">
            <v>-57373.750000000116</v>
          </cell>
          <cell r="BI103">
            <v>-2.0253827398093838E-2</v>
          </cell>
          <cell r="BJ103">
            <v>1114493.9099999999</v>
          </cell>
          <cell r="BK103">
            <v>654816.66</v>
          </cell>
          <cell r="BL103">
            <v>459677.25</v>
          </cell>
          <cell r="BM103">
            <v>0.41245380156451456</v>
          </cell>
          <cell r="BN103">
            <v>-2.0253827398093838E-2</v>
          </cell>
          <cell r="BO103" t="str">
            <v>ISU</v>
          </cell>
          <cell r="BP103" t="str">
            <v>O</v>
          </cell>
          <cell r="BQ103" t="str">
            <v>FX</v>
          </cell>
          <cell r="BR103">
            <v>6558518</v>
          </cell>
          <cell r="BS103" t="str">
            <v>6YR</v>
          </cell>
          <cell r="BT103">
            <v>8828035</v>
          </cell>
          <cell r="BW103" t="str">
            <v/>
          </cell>
          <cell r="BX103" t="str">
            <v>Rated</v>
          </cell>
          <cell r="BY103" t="str">
            <v>Over</v>
          </cell>
          <cell r="BZ103" t="str">
            <v>Other</v>
          </cell>
          <cell r="CA103" t="str">
            <v/>
          </cell>
          <cell r="CG103">
            <v>1162920</v>
          </cell>
          <cell r="CH103">
            <v>655553</v>
          </cell>
          <cell r="CI103">
            <v>507367</v>
          </cell>
          <cell r="CJ103">
            <v>0.43628710487393801</v>
          </cell>
          <cell r="CK103">
            <v>3.5794759113296215E-3</v>
          </cell>
          <cell r="CL103" t="str">
            <v>Launch completed in April.  We'll check the backlog in the next MPP file....may be a candidate for ISV RM</v>
          </cell>
          <cell r="CM103" t="str">
            <v/>
          </cell>
          <cell r="CN103" t="str">
            <v/>
          </cell>
          <cell r="CO103" t="str">
            <v/>
          </cell>
          <cell r="CP103" t="str">
            <v/>
          </cell>
          <cell r="CQ103" t="str">
            <v/>
          </cell>
          <cell r="CR103" t="str">
            <v/>
          </cell>
          <cell r="CS103">
            <v>38412</v>
          </cell>
          <cell r="CT103" t="str">
            <v/>
          </cell>
          <cell r="CV103" t="str">
            <v/>
          </cell>
          <cell r="CW103" t="str">
            <v>SUPPLY CHAIN MANAGEMENT</v>
          </cell>
        </row>
        <row r="104">
          <cell r="A104" t="str">
            <v>CFTX2TN</v>
          </cell>
          <cell r="B104" t="str">
            <v>MED</v>
          </cell>
          <cell r="C104" t="str">
            <v>FM</v>
          </cell>
          <cell r="D104" t="str">
            <v>FM</v>
          </cell>
          <cell r="E104" t="str">
            <v>C&amp;SI</v>
          </cell>
          <cell r="F104" t="str">
            <v>NEWSPA SUPP SV</v>
          </cell>
          <cell r="G104" t="str">
            <v>Wave 3-5 Roll-Outs - Fin</v>
          </cell>
          <cell r="H104" t="str">
            <v>CFTX2TN</v>
          </cell>
          <cell r="I104">
            <v>1</v>
          </cell>
          <cell r="J104" t="str">
            <v>Edward Germain/New York/IBM</v>
          </cell>
          <cell r="K104" t="str">
            <v>Daniel G Gallinger/New York/IBM</v>
          </cell>
          <cell r="L104" t="str">
            <v>BE</v>
          </cell>
          <cell r="M104">
            <v>38628</v>
          </cell>
          <cell r="N104">
            <v>39228</v>
          </cell>
          <cell r="O104">
            <v>4206671</v>
          </cell>
          <cell r="P104">
            <v>4537296</v>
          </cell>
          <cell r="Q104">
            <v>4206671</v>
          </cell>
          <cell r="R104">
            <v>0.38892062585293091</v>
          </cell>
          <cell r="S104">
            <v>0.4137425179584121</v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C104" t="str">
            <v/>
          </cell>
          <cell r="AD104" t="str">
            <v>Y</v>
          </cell>
          <cell r="AE104" t="str">
            <v>Giblin</v>
          </cell>
          <cell r="AF104" t="str">
            <v>Y</v>
          </cell>
          <cell r="AG104" t="str">
            <v>Lisa Strang</v>
          </cell>
          <cell r="AH104" t="str">
            <v/>
          </cell>
          <cell r="AI104" t="str">
            <v/>
          </cell>
          <cell r="AJ104" t="str">
            <v/>
          </cell>
          <cell r="AK104" t="str">
            <v/>
          </cell>
          <cell r="AL104" t="str">
            <v>TBD</v>
          </cell>
          <cell r="AM104" t="str">
            <v/>
          </cell>
          <cell r="AN104" t="str">
            <v/>
          </cell>
          <cell r="AO104" t="str">
            <v/>
          </cell>
          <cell r="AP104" t="str">
            <v/>
          </cell>
          <cell r="AQ104" t="str">
            <v/>
          </cell>
          <cell r="AR104" t="str">
            <v/>
          </cell>
          <cell r="AS104" t="str">
            <v/>
          </cell>
          <cell r="AU104" t="str">
            <v>FINANCIAL MANAGEMENT</v>
          </cell>
          <cell r="AV104" t="str">
            <v>O</v>
          </cell>
          <cell r="AW104">
            <v>1935</v>
          </cell>
          <cell r="AX104">
            <v>0</v>
          </cell>
          <cell r="AY104">
            <v>0</v>
          </cell>
          <cell r="AZ104">
            <v>4537296</v>
          </cell>
          <cell r="BA104">
            <v>2772648</v>
          </cell>
          <cell r="BB104">
            <v>1764648</v>
          </cell>
          <cell r="BC104">
            <v>110906</v>
          </cell>
          <cell r="BD104">
            <v>4.0000028853283937E-2</v>
          </cell>
          <cell r="BE104">
            <v>330625</v>
          </cell>
          <cell r="BF104">
            <v>193831.38</v>
          </cell>
          <cell r="BG104">
            <v>136793.62</v>
          </cell>
          <cell r="BH104">
            <v>-1627854.38</v>
          </cell>
          <cell r="BI104">
            <v>2.4821892105481191E-2</v>
          </cell>
          <cell r="BJ104">
            <v>330625</v>
          </cell>
          <cell r="BK104">
            <v>193831.38</v>
          </cell>
          <cell r="BL104">
            <v>136793.62</v>
          </cell>
          <cell r="BM104">
            <v>0.4137425179584121</v>
          </cell>
          <cell r="BN104">
            <v>2.4821892105481191E-2</v>
          </cell>
          <cell r="BO104" t="str">
            <v>SMB</v>
          </cell>
          <cell r="BP104" t="str">
            <v>O</v>
          </cell>
          <cell r="BQ104" t="str">
            <v>FX</v>
          </cell>
          <cell r="BR104">
            <v>296159</v>
          </cell>
          <cell r="BS104" t="str">
            <v>Q29</v>
          </cell>
          <cell r="BT104">
            <v>6937700</v>
          </cell>
          <cell r="BW104" t="str">
            <v/>
          </cell>
          <cell r="BX104" t="str">
            <v>Unrated</v>
          </cell>
          <cell r="BY104" t="str">
            <v>Over</v>
          </cell>
          <cell r="BZ104" t="str">
            <v/>
          </cell>
          <cell r="CA104" t="str">
            <v/>
          </cell>
          <cell r="CG104">
            <v>3773951</v>
          </cell>
          <cell r="CH104">
            <v>2335493.41</v>
          </cell>
          <cell r="CI104">
            <v>1438457.59</v>
          </cell>
          <cell r="CJ104">
            <v>0.38115428366717002</v>
          </cell>
          <cell r="CK104">
            <v>-7.7663421857608883E-3</v>
          </cell>
          <cell r="CL104" t="str">
            <v>New - need launch; 1st PMR w/I 60 days / PeopleSoft Implementation</v>
          </cell>
          <cell r="CM104" t="str">
            <v/>
          </cell>
          <cell r="CN104" t="str">
            <v/>
          </cell>
          <cell r="CO104" t="str">
            <v/>
          </cell>
          <cell r="CP104" t="str">
            <v/>
          </cell>
          <cell r="CQ104" t="str">
            <v/>
          </cell>
          <cell r="CR104" t="str">
            <v/>
          </cell>
          <cell r="CS104">
            <v>38626</v>
          </cell>
          <cell r="CT104" t="str">
            <v/>
          </cell>
          <cell r="CV104" t="str">
            <v/>
          </cell>
          <cell r="CW104" t="str">
            <v>FINANCIAL MANAGEMENT</v>
          </cell>
        </row>
        <row r="105">
          <cell r="A105" t="str">
            <v>CFTFG1M</v>
          </cell>
          <cell r="B105" t="str">
            <v>TEL</v>
          </cell>
          <cell r="C105" t="str">
            <v>SCM</v>
          </cell>
          <cell r="D105" t="str">
            <v>SCM</v>
          </cell>
          <cell r="E105" t="str">
            <v>C&amp;SI</v>
          </cell>
          <cell r="F105" t="str">
            <v>NEXTEL COM</v>
          </cell>
          <cell r="G105" t="str">
            <v>WkforceMgmntSWSel</v>
          </cell>
          <cell r="H105" t="str">
            <v>CFTFG1M</v>
          </cell>
          <cell r="I105">
            <v>1</v>
          </cell>
          <cell r="J105" t="str">
            <v>Doug Lane/Philadelphia/IBM</v>
          </cell>
          <cell r="K105" t="str">
            <v>Sung W Seo/Fairfax/IBM</v>
          </cell>
          <cell r="L105" t="str">
            <v>FP</v>
          </cell>
          <cell r="M105">
            <v>38166</v>
          </cell>
          <cell r="N105">
            <v>38717</v>
          </cell>
          <cell r="O105">
            <v>0</v>
          </cell>
          <cell r="P105">
            <v>2325000</v>
          </cell>
          <cell r="Q105">
            <v>0</v>
          </cell>
          <cell r="R105">
            <v>0.42238752688172043</v>
          </cell>
          <cell r="S105">
            <v>0.29006948387096776</v>
          </cell>
          <cell r="T105" t="str">
            <v/>
          </cell>
          <cell r="U105" t="str">
            <v>Y</v>
          </cell>
          <cell r="V105" t="str">
            <v/>
          </cell>
          <cell r="W105" t="str">
            <v>Y</v>
          </cell>
          <cell r="X105" t="str">
            <v>Y</v>
          </cell>
          <cell r="Y105" t="str">
            <v>Y</v>
          </cell>
          <cell r="Z105" t="str">
            <v/>
          </cell>
          <cell r="AA105" t="str">
            <v/>
          </cell>
          <cell r="AC105" t="str">
            <v/>
          </cell>
          <cell r="AD105" t="str">
            <v/>
          </cell>
          <cell r="AE105" t="str">
            <v>Imam</v>
          </cell>
          <cell r="AF105" t="str">
            <v/>
          </cell>
          <cell r="AG105" t="str">
            <v/>
          </cell>
          <cell r="AH105" t="str">
            <v/>
          </cell>
          <cell r="AI105" t="str">
            <v>L</v>
          </cell>
          <cell r="AJ105" t="str">
            <v>*CLOSING*</v>
          </cell>
          <cell r="AK105">
            <v>38412</v>
          </cell>
          <cell r="AL105" t="str">
            <v>N/A</v>
          </cell>
          <cell r="AM105" t="str">
            <v/>
          </cell>
          <cell r="AN105" t="str">
            <v/>
          </cell>
          <cell r="AO105" t="str">
            <v/>
          </cell>
          <cell r="AP105" t="str">
            <v/>
          </cell>
          <cell r="AQ105" t="str">
            <v/>
          </cell>
          <cell r="AR105" t="str">
            <v/>
          </cell>
          <cell r="AS105" t="str">
            <v/>
          </cell>
          <cell r="AU105" t="str">
            <v>SUPPLY CHAIN MANAGEMENT</v>
          </cell>
          <cell r="AV105" t="str">
            <v>O</v>
          </cell>
          <cell r="AW105">
            <v>16950.5</v>
          </cell>
          <cell r="AX105">
            <v>0</v>
          </cell>
          <cell r="AY105">
            <v>0</v>
          </cell>
          <cell r="AZ105">
            <v>2325000</v>
          </cell>
          <cell r="BA105">
            <v>1342949</v>
          </cell>
          <cell r="BB105">
            <v>982051</v>
          </cell>
          <cell r="BC105">
            <v>43161</v>
          </cell>
          <cell r="BD105">
            <v>3.2138971770335284E-2</v>
          </cell>
          <cell r="BE105">
            <v>2325000</v>
          </cell>
          <cell r="BF105">
            <v>1650588.45</v>
          </cell>
          <cell r="BG105">
            <v>674411.55</v>
          </cell>
          <cell r="BH105">
            <v>-307639.45</v>
          </cell>
          <cell r="BI105">
            <v>-0.13231804301075267</v>
          </cell>
          <cell r="BJ105">
            <v>800000</v>
          </cell>
          <cell r="BK105">
            <v>1034515.91</v>
          </cell>
          <cell r="BL105">
            <v>-234515.91</v>
          </cell>
          <cell r="BM105">
            <v>-0.29314488750000006</v>
          </cell>
          <cell r="BN105">
            <v>-0.71553241438172055</v>
          </cell>
          <cell r="BO105" t="str">
            <v>ISU</v>
          </cell>
          <cell r="BP105" t="str">
            <v>O</v>
          </cell>
          <cell r="BQ105" t="str">
            <v>FX</v>
          </cell>
          <cell r="BR105">
            <v>6739447</v>
          </cell>
          <cell r="BS105" t="str">
            <v>6Y9</v>
          </cell>
          <cell r="BT105">
            <v>2035184</v>
          </cell>
          <cell r="BW105" t="str">
            <v/>
          </cell>
          <cell r="BX105" t="str">
            <v>Rated</v>
          </cell>
          <cell r="BY105" t="str">
            <v>Over</v>
          </cell>
          <cell r="BZ105" t="str">
            <v>Other</v>
          </cell>
          <cell r="CA105" t="str">
            <v/>
          </cell>
          <cell r="CG105">
            <v>2325000</v>
          </cell>
          <cell r="CH105">
            <v>1803575.72</v>
          </cell>
          <cell r="CI105">
            <v>521424.28</v>
          </cell>
          <cell r="CJ105">
            <v>0.22426850752688174</v>
          </cell>
          <cell r="CK105">
            <v>-0.19811901935483869</v>
          </cell>
          <cell r="CL105" t="str">
            <v>Closing..Tara will work w/ FA and Doug to understand what happened to the financials.</v>
          </cell>
          <cell r="CM105" t="str">
            <v/>
          </cell>
          <cell r="CN105" t="str">
            <v/>
          </cell>
          <cell r="CO105" t="str">
            <v/>
          </cell>
          <cell r="CP105" t="str">
            <v/>
          </cell>
          <cell r="CQ105" t="str">
            <v/>
          </cell>
          <cell r="CR105" t="str">
            <v/>
          </cell>
          <cell r="CS105">
            <v>38139</v>
          </cell>
          <cell r="CT105" t="str">
            <v/>
          </cell>
          <cell r="CV105" t="str">
            <v/>
          </cell>
          <cell r="CW105" t="str">
            <v>SUPPLY CHAIN MANAGEMENT</v>
          </cell>
        </row>
        <row r="106">
          <cell r="A106" t="str">
            <v>CFT278M</v>
          </cell>
          <cell r="B106" t="str">
            <v>TEL</v>
          </cell>
          <cell r="C106" t="str">
            <v>AIS</v>
          </cell>
          <cell r="D106" t="str">
            <v>AIS</v>
          </cell>
          <cell r="E106" t="str">
            <v>C&amp;SI</v>
          </cell>
          <cell r="F106" t="str">
            <v>NEXTEL COM</v>
          </cell>
          <cell r="G106" t="str">
            <v>CDA 2005</v>
          </cell>
          <cell r="H106" t="str">
            <v>CFT278M</v>
          </cell>
          <cell r="I106">
            <v>1</v>
          </cell>
          <cell r="J106" t="str">
            <v>Doug Lane/Philadelphia/IBM</v>
          </cell>
          <cell r="K106" t="str">
            <v>Nagaraj Sarma/Cranford/IBM</v>
          </cell>
          <cell r="L106" t="str">
            <v>FP</v>
          </cell>
          <cell r="M106">
            <v>38354</v>
          </cell>
          <cell r="N106">
            <v>38503</v>
          </cell>
          <cell r="O106">
            <v>0</v>
          </cell>
          <cell r="P106">
            <v>931440</v>
          </cell>
          <cell r="Q106">
            <v>0</v>
          </cell>
          <cell r="R106">
            <v>0.48467641501331271</v>
          </cell>
          <cell r="S106">
            <v>0.22764428197200035</v>
          </cell>
          <cell r="T106" t="str">
            <v/>
          </cell>
          <cell r="U106" t="str">
            <v>Y</v>
          </cell>
          <cell r="V106" t="str">
            <v/>
          </cell>
          <cell r="W106" t="str">
            <v/>
          </cell>
          <cell r="X106" t="str">
            <v>Y</v>
          </cell>
          <cell r="Y106" t="str">
            <v>Y</v>
          </cell>
          <cell r="Z106" t="str">
            <v/>
          </cell>
          <cell r="AA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O106" t="str">
            <v/>
          </cell>
          <cell r="AP106" t="str">
            <v/>
          </cell>
          <cell r="AQ106" t="str">
            <v/>
          </cell>
          <cell r="AR106" t="str">
            <v/>
          </cell>
          <cell r="AS106" t="str">
            <v/>
          </cell>
          <cell r="AU106" t="str">
            <v>APPLICATION INNOVATION</v>
          </cell>
          <cell r="AV106" t="str">
            <v>O</v>
          </cell>
          <cell r="AW106">
            <v>7356.8</v>
          </cell>
          <cell r="AX106">
            <v>24</v>
          </cell>
          <cell r="AY106">
            <v>3.2622879512831664E-3</v>
          </cell>
          <cell r="AZ106">
            <v>931440</v>
          </cell>
          <cell r="BA106">
            <v>479993</v>
          </cell>
          <cell r="BB106">
            <v>451447</v>
          </cell>
          <cell r="BC106">
            <v>19114</v>
          </cell>
          <cell r="BD106">
            <v>3.982141406228841E-2</v>
          </cell>
          <cell r="BE106">
            <v>931440</v>
          </cell>
          <cell r="BF106">
            <v>719403.01</v>
          </cell>
          <cell r="BG106">
            <v>212036.99</v>
          </cell>
          <cell r="BH106">
            <v>-239410.01</v>
          </cell>
          <cell r="BI106">
            <v>-0.25703213304131234</v>
          </cell>
          <cell r="BJ106">
            <v>931440</v>
          </cell>
          <cell r="BK106">
            <v>719403.01</v>
          </cell>
          <cell r="BL106">
            <v>212036.99</v>
          </cell>
          <cell r="BM106">
            <v>0.22764428197200035</v>
          </cell>
          <cell r="BN106">
            <v>-0.25703213304131234</v>
          </cell>
          <cell r="BO106" t="str">
            <v>ISU</v>
          </cell>
          <cell r="BP106" t="str">
            <v>O</v>
          </cell>
          <cell r="BQ106" t="str">
            <v>FX</v>
          </cell>
          <cell r="BR106">
            <v>6739447</v>
          </cell>
          <cell r="BS106" t="str">
            <v>6Y9</v>
          </cell>
          <cell r="BT106">
            <v>2035184</v>
          </cell>
          <cell r="BW106" t="str">
            <v/>
          </cell>
          <cell r="BX106" t="str">
            <v>Unrated</v>
          </cell>
          <cell r="BY106" t="str">
            <v>Under</v>
          </cell>
          <cell r="BZ106" t="str">
            <v/>
          </cell>
          <cell r="CA106" t="str">
            <v/>
          </cell>
          <cell r="CG106">
            <v>931440</v>
          </cell>
          <cell r="CH106">
            <v>719403.01</v>
          </cell>
          <cell r="CI106">
            <v>212036.99</v>
          </cell>
          <cell r="CJ106">
            <v>0.22764428197200035</v>
          </cell>
          <cell r="CK106">
            <v>-0.25703213304131234</v>
          </cell>
          <cell r="CM106" t="e">
            <v>#N/A</v>
          </cell>
          <cell r="CN106" t="str">
            <v/>
          </cell>
          <cell r="CO106" t="str">
            <v/>
          </cell>
          <cell r="CP106" t="str">
            <v/>
          </cell>
          <cell r="CQ106" t="str">
            <v/>
          </cell>
          <cell r="CR106" t="str">
            <v/>
          </cell>
          <cell r="CS106">
            <v>38353</v>
          </cell>
          <cell r="CT106" t="str">
            <v/>
          </cell>
          <cell r="CU106" t="str">
            <v/>
          </cell>
          <cell r="CV106" t="str">
            <v/>
          </cell>
          <cell r="CW106" t="str">
            <v>APPLICATION INNOVATION</v>
          </cell>
        </row>
        <row r="107">
          <cell r="A107" t="str">
            <v>CFT356M</v>
          </cell>
          <cell r="B107" t="str">
            <v>TEL</v>
          </cell>
          <cell r="C107" t="str">
            <v>CRM</v>
          </cell>
          <cell r="D107" t="str">
            <v>CRM</v>
          </cell>
          <cell r="E107" t="str">
            <v>C&amp;SI</v>
          </cell>
          <cell r="F107" t="str">
            <v>NEXTEL COM</v>
          </cell>
          <cell r="G107" t="str">
            <v>Marketing Automation SME ...</v>
          </cell>
          <cell r="H107" t="str">
            <v>CFT356M</v>
          </cell>
          <cell r="I107">
            <v>1</v>
          </cell>
          <cell r="J107" t="str">
            <v>Adam R Steinberg/New York/IBM</v>
          </cell>
          <cell r="K107" t="str">
            <v>Edward Whiston/Mobile/IBM</v>
          </cell>
          <cell r="L107" t="str">
            <v>FP</v>
          </cell>
          <cell r="M107">
            <v>38355</v>
          </cell>
          <cell r="N107">
            <v>38653</v>
          </cell>
          <cell r="O107">
            <v>0</v>
          </cell>
          <cell r="P107">
            <v>312750</v>
          </cell>
          <cell r="Q107">
            <v>0</v>
          </cell>
          <cell r="R107">
            <v>0.44501358912869704</v>
          </cell>
          <cell r="S107">
            <v>0.42852470023980815</v>
          </cell>
          <cell r="T107" t="str">
            <v/>
          </cell>
          <cell r="U107" t="str">
            <v>Y</v>
          </cell>
          <cell r="V107" t="str">
            <v/>
          </cell>
          <cell r="W107" t="str">
            <v/>
          </cell>
          <cell r="X107" t="str">
            <v>Y</v>
          </cell>
          <cell r="Y107" t="str">
            <v/>
          </cell>
          <cell r="Z107" t="str">
            <v/>
          </cell>
          <cell r="AA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 t="str">
            <v/>
          </cell>
          <cell r="AG107" t="str">
            <v/>
          </cell>
          <cell r="AH107" t="str">
            <v/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O107" t="str">
            <v/>
          </cell>
          <cell r="AP107" t="str">
            <v/>
          </cell>
          <cell r="AQ107" t="str">
            <v/>
          </cell>
          <cell r="AR107" t="str">
            <v/>
          </cell>
          <cell r="AS107" t="str">
            <v/>
          </cell>
          <cell r="AU107" t="str">
            <v>CUSTOMER RELATIONSHIP MANAGEMENT</v>
          </cell>
          <cell r="AV107" t="str">
            <v>O</v>
          </cell>
          <cell r="AW107">
            <v>1738</v>
          </cell>
          <cell r="AX107">
            <v>0</v>
          </cell>
          <cell r="AY107">
            <v>0</v>
          </cell>
          <cell r="AZ107">
            <v>312750</v>
          </cell>
          <cell r="BA107">
            <v>173572</v>
          </cell>
          <cell r="BB107">
            <v>139178</v>
          </cell>
          <cell r="BC107">
            <v>6942</v>
          </cell>
          <cell r="BD107">
            <v>3.9994930057843429E-2</v>
          </cell>
          <cell r="BE107">
            <v>312750</v>
          </cell>
          <cell r="BF107">
            <v>178728.9</v>
          </cell>
          <cell r="BG107">
            <v>134021.1</v>
          </cell>
          <cell r="BH107">
            <v>-5156.8999999999942</v>
          </cell>
          <cell r="BI107">
            <v>-1.6488888888888886E-2</v>
          </cell>
          <cell r="BJ107">
            <v>312750</v>
          </cell>
          <cell r="BK107">
            <v>178728.9</v>
          </cell>
          <cell r="BL107">
            <v>134021.1</v>
          </cell>
          <cell r="BM107">
            <v>0.42852470023980815</v>
          </cell>
          <cell r="BN107">
            <v>-1.6488888888888886E-2</v>
          </cell>
          <cell r="BO107" t="str">
            <v>ISU</v>
          </cell>
          <cell r="BP107" t="str">
            <v>O</v>
          </cell>
          <cell r="BQ107" t="str">
            <v>FX</v>
          </cell>
          <cell r="BR107">
            <v>6739447</v>
          </cell>
          <cell r="BS107" t="str">
            <v>6Y9</v>
          </cell>
          <cell r="BT107">
            <v>2035184</v>
          </cell>
          <cell r="BW107" t="str">
            <v/>
          </cell>
          <cell r="BX107" t="str">
            <v>Unrated</v>
          </cell>
          <cell r="BY107" t="str">
            <v>Under</v>
          </cell>
          <cell r="BZ107" t="str">
            <v/>
          </cell>
          <cell r="CA107" t="str">
            <v/>
          </cell>
          <cell r="CG107">
            <v>312750</v>
          </cell>
          <cell r="CH107">
            <v>178728.9</v>
          </cell>
          <cell r="CI107">
            <v>134021.1</v>
          </cell>
          <cell r="CJ107">
            <v>0.42852470023980815</v>
          </cell>
          <cell r="CK107">
            <v>-1.6488888888888886E-2</v>
          </cell>
          <cell r="CL107" t="str">
            <v/>
          </cell>
          <cell r="CM107" t="str">
            <v/>
          </cell>
          <cell r="CN107" t="str">
            <v/>
          </cell>
          <cell r="CO107" t="str">
            <v/>
          </cell>
          <cell r="CP107" t="str">
            <v/>
          </cell>
          <cell r="CQ107" t="str">
            <v/>
          </cell>
          <cell r="CR107" t="str">
            <v/>
          </cell>
          <cell r="CS107">
            <v>38353</v>
          </cell>
          <cell r="CT107" t="str">
            <v/>
          </cell>
          <cell r="CV107" t="str">
            <v/>
          </cell>
          <cell r="CW107" t="str">
            <v>CUSTOMER RELATIONSHIP MANAGEMENT</v>
          </cell>
        </row>
        <row r="108">
          <cell r="A108" t="str">
            <v>CFTJJ0N</v>
          </cell>
          <cell r="B108" t="str">
            <v>TEL</v>
          </cell>
          <cell r="C108" t="str">
            <v>CRM</v>
          </cell>
          <cell r="D108" t="str">
            <v>CRM</v>
          </cell>
          <cell r="E108" t="str">
            <v>C&amp;SI</v>
          </cell>
          <cell r="F108" t="str">
            <v>NEXTEL COM</v>
          </cell>
          <cell r="G108" t="str">
            <v>Market Auto Assist PC02</v>
          </cell>
          <cell r="H108" t="str">
            <v>CFTJJ0N</v>
          </cell>
          <cell r="I108">
            <v>1</v>
          </cell>
          <cell r="J108" t="str">
            <v>Doug Lane/Philadelphia/IBM</v>
          </cell>
          <cell r="K108" t="str">
            <v>Edward Whiston/Mobile/IBM</v>
          </cell>
          <cell r="L108" t="str">
            <v>FP</v>
          </cell>
          <cell r="M108">
            <v>38495</v>
          </cell>
          <cell r="N108">
            <v>38644</v>
          </cell>
          <cell r="O108">
            <v>0</v>
          </cell>
          <cell r="P108">
            <v>168000</v>
          </cell>
          <cell r="Q108">
            <v>0</v>
          </cell>
          <cell r="R108">
            <v>0.65257142857142858</v>
          </cell>
          <cell r="S108">
            <v>-0.41397761904761898</v>
          </cell>
          <cell r="T108" t="str">
            <v/>
          </cell>
          <cell r="U108" t="str">
            <v>Y</v>
          </cell>
          <cell r="V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Z108" t="str">
            <v/>
          </cell>
          <cell r="AA108" t="str">
            <v/>
          </cell>
          <cell r="AC108" t="str">
            <v/>
          </cell>
          <cell r="AD108" t="str">
            <v/>
          </cell>
          <cell r="AE108" t="str">
            <v/>
          </cell>
          <cell r="AF108" t="str">
            <v/>
          </cell>
          <cell r="AG108" t="str">
            <v/>
          </cell>
          <cell r="AH108" t="str">
            <v/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O108" t="str">
            <v/>
          </cell>
          <cell r="AP108" t="str">
            <v/>
          </cell>
          <cell r="AQ108" t="str">
            <v/>
          </cell>
          <cell r="AR108" t="str">
            <v/>
          </cell>
          <cell r="AS108" t="str">
            <v/>
          </cell>
          <cell r="AU108" t="str">
            <v>CUSTOMER RELATIONSHIP MANAGEMENT</v>
          </cell>
          <cell r="AV108" t="str">
            <v>O</v>
          </cell>
          <cell r="AW108">
            <v>1964.6</v>
          </cell>
          <cell r="AX108">
            <v>0</v>
          </cell>
          <cell r="AY108">
            <v>0</v>
          </cell>
          <cell r="AZ108">
            <v>168000</v>
          </cell>
          <cell r="BA108">
            <v>58368</v>
          </cell>
          <cell r="BB108">
            <v>109632</v>
          </cell>
          <cell r="BC108">
            <v>2335</v>
          </cell>
          <cell r="BD108">
            <v>4.0004797149122806E-2</v>
          </cell>
          <cell r="BE108">
            <v>168000</v>
          </cell>
          <cell r="BF108">
            <v>237548.24</v>
          </cell>
          <cell r="BG108">
            <v>-69548.240000000005</v>
          </cell>
          <cell r="BH108">
            <v>-179180.24</v>
          </cell>
          <cell r="BI108">
            <v>-1.0665490476190476</v>
          </cell>
          <cell r="BJ108">
            <v>168000</v>
          </cell>
          <cell r="BK108">
            <v>237548.24</v>
          </cell>
          <cell r="BL108">
            <v>-69548.240000000005</v>
          </cell>
          <cell r="BM108">
            <v>-0.41397761904761898</v>
          </cell>
          <cell r="BN108">
            <v>-1.0665490476190476</v>
          </cell>
          <cell r="BO108" t="str">
            <v>ISU</v>
          </cell>
          <cell r="BP108" t="str">
            <v>O</v>
          </cell>
          <cell r="BQ108" t="str">
            <v>FX</v>
          </cell>
          <cell r="BR108">
            <v>6739447</v>
          </cell>
          <cell r="BS108" t="str">
            <v>6Y9</v>
          </cell>
          <cell r="BT108">
            <v>2035184</v>
          </cell>
          <cell r="BW108" t="str">
            <v/>
          </cell>
          <cell r="BX108" t="str">
            <v>Unrated</v>
          </cell>
          <cell r="BY108" t="str">
            <v>Under</v>
          </cell>
          <cell r="BZ108" t="str">
            <v/>
          </cell>
          <cell r="CA108" t="str">
            <v/>
          </cell>
          <cell r="CG108">
            <v>168000</v>
          </cell>
          <cell r="CH108">
            <v>241248.8</v>
          </cell>
          <cell r="CI108">
            <v>-73248.800000000003</v>
          </cell>
          <cell r="CJ108">
            <v>-0.43600476190476189</v>
          </cell>
          <cell r="CK108">
            <v>-1.0885761904761906</v>
          </cell>
          <cell r="CL108" t="str">
            <v/>
          </cell>
          <cell r="CM108" t="str">
            <v/>
          </cell>
          <cell r="CN108" t="str">
            <v/>
          </cell>
          <cell r="CO108" t="str">
            <v/>
          </cell>
          <cell r="CP108" t="str">
            <v/>
          </cell>
          <cell r="CQ108" t="str">
            <v/>
          </cell>
          <cell r="CR108" t="str">
            <v/>
          </cell>
          <cell r="CS108">
            <v>38473</v>
          </cell>
          <cell r="CT108" t="str">
            <v/>
          </cell>
          <cell r="CV108" t="str">
            <v/>
          </cell>
          <cell r="CW108" t="str">
            <v>CUSTOMER RELATIONSHIP MANAGEMENT</v>
          </cell>
        </row>
        <row r="109">
          <cell r="A109" t="str">
            <v>CFTBVAN</v>
          </cell>
          <cell r="B109" t="str">
            <v>TEL</v>
          </cell>
          <cell r="C109" t="str">
            <v>AIS</v>
          </cell>
          <cell r="D109" t="str">
            <v>AIS</v>
          </cell>
          <cell r="E109" t="str">
            <v>C&amp;SI</v>
          </cell>
          <cell r="F109" t="str">
            <v>NEXTEL FINANCE</v>
          </cell>
          <cell r="G109" t="str">
            <v>Portal Server Technical  ...</v>
          </cell>
          <cell r="H109" t="str">
            <v>CFTBVAN</v>
          </cell>
          <cell r="I109">
            <v>1</v>
          </cell>
          <cell r="J109" t="str">
            <v>Doug Lane/Philadelphia/IBM</v>
          </cell>
          <cell r="K109" t="str">
            <v>Nagaraj Sarma/Cranford/IBM</v>
          </cell>
          <cell r="L109" t="str">
            <v>FP</v>
          </cell>
          <cell r="M109">
            <v>38411</v>
          </cell>
          <cell r="N109">
            <v>38595</v>
          </cell>
          <cell r="O109">
            <v>0</v>
          </cell>
          <cell r="P109">
            <v>700000</v>
          </cell>
          <cell r="Q109">
            <v>0</v>
          </cell>
          <cell r="R109">
            <v>0.39581285714285713</v>
          </cell>
          <cell r="S109">
            <v>0.6600538142857143</v>
          </cell>
          <cell r="T109" t="str">
            <v/>
          </cell>
          <cell r="U109" t="str">
            <v>Y</v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>Y</v>
          </cell>
          <cell r="AA109" t="str">
            <v/>
          </cell>
          <cell r="AC109" t="str">
            <v/>
          </cell>
          <cell r="AD109" t="str">
            <v/>
          </cell>
          <cell r="AE109" t="str">
            <v/>
          </cell>
          <cell r="AF109" t="str">
            <v/>
          </cell>
          <cell r="AG109" t="str">
            <v/>
          </cell>
          <cell r="AH109" t="str">
            <v/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O109" t="str">
            <v/>
          </cell>
          <cell r="AP109" t="str">
            <v/>
          </cell>
          <cell r="AQ109" t="str">
            <v/>
          </cell>
          <cell r="AR109" t="str">
            <v/>
          </cell>
          <cell r="AS109" t="str">
            <v/>
          </cell>
          <cell r="AU109" t="str">
            <v>APPLICATION INNOVATION</v>
          </cell>
          <cell r="AV109" t="str">
            <v>O</v>
          </cell>
          <cell r="AW109">
            <v>1482.5</v>
          </cell>
          <cell r="AX109">
            <v>0</v>
          </cell>
          <cell r="AY109">
            <v>0</v>
          </cell>
          <cell r="AZ109">
            <v>700000</v>
          </cell>
          <cell r="BA109">
            <v>422931</v>
          </cell>
          <cell r="BB109">
            <v>277069</v>
          </cell>
          <cell r="BC109">
            <v>16832</v>
          </cell>
          <cell r="BD109">
            <v>3.9798454121357858E-2</v>
          </cell>
          <cell r="BE109">
            <v>700000</v>
          </cell>
          <cell r="BF109">
            <v>237962.33</v>
          </cell>
          <cell r="BG109">
            <v>462037.67</v>
          </cell>
          <cell r="BH109">
            <v>184968.67</v>
          </cell>
          <cell r="BI109">
            <v>0.26424095714285717</v>
          </cell>
          <cell r="BJ109">
            <v>700000</v>
          </cell>
          <cell r="BK109">
            <v>237962.33</v>
          </cell>
          <cell r="BL109">
            <v>462037.67</v>
          </cell>
          <cell r="BM109">
            <v>0.6600538142857143</v>
          </cell>
          <cell r="BN109">
            <v>0.26424095714285717</v>
          </cell>
          <cell r="BO109" t="str">
            <v>ISU</v>
          </cell>
          <cell r="BP109" t="str">
            <v>O</v>
          </cell>
          <cell r="BQ109" t="str">
            <v>FX</v>
          </cell>
          <cell r="BR109">
            <v>6584688</v>
          </cell>
          <cell r="BS109" t="str">
            <v>6Y9</v>
          </cell>
          <cell r="BT109">
            <v>2035184</v>
          </cell>
          <cell r="BW109" t="str">
            <v/>
          </cell>
          <cell r="BX109" t="str">
            <v>Unrated</v>
          </cell>
          <cell r="BY109" t="str">
            <v>Under</v>
          </cell>
          <cell r="BZ109" t="str">
            <v/>
          </cell>
          <cell r="CA109" t="str">
            <v/>
          </cell>
          <cell r="CG109">
            <v>700000</v>
          </cell>
          <cell r="CH109">
            <v>247886.03</v>
          </cell>
          <cell r="CI109">
            <v>452113.97</v>
          </cell>
          <cell r="CJ109">
            <v>0.64587709999999998</v>
          </cell>
          <cell r="CK109">
            <v>0.25006424285714285</v>
          </cell>
          <cell r="CL109" t="str">
            <v/>
          </cell>
          <cell r="CM109" t="str">
            <v/>
          </cell>
          <cell r="CN109" t="str">
            <v/>
          </cell>
          <cell r="CO109" t="str">
            <v/>
          </cell>
          <cell r="CP109" t="str">
            <v/>
          </cell>
          <cell r="CQ109" t="str">
            <v/>
          </cell>
          <cell r="CR109" t="str">
            <v/>
          </cell>
          <cell r="CS109">
            <v>38384</v>
          </cell>
          <cell r="CT109" t="str">
            <v/>
          </cell>
          <cell r="CU109" t="str">
            <v>6955-24A</v>
          </cell>
          <cell r="CV109" t="str">
            <v>AIS</v>
          </cell>
          <cell r="CW109" t="str">
            <v>APPLICATION INNOVATION</v>
          </cell>
        </row>
        <row r="110">
          <cell r="A110" t="str">
            <v>CFTMYYN</v>
          </cell>
          <cell r="B110" t="str">
            <v>UTL</v>
          </cell>
          <cell r="C110" t="str">
            <v>BTO</v>
          </cell>
          <cell r="D110" t="str">
            <v>BTO</v>
          </cell>
          <cell r="E110" t="str">
            <v>BTO</v>
          </cell>
          <cell r="F110" t="str">
            <v>NISOUR CORP SV</v>
          </cell>
          <cell r="G110" t="str">
            <v>WMS.                     ...</v>
          </cell>
          <cell r="H110" t="str">
            <v>CFTMYYN</v>
          </cell>
          <cell r="I110">
            <v>80</v>
          </cell>
          <cell r="J110" t="str">
            <v>Maureen A Sweeny/New York/IBM</v>
          </cell>
          <cell r="K110" t="str">
            <v>John Irwin/Poughkeepsie/IBM</v>
          </cell>
          <cell r="L110" t="str">
            <v>IC</v>
          </cell>
          <cell r="M110">
            <v>38523</v>
          </cell>
          <cell r="N110">
            <v>42185</v>
          </cell>
          <cell r="O110">
            <v>832175705</v>
          </cell>
          <cell r="P110">
            <v>832175705</v>
          </cell>
          <cell r="Q110">
            <v>832175705</v>
          </cell>
          <cell r="R110">
            <v>1</v>
          </cell>
          <cell r="S110">
            <v>0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>Y</v>
          </cell>
          <cell r="Y110" t="str">
            <v/>
          </cell>
          <cell r="Z110" t="str">
            <v/>
          </cell>
          <cell r="AA110" t="str">
            <v>Y</v>
          </cell>
          <cell r="AC110" t="str">
            <v>Y</v>
          </cell>
          <cell r="AD110" t="str">
            <v>Y</v>
          </cell>
          <cell r="AE110" t="str">
            <v>Imam</v>
          </cell>
          <cell r="AF110" t="str">
            <v/>
          </cell>
          <cell r="AG110" t="str">
            <v/>
          </cell>
          <cell r="AH110" t="str">
            <v>Various per Area</v>
          </cell>
          <cell r="AI110" t="str">
            <v/>
          </cell>
          <cell r="AJ110" t="str">
            <v>B</v>
          </cell>
          <cell r="AK110">
            <v>38626</v>
          </cell>
          <cell r="AL110">
            <v>38808</v>
          </cell>
          <cell r="AM110" t="str">
            <v>G</v>
          </cell>
          <cell r="AN110" t="str">
            <v>G</v>
          </cell>
          <cell r="AO110" t="str">
            <v>Y</v>
          </cell>
          <cell r="AP110" t="str">
            <v>Y</v>
          </cell>
          <cell r="AQ110" t="str">
            <v>G</v>
          </cell>
          <cell r="AR110" t="str">
            <v>Y</v>
          </cell>
          <cell r="AS110" t="str">
            <v>G</v>
          </cell>
          <cell r="AU110" t="str">
            <v>BTO</v>
          </cell>
          <cell r="AV110" t="str">
            <v>O</v>
          </cell>
          <cell r="AW110">
            <v>348930.4</v>
          </cell>
          <cell r="AX110">
            <v>2233.6</v>
          </cell>
          <cell r="AY110">
            <v>6.4012765869640486E-3</v>
          </cell>
          <cell r="AZ110">
            <v>832175705</v>
          </cell>
          <cell r="BA110">
            <v>0</v>
          </cell>
          <cell r="BB110">
            <v>832175705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-832175705</v>
          </cell>
          <cell r="BI110">
            <v>-1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-1</v>
          </cell>
          <cell r="BO110" t="str">
            <v>ISU</v>
          </cell>
          <cell r="BP110" t="str">
            <v>O</v>
          </cell>
          <cell r="BQ110" t="str">
            <v>FZ</v>
          </cell>
          <cell r="BR110">
            <v>6525891</v>
          </cell>
          <cell r="BS110" t="str">
            <v>2CL</v>
          </cell>
          <cell r="BT110">
            <v>6525734</v>
          </cell>
          <cell r="BW110" t="str">
            <v/>
          </cell>
          <cell r="BX110" t="str">
            <v>Rated</v>
          </cell>
          <cell r="BY110" t="str">
            <v>Over</v>
          </cell>
          <cell r="BZ110" t="str">
            <v>B</v>
          </cell>
          <cell r="CA110" t="str">
            <v/>
          </cell>
          <cell r="CG110">
            <v>28341473.339999996</v>
          </cell>
          <cell r="CH110">
            <v>27970035.489999995</v>
          </cell>
          <cell r="CI110">
            <v>371437.85000000428</v>
          </cell>
          <cell r="CJ110">
            <v>1.3105805952429866E-2</v>
          </cell>
          <cell r="CK110">
            <v>-0.98689419404757017</v>
          </cell>
          <cell r="CL110" t="str">
            <v>Frank Lewis (HCM), Joe Nemeth (SMC), Tobi Davis (F&amp;A), John Hutchinson (CRM), Joe Nemeth (WMS)</v>
          </cell>
          <cell r="CM110" t="str">
            <v/>
          </cell>
          <cell r="CN110" t="str">
            <v/>
          </cell>
          <cell r="CO110" t="str">
            <v/>
          </cell>
          <cell r="CP110" t="str">
            <v/>
          </cell>
          <cell r="CQ110" t="str">
            <v/>
          </cell>
          <cell r="CR110" t="str">
            <v/>
          </cell>
          <cell r="CS110">
            <v>38504</v>
          </cell>
          <cell r="CT110" t="str">
            <v/>
          </cell>
          <cell r="CV110" t="str">
            <v/>
          </cell>
          <cell r="CW110" t="str">
            <v>BTO</v>
          </cell>
        </row>
        <row r="111">
          <cell r="A111" t="str">
            <v>CFTD9BM</v>
          </cell>
          <cell r="B111" t="str">
            <v>UTL</v>
          </cell>
          <cell r="C111" t="str">
            <v>CRM</v>
          </cell>
          <cell r="D111" t="str">
            <v>CRM</v>
          </cell>
          <cell r="E111" t="str">
            <v>C&amp;SI</v>
          </cell>
          <cell r="F111" t="str">
            <v>NORTHE UTIL SV</v>
          </cell>
          <cell r="G111" t="str">
            <v>Northeast Utilities</v>
          </cell>
          <cell r="H111" t="str">
            <v>CFTD9BM</v>
          </cell>
          <cell r="I111">
            <v>1</v>
          </cell>
          <cell r="J111" t="str">
            <v>Robert Brnilovich/Fairfax/IBM</v>
          </cell>
          <cell r="K111" t="str">
            <v>Michael Cates/New Orleans/IBM</v>
          </cell>
          <cell r="L111" t="str">
            <v>FP</v>
          </cell>
          <cell r="M111">
            <v>38169</v>
          </cell>
          <cell r="N111">
            <v>39325</v>
          </cell>
          <cell r="O111">
            <v>1027434</v>
          </cell>
          <cell r="P111">
            <v>2992450</v>
          </cell>
          <cell r="Q111">
            <v>1027434</v>
          </cell>
          <cell r="R111">
            <v>0.21773596885495164</v>
          </cell>
          <cell r="S111">
            <v>0.12827442117519655</v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>Y</v>
          </cell>
          <cell r="Y111" t="str">
            <v>Y</v>
          </cell>
          <cell r="Z111" t="str">
            <v/>
          </cell>
          <cell r="AA111" t="str">
            <v/>
          </cell>
          <cell r="AC111" t="str">
            <v/>
          </cell>
          <cell r="AD111" t="str">
            <v>Y</v>
          </cell>
          <cell r="AE111" t="str">
            <v>Graham</v>
          </cell>
          <cell r="AF111" t="str">
            <v/>
          </cell>
          <cell r="AG111" t="str">
            <v/>
          </cell>
          <cell r="AH111" t="str">
            <v/>
          </cell>
          <cell r="AI111" t="str">
            <v>M</v>
          </cell>
          <cell r="AJ111" t="str">
            <v>B</v>
          </cell>
          <cell r="AK111">
            <v>38532</v>
          </cell>
          <cell r="AL111">
            <v>38718</v>
          </cell>
          <cell r="AM111" t="str">
            <v>G</v>
          </cell>
          <cell r="AN111" t="str">
            <v>G</v>
          </cell>
          <cell r="AO111" t="str">
            <v>G</v>
          </cell>
          <cell r="AP111" t="str">
            <v>G</v>
          </cell>
          <cell r="AQ111" t="str">
            <v>Y</v>
          </cell>
          <cell r="AR111" t="str">
            <v>G</v>
          </cell>
          <cell r="AS111" t="str">
            <v>Y</v>
          </cell>
          <cell r="AU111" t="str">
            <v>CUSTOMER RELATIONSHIP MANAGEMENT</v>
          </cell>
          <cell r="AV111" t="str">
            <v>O</v>
          </cell>
          <cell r="AW111">
            <v>15965.5</v>
          </cell>
          <cell r="AX111">
            <v>30.5</v>
          </cell>
          <cell r="AY111">
            <v>1.9103692336600797E-3</v>
          </cell>
          <cell r="AZ111">
            <v>2992450</v>
          </cell>
          <cell r="BA111">
            <v>2340886</v>
          </cell>
          <cell r="BB111">
            <v>651564</v>
          </cell>
          <cell r="BC111">
            <v>226389</v>
          </cell>
          <cell r="BD111">
            <v>9.671081804069058E-2</v>
          </cell>
          <cell r="BE111">
            <v>1965016</v>
          </cell>
          <cell r="BF111">
            <v>1712954.71</v>
          </cell>
          <cell r="BG111">
            <v>252061.29</v>
          </cell>
          <cell r="BH111">
            <v>-399502.71</v>
          </cell>
          <cell r="BI111">
            <v>-8.9461547679755088E-2</v>
          </cell>
          <cell r="BJ111">
            <v>1444701.5</v>
          </cell>
          <cell r="BK111">
            <v>1311838.81</v>
          </cell>
          <cell r="BL111">
            <v>132862.69</v>
          </cell>
          <cell r="BM111">
            <v>9.1965495986541121E-2</v>
          </cell>
          <cell r="BN111">
            <v>-0.12577047286841053</v>
          </cell>
          <cell r="BO111" t="str">
            <v>ISU</v>
          </cell>
          <cell r="BP111" t="str">
            <v>O</v>
          </cell>
          <cell r="BQ111" t="str">
            <v>FY</v>
          </cell>
          <cell r="BR111">
            <v>6603802</v>
          </cell>
          <cell r="BS111" t="str">
            <v>6Y0</v>
          </cell>
          <cell r="BT111">
            <v>6565500</v>
          </cell>
          <cell r="BW111" t="str">
            <v/>
          </cell>
          <cell r="BX111" t="str">
            <v>Rated</v>
          </cell>
          <cell r="BY111" t="str">
            <v>Over</v>
          </cell>
          <cell r="BZ111" t="str">
            <v>B</v>
          </cell>
          <cell r="CA111" t="str">
            <v>M</v>
          </cell>
          <cell r="CG111">
            <v>2992450</v>
          </cell>
          <cell r="CH111">
            <v>2518838.4</v>
          </cell>
          <cell r="CI111">
            <v>473611.6</v>
          </cell>
          <cell r="CJ111">
            <v>0.1582688432555264</v>
          </cell>
          <cell r="CK111">
            <v>-5.9467125599425241E-2</v>
          </cell>
          <cell r="CL111" t="str">
            <v>LT to change to Boyd</v>
          </cell>
          <cell r="CM111" t="str">
            <v/>
          </cell>
          <cell r="CN111" t="str">
            <v/>
          </cell>
          <cell r="CO111" t="str">
            <v/>
          </cell>
          <cell r="CP111" t="str">
            <v/>
          </cell>
          <cell r="CQ111" t="str">
            <v/>
          </cell>
          <cell r="CR111" t="str">
            <v/>
          </cell>
          <cell r="CS111">
            <v>38169</v>
          </cell>
          <cell r="CT111" t="str">
            <v/>
          </cell>
          <cell r="CV111" t="str">
            <v/>
          </cell>
          <cell r="CW111" t="str">
            <v>CUSTOMER RELATIONSHIP MANAGEMENT</v>
          </cell>
        </row>
        <row r="112">
          <cell r="A112" t="str">
            <v>CFTR3VM</v>
          </cell>
          <cell r="B112" t="str">
            <v>UTL</v>
          </cell>
          <cell r="C112" t="str">
            <v>CRM</v>
          </cell>
          <cell r="D112" t="str">
            <v>CRM</v>
          </cell>
          <cell r="E112" t="str">
            <v>C&amp;SI</v>
          </cell>
          <cell r="F112" t="str">
            <v>NORTHE UTIL SV</v>
          </cell>
          <cell r="G112" t="str">
            <v>CSI</v>
          </cell>
          <cell r="H112" t="str">
            <v>CFTR3VM</v>
          </cell>
          <cell r="I112">
            <v>1</v>
          </cell>
          <cell r="J112" t="str">
            <v>Robert Brnilovich/Fairfax/IBM</v>
          </cell>
          <cell r="K112" t="str">
            <v>Richard Mclaughlin/Dallas/IBM</v>
          </cell>
          <cell r="L112" t="str">
            <v>BE</v>
          </cell>
          <cell r="M112">
            <v>38243</v>
          </cell>
          <cell r="N112">
            <v>39325</v>
          </cell>
          <cell r="O112">
            <v>647657.23</v>
          </cell>
          <cell r="P112">
            <v>2746770.09</v>
          </cell>
          <cell r="Q112">
            <v>647657.23</v>
          </cell>
          <cell r="R112">
            <v>0.29560504279409855</v>
          </cell>
          <cell r="S112">
            <v>0.3237974303106313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C112" t="str">
            <v>Y</v>
          </cell>
          <cell r="AD112" t="str">
            <v>Y</v>
          </cell>
          <cell r="AE112" t="str">
            <v>Graham</v>
          </cell>
          <cell r="AF112" t="str">
            <v/>
          </cell>
          <cell r="AG112" t="str">
            <v/>
          </cell>
          <cell r="AH112" t="str">
            <v/>
          </cell>
          <cell r="AI112" t="str">
            <v>M</v>
          </cell>
          <cell r="AJ112" t="str">
            <v>A</v>
          </cell>
          <cell r="AK112">
            <v>38532</v>
          </cell>
          <cell r="AL112">
            <v>38718</v>
          </cell>
          <cell r="AM112" t="str">
            <v>G</v>
          </cell>
          <cell r="AN112" t="str">
            <v>G</v>
          </cell>
          <cell r="AO112" t="str">
            <v>G</v>
          </cell>
          <cell r="AP112" t="str">
            <v>G</v>
          </cell>
          <cell r="AQ112" t="str">
            <v>G</v>
          </cell>
          <cell r="AR112" t="str">
            <v>G</v>
          </cell>
          <cell r="AS112" t="str">
            <v>G</v>
          </cell>
          <cell r="AU112" t="str">
            <v>CUSTOMER RELATIONSHIP MANAGEMENT</v>
          </cell>
          <cell r="AV112" t="str">
            <v>O</v>
          </cell>
          <cell r="AW112">
            <v>21089.5</v>
          </cell>
          <cell r="AX112">
            <v>528.5</v>
          </cell>
          <cell r="AY112">
            <v>2.5059863913321795E-2</v>
          </cell>
          <cell r="AZ112">
            <v>2746770.09</v>
          </cell>
          <cell r="BA112">
            <v>1934811</v>
          </cell>
          <cell r="BB112">
            <v>811959.09</v>
          </cell>
          <cell r="BC112">
            <v>193543</v>
          </cell>
          <cell r="BD112">
            <v>0.10003199278895974</v>
          </cell>
          <cell r="BE112">
            <v>2099112.86</v>
          </cell>
          <cell r="BF112">
            <v>1419425.51</v>
          </cell>
          <cell r="BG112">
            <v>679687.35</v>
          </cell>
          <cell r="BH112">
            <v>-132271.74</v>
          </cell>
          <cell r="BI112">
            <v>2.8192387516532746E-2</v>
          </cell>
          <cell r="BJ112">
            <v>1746342.13</v>
          </cell>
          <cell r="BK112">
            <v>1189556.75</v>
          </cell>
          <cell r="BL112">
            <v>556785.38</v>
          </cell>
          <cell r="BM112">
            <v>0.31882949534064092</v>
          </cell>
          <cell r="BN112">
            <v>2.3224452546542373E-2</v>
          </cell>
          <cell r="BO112" t="str">
            <v>ISU</v>
          </cell>
          <cell r="BP112" t="str">
            <v>O</v>
          </cell>
          <cell r="BQ112" t="str">
            <v>FY</v>
          </cell>
          <cell r="BR112">
            <v>6603802</v>
          </cell>
          <cell r="BS112" t="str">
            <v>6Y0</v>
          </cell>
          <cell r="BT112">
            <v>6565500</v>
          </cell>
          <cell r="BW112" t="str">
            <v/>
          </cell>
          <cell r="BX112" t="str">
            <v>Rated</v>
          </cell>
          <cell r="BY112" t="str">
            <v>Over</v>
          </cell>
          <cell r="BZ112" t="str">
            <v>A</v>
          </cell>
          <cell r="CA112" t="str">
            <v>M</v>
          </cell>
          <cell r="CG112">
            <v>2443290.4700000002</v>
          </cell>
          <cell r="CH112">
            <v>1717471.59</v>
          </cell>
          <cell r="CI112">
            <v>725818.88</v>
          </cell>
          <cell r="CJ112">
            <v>0.29706614457510649</v>
          </cell>
          <cell r="CK112">
            <v>1.4611017810079452E-3</v>
          </cell>
          <cell r="CL112" t="str">
            <v>LT to change to Boyd</v>
          </cell>
          <cell r="CM112" t="str">
            <v/>
          </cell>
          <cell r="CN112" t="str">
            <v/>
          </cell>
          <cell r="CO112" t="str">
            <v/>
          </cell>
          <cell r="CP112" t="str">
            <v/>
          </cell>
          <cell r="CQ112" t="str">
            <v/>
          </cell>
          <cell r="CR112" t="str">
            <v/>
          </cell>
          <cell r="CS112">
            <v>38231</v>
          </cell>
          <cell r="CT112" t="str">
            <v/>
          </cell>
          <cell r="CV112" t="str">
            <v/>
          </cell>
          <cell r="CW112" t="str">
            <v>CUSTOMER RELATIONSHIP MANAGEMENT</v>
          </cell>
        </row>
        <row r="113">
          <cell r="A113" t="str">
            <v>CFTFTCN</v>
          </cell>
          <cell r="B113" t="str">
            <v>UTL</v>
          </cell>
          <cell r="C113" t="str">
            <v>CRM</v>
          </cell>
          <cell r="D113" t="str">
            <v>CRM</v>
          </cell>
          <cell r="E113" t="str">
            <v>C&amp;SI</v>
          </cell>
          <cell r="F113" t="str">
            <v>NORTHE UTIL SV</v>
          </cell>
          <cell r="G113" t="str">
            <v>C2 Additional Assistance</v>
          </cell>
          <cell r="H113" t="str">
            <v>CFTFTCN</v>
          </cell>
          <cell r="I113">
            <v>1</v>
          </cell>
          <cell r="J113" t="str">
            <v>Robert Brnilovich/Fairfax/IBM</v>
          </cell>
          <cell r="K113" t="str">
            <v>Richard Mclaughlin/Dallas/IBM</v>
          </cell>
          <cell r="L113" t="str">
            <v>BE</v>
          </cell>
          <cell r="M113">
            <v>38474</v>
          </cell>
          <cell r="N113">
            <v>38990</v>
          </cell>
          <cell r="O113">
            <v>345011.7</v>
          </cell>
          <cell r="P113">
            <v>696629.3</v>
          </cell>
          <cell r="Q113">
            <v>345011.7</v>
          </cell>
          <cell r="R113">
            <v>0.22936632151418271</v>
          </cell>
          <cell r="S113">
            <v>0.18295244606640848</v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>Y</v>
          </cell>
          <cell r="Y113" t="str">
            <v/>
          </cell>
          <cell r="Z113" t="str">
            <v/>
          </cell>
          <cell r="AA113" t="str">
            <v/>
          </cell>
          <cell r="AC113" t="str">
            <v/>
          </cell>
          <cell r="AD113" t="str">
            <v/>
          </cell>
          <cell r="AE113" t="str">
            <v/>
          </cell>
          <cell r="AF113" t="str">
            <v/>
          </cell>
          <cell r="AG113" t="str">
            <v/>
          </cell>
          <cell r="AH113" t="str">
            <v/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O113" t="str">
            <v/>
          </cell>
          <cell r="AP113" t="str">
            <v/>
          </cell>
          <cell r="AQ113" t="str">
            <v/>
          </cell>
          <cell r="AR113" t="str">
            <v/>
          </cell>
          <cell r="AS113" t="str">
            <v/>
          </cell>
          <cell r="AU113" t="str">
            <v>CUSTOMER RELATIONSHIP MANAGEMENT</v>
          </cell>
          <cell r="AV113" t="str">
            <v>O</v>
          </cell>
          <cell r="AW113">
            <v>4871</v>
          </cell>
          <cell r="AX113">
            <v>0</v>
          </cell>
          <cell r="AY113">
            <v>0</v>
          </cell>
          <cell r="AZ113">
            <v>696629.3</v>
          </cell>
          <cell r="BA113">
            <v>536846</v>
          </cell>
          <cell r="BB113">
            <v>159783.29999999999</v>
          </cell>
          <cell r="BC113">
            <v>21496</v>
          </cell>
          <cell r="BD113">
            <v>4.0041278131903751E-2</v>
          </cell>
          <cell r="BE113">
            <v>351617.6</v>
          </cell>
          <cell r="BF113">
            <v>287288.3</v>
          </cell>
          <cell r="BG113">
            <v>64329.3</v>
          </cell>
          <cell r="BH113">
            <v>-95454.000000000058</v>
          </cell>
          <cell r="BI113">
            <v>-4.6413875447774228E-2</v>
          </cell>
          <cell r="BJ113">
            <v>351617.6</v>
          </cell>
          <cell r="BK113">
            <v>287288.3</v>
          </cell>
          <cell r="BL113">
            <v>64329.3</v>
          </cell>
          <cell r="BM113">
            <v>0.18295244606640848</v>
          </cell>
          <cell r="BN113">
            <v>-4.6413875447774228E-2</v>
          </cell>
          <cell r="BO113" t="str">
            <v>ISU</v>
          </cell>
          <cell r="BP113" t="str">
            <v>O</v>
          </cell>
          <cell r="BQ113" t="str">
            <v>FY</v>
          </cell>
          <cell r="BR113">
            <v>6543921</v>
          </cell>
          <cell r="BS113" t="str">
            <v>6Y0</v>
          </cell>
          <cell r="BT113">
            <v>6565500</v>
          </cell>
          <cell r="BW113" t="str">
            <v/>
          </cell>
          <cell r="BX113" t="str">
            <v>Unrated</v>
          </cell>
          <cell r="BY113" t="str">
            <v>Under</v>
          </cell>
          <cell r="BZ113" t="str">
            <v/>
          </cell>
          <cell r="CA113" t="str">
            <v/>
          </cell>
          <cell r="CG113">
            <v>586766.05000000005</v>
          </cell>
          <cell r="CH113">
            <v>474314.74</v>
          </cell>
          <cell r="CI113">
            <v>112451.31</v>
          </cell>
          <cell r="CJ113">
            <v>0.19164590384873151</v>
          </cell>
          <cell r="CK113">
            <v>-3.77204176654512E-2</v>
          </cell>
          <cell r="CL113" t="str">
            <v/>
          </cell>
          <cell r="CM113" t="str">
            <v/>
          </cell>
          <cell r="CN113" t="str">
            <v/>
          </cell>
          <cell r="CO113" t="str">
            <v/>
          </cell>
          <cell r="CP113" t="str">
            <v/>
          </cell>
          <cell r="CQ113" t="str">
            <v/>
          </cell>
          <cell r="CR113" t="str">
            <v/>
          </cell>
          <cell r="CS113">
            <v>38473</v>
          </cell>
          <cell r="CT113" t="str">
            <v/>
          </cell>
          <cell r="CV113" t="str">
            <v/>
          </cell>
          <cell r="CW113" t="str">
            <v>CUSTOMER RELATIONSHIP MANAGEMENT</v>
          </cell>
        </row>
        <row r="114">
          <cell r="A114" t="str">
            <v>CFTX3FN</v>
          </cell>
          <cell r="B114" t="str">
            <v>UTL</v>
          </cell>
          <cell r="C114" t="str">
            <v>CRM</v>
          </cell>
          <cell r="D114" t="str">
            <v>CRM</v>
          </cell>
          <cell r="E114" t="str">
            <v>C&amp;SI</v>
          </cell>
          <cell r="F114" t="str">
            <v>ONEOK INC</v>
          </cell>
          <cell r="G114" t="str">
            <v>BCS support for Banner n</v>
          </cell>
          <cell r="H114" t="str">
            <v>CFTX3FN</v>
          </cell>
          <cell r="I114">
            <v>1</v>
          </cell>
          <cell r="J114" t="str">
            <v>Robert Brnilovich/Fairfax/IBM</v>
          </cell>
          <cell r="K114" t="str">
            <v>Richard Mclaughlin/Dallas/IBM</v>
          </cell>
          <cell r="L114" t="str">
            <v>BE</v>
          </cell>
          <cell r="M114">
            <v>38628</v>
          </cell>
          <cell r="N114">
            <v>38960</v>
          </cell>
          <cell r="O114">
            <v>760000</v>
          </cell>
          <cell r="P114">
            <v>760000</v>
          </cell>
          <cell r="Q114">
            <v>760000</v>
          </cell>
          <cell r="R114">
            <v>0.2637184210526316</v>
          </cell>
          <cell r="S114">
            <v>0</v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>Y</v>
          </cell>
          <cell r="Y114" t="str">
            <v/>
          </cell>
          <cell r="Z114" t="str">
            <v/>
          </cell>
          <cell r="AA114" t="str">
            <v>Y</v>
          </cell>
          <cell r="AC114" t="str">
            <v/>
          </cell>
          <cell r="AD114" t="str">
            <v>Y</v>
          </cell>
          <cell r="AF114" t="str">
            <v/>
          </cell>
          <cell r="AG114" t="str">
            <v/>
          </cell>
          <cell r="AH114" t="str">
            <v/>
          </cell>
          <cell r="AI114" t="str">
            <v/>
          </cell>
          <cell r="AJ114" t="str">
            <v/>
          </cell>
          <cell r="AK114" t="str">
            <v/>
          </cell>
          <cell r="AM114" t="str">
            <v/>
          </cell>
          <cell r="AN114" t="str">
            <v/>
          </cell>
          <cell r="AO114" t="str">
            <v/>
          </cell>
          <cell r="AP114" t="str">
            <v/>
          </cell>
          <cell r="AQ114" t="str">
            <v/>
          </cell>
          <cell r="AR114" t="str">
            <v/>
          </cell>
          <cell r="AS114" t="str">
            <v/>
          </cell>
          <cell r="AU114" t="str">
            <v>CUSTOMER RELATIONSHIP MANAGEMENT</v>
          </cell>
          <cell r="AV114" t="str">
            <v>O</v>
          </cell>
          <cell r="AW114">
            <v>0</v>
          </cell>
          <cell r="AX114">
            <v>0</v>
          </cell>
          <cell r="AY114">
            <v>0</v>
          </cell>
          <cell r="AZ114">
            <v>760000</v>
          </cell>
          <cell r="BA114">
            <v>559574</v>
          </cell>
          <cell r="BB114">
            <v>200426</v>
          </cell>
          <cell r="BC114">
            <v>22383</v>
          </cell>
          <cell r="BD114">
            <v>4.0000071482949533E-2</v>
          </cell>
          <cell r="BE114">
            <v>0</v>
          </cell>
          <cell r="BF114">
            <v>0</v>
          </cell>
          <cell r="BG114">
            <v>0</v>
          </cell>
          <cell r="BH114">
            <v>-200426</v>
          </cell>
          <cell r="BI114">
            <v>-0.2637184210526316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-0.2637184210526316</v>
          </cell>
          <cell r="BO114" t="str">
            <v>SMB</v>
          </cell>
          <cell r="BP114" t="str">
            <v>O</v>
          </cell>
          <cell r="BQ114" t="str">
            <v>FY</v>
          </cell>
          <cell r="BR114">
            <v>6761006</v>
          </cell>
          <cell r="BS114" t="str">
            <v>Q3R</v>
          </cell>
          <cell r="BT114">
            <v>6725000</v>
          </cell>
          <cell r="BW114" t="str">
            <v/>
          </cell>
          <cell r="BX114" t="str">
            <v>Unrated</v>
          </cell>
          <cell r="BY114" t="str">
            <v>Under</v>
          </cell>
          <cell r="BZ114" t="str">
            <v/>
          </cell>
          <cell r="CA114" t="str">
            <v/>
          </cell>
          <cell r="CG114">
            <v>21250</v>
          </cell>
          <cell r="CH114">
            <v>16816</v>
          </cell>
          <cell r="CI114">
            <v>4434</v>
          </cell>
          <cell r="CJ114">
            <v>0.20865882352941176</v>
          </cell>
          <cell r="CK114">
            <v>-5.5059597523219844E-2</v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  <cell r="CP114" t="str">
            <v/>
          </cell>
          <cell r="CQ114" t="str">
            <v/>
          </cell>
          <cell r="CR114" t="str">
            <v/>
          </cell>
          <cell r="CS114">
            <v>38626</v>
          </cell>
          <cell r="CT114" t="str">
            <v/>
          </cell>
          <cell r="CV114" t="str">
            <v/>
          </cell>
          <cell r="CW114" t="str">
            <v>CUSTOMER RELATIONSHIP MANAGEMENT</v>
          </cell>
        </row>
        <row r="115">
          <cell r="A115" t="str">
            <v>CFTJMMM</v>
          </cell>
          <cell r="B115" t="str">
            <v>UTL</v>
          </cell>
          <cell r="C115" t="str">
            <v>HCM</v>
          </cell>
          <cell r="D115" t="str">
            <v>HCM</v>
          </cell>
          <cell r="E115" t="str">
            <v>C&amp;SI</v>
          </cell>
          <cell r="F115" t="str">
            <v>PACIFI GAS ELEC</v>
          </cell>
          <cell r="G115" t="str">
            <v>HR/Payroll - Rollout Pha</v>
          </cell>
          <cell r="H115" t="str">
            <v>CFTJMMM</v>
          </cell>
          <cell r="I115">
            <v>2</v>
          </cell>
          <cell r="J115" t="str">
            <v>Gary I Hill/Irvine/IBM</v>
          </cell>
          <cell r="K115" t="str">
            <v>John L Brownridge/San Francisco/IBM</v>
          </cell>
          <cell r="L115" t="str">
            <v>FP</v>
          </cell>
          <cell r="M115">
            <v>38200</v>
          </cell>
          <cell r="N115">
            <v>38990</v>
          </cell>
          <cell r="O115">
            <v>6465083.2800000003</v>
          </cell>
          <cell r="P115">
            <v>11508720</v>
          </cell>
          <cell r="Q115">
            <v>6465083.2800000003</v>
          </cell>
          <cell r="R115">
            <v>0.37273771540188655</v>
          </cell>
          <cell r="S115">
            <v>0.40046838464606943</v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C115" t="str">
            <v/>
          </cell>
          <cell r="AD115" t="str">
            <v>Y</v>
          </cell>
          <cell r="AE115" t="str">
            <v>Sills</v>
          </cell>
          <cell r="AF115" t="str">
            <v>Y</v>
          </cell>
          <cell r="AG115" t="str">
            <v>Angie Ramirez</v>
          </cell>
          <cell r="AH115" t="str">
            <v>John Brownridge</v>
          </cell>
          <cell r="AI115" t="str">
            <v>M</v>
          </cell>
          <cell r="AJ115" t="str">
            <v>B</v>
          </cell>
          <cell r="AK115">
            <v>38596</v>
          </cell>
          <cell r="AL115">
            <v>38749</v>
          </cell>
          <cell r="AM115" t="str">
            <v>Y</v>
          </cell>
          <cell r="AN115" t="str">
            <v>G</v>
          </cell>
          <cell r="AO115" t="str">
            <v>Y</v>
          </cell>
          <cell r="AP115" t="str">
            <v>G</v>
          </cell>
          <cell r="AQ115" t="str">
            <v>G</v>
          </cell>
          <cell r="AR115" t="str">
            <v>G</v>
          </cell>
          <cell r="AS115" t="str">
            <v>G</v>
          </cell>
          <cell r="AU115" t="str">
            <v>HUMAN CAPITAL MANAGEMENT</v>
          </cell>
          <cell r="AV115" t="str">
            <v>O</v>
          </cell>
          <cell r="AW115">
            <v>14086.8</v>
          </cell>
          <cell r="AX115">
            <v>5.3</v>
          </cell>
          <cell r="AY115">
            <v>3.7623874833177159E-4</v>
          </cell>
          <cell r="AZ115">
            <v>11508720</v>
          </cell>
          <cell r="BA115">
            <v>7218986</v>
          </cell>
          <cell r="BB115">
            <v>4289734</v>
          </cell>
          <cell r="BC115">
            <v>597526</v>
          </cell>
          <cell r="BD115">
            <v>8.2771458484612662E-2</v>
          </cell>
          <cell r="BE115">
            <v>5043636.72</v>
          </cell>
          <cell r="BF115">
            <v>3023819.67</v>
          </cell>
          <cell r="BG115">
            <v>2019817.05</v>
          </cell>
          <cell r="BH115">
            <v>-2269916.9500000002</v>
          </cell>
          <cell r="BI115">
            <v>2.7730669244182882E-2</v>
          </cell>
          <cell r="BJ115">
            <v>5043636.72</v>
          </cell>
          <cell r="BK115">
            <v>3023819.67</v>
          </cell>
          <cell r="BL115">
            <v>2019817.05</v>
          </cell>
          <cell r="BM115">
            <v>0.40046838464606943</v>
          </cell>
          <cell r="BN115">
            <v>2.7730669244182882E-2</v>
          </cell>
          <cell r="BO115" t="str">
            <v>ISU</v>
          </cell>
          <cell r="BP115" t="str">
            <v>O</v>
          </cell>
          <cell r="BQ115" t="str">
            <v>FY</v>
          </cell>
          <cell r="BR115">
            <v>6837634</v>
          </cell>
          <cell r="BS115" t="str">
            <v>8NY</v>
          </cell>
          <cell r="BT115">
            <v>6840000</v>
          </cell>
          <cell r="BW115" t="str">
            <v/>
          </cell>
          <cell r="BX115" t="str">
            <v>Rated</v>
          </cell>
          <cell r="BY115" t="str">
            <v>Over</v>
          </cell>
          <cell r="BZ115" t="str">
            <v>B</v>
          </cell>
          <cell r="CA115" t="str">
            <v>M</v>
          </cell>
          <cell r="CG115">
            <v>11508230</v>
          </cell>
          <cell r="CH115">
            <v>5668435.3899999997</v>
          </cell>
          <cell r="CI115">
            <v>5839794.6100000003</v>
          </cell>
          <cell r="CJ115">
            <v>0.50744507278704021</v>
          </cell>
          <cell r="CK115">
            <v>0.13470735738515366</v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  <cell r="CP115" t="str">
            <v/>
          </cell>
          <cell r="CQ115" t="str">
            <v/>
          </cell>
          <cell r="CR115" t="str">
            <v/>
          </cell>
          <cell r="CS115">
            <v>38200</v>
          </cell>
          <cell r="CT115" t="str">
            <v/>
          </cell>
          <cell r="CV115" t="str">
            <v/>
          </cell>
          <cell r="CW115" t="str">
            <v>HUMAN CAPITAL MANAGEMENT</v>
          </cell>
        </row>
        <row r="116">
          <cell r="A116" t="str">
            <v>CFTMHDN</v>
          </cell>
          <cell r="B116" t="str">
            <v>UTL</v>
          </cell>
          <cell r="C116" t="str">
            <v>AIS</v>
          </cell>
          <cell r="D116" t="str">
            <v>AIS</v>
          </cell>
          <cell r="E116" t="str">
            <v>C&amp;SI</v>
          </cell>
          <cell r="F116" t="str">
            <v>PACIFI GAS ELEC</v>
          </cell>
          <cell r="G116" t="str">
            <v>*WPS AMI Schedule 2 Supp</v>
          </cell>
          <cell r="H116" t="str">
            <v>CFTMHDN</v>
          </cell>
          <cell r="I116">
            <v>1</v>
          </cell>
          <cell r="J116" t="str">
            <v>Stephen J Callahan/San Francisco/IBM</v>
          </cell>
          <cell r="K116" t="str">
            <v>Mark Graham/Wayne/IBM</v>
          </cell>
          <cell r="L116" t="str">
            <v>BE</v>
          </cell>
          <cell r="M116">
            <v>38509</v>
          </cell>
          <cell r="N116">
            <v>38660</v>
          </cell>
          <cell r="O116">
            <v>22160</v>
          </cell>
          <cell r="P116">
            <v>3576805</v>
          </cell>
          <cell r="Q116">
            <v>22160</v>
          </cell>
          <cell r="R116">
            <v>0.44663016295269103</v>
          </cell>
          <cell r="S116">
            <v>0.45203243924498793</v>
          </cell>
          <cell r="T116" t="str">
            <v/>
          </cell>
          <cell r="U116" t="str">
            <v>Y</v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C116" t="str">
            <v>Y</v>
          </cell>
          <cell r="AD116" t="str">
            <v/>
          </cell>
          <cell r="AE116" t="str">
            <v>Giblin</v>
          </cell>
          <cell r="AF116" t="str">
            <v/>
          </cell>
          <cell r="AG116" t="str">
            <v/>
          </cell>
          <cell r="AH116" t="str">
            <v/>
          </cell>
          <cell r="AI116" t="str">
            <v/>
          </cell>
          <cell r="AJ116" t="str">
            <v>*CLOSING*</v>
          </cell>
          <cell r="AK116" t="str">
            <v/>
          </cell>
          <cell r="AL116" t="str">
            <v>N/A</v>
          </cell>
          <cell r="AM116" t="str">
            <v/>
          </cell>
          <cell r="AN116" t="str">
            <v/>
          </cell>
          <cell r="AO116" t="str">
            <v/>
          </cell>
          <cell r="AP116" t="str">
            <v/>
          </cell>
          <cell r="AQ116" t="str">
            <v/>
          </cell>
          <cell r="AR116" t="str">
            <v/>
          </cell>
          <cell r="AS116" t="str">
            <v/>
          </cell>
          <cell r="AU116" t="str">
            <v>APPLICATION INNOVATION</v>
          </cell>
          <cell r="AV116" t="str">
            <v>O</v>
          </cell>
          <cell r="AW116">
            <v>17890.8</v>
          </cell>
          <cell r="AX116">
            <v>184.3</v>
          </cell>
          <cell r="AY116">
            <v>1.0301383951528161E-2</v>
          </cell>
          <cell r="AZ116">
            <v>3576805</v>
          </cell>
          <cell r="BA116">
            <v>1979296</v>
          </cell>
          <cell r="BB116">
            <v>1597509</v>
          </cell>
          <cell r="BC116">
            <v>79840</v>
          </cell>
          <cell r="BD116">
            <v>4.0337574571969022E-2</v>
          </cell>
          <cell r="BE116">
            <v>3554645</v>
          </cell>
          <cell r="BF116">
            <v>1947830.15</v>
          </cell>
          <cell r="BG116">
            <v>1606814.85</v>
          </cell>
          <cell r="BH116">
            <v>9305.8500000000931</v>
          </cell>
          <cell r="BI116">
            <v>5.4022762922968925E-3</v>
          </cell>
          <cell r="BJ116">
            <v>3554645</v>
          </cell>
          <cell r="BK116">
            <v>1947830.15</v>
          </cell>
          <cell r="BL116">
            <v>1606814.85</v>
          </cell>
          <cell r="BM116">
            <v>0.45203243924498793</v>
          </cell>
          <cell r="BN116">
            <v>5.4022762922968925E-3</v>
          </cell>
          <cell r="BO116" t="str">
            <v>ISU</v>
          </cell>
          <cell r="BP116" t="str">
            <v>O</v>
          </cell>
          <cell r="BQ116" t="str">
            <v>FX</v>
          </cell>
          <cell r="BR116">
            <v>6837634</v>
          </cell>
          <cell r="BS116" t="str">
            <v>8NY</v>
          </cell>
          <cell r="BT116">
            <v>6840000</v>
          </cell>
          <cell r="BW116" t="str">
            <v/>
          </cell>
          <cell r="BX116" t="str">
            <v>Rated</v>
          </cell>
          <cell r="BY116" t="str">
            <v>Over</v>
          </cell>
          <cell r="BZ116" t="str">
            <v>Other</v>
          </cell>
          <cell r="CA116" t="str">
            <v/>
          </cell>
          <cell r="CG116">
            <v>3553125</v>
          </cell>
          <cell r="CH116">
            <v>1951839.68</v>
          </cell>
          <cell r="CI116">
            <v>1601285.32</v>
          </cell>
          <cell r="CJ116">
            <v>0.45066957115215484</v>
          </cell>
          <cell r="CK116">
            <v>4.0394081994638009E-3</v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  <cell r="CP116" t="str">
            <v/>
          </cell>
          <cell r="CQ116" t="str">
            <v/>
          </cell>
          <cell r="CR116" t="str">
            <v/>
          </cell>
          <cell r="CS116">
            <v>38504</v>
          </cell>
          <cell r="CT116" t="str">
            <v/>
          </cell>
          <cell r="CV116" t="str">
            <v/>
          </cell>
          <cell r="CW116" t="str">
            <v>APPLICATION INNOVATION</v>
          </cell>
        </row>
        <row r="117">
          <cell r="A117" t="str">
            <v>CFT12AN</v>
          </cell>
          <cell r="B117" t="str">
            <v>MED</v>
          </cell>
          <cell r="C117" t="str">
            <v>FM</v>
          </cell>
          <cell r="D117" t="str">
            <v>FM</v>
          </cell>
          <cell r="E117" t="str">
            <v>C&amp;SI</v>
          </cell>
          <cell r="F117" t="str">
            <v>PARAMO PICTURES</v>
          </cell>
          <cell r="G117" t="str">
            <v>Paramount IPM Rollout</v>
          </cell>
          <cell r="H117" t="str">
            <v>CFT12AN</v>
          </cell>
          <cell r="I117">
            <v>2</v>
          </cell>
          <cell r="J117" t="str">
            <v>Richard P Whittington/Irvine/IBM</v>
          </cell>
          <cell r="K117" t="str">
            <v>Gretchen Kaufman/Los Angeles/IBM</v>
          </cell>
          <cell r="L117" t="str">
            <v>BE</v>
          </cell>
          <cell r="M117">
            <v>38657</v>
          </cell>
          <cell r="N117">
            <v>38807</v>
          </cell>
          <cell r="O117">
            <v>427533</v>
          </cell>
          <cell r="P117">
            <v>607809</v>
          </cell>
          <cell r="Q117">
            <v>427533</v>
          </cell>
          <cell r="R117">
            <v>0.4507715417178752</v>
          </cell>
          <cell r="S117">
            <v>0.50225698373604921</v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>Y</v>
          </cell>
          <cell r="AA117" t="str">
            <v/>
          </cell>
          <cell r="AC117" t="str">
            <v/>
          </cell>
          <cell r="AD117" t="str">
            <v/>
          </cell>
          <cell r="AF117" t="str">
            <v/>
          </cell>
          <cell r="AG117" t="str">
            <v/>
          </cell>
          <cell r="AH117" t="str">
            <v/>
          </cell>
          <cell r="AI117" t="str">
            <v/>
          </cell>
          <cell r="AJ117" t="str">
            <v/>
          </cell>
          <cell r="AK117" t="str">
            <v/>
          </cell>
          <cell r="AM117" t="str">
            <v/>
          </cell>
          <cell r="AN117" t="str">
            <v/>
          </cell>
          <cell r="AO117" t="str">
            <v/>
          </cell>
          <cell r="AP117" t="str">
            <v/>
          </cell>
          <cell r="AQ117" t="str">
            <v/>
          </cell>
          <cell r="AR117" t="str">
            <v/>
          </cell>
          <cell r="AS117" t="str">
            <v/>
          </cell>
          <cell r="AU117" t="str">
            <v>FINANCIAL MANAGEMENT</v>
          </cell>
          <cell r="AV117" t="str">
            <v>O</v>
          </cell>
          <cell r="AW117">
            <v>813</v>
          </cell>
          <cell r="AX117">
            <v>0</v>
          </cell>
          <cell r="AY117">
            <v>0</v>
          </cell>
          <cell r="AZ117">
            <v>607809</v>
          </cell>
          <cell r="BA117">
            <v>333826</v>
          </cell>
          <cell r="BB117">
            <v>273983</v>
          </cell>
          <cell r="BC117">
            <v>13654</v>
          </cell>
          <cell r="BD117">
            <v>4.0901547512776117E-2</v>
          </cell>
          <cell r="BE117">
            <v>180276</v>
          </cell>
          <cell r="BF117">
            <v>89731.12</v>
          </cell>
          <cell r="BG117">
            <v>90544.88</v>
          </cell>
          <cell r="BH117">
            <v>-183438.12</v>
          </cell>
          <cell r="BI117">
            <v>5.148544201817401E-2</v>
          </cell>
          <cell r="BJ117">
            <v>180276</v>
          </cell>
          <cell r="BK117">
            <v>89731.12</v>
          </cell>
          <cell r="BL117">
            <v>90544.88</v>
          </cell>
          <cell r="BM117">
            <v>0.50225698373604921</v>
          </cell>
          <cell r="BN117">
            <v>5.148544201817401E-2</v>
          </cell>
          <cell r="BO117" t="str">
            <v>ISU</v>
          </cell>
          <cell r="BP117" t="str">
            <v>O</v>
          </cell>
          <cell r="BQ117" t="str">
            <v>FX</v>
          </cell>
          <cell r="BR117">
            <v>6901224</v>
          </cell>
          <cell r="BS117" t="str">
            <v>6YM</v>
          </cell>
          <cell r="BT117">
            <v>9695000</v>
          </cell>
          <cell r="BW117" t="str">
            <v/>
          </cell>
          <cell r="BX117" t="str">
            <v>Unrated</v>
          </cell>
          <cell r="BY117" t="str">
            <v>Under</v>
          </cell>
          <cell r="BZ117" t="str">
            <v/>
          </cell>
          <cell r="CA117" t="str">
            <v/>
          </cell>
          <cell r="CG117">
            <v>403878</v>
          </cell>
          <cell r="CH117">
            <v>192449.56</v>
          </cell>
          <cell r="CI117">
            <v>211428.44</v>
          </cell>
          <cell r="CJ117">
            <v>0.5234958081400819</v>
          </cell>
          <cell r="CK117">
            <v>7.2724266422206696E-2</v>
          </cell>
          <cell r="CM117" t="e">
            <v>#N/A</v>
          </cell>
          <cell r="CN117" t="str">
            <v/>
          </cell>
          <cell r="CO117" t="str">
            <v/>
          </cell>
          <cell r="CP117" t="str">
            <v/>
          </cell>
          <cell r="CQ117" t="str">
            <v/>
          </cell>
          <cell r="CR117" t="str">
            <v/>
          </cell>
          <cell r="CS117">
            <v>38657</v>
          </cell>
          <cell r="CT117" t="str">
            <v/>
          </cell>
          <cell r="CU117" t="str">
            <v/>
          </cell>
          <cell r="CV117" t="str">
            <v/>
          </cell>
          <cell r="CW117" t="str">
            <v>FINANCIAL MANAGEMENT</v>
          </cell>
        </row>
        <row r="118">
          <cell r="A118" t="str">
            <v>CFTFTNN</v>
          </cell>
          <cell r="B118" t="str">
            <v>MED</v>
          </cell>
          <cell r="C118" t="str">
            <v>SCM</v>
          </cell>
          <cell r="D118" t="str">
            <v>SCM</v>
          </cell>
          <cell r="E118" t="str">
            <v>C&amp;SI</v>
          </cell>
          <cell r="F118" t="str">
            <v>PARAMO PICTURES</v>
          </cell>
          <cell r="G118" t="str">
            <v>SAP Optimization</v>
          </cell>
          <cell r="H118" t="str">
            <v>CFTFTNN</v>
          </cell>
          <cell r="I118">
            <v>3</v>
          </cell>
          <cell r="J118" t="str">
            <v>Joseph F Devaney/Philadelphia/IBM</v>
          </cell>
          <cell r="K118" t="str">
            <v>Clifton E Hughes/Denver/IBM</v>
          </cell>
          <cell r="L118" t="str">
            <v>FP</v>
          </cell>
          <cell r="M118">
            <v>38473</v>
          </cell>
          <cell r="N118">
            <v>38579</v>
          </cell>
          <cell r="O118">
            <v>228548</v>
          </cell>
          <cell r="P118">
            <v>398000</v>
          </cell>
          <cell r="Q118">
            <v>228548</v>
          </cell>
          <cell r="R118">
            <v>0.47134170854271357</v>
          </cell>
          <cell r="S118">
            <v>0.49117732455208551</v>
          </cell>
          <cell r="T118" t="str">
            <v/>
          </cell>
          <cell r="U118" t="str">
            <v>Y</v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C118" t="str">
            <v/>
          </cell>
          <cell r="AD118" t="str">
            <v/>
          </cell>
          <cell r="AE118" t="str">
            <v/>
          </cell>
          <cell r="AF118" t="str">
            <v/>
          </cell>
          <cell r="AG118" t="str">
            <v/>
          </cell>
          <cell r="AH118" t="str">
            <v/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O118" t="str">
            <v/>
          </cell>
          <cell r="AP118" t="str">
            <v/>
          </cell>
          <cell r="AQ118" t="str">
            <v/>
          </cell>
          <cell r="AR118" t="str">
            <v/>
          </cell>
          <cell r="AS118" t="str">
            <v/>
          </cell>
          <cell r="AU118" t="str">
            <v>SUPPLY CHAIN MANAGEMENT</v>
          </cell>
          <cell r="AV118" t="str">
            <v>O</v>
          </cell>
          <cell r="AW118">
            <v>665.5</v>
          </cell>
          <cell r="AX118">
            <v>4.5</v>
          </cell>
          <cell r="AY118">
            <v>6.7618332081141996E-3</v>
          </cell>
          <cell r="AZ118">
            <v>398000</v>
          </cell>
          <cell r="BA118">
            <v>210406</v>
          </cell>
          <cell r="BB118">
            <v>187594</v>
          </cell>
          <cell r="BC118">
            <v>21041</v>
          </cell>
          <cell r="BD118">
            <v>0.10000190108647092</v>
          </cell>
          <cell r="BE118">
            <v>169452</v>
          </cell>
          <cell r="BF118">
            <v>86221.02</v>
          </cell>
          <cell r="BG118">
            <v>83230.98</v>
          </cell>
          <cell r="BH118">
            <v>-104363.02</v>
          </cell>
          <cell r="BI118">
            <v>1.9835616009371948E-2</v>
          </cell>
          <cell r="BJ118">
            <v>169452</v>
          </cell>
          <cell r="BK118">
            <v>86221.02</v>
          </cell>
          <cell r="BL118">
            <v>83230.98</v>
          </cell>
          <cell r="BM118">
            <v>0.49117732455208551</v>
          </cell>
          <cell r="BN118">
            <v>1.9835616009371948E-2</v>
          </cell>
          <cell r="BO118" t="str">
            <v>ISU</v>
          </cell>
          <cell r="BP118" t="str">
            <v>O</v>
          </cell>
          <cell r="BQ118" t="str">
            <v>FX</v>
          </cell>
          <cell r="BR118">
            <v>6901224</v>
          </cell>
          <cell r="BS118" t="str">
            <v>6YM</v>
          </cell>
          <cell r="BT118">
            <v>9695000</v>
          </cell>
          <cell r="BW118" t="str">
            <v/>
          </cell>
          <cell r="BX118" t="str">
            <v>Unrated</v>
          </cell>
          <cell r="BY118" t="str">
            <v>Under</v>
          </cell>
          <cell r="BZ118" t="str">
            <v/>
          </cell>
          <cell r="CA118" t="str">
            <v/>
          </cell>
          <cell r="CG118">
            <v>264600</v>
          </cell>
          <cell r="CH118">
            <v>86221.02</v>
          </cell>
          <cell r="CI118">
            <v>178378.98</v>
          </cell>
          <cell r="CJ118">
            <v>0.67414580498866217</v>
          </cell>
          <cell r="CK118">
            <v>0.2028040964459486</v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  <cell r="CP118" t="str">
            <v/>
          </cell>
          <cell r="CQ118" t="str">
            <v/>
          </cell>
          <cell r="CR118" t="str">
            <v/>
          </cell>
          <cell r="CS118">
            <v>38473</v>
          </cell>
          <cell r="CT118" t="str">
            <v/>
          </cell>
          <cell r="CV118" t="str">
            <v/>
          </cell>
          <cell r="CW118" t="str">
            <v>SUPPLY CHAIN MANAGEMENT</v>
          </cell>
        </row>
        <row r="119">
          <cell r="A119" t="str">
            <v>CFT1XNN</v>
          </cell>
          <cell r="B119" t="str">
            <v>UTL</v>
          </cell>
          <cell r="C119" t="str">
            <v>AIS</v>
          </cell>
          <cell r="D119" t="str">
            <v>AIS</v>
          </cell>
          <cell r="E119" t="str">
            <v>C&amp;SI</v>
          </cell>
          <cell r="F119" t="str">
            <v>PG&amp;E</v>
          </cell>
          <cell r="G119" t="str">
            <v>PG&amp;E AMI Meter reading 20...</v>
          </cell>
          <cell r="H119" t="str">
            <v>CFT1XNN</v>
          </cell>
          <cell r="I119">
            <v>1</v>
          </cell>
          <cell r="J119">
            <v>0</v>
          </cell>
          <cell r="K119" t="str">
            <v>Mark Graham/Wayne/IBM</v>
          </cell>
          <cell r="L119" t="str">
            <v>BE</v>
          </cell>
          <cell r="M119">
            <v>38658</v>
          </cell>
          <cell r="N119">
            <v>39813</v>
          </cell>
          <cell r="O119">
            <v>34039737.479999997</v>
          </cell>
          <cell r="P119">
            <v>36391766.479999997</v>
          </cell>
          <cell r="Q119">
            <v>34039737.479999997</v>
          </cell>
          <cell r="R119">
            <v>0.40345195905972403</v>
          </cell>
          <cell r="S119">
            <v>0.45295765060719917</v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C119" t="str">
            <v/>
          </cell>
          <cell r="AD119" t="str">
            <v>Y</v>
          </cell>
          <cell r="AE119" t="str">
            <v>Coleman</v>
          </cell>
          <cell r="AF119" t="str">
            <v/>
          </cell>
          <cell r="AG119" t="str">
            <v/>
          </cell>
          <cell r="AH119" t="str">
            <v/>
          </cell>
          <cell r="AI119" t="str">
            <v/>
          </cell>
          <cell r="AJ119" t="str">
            <v/>
          </cell>
          <cell r="AK119" t="str">
            <v/>
          </cell>
          <cell r="AL119" t="str">
            <v>TBD</v>
          </cell>
          <cell r="AM119" t="str">
            <v/>
          </cell>
          <cell r="AN119" t="str">
            <v/>
          </cell>
          <cell r="AO119" t="str">
            <v/>
          </cell>
          <cell r="AP119" t="str">
            <v/>
          </cell>
          <cell r="AQ119" t="str">
            <v/>
          </cell>
          <cell r="AR119" t="str">
            <v/>
          </cell>
          <cell r="AS119" t="str">
            <v/>
          </cell>
          <cell r="AU119" t="str">
            <v>APPLICATION INNOVATION</v>
          </cell>
          <cell r="AV119" t="str">
            <v>O</v>
          </cell>
          <cell r="AW119">
            <v>13606.5</v>
          </cell>
          <cell r="AX119">
            <v>28</v>
          </cell>
          <cell r="AY119">
            <v>2.0578400029397713E-3</v>
          </cell>
          <cell r="AZ119">
            <v>36391766.479999997</v>
          </cell>
          <cell r="BA119">
            <v>21709437</v>
          </cell>
          <cell r="BB119">
            <v>14682329.479999997</v>
          </cell>
          <cell r="BC119">
            <v>2170944</v>
          </cell>
          <cell r="BD119">
            <v>0.10000001381887517</v>
          </cell>
          <cell r="BE119">
            <v>2352029</v>
          </cell>
          <cell r="BF119">
            <v>1286659.47</v>
          </cell>
          <cell r="BG119">
            <v>1065369.53</v>
          </cell>
          <cell r="BH119">
            <v>-13616959.949999997</v>
          </cell>
          <cell r="BI119">
            <v>4.9505691547475139E-2</v>
          </cell>
          <cell r="BJ119">
            <v>2352029</v>
          </cell>
          <cell r="BK119">
            <v>1286659.47</v>
          </cell>
          <cell r="BL119">
            <v>1065369.53</v>
          </cell>
          <cell r="BM119">
            <v>0.45295765060719917</v>
          </cell>
          <cell r="BN119">
            <v>4.9505691547475139E-2</v>
          </cell>
          <cell r="BO119" t="str">
            <v>ISU</v>
          </cell>
          <cell r="BP119" t="str">
            <v>O</v>
          </cell>
          <cell r="BQ119" t="str">
            <v>FX</v>
          </cell>
          <cell r="BR119">
            <v>6840039</v>
          </cell>
          <cell r="BS119" t="str">
            <v>8NY</v>
          </cell>
          <cell r="BT119">
            <v>6840000</v>
          </cell>
          <cell r="BW119" t="str">
            <v/>
          </cell>
          <cell r="BX119" t="str">
            <v>Unrated</v>
          </cell>
          <cell r="BY119" t="str">
            <v>Over</v>
          </cell>
          <cell r="BZ119" t="str">
            <v/>
          </cell>
          <cell r="CA119" t="str">
            <v/>
          </cell>
          <cell r="CG119">
            <v>54223766.5</v>
          </cell>
          <cell r="CH119">
            <v>27514791.960000001</v>
          </cell>
          <cell r="CI119">
            <v>26708974.539999999</v>
          </cell>
          <cell r="CJ119">
            <v>0.49256951820194933</v>
          </cell>
          <cell r="CK119">
            <v>8.91175591422253E-2</v>
          </cell>
          <cell r="CL119" t="str">
            <v/>
          </cell>
          <cell r="CM119" t="str">
            <v/>
          </cell>
          <cell r="CN119" t="str">
            <v/>
          </cell>
          <cell r="CO119" t="str">
            <v>SCS</v>
          </cell>
          <cell r="CP119" t="str">
            <v>AIS</v>
          </cell>
          <cell r="CQ119" t="str">
            <v/>
          </cell>
          <cell r="CR119" t="str">
            <v>Jenette asked to be AIS on 11-11 (Support of AMI Rollout; Part=Steve Callahan, PM=</v>
          </cell>
          <cell r="CS119">
            <v>38657</v>
          </cell>
          <cell r="CT119" t="str">
            <v/>
          </cell>
          <cell r="CU119" t="str">
            <v/>
          </cell>
          <cell r="CV119" t="str">
            <v/>
          </cell>
          <cell r="CW119" t="str">
            <v>APPLICATION INNOVATION</v>
          </cell>
        </row>
        <row r="120">
          <cell r="A120" t="str">
            <v>CFTQNRG</v>
          </cell>
          <cell r="B120" t="str">
            <v>UTL</v>
          </cell>
          <cell r="C120" t="str">
            <v>AIS</v>
          </cell>
          <cell r="D120" t="str">
            <v>AIS</v>
          </cell>
          <cell r="E120" t="str">
            <v>C&amp;SI</v>
          </cell>
          <cell r="F120" t="str">
            <v>PG&amp;E</v>
          </cell>
          <cell r="G120" t="str">
            <v>Jonathan Chu Assist      ...</v>
          </cell>
          <cell r="H120" t="str">
            <v>CFTQNRG</v>
          </cell>
          <cell r="I120">
            <v>1</v>
          </cell>
          <cell r="J120" t="str">
            <v>Michael Cenko/San Francisco/IBM</v>
          </cell>
          <cell r="K120" t="str">
            <v>Stephen J Callahan/San Francisco/IBM</v>
          </cell>
          <cell r="L120" t="str">
            <v>BE</v>
          </cell>
          <cell r="M120">
            <v>37622</v>
          </cell>
          <cell r="N120">
            <v>38717</v>
          </cell>
          <cell r="O120">
            <v>92520</v>
          </cell>
          <cell r="P120">
            <v>1068600</v>
          </cell>
          <cell r="Q120">
            <v>92520</v>
          </cell>
          <cell r="R120">
            <v>0.17761557177615572</v>
          </cell>
          <cell r="S120">
            <v>0.32709771740021315</v>
          </cell>
          <cell r="T120" t="str">
            <v/>
          </cell>
          <cell r="U120" t="str">
            <v>Y</v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>Y</v>
          </cell>
          <cell r="AA120" t="str">
            <v/>
          </cell>
          <cell r="AC120" t="str">
            <v/>
          </cell>
          <cell r="AD120" t="str">
            <v/>
          </cell>
          <cell r="AE120" t="str">
            <v>Imam</v>
          </cell>
          <cell r="AF120" t="str">
            <v/>
          </cell>
          <cell r="AG120" t="str">
            <v/>
          </cell>
          <cell r="AH120" t="str">
            <v/>
          </cell>
          <cell r="AI120" t="str">
            <v/>
          </cell>
          <cell r="AJ120" t="str">
            <v>Waived</v>
          </cell>
          <cell r="AK120" t="str">
            <v/>
          </cell>
          <cell r="AL120" t="str">
            <v>N/A</v>
          </cell>
          <cell r="AM120" t="str">
            <v/>
          </cell>
          <cell r="AN120" t="str">
            <v/>
          </cell>
          <cell r="AO120" t="str">
            <v/>
          </cell>
          <cell r="AP120" t="str">
            <v/>
          </cell>
          <cell r="AQ120" t="str">
            <v/>
          </cell>
          <cell r="AR120" t="str">
            <v/>
          </cell>
          <cell r="AS120" t="str">
            <v/>
          </cell>
          <cell r="AU120" t="str">
            <v>APPLICATION INNOVATION</v>
          </cell>
          <cell r="AV120" t="str">
            <v>O</v>
          </cell>
          <cell r="AW120">
            <v>5764</v>
          </cell>
          <cell r="AX120">
            <v>24</v>
          </cell>
          <cell r="AY120">
            <v>4.1637751561415682E-3</v>
          </cell>
          <cell r="AZ120">
            <v>1068600</v>
          </cell>
          <cell r="BA120">
            <v>878800</v>
          </cell>
          <cell r="BB120">
            <v>189800</v>
          </cell>
          <cell r="BC120">
            <v>35152</v>
          </cell>
          <cell r="BD120">
            <v>0.04</v>
          </cell>
          <cell r="BE120">
            <v>976080</v>
          </cell>
          <cell r="BF120">
            <v>656806.46</v>
          </cell>
          <cell r="BG120">
            <v>319273.53999999998</v>
          </cell>
          <cell r="BH120">
            <v>129473.54</v>
          </cell>
          <cell r="BI120">
            <v>0.14948214562405743</v>
          </cell>
          <cell r="BJ120">
            <v>327080</v>
          </cell>
          <cell r="BK120">
            <v>280740.86</v>
          </cell>
          <cell r="BL120">
            <v>46339.14</v>
          </cell>
          <cell r="BM120">
            <v>0.14167524764583592</v>
          </cell>
          <cell r="BN120">
            <v>-3.5940324130319806E-2</v>
          </cell>
          <cell r="BO120" t="str">
            <v>ISU</v>
          </cell>
          <cell r="BP120" t="str">
            <v>O</v>
          </cell>
          <cell r="BQ120" t="str">
            <v>FX</v>
          </cell>
          <cell r="BR120">
            <v>6840039</v>
          </cell>
          <cell r="BS120" t="str">
            <v>8NY</v>
          </cell>
          <cell r="BT120">
            <v>6840000</v>
          </cell>
          <cell r="BW120" t="str">
            <v/>
          </cell>
          <cell r="BX120" t="str">
            <v>Rated</v>
          </cell>
          <cell r="BY120" t="str">
            <v>Over</v>
          </cell>
          <cell r="BZ120" t="str">
            <v>Other</v>
          </cell>
          <cell r="CA120" t="str">
            <v/>
          </cell>
          <cell r="CG120">
            <v>951600</v>
          </cell>
          <cell r="CH120">
            <v>637420.79</v>
          </cell>
          <cell r="CI120">
            <v>314179.21000000002</v>
          </cell>
          <cell r="CJ120">
            <v>0.3301589007986549</v>
          </cell>
          <cell r="CK120">
            <v>0.15254332902249917</v>
          </cell>
          <cell r="CL120" t="str">
            <v>1 person doing Staff Aug….waived</v>
          </cell>
          <cell r="CM120" t="str">
            <v/>
          </cell>
          <cell r="CN120" t="str">
            <v/>
          </cell>
          <cell r="CO120" t="str">
            <v/>
          </cell>
          <cell r="CP120" t="str">
            <v/>
          </cell>
          <cell r="CQ120" t="str">
            <v>NA</v>
          </cell>
          <cell r="CR120" t="str">
            <v>Below threshold.  Check with Steve Callahan</v>
          </cell>
          <cell r="CS120">
            <v>37622</v>
          </cell>
          <cell r="CT120" t="str">
            <v/>
          </cell>
          <cell r="CU120" t="str">
            <v>6955-24A</v>
          </cell>
          <cell r="CV120" t="str">
            <v>AIS</v>
          </cell>
          <cell r="CW120" t="str">
            <v>APPLICATION INNOVATION</v>
          </cell>
        </row>
        <row r="121">
          <cell r="A121" t="str">
            <v>CFT9RCM</v>
          </cell>
          <cell r="B121" t="str">
            <v>UTL</v>
          </cell>
          <cell r="C121" t="str">
            <v>CRM</v>
          </cell>
          <cell r="D121" t="str">
            <v>CRM</v>
          </cell>
          <cell r="E121" t="str">
            <v>C&amp;SI</v>
          </cell>
          <cell r="F121" t="str">
            <v>PG&amp;E</v>
          </cell>
          <cell r="G121" t="str">
            <v>RSS Extension 2005</v>
          </cell>
          <cell r="H121" t="str">
            <v>CFT9RCM</v>
          </cell>
          <cell r="I121">
            <v>1</v>
          </cell>
          <cell r="J121" t="str">
            <v>Stephen J Callahan/San Francisco/IBM</v>
          </cell>
          <cell r="K121" t="str">
            <v>Michael Thein/Minneapolis/IBM</v>
          </cell>
          <cell r="L121" t="str">
            <v>BE</v>
          </cell>
          <cell r="M121">
            <v>38353</v>
          </cell>
          <cell r="N121">
            <v>38717</v>
          </cell>
          <cell r="O121">
            <v>48260</v>
          </cell>
          <cell r="P121">
            <v>480700</v>
          </cell>
          <cell r="Q121">
            <v>48260</v>
          </cell>
          <cell r="R121">
            <v>0.40779696276263783</v>
          </cell>
          <cell r="S121">
            <v>0.53709071778743878</v>
          </cell>
          <cell r="T121" t="str">
            <v/>
          </cell>
          <cell r="U121" t="str">
            <v>Y</v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>Y</v>
          </cell>
          <cell r="AA121" t="str">
            <v/>
          </cell>
          <cell r="AC121" t="str">
            <v/>
          </cell>
          <cell r="AD121" t="str">
            <v/>
          </cell>
          <cell r="AE121" t="str">
            <v/>
          </cell>
          <cell r="AF121" t="str">
            <v/>
          </cell>
          <cell r="AG121" t="str">
            <v/>
          </cell>
          <cell r="AH121" t="str">
            <v/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U121" t="str">
            <v>CUSTOMER RELATIONSHIP MANAGEMENT</v>
          </cell>
          <cell r="AV121" t="str">
            <v>O</v>
          </cell>
          <cell r="AW121">
            <v>2276</v>
          </cell>
          <cell r="AX121">
            <v>0</v>
          </cell>
          <cell r="AY121">
            <v>0</v>
          </cell>
          <cell r="AZ121">
            <v>480700</v>
          </cell>
          <cell r="BA121">
            <v>284672</v>
          </cell>
          <cell r="BB121">
            <v>196028</v>
          </cell>
          <cell r="BC121">
            <v>10701</v>
          </cell>
          <cell r="BD121">
            <v>3.75906306205036E-2</v>
          </cell>
          <cell r="BE121">
            <v>432440</v>
          </cell>
          <cell r="BF121">
            <v>200180.49</v>
          </cell>
          <cell r="BG121">
            <v>232259.51</v>
          </cell>
          <cell r="BH121">
            <v>36231.51</v>
          </cell>
          <cell r="BI121">
            <v>0.12929375502480095</v>
          </cell>
          <cell r="BJ121">
            <v>432440</v>
          </cell>
          <cell r="BK121">
            <v>200180.49</v>
          </cell>
          <cell r="BL121">
            <v>232259.51</v>
          </cell>
          <cell r="BM121">
            <v>0.53709071778743878</v>
          </cell>
          <cell r="BN121">
            <v>0.12929375502480095</v>
          </cell>
          <cell r="BO121" t="str">
            <v>ISU</v>
          </cell>
          <cell r="BP121" t="str">
            <v>O</v>
          </cell>
          <cell r="BQ121" t="str">
            <v>FX</v>
          </cell>
          <cell r="BR121">
            <v>6840039</v>
          </cell>
          <cell r="BS121" t="str">
            <v>8NY</v>
          </cell>
          <cell r="BT121">
            <v>6840000</v>
          </cell>
          <cell r="BW121" t="str">
            <v/>
          </cell>
          <cell r="BX121" t="str">
            <v>Unrated</v>
          </cell>
          <cell r="BY121" t="str">
            <v>Under</v>
          </cell>
          <cell r="BZ121" t="str">
            <v/>
          </cell>
          <cell r="CA121" t="str">
            <v/>
          </cell>
          <cell r="CG121">
            <v>413440</v>
          </cell>
          <cell r="CH121">
            <v>197626.29</v>
          </cell>
          <cell r="CI121">
            <v>215813.71</v>
          </cell>
          <cell r="CJ121">
            <v>0.52199523510061918</v>
          </cell>
          <cell r="CK121">
            <v>0.11419827233798135</v>
          </cell>
          <cell r="CL121" t="str">
            <v/>
          </cell>
          <cell r="CM121" t="str">
            <v/>
          </cell>
          <cell r="CN121" t="str">
            <v/>
          </cell>
          <cell r="CO121" t="str">
            <v/>
          </cell>
          <cell r="CP121" t="str">
            <v/>
          </cell>
          <cell r="CQ121" t="str">
            <v/>
          </cell>
          <cell r="CR121" t="str">
            <v/>
          </cell>
          <cell r="CS121">
            <v>38353</v>
          </cell>
          <cell r="CT121" t="str">
            <v/>
          </cell>
          <cell r="CV121" t="str">
            <v/>
          </cell>
          <cell r="CW121" t="str">
            <v>CUSTOMER RELATIONSHIP MANAGEMENT</v>
          </cell>
        </row>
        <row r="122">
          <cell r="A122" t="str">
            <v>CFTP7MI</v>
          </cell>
          <cell r="B122" t="str">
            <v>MED</v>
          </cell>
          <cell r="C122" t="str">
            <v>AIS</v>
          </cell>
          <cell r="D122" t="str">
            <v>AIS</v>
          </cell>
          <cell r="E122" t="str">
            <v>C&amp;SI</v>
          </cell>
          <cell r="F122" t="str">
            <v>PGA</v>
          </cell>
          <cell r="G122" t="str">
            <v>e-business web application</v>
          </cell>
          <cell r="H122" t="str">
            <v>CFTP7MI</v>
          </cell>
          <cell r="I122">
            <v>2</v>
          </cell>
          <cell r="J122" t="str">
            <v>JACQUES PEAY/New York/IBM</v>
          </cell>
          <cell r="K122" t="str">
            <v>Jim Thompson/Atlanta/IBM</v>
          </cell>
          <cell r="L122" t="str">
            <v>BE</v>
          </cell>
          <cell r="M122">
            <v>37483</v>
          </cell>
          <cell r="N122">
            <v>39082</v>
          </cell>
          <cell r="O122">
            <v>437119</v>
          </cell>
          <cell r="P122">
            <v>2259916</v>
          </cell>
          <cell r="Q122">
            <v>437119</v>
          </cell>
          <cell r="R122">
            <v>0.17357238056635732</v>
          </cell>
          <cell r="S122">
            <v>0.35573168597490556</v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>Y</v>
          </cell>
          <cell r="AA122" t="str">
            <v/>
          </cell>
          <cell r="AC122" t="str">
            <v>Y</v>
          </cell>
          <cell r="AD122" t="str">
            <v/>
          </cell>
          <cell r="AE122" t="str">
            <v>Coleman</v>
          </cell>
          <cell r="AF122" t="str">
            <v/>
          </cell>
          <cell r="AG122" t="str">
            <v/>
          </cell>
          <cell r="AH122" t="str">
            <v>NA</v>
          </cell>
          <cell r="AI122" t="str">
            <v>L</v>
          </cell>
          <cell r="AJ122" t="str">
            <v>A</v>
          </cell>
          <cell r="AK122">
            <v>38443</v>
          </cell>
          <cell r="AL122">
            <v>38749</v>
          </cell>
          <cell r="AM122" t="str">
            <v>G</v>
          </cell>
          <cell r="AN122" t="str">
            <v>G</v>
          </cell>
          <cell r="AO122" t="str">
            <v>G</v>
          </cell>
          <cell r="AP122" t="str">
            <v>G</v>
          </cell>
          <cell r="AQ122" t="str">
            <v>G</v>
          </cell>
          <cell r="AR122" t="str">
            <v>G</v>
          </cell>
          <cell r="AS122" t="str">
            <v>G</v>
          </cell>
          <cell r="AU122" t="str">
            <v>APPLICATION INNOVATION</v>
          </cell>
          <cell r="AV122" t="str">
            <v>O</v>
          </cell>
          <cell r="AW122">
            <v>10407.9</v>
          </cell>
          <cell r="AX122">
            <v>100.5</v>
          </cell>
          <cell r="AY122">
            <v>9.6561265961433145E-3</v>
          </cell>
          <cell r="AZ122">
            <v>2259916</v>
          </cell>
          <cell r="BA122">
            <v>1867657</v>
          </cell>
          <cell r="BB122">
            <v>392259</v>
          </cell>
          <cell r="BC122">
            <v>54933</v>
          </cell>
          <cell r="BD122">
            <v>2.9412788322481054E-2</v>
          </cell>
          <cell r="BE122">
            <v>1822797</v>
          </cell>
          <cell r="BF122">
            <v>1174370.3500000001</v>
          </cell>
          <cell r="BG122">
            <v>648426.65</v>
          </cell>
          <cell r="BH122">
            <v>256167.65</v>
          </cell>
          <cell r="BI122">
            <v>0.18215930540854824</v>
          </cell>
          <cell r="BJ122">
            <v>370761</v>
          </cell>
          <cell r="BK122">
            <v>171925.17</v>
          </cell>
          <cell r="BL122">
            <v>198835.83</v>
          </cell>
          <cell r="BM122">
            <v>0.53629111476126123</v>
          </cell>
          <cell r="BN122">
            <v>0.36271873419490391</v>
          </cell>
          <cell r="BO122" t="str">
            <v>ISU</v>
          </cell>
          <cell r="BP122" t="str">
            <v>O</v>
          </cell>
          <cell r="BQ122" t="str">
            <v>FY</v>
          </cell>
          <cell r="BR122">
            <v>7094396</v>
          </cell>
          <cell r="BS122" t="str">
            <v>6YR</v>
          </cell>
          <cell r="BT122">
            <v>8899725</v>
          </cell>
          <cell r="BW122" t="str">
            <v/>
          </cell>
          <cell r="BX122" t="str">
            <v>Rated</v>
          </cell>
          <cell r="BY122" t="str">
            <v>Over</v>
          </cell>
          <cell r="BZ122" t="str">
            <v>A</v>
          </cell>
          <cell r="CA122" t="str">
            <v>L</v>
          </cell>
          <cell r="CG122">
            <v>1930552</v>
          </cell>
          <cell r="CH122">
            <v>1242802.75</v>
          </cell>
          <cell r="CI122">
            <v>687749.25</v>
          </cell>
          <cell r="CJ122">
            <v>0.35624487193300153</v>
          </cell>
          <cell r="CK122">
            <v>0.18267249136664421</v>
          </cell>
          <cell r="CL122" t="str">
            <v>Abbreviated Phone Review</v>
          </cell>
          <cell r="CM122" t="str">
            <v/>
          </cell>
          <cell r="CN122" t="str">
            <v/>
          </cell>
          <cell r="CO122" t="str">
            <v/>
          </cell>
          <cell r="CP122" t="str">
            <v/>
          </cell>
          <cell r="CQ122" t="str">
            <v>Content Management</v>
          </cell>
          <cell r="CR122" t="str">
            <v>Close to threshold? Phone review</v>
          </cell>
          <cell r="CS122">
            <v>37469</v>
          </cell>
          <cell r="CT122" t="str">
            <v/>
          </cell>
          <cell r="CU122" t="str">
            <v>6955-24A</v>
          </cell>
          <cell r="CV122" t="str">
            <v>AIS</v>
          </cell>
          <cell r="CW122" t="str">
            <v>APPLICATION INNOVATION</v>
          </cell>
        </row>
        <row r="123">
          <cell r="A123" t="str">
            <v>CFTTRQL</v>
          </cell>
          <cell r="B123" t="str">
            <v>UTL</v>
          </cell>
          <cell r="C123" t="str">
            <v>HCM</v>
          </cell>
          <cell r="D123" t="str">
            <v>HCM</v>
          </cell>
          <cell r="E123" t="str">
            <v>C&amp;SI</v>
          </cell>
          <cell r="F123" t="str">
            <v>PORTLAND GE</v>
          </cell>
          <cell r="G123" t="str">
            <v>PS HRMS FITGAP           ...</v>
          </cell>
          <cell r="H123" t="str">
            <v>CFTTRQL</v>
          </cell>
          <cell r="I123">
            <v>2</v>
          </cell>
          <cell r="J123" t="str">
            <v>Bradley C Haidet/Cleveland/IBM</v>
          </cell>
          <cell r="K123" t="str">
            <v>William E Heisch/San Francisco/IBM</v>
          </cell>
          <cell r="L123" t="str">
            <v>BE</v>
          </cell>
          <cell r="M123">
            <v>37956</v>
          </cell>
          <cell r="N123">
            <v>38751</v>
          </cell>
          <cell r="O123">
            <v>93877</v>
          </cell>
          <cell r="P123">
            <v>6407849.5</v>
          </cell>
          <cell r="Q123">
            <v>93877</v>
          </cell>
          <cell r="R123">
            <v>0.44062934062355863</v>
          </cell>
          <cell r="S123">
            <v>0.45263986658161726</v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C123" t="str">
            <v>Y</v>
          </cell>
          <cell r="AD123" t="str">
            <v/>
          </cell>
          <cell r="AE123" t="str">
            <v>Sills</v>
          </cell>
          <cell r="AF123" t="str">
            <v>Y</v>
          </cell>
          <cell r="AG123" t="str">
            <v>Closing</v>
          </cell>
          <cell r="AH123" t="str">
            <v>Richard Murray</v>
          </cell>
          <cell r="AI123" t="str">
            <v>H</v>
          </cell>
          <cell r="AJ123" t="str">
            <v>*CLOSING*</v>
          </cell>
          <cell r="AK123">
            <v>38519</v>
          </cell>
          <cell r="AL123" t="str">
            <v>N/A</v>
          </cell>
          <cell r="AM123" t="str">
            <v/>
          </cell>
          <cell r="AN123" t="str">
            <v/>
          </cell>
          <cell r="AO123" t="str">
            <v/>
          </cell>
          <cell r="AP123" t="str">
            <v/>
          </cell>
          <cell r="AQ123" t="str">
            <v/>
          </cell>
          <cell r="AR123" t="str">
            <v/>
          </cell>
          <cell r="AS123" t="str">
            <v/>
          </cell>
          <cell r="AU123" t="str">
            <v>HUMAN CAPITAL MANAGEMENT</v>
          </cell>
          <cell r="AV123" t="str">
            <v>O</v>
          </cell>
          <cell r="AW123">
            <v>46935.3</v>
          </cell>
          <cell r="AX123">
            <v>5030</v>
          </cell>
          <cell r="AY123">
            <v>0.10716880471627964</v>
          </cell>
          <cell r="AZ123">
            <v>6407849.5</v>
          </cell>
          <cell r="BA123">
            <v>3584363</v>
          </cell>
          <cell r="BB123">
            <v>2823486.5</v>
          </cell>
          <cell r="BC123">
            <v>329897</v>
          </cell>
          <cell r="BD123">
            <v>9.2037832105732589E-2</v>
          </cell>
          <cell r="BE123">
            <v>6313972.5</v>
          </cell>
          <cell r="BF123">
            <v>3456016.83</v>
          </cell>
          <cell r="BG123">
            <v>2857955.67</v>
          </cell>
          <cell r="BH123">
            <v>34469.170000000391</v>
          </cell>
          <cell r="BI123">
            <v>1.2010525958058627E-2</v>
          </cell>
          <cell r="BJ123">
            <v>3694417.5</v>
          </cell>
          <cell r="BK123">
            <v>2001183.53</v>
          </cell>
          <cell r="BL123">
            <v>1693233.97</v>
          </cell>
          <cell r="BM123">
            <v>0.45832231197475648</v>
          </cell>
          <cell r="BN123">
            <v>1.769297135119785E-2</v>
          </cell>
          <cell r="BO123" t="str">
            <v>ISU</v>
          </cell>
          <cell r="BP123" t="str">
            <v>O</v>
          </cell>
          <cell r="BQ123" t="str">
            <v>FX</v>
          </cell>
          <cell r="BR123">
            <v>7251000</v>
          </cell>
          <cell r="BS123" t="str">
            <v>8NY</v>
          </cell>
          <cell r="BT123">
            <v>6592000</v>
          </cell>
          <cell r="BW123" t="str">
            <v/>
          </cell>
          <cell r="BX123" t="str">
            <v>Rated</v>
          </cell>
          <cell r="BY123" t="str">
            <v>Over</v>
          </cell>
          <cell r="BZ123" t="str">
            <v>Other</v>
          </cell>
          <cell r="CA123" t="str">
            <v/>
          </cell>
          <cell r="CG123">
            <v>6259157.5</v>
          </cell>
          <cell r="CH123">
            <v>3432563.68</v>
          </cell>
          <cell r="CI123">
            <v>2826593.82</v>
          </cell>
          <cell r="CJ123">
            <v>0.45159333664315043</v>
          </cell>
          <cell r="CK123">
            <v>1.0963996019591804E-2</v>
          </cell>
          <cell r="CL123" t="str">
            <v>Post Go-live status….  So no additional PMRs will be done (Brad went out there.)</v>
          </cell>
          <cell r="CM123" t="str">
            <v/>
          </cell>
          <cell r="CN123" t="str">
            <v/>
          </cell>
          <cell r="CO123" t="str">
            <v/>
          </cell>
          <cell r="CP123" t="str">
            <v/>
          </cell>
          <cell r="CQ123" t="str">
            <v/>
          </cell>
          <cell r="CR123" t="str">
            <v/>
          </cell>
          <cell r="CS123">
            <v>37956</v>
          </cell>
          <cell r="CT123" t="str">
            <v/>
          </cell>
          <cell r="CV123" t="str">
            <v/>
          </cell>
          <cell r="CW123" t="str">
            <v>HUMAN CAPITAL MANAGEMENT</v>
          </cell>
        </row>
        <row r="124">
          <cell r="A124" t="str">
            <v>CFT124M</v>
          </cell>
          <cell r="B124" t="str">
            <v>MED</v>
          </cell>
          <cell r="C124" t="str">
            <v>SCM</v>
          </cell>
          <cell r="D124" t="str">
            <v>AIS</v>
          </cell>
          <cell r="E124" t="str">
            <v>C&amp;SI</v>
          </cell>
          <cell r="F124" t="str">
            <v>PROQUE</v>
          </cell>
          <cell r="G124" t="str">
            <v>PROQUEST AMS PMO</v>
          </cell>
          <cell r="H124" t="str">
            <v>CFT124M</v>
          </cell>
          <cell r="I124">
            <v>4</v>
          </cell>
          <cell r="J124" t="str">
            <v>JACQUES PEAY/New York/IBM</v>
          </cell>
          <cell r="K124" t="str">
            <v>Christopher Dotson/Detroit/IBM</v>
          </cell>
          <cell r="L124" t="str">
            <v>FP</v>
          </cell>
          <cell r="M124">
            <v>38353</v>
          </cell>
          <cell r="N124">
            <v>40178</v>
          </cell>
          <cell r="O124">
            <v>34838693.159999996</v>
          </cell>
          <cell r="P124">
            <v>39226224.25</v>
          </cell>
          <cell r="Q124">
            <v>34838693.159999996</v>
          </cell>
          <cell r="R124">
            <v>0.27776706676019169</v>
          </cell>
          <cell r="S124">
            <v>0.24882489208754524</v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>Y</v>
          </cell>
          <cell r="Y124" t="str">
            <v/>
          </cell>
          <cell r="Z124" t="str">
            <v/>
          </cell>
          <cell r="AA124" t="str">
            <v/>
          </cell>
          <cell r="AC124" t="str">
            <v>Y</v>
          </cell>
          <cell r="AD124" t="str">
            <v>Y</v>
          </cell>
          <cell r="AE124" t="str">
            <v>Graham</v>
          </cell>
          <cell r="AF124" t="str">
            <v/>
          </cell>
          <cell r="AG124" t="str">
            <v/>
          </cell>
          <cell r="AH124" t="str">
            <v>Jacques Peay</v>
          </cell>
          <cell r="AI124" t="str">
            <v>M</v>
          </cell>
          <cell r="AJ124" t="str">
            <v>C</v>
          </cell>
          <cell r="AK124">
            <v>38565</v>
          </cell>
          <cell r="AL124">
            <v>38718</v>
          </cell>
          <cell r="AM124" t="str">
            <v>R</v>
          </cell>
          <cell r="AN124" t="str">
            <v>R</v>
          </cell>
          <cell r="AO124" t="str">
            <v>G</v>
          </cell>
          <cell r="AP124" t="str">
            <v>Y</v>
          </cell>
          <cell r="AQ124" t="str">
            <v>G</v>
          </cell>
          <cell r="AR124" t="str">
            <v>R</v>
          </cell>
          <cell r="AS124" t="str">
            <v>R</v>
          </cell>
          <cell r="AU124" t="str">
            <v>SUPPLY CHAIN MANAGEMENT</v>
          </cell>
          <cell r="AV124" t="str">
            <v>O</v>
          </cell>
          <cell r="AW124">
            <v>160695.5</v>
          </cell>
          <cell r="AX124">
            <v>1199.7</v>
          </cell>
          <cell r="AY124">
            <v>7.4656726541813554E-3</v>
          </cell>
          <cell r="AZ124">
            <v>39226224.25</v>
          </cell>
          <cell r="BA124">
            <v>28330471</v>
          </cell>
          <cell r="BB124">
            <v>10895753.25</v>
          </cell>
          <cell r="BC124">
            <v>1162039</v>
          </cell>
          <cell r="BD124">
            <v>4.10172848873568E-2</v>
          </cell>
          <cell r="BE124">
            <v>4387531.09</v>
          </cell>
          <cell r="BF124">
            <v>3295804.14</v>
          </cell>
          <cell r="BG124">
            <v>1091726.95</v>
          </cell>
          <cell r="BH124">
            <v>-9804026.3000000007</v>
          </cell>
          <cell r="BI124">
            <v>-2.8942174672646453E-2</v>
          </cell>
          <cell r="BJ124">
            <v>4387531.09</v>
          </cell>
          <cell r="BK124">
            <v>3295804.14</v>
          </cell>
          <cell r="BL124">
            <v>1091726.95</v>
          </cell>
          <cell r="BM124">
            <v>0.24882489208754524</v>
          </cell>
          <cell r="BN124">
            <v>-2.8942174672646453E-2</v>
          </cell>
          <cell r="BO124" t="str">
            <v>SMB</v>
          </cell>
          <cell r="BP124" t="str">
            <v>O</v>
          </cell>
          <cell r="BQ124" t="str">
            <v>FY</v>
          </cell>
          <cell r="BR124">
            <v>7335019</v>
          </cell>
          <cell r="BS124" t="str">
            <v>Q3P</v>
          </cell>
          <cell r="BT124">
            <v>7335019</v>
          </cell>
          <cell r="BW124" t="str">
            <v/>
          </cell>
          <cell r="BX124" t="str">
            <v>Rated</v>
          </cell>
          <cell r="BY124" t="str">
            <v>Over</v>
          </cell>
          <cell r="BZ124" t="str">
            <v>C</v>
          </cell>
          <cell r="CA124" t="str">
            <v>M</v>
          </cell>
          <cell r="CG124">
            <v>35738342.269999996</v>
          </cell>
          <cell r="CH124">
            <v>23665108.57</v>
          </cell>
          <cell r="CI124">
            <v>12073233.699999999</v>
          </cell>
          <cell r="CJ124">
            <v>0.33782299158667722</v>
          </cell>
          <cell r="CK124">
            <v>6.0055924826485529E-2</v>
          </cell>
          <cell r="CL124" t="str">
            <v>No SME needed…staff Aug</v>
          </cell>
          <cell r="CM124" t="str">
            <v/>
          </cell>
          <cell r="CN124" t="str">
            <v/>
          </cell>
          <cell r="CO124" t="str">
            <v>SCM</v>
          </cell>
          <cell r="CP124" t="str">
            <v>AIS</v>
          </cell>
          <cell r="CQ124" t="str">
            <v>AMS</v>
          </cell>
          <cell r="CR124" t="str">
            <v>Move to AIS</v>
          </cell>
          <cell r="CS124">
            <v>38353</v>
          </cell>
          <cell r="CT124" t="str">
            <v/>
          </cell>
          <cell r="CU124" t="str">
            <v>6955-24D</v>
          </cell>
          <cell r="CV124" t="str">
            <v>AMS</v>
          </cell>
          <cell r="CW124" t="str">
            <v>APPLICATION INNOVATION</v>
          </cell>
        </row>
        <row r="125">
          <cell r="A125" t="str">
            <v>CFTF7NN</v>
          </cell>
          <cell r="B125" t="str">
            <v>MED</v>
          </cell>
          <cell r="C125" t="str">
            <v>CRM</v>
          </cell>
          <cell r="D125" t="str">
            <v>CRM</v>
          </cell>
          <cell r="E125" t="str">
            <v>C&amp;SI</v>
          </cell>
          <cell r="F125" t="str">
            <v>PROQUE</v>
          </cell>
          <cell r="G125" t="str">
            <v>Psft/Siebel SOW FY05</v>
          </cell>
          <cell r="H125" t="str">
            <v>CFTF7NN</v>
          </cell>
          <cell r="I125">
            <v>1</v>
          </cell>
          <cell r="J125" t="str">
            <v>Stephen Rider/Detroit/IBM</v>
          </cell>
          <cell r="K125" t="str">
            <v>Siddharth Prodhan/Chicago/IBM</v>
          </cell>
          <cell r="L125" t="str">
            <v>BE</v>
          </cell>
          <cell r="M125">
            <v>38474</v>
          </cell>
          <cell r="N125">
            <v>38821</v>
          </cell>
          <cell r="O125">
            <v>1870598</v>
          </cell>
          <cell r="P125">
            <v>2767288</v>
          </cell>
          <cell r="Q125">
            <v>1870598</v>
          </cell>
          <cell r="R125">
            <v>0.34619273454732574</v>
          </cell>
          <cell r="S125">
            <v>0.27253901571334577</v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>Y</v>
          </cell>
          <cell r="Y125" t="str">
            <v>Y</v>
          </cell>
          <cell r="Z125" t="str">
            <v/>
          </cell>
          <cell r="AA125" t="str">
            <v/>
          </cell>
          <cell r="AC125" t="str">
            <v/>
          </cell>
          <cell r="AD125" t="str">
            <v>Y</v>
          </cell>
          <cell r="AE125" t="str">
            <v>Graham</v>
          </cell>
          <cell r="AF125" t="str">
            <v/>
          </cell>
          <cell r="AG125" t="str">
            <v/>
          </cell>
          <cell r="AH125" t="str">
            <v/>
          </cell>
          <cell r="AI125" t="str">
            <v/>
          </cell>
          <cell r="AJ125" t="str">
            <v>C</v>
          </cell>
          <cell r="AK125">
            <v>38565</v>
          </cell>
          <cell r="AL125">
            <v>38718</v>
          </cell>
          <cell r="AM125" t="str">
            <v>Y</v>
          </cell>
          <cell r="AN125" t="str">
            <v>G</v>
          </cell>
          <cell r="AO125" t="str">
            <v>Y</v>
          </cell>
          <cell r="AP125" t="str">
            <v>Y</v>
          </cell>
          <cell r="AQ125" t="str">
            <v>G</v>
          </cell>
          <cell r="AR125" t="str">
            <v>G</v>
          </cell>
          <cell r="AS125" t="str">
            <v>R</v>
          </cell>
          <cell r="AU125" t="str">
            <v>CUSTOMER RELATIONSHIP MANAGEMENT</v>
          </cell>
          <cell r="AV125" t="str">
            <v>O</v>
          </cell>
          <cell r="AW125">
            <v>6409.5</v>
          </cell>
          <cell r="AX125">
            <v>90</v>
          </cell>
          <cell r="AY125">
            <v>1.4041656915516031E-2</v>
          </cell>
          <cell r="AZ125">
            <v>2767288</v>
          </cell>
          <cell r="BA125">
            <v>1809273</v>
          </cell>
          <cell r="BB125">
            <v>958015</v>
          </cell>
          <cell r="BC125">
            <v>73798</v>
          </cell>
          <cell r="BD125">
            <v>4.0788758799805223E-2</v>
          </cell>
          <cell r="BE125">
            <v>896690</v>
          </cell>
          <cell r="BF125">
            <v>652306.99</v>
          </cell>
          <cell r="BG125">
            <v>244383.01</v>
          </cell>
          <cell r="BH125">
            <v>-713631.99</v>
          </cell>
          <cell r="BI125">
            <v>-7.3653718833979975E-2</v>
          </cell>
          <cell r="BJ125">
            <v>896690</v>
          </cell>
          <cell r="BK125">
            <v>652306.99</v>
          </cell>
          <cell r="BL125">
            <v>244383.01</v>
          </cell>
          <cell r="BM125">
            <v>0.27253901571334577</v>
          </cell>
          <cell r="BN125">
            <v>-7.3653718833979975E-2</v>
          </cell>
          <cell r="BO125" t="str">
            <v>SMB</v>
          </cell>
          <cell r="BP125" t="str">
            <v>O</v>
          </cell>
          <cell r="BQ125" t="str">
            <v>FX</v>
          </cell>
          <cell r="BR125">
            <v>7335788</v>
          </cell>
          <cell r="BS125" t="str">
            <v>Q3P</v>
          </cell>
          <cell r="BT125">
            <v>7335019</v>
          </cell>
          <cell r="BW125" t="str">
            <v/>
          </cell>
          <cell r="BX125" t="str">
            <v>Rated</v>
          </cell>
          <cell r="BY125" t="str">
            <v>Over</v>
          </cell>
          <cell r="BZ125" t="str">
            <v>C</v>
          </cell>
          <cell r="CA125" t="str">
            <v/>
          </cell>
          <cell r="CG125">
            <v>980355</v>
          </cell>
          <cell r="CH125">
            <v>721286.61</v>
          </cell>
          <cell r="CI125">
            <v>259068.39</v>
          </cell>
          <cell r="CJ125">
            <v>0.264259773245406</v>
          </cell>
          <cell r="CK125">
            <v>-8.1932961301919738E-2</v>
          </cell>
          <cell r="CL125" t="str">
            <v>No SME needed…staff Aug</v>
          </cell>
          <cell r="CM125" t="str">
            <v/>
          </cell>
          <cell r="CN125" t="str">
            <v/>
          </cell>
          <cell r="CO125" t="str">
            <v>CRM</v>
          </cell>
          <cell r="CP125" t="str">
            <v>CRM!!!!!!</v>
          </cell>
          <cell r="CQ125" t="str">
            <v/>
          </cell>
          <cell r="CR125" t="str">
            <v>NO! Should stay CRM</v>
          </cell>
          <cell r="CS125">
            <v>38473</v>
          </cell>
          <cell r="CT125" t="str">
            <v/>
          </cell>
          <cell r="CV125" t="str">
            <v/>
          </cell>
          <cell r="CW125" t="str">
            <v>CUSTOMER RELATIONSHIP MANAGEMENT</v>
          </cell>
        </row>
        <row r="126">
          <cell r="A126" t="str">
            <v>CFTAY6N</v>
          </cell>
          <cell r="B126" t="str">
            <v>UTL</v>
          </cell>
          <cell r="C126" t="str">
            <v>SCM</v>
          </cell>
          <cell r="D126" t="str">
            <v>SCM</v>
          </cell>
          <cell r="E126" t="str">
            <v>C&amp;SI</v>
          </cell>
          <cell r="F126" t="str">
            <v>PUBLIC SV N M</v>
          </cell>
          <cell r="G126" t="str">
            <v>Indus Passport RFP</v>
          </cell>
          <cell r="H126" t="str">
            <v>CFTAY6N</v>
          </cell>
          <cell r="I126">
            <v>1</v>
          </cell>
          <cell r="J126" t="str">
            <v>Timothy Butler/Hartford/IBM</v>
          </cell>
          <cell r="K126" t="str">
            <v>Don Schirmer/Chicago/IBM</v>
          </cell>
          <cell r="L126" t="str">
            <v>BE</v>
          </cell>
          <cell r="M126">
            <v>38446</v>
          </cell>
          <cell r="N126">
            <v>38898</v>
          </cell>
          <cell r="O126">
            <v>195560</v>
          </cell>
          <cell r="P126">
            <v>438000</v>
          </cell>
          <cell r="Q126">
            <v>195560</v>
          </cell>
          <cell r="R126">
            <v>0.48751369863013699</v>
          </cell>
          <cell r="S126">
            <v>0.46327862563933347</v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>Y</v>
          </cell>
          <cell r="Y126" t="str">
            <v/>
          </cell>
          <cell r="Z126" t="str">
            <v/>
          </cell>
          <cell r="AA126" t="str">
            <v/>
          </cell>
          <cell r="AC126" t="str">
            <v/>
          </cell>
          <cell r="AD126" t="str">
            <v/>
          </cell>
          <cell r="AE126" t="str">
            <v/>
          </cell>
          <cell r="AF126" t="str">
            <v/>
          </cell>
          <cell r="AG126" t="str">
            <v/>
          </cell>
          <cell r="AH126" t="str">
            <v/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U126" t="str">
            <v>SUPPLY CHAIN MANAGEMENT</v>
          </cell>
          <cell r="AV126" t="str">
            <v>O</v>
          </cell>
          <cell r="AW126">
            <v>1276</v>
          </cell>
          <cell r="AX126">
            <v>0</v>
          </cell>
          <cell r="AY126">
            <v>0</v>
          </cell>
          <cell r="AZ126">
            <v>438000</v>
          </cell>
          <cell r="BA126">
            <v>224469</v>
          </cell>
          <cell r="BB126">
            <v>213531</v>
          </cell>
          <cell r="BC126">
            <v>8979</v>
          </cell>
          <cell r="BD126">
            <v>4.0001069189954962E-2</v>
          </cell>
          <cell r="BE126">
            <v>242440</v>
          </cell>
          <cell r="BF126">
            <v>130122.73</v>
          </cell>
          <cell r="BG126">
            <v>112317.27</v>
          </cell>
          <cell r="BH126">
            <v>-101213.73</v>
          </cell>
          <cell r="BI126">
            <v>-2.4235072990803519E-2</v>
          </cell>
          <cell r="BJ126">
            <v>242440</v>
          </cell>
          <cell r="BK126">
            <v>130122.73</v>
          </cell>
          <cell r="BL126">
            <v>112317.27</v>
          </cell>
          <cell r="BM126">
            <v>0.46327862563933347</v>
          </cell>
          <cell r="BN126">
            <v>-2.4235072990803519E-2</v>
          </cell>
          <cell r="BO126" t="str">
            <v>ISU</v>
          </cell>
          <cell r="BP126" t="str">
            <v>O</v>
          </cell>
          <cell r="BQ126" t="str">
            <v>FX</v>
          </cell>
          <cell r="BR126">
            <v>7022289</v>
          </cell>
          <cell r="BS126" t="str">
            <v>8NY</v>
          </cell>
          <cell r="BT126">
            <v>7369500</v>
          </cell>
          <cell r="BW126" t="str">
            <v/>
          </cell>
          <cell r="BX126" t="str">
            <v>Unrated</v>
          </cell>
          <cell r="BY126" t="str">
            <v>Under</v>
          </cell>
          <cell r="BZ126" t="str">
            <v/>
          </cell>
          <cell r="CA126" t="str">
            <v/>
          </cell>
          <cell r="CG126">
            <v>419000</v>
          </cell>
          <cell r="CH126">
            <v>175218.71</v>
          </cell>
          <cell r="CI126">
            <v>243781.29</v>
          </cell>
          <cell r="CJ126">
            <v>0.58181692124105011</v>
          </cell>
          <cell r="CK126">
            <v>9.4303222610913118E-2</v>
          </cell>
          <cell r="CL126" t="str">
            <v/>
          </cell>
          <cell r="CM126" t="str">
            <v/>
          </cell>
          <cell r="CN126" t="str">
            <v/>
          </cell>
          <cell r="CO126" t="str">
            <v/>
          </cell>
          <cell r="CP126" t="str">
            <v/>
          </cell>
          <cell r="CQ126" t="str">
            <v/>
          </cell>
          <cell r="CR126" t="str">
            <v/>
          </cell>
          <cell r="CS126">
            <v>38443</v>
          </cell>
          <cell r="CT126" t="str">
            <v/>
          </cell>
          <cell r="CV126" t="str">
            <v/>
          </cell>
          <cell r="CW126" t="str">
            <v>SUPPLY CHAIN MANAGEMENT</v>
          </cell>
        </row>
        <row r="127">
          <cell r="A127" t="str">
            <v>CFT2F2N</v>
          </cell>
          <cell r="B127" t="str">
            <v>UTL</v>
          </cell>
          <cell r="C127" t="str">
            <v>CRM</v>
          </cell>
          <cell r="D127" t="str">
            <v>CRM</v>
          </cell>
          <cell r="E127" t="str">
            <v>C&amp;SI</v>
          </cell>
          <cell r="F127" t="str">
            <v>PUGET SOUN ENER</v>
          </cell>
          <cell r="G127" t="str">
            <v>PSE - (CARS) Legacy Sys. ...</v>
          </cell>
          <cell r="H127" t="str">
            <v>CFT2F2N</v>
          </cell>
          <cell r="I127">
            <v>1</v>
          </cell>
          <cell r="J127" t="str">
            <v>Robert Brnilovich/Fairfax/IBM</v>
          </cell>
          <cell r="K127" t="str">
            <v>Thomas O Rowan/Tampa/IBM</v>
          </cell>
          <cell r="L127" t="str">
            <v>BE</v>
          </cell>
          <cell r="M127">
            <v>38677</v>
          </cell>
          <cell r="N127">
            <v>38758</v>
          </cell>
          <cell r="O127">
            <v>85608</v>
          </cell>
          <cell r="P127">
            <v>181888</v>
          </cell>
          <cell r="Q127">
            <v>85608</v>
          </cell>
          <cell r="R127">
            <v>0.44313533603096411</v>
          </cell>
          <cell r="S127">
            <v>0.62609430826755297</v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>Y</v>
          </cell>
          <cell r="AA127" t="str">
            <v/>
          </cell>
          <cell r="AC127" t="str">
            <v/>
          </cell>
          <cell r="AD127" t="str">
            <v/>
          </cell>
          <cell r="AE127" t="str">
            <v/>
          </cell>
          <cell r="AF127" t="str">
            <v/>
          </cell>
          <cell r="AG127" t="str">
            <v/>
          </cell>
          <cell r="AH127" t="str">
            <v/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O127" t="str">
            <v/>
          </cell>
          <cell r="AP127" t="str">
            <v/>
          </cell>
          <cell r="AQ127" t="str">
            <v/>
          </cell>
          <cell r="AR127" t="str">
            <v/>
          </cell>
          <cell r="AS127" t="str">
            <v/>
          </cell>
          <cell r="AU127" t="str">
            <v>CUSTOMER RELATIONSHIP MANAGEMENT</v>
          </cell>
          <cell r="AV127" t="str">
            <v>O</v>
          </cell>
          <cell r="AW127">
            <v>449</v>
          </cell>
          <cell r="AX127">
            <v>0</v>
          </cell>
          <cell r="AY127">
            <v>0</v>
          </cell>
          <cell r="AZ127">
            <v>181888</v>
          </cell>
          <cell r="BA127">
            <v>101287</v>
          </cell>
          <cell r="BB127">
            <v>80601</v>
          </cell>
          <cell r="BC127">
            <v>4051</v>
          </cell>
          <cell r="BD127">
            <v>3.9995260991045251E-2</v>
          </cell>
          <cell r="BE127">
            <v>96280</v>
          </cell>
          <cell r="BF127">
            <v>35999.64</v>
          </cell>
          <cell r="BG127">
            <v>60280.36</v>
          </cell>
          <cell r="BH127">
            <v>-20320.64</v>
          </cell>
          <cell r="BI127">
            <v>0.18295897223658886</v>
          </cell>
          <cell r="BJ127">
            <v>96280</v>
          </cell>
          <cell r="BK127">
            <v>35999.64</v>
          </cell>
          <cell r="BL127">
            <v>60280.36</v>
          </cell>
          <cell r="BM127">
            <v>0.62609430826755297</v>
          </cell>
          <cell r="BN127">
            <v>0.18295897223658886</v>
          </cell>
          <cell r="BO127" t="str">
            <v>ISU</v>
          </cell>
          <cell r="BP127" t="str">
            <v>O</v>
          </cell>
          <cell r="BQ127" t="str">
            <v>FX</v>
          </cell>
          <cell r="BR127">
            <v>7380378</v>
          </cell>
          <cell r="BS127" t="str">
            <v>8NY</v>
          </cell>
          <cell r="BT127">
            <v>7383000</v>
          </cell>
          <cell r="BW127" t="str">
            <v/>
          </cell>
          <cell r="BX127" t="str">
            <v>Unrated</v>
          </cell>
          <cell r="BY127" t="str">
            <v>Under</v>
          </cell>
          <cell r="BZ127" t="str">
            <v/>
          </cell>
          <cell r="CA127" t="str">
            <v/>
          </cell>
          <cell r="CG127">
            <v>85376</v>
          </cell>
          <cell r="CH127">
            <v>87448.21</v>
          </cell>
          <cell r="CI127">
            <v>-2072.21</v>
          </cell>
          <cell r="CJ127">
            <v>-2.4271575149925038E-2</v>
          </cell>
          <cell r="CK127">
            <v>-0.46740691118088917</v>
          </cell>
          <cell r="CM127" t="e">
            <v>#N/A</v>
          </cell>
          <cell r="CN127" t="str">
            <v/>
          </cell>
          <cell r="CO127" t="str">
            <v/>
          </cell>
          <cell r="CP127" t="str">
            <v/>
          </cell>
          <cell r="CQ127" t="str">
            <v/>
          </cell>
          <cell r="CR127" t="str">
            <v/>
          </cell>
          <cell r="CS127">
            <v>38657</v>
          </cell>
          <cell r="CT127" t="str">
            <v/>
          </cell>
          <cell r="CU127" t="str">
            <v/>
          </cell>
          <cell r="CV127" t="str">
            <v/>
          </cell>
          <cell r="CW127" t="str">
            <v>CUSTOMER RELATIONSHIP MANAGEMENT</v>
          </cell>
        </row>
        <row r="128">
          <cell r="A128" t="str">
            <v>CFTT1HL</v>
          </cell>
          <cell r="B128" t="str">
            <v>MED</v>
          </cell>
          <cell r="C128" t="str">
            <v>SCM</v>
          </cell>
          <cell r="D128" t="str">
            <v>AIS</v>
          </cell>
          <cell r="E128" t="str">
            <v>C&amp;SI</v>
          </cell>
          <cell r="F128" t="str">
            <v>QVC</v>
          </cell>
          <cell r="G128" t="str">
            <v>Application Re-Write</v>
          </cell>
          <cell r="H128" t="str">
            <v>CFTT1HL</v>
          </cell>
          <cell r="I128">
            <v>1</v>
          </cell>
          <cell r="J128" t="str">
            <v>Grant Norris/Wayne/IBM</v>
          </cell>
          <cell r="K128" t="str">
            <v>Dimitris Alevras/Wayne/IBM</v>
          </cell>
          <cell r="L128" t="str">
            <v>BE</v>
          </cell>
          <cell r="M128">
            <v>37970</v>
          </cell>
          <cell r="N128">
            <v>38717</v>
          </cell>
          <cell r="O128">
            <v>45737</v>
          </cell>
          <cell r="P128">
            <v>45737</v>
          </cell>
          <cell r="Q128">
            <v>45737</v>
          </cell>
          <cell r="R128">
            <v>-49.415768415068761</v>
          </cell>
          <cell r="S128">
            <v>0</v>
          </cell>
          <cell r="T128" t="str">
            <v/>
          </cell>
          <cell r="U128" t="str">
            <v>Y</v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>Y</v>
          </cell>
          <cell r="AA128" t="str">
            <v>Y</v>
          </cell>
          <cell r="AC128" t="str">
            <v/>
          </cell>
          <cell r="AD128" t="str">
            <v/>
          </cell>
          <cell r="AE128" t="str">
            <v/>
          </cell>
          <cell r="AF128" t="str">
            <v/>
          </cell>
          <cell r="AG128" t="str">
            <v/>
          </cell>
          <cell r="AH128" t="str">
            <v/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O128" t="str">
            <v/>
          </cell>
          <cell r="AP128" t="str">
            <v/>
          </cell>
          <cell r="AQ128" t="str">
            <v/>
          </cell>
          <cell r="AR128" t="str">
            <v/>
          </cell>
          <cell r="AS128" t="str">
            <v/>
          </cell>
          <cell r="AU128" t="str">
            <v>SUPPLY CHAIN MANAGEMENT</v>
          </cell>
          <cell r="AV128" t="str">
            <v>O</v>
          </cell>
          <cell r="AW128">
            <v>0</v>
          </cell>
          <cell r="AX128">
            <v>0</v>
          </cell>
          <cell r="AY128">
            <v>0</v>
          </cell>
          <cell r="AZ128">
            <v>45737</v>
          </cell>
          <cell r="BA128">
            <v>2305866</v>
          </cell>
          <cell r="BB128">
            <v>-2260129</v>
          </cell>
          <cell r="BC128">
            <v>92235</v>
          </cell>
          <cell r="BD128">
            <v>4.0000156123556181E-2</v>
          </cell>
          <cell r="BE128">
            <v>0</v>
          </cell>
          <cell r="BF128">
            <v>0</v>
          </cell>
          <cell r="BG128">
            <v>0</v>
          </cell>
          <cell r="BH128">
            <v>2260129</v>
          </cell>
          <cell r="BI128">
            <v>49.415768415068761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49.415768415068761</v>
          </cell>
          <cell r="BO128" t="str">
            <v>ISU</v>
          </cell>
          <cell r="BP128" t="str">
            <v>O</v>
          </cell>
          <cell r="BQ128" t="str">
            <v>FY</v>
          </cell>
          <cell r="BR128">
            <v>7456268</v>
          </cell>
          <cell r="BS128" t="str">
            <v>6YR</v>
          </cell>
          <cell r="BT128">
            <v>7745363</v>
          </cell>
          <cell r="BW128" t="str">
            <v/>
          </cell>
          <cell r="BX128" t="str">
            <v>Unrated</v>
          </cell>
          <cell r="BY128" t="str">
            <v>Under</v>
          </cell>
          <cell r="BZ128" t="str">
            <v/>
          </cell>
          <cell r="CA128" t="str">
            <v/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49.415768415068761</v>
          </cell>
          <cell r="CL128" t="str">
            <v/>
          </cell>
          <cell r="CM128" t="str">
            <v/>
          </cell>
          <cell r="CN128" t="str">
            <v/>
          </cell>
          <cell r="CO128" t="str">
            <v>SCM</v>
          </cell>
          <cell r="CP128" t="str">
            <v>AIS</v>
          </cell>
          <cell r="CQ128" t="str">
            <v/>
          </cell>
          <cell r="CR128" t="str">
            <v>AIS</v>
          </cell>
          <cell r="CS128">
            <v>37956</v>
          </cell>
          <cell r="CT128" t="str">
            <v/>
          </cell>
          <cell r="CU128" t="str">
            <v>6955-24A</v>
          </cell>
          <cell r="CV128" t="str">
            <v>AIS</v>
          </cell>
          <cell r="CW128" t="str">
            <v>APPLICATION INNOVATION</v>
          </cell>
        </row>
        <row r="129">
          <cell r="A129" t="str">
            <v>CFTXPGM</v>
          </cell>
          <cell r="B129" t="str">
            <v>UTL</v>
          </cell>
          <cell r="C129" t="str">
            <v>CRM</v>
          </cell>
          <cell r="D129" t="str">
            <v>CRM</v>
          </cell>
          <cell r="E129" t="str">
            <v>C&amp;SI</v>
          </cell>
          <cell r="F129" t="str">
            <v>RELIAN ENERGY</v>
          </cell>
          <cell r="G129" t="str">
            <v>Cust Care Transformation</v>
          </cell>
          <cell r="H129" t="str">
            <v>CFTXPGM</v>
          </cell>
          <cell r="I129">
            <v>1</v>
          </cell>
          <cell r="J129" t="str">
            <v>Robert E Calvo/Houston/IBM</v>
          </cell>
          <cell r="K129" t="str">
            <v>Yves Giot/Houston/IBM</v>
          </cell>
          <cell r="L129" t="str">
            <v>BE</v>
          </cell>
          <cell r="M129">
            <v>38306</v>
          </cell>
          <cell r="N129">
            <v>38807</v>
          </cell>
          <cell r="O129">
            <v>916007.3599999994</v>
          </cell>
          <cell r="P129">
            <v>5898377.3099999996</v>
          </cell>
          <cell r="Q129">
            <v>916007.3599999994</v>
          </cell>
          <cell r="R129">
            <v>0.43060729697537775</v>
          </cell>
          <cell r="S129">
            <v>0.47568497798923981</v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C129" t="str">
            <v>Y</v>
          </cell>
          <cell r="AD129" t="str">
            <v>Y</v>
          </cell>
          <cell r="AE129" t="str">
            <v>Graham</v>
          </cell>
          <cell r="AF129" t="str">
            <v/>
          </cell>
          <cell r="AG129" t="str">
            <v/>
          </cell>
          <cell r="AH129" t="str">
            <v>N/A</v>
          </cell>
          <cell r="AI129" t="str">
            <v>M</v>
          </cell>
          <cell r="AJ129" t="str">
            <v>B</v>
          </cell>
          <cell r="AK129">
            <v>38626</v>
          </cell>
          <cell r="AL129" t="str">
            <v>N/A</v>
          </cell>
          <cell r="AM129" t="str">
            <v>Y</v>
          </cell>
          <cell r="AN129" t="str">
            <v>Y</v>
          </cell>
          <cell r="AO129" t="str">
            <v>Y</v>
          </cell>
          <cell r="AP129" t="str">
            <v>G</v>
          </cell>
          <cell r="AQ129" t="str">
            <v>G</v>
          </cell>
          <cell r="AR129" t="str">
            <v>G</v>
          </cell>
          <cell r="AS129" t="str">
            <v>G</v>
          </cell>
          <cell r="AU129" t="str">
            <v>CUSTOMER RELATIONSHIP MANAGEMENT</v>
          </cell>
          <cell r="AV129" t="str">
            <v>O</v>
          </cell>
          <cell r="AW129">
            <v>26215.7</v>
          </cell>
          <cell r="AX129">
            <v>361.6</v>
          </cell>
          <cell r="AY129">
            <v>1.3793261289990351E-2</v>
          </cell>
          <cell r="AZ129">
            <v>5898377.3099999996</v>
          </cell>
          <cell r="BA129">
            <v>3358493</v>
          </cell>
          <cell r="BB129">
            <v>2539884.31</v>
          </cell>
          <cell r="BC129">
            <v>134637</v>
          </cell>
          <cell r="BD129">
            <v>4.008851589090702E-2</v>
          </cell>
          <cell r="BE129">
            <v>4982369.95</v>
          </cell>
          <cell r="BF129">
            <v>2612331.41</v>
          </cell>
          <cell r="BG129">
            <v>2370038.54</v>
          </cell>
          <cell r="BH129">
            <v>-169845.77</v>
          </cell>
          <cell r="BI129">
            <v>4.5077681013862059E-2</v>
          </cell>
          <cell r="BJ129">
            <v>4669914.95</v>
          </cell>
          <cell r="BK129">
            <v>2434261.5499999998</v>
          </cell>
          <cell r="BL129">
            <v>2235653.4</v>
          </cell>
          <cell r="BM129">
            <v>0.47873535683985002</v>
          </cell>
          <cell r="BN129">
            <v>4.8128059864472272E-2</v>
          </cell>
          <cell r="BO129" t="str">
            <v>ISU</v>
          </cell>
          <cell r="BP129" t="str">
            <v>O</v>
          </cell>
          <cell r="BQ129" t="str">
            <v>FX</v>
          </cell>
          <cell r="BR129">
            <v>7457288</v>
          </cell>
          <cell r="BS129" t="str">
            <v>8NY</v>
          </cell>
          <cell r="BT129">
            <v>7433158</v>
          </cell>
          <cell r="BW129" t="str">
            <v/>
          </cell>
          <cell r="BX129" t="str">
            <v>Rated</v>
          </cell>
          <cell r="BY129" t="str">
            <v>Over</v>
          </cell>
          <cell r="BZ129" t="str">
            <v>B</v>
          </cell>
          <cell r="CA129" t="str">
            <v>M</v>
          </cell>
          <cell r="CG129">
            <v>5160123.17</v>
          </cell>
          <cell r="CH129">
            <v>2826896.57</v>
          </cell>
          <cell r="CI129">
            <v>2333226.6</v>
          </cell>
          <cell r="CJ129">
            <v>0.45216490442804685</v>
          </cell>
          <cell r="CK129">
            <v>2.1557607452669103E-2</v>
          </cell>
          <cell r="CL129" t="str">
            <v>Changed from Sills to Graham in Aug due to location and practice area</v>
          </cell>
          <cell r="CM129" t="str">
            <v/>
          </cell>
          <cell r="CN129" t="str">
            <v/>
          </cell>
          <cell r="CO129" t="str">
            <v/>
          </cell>
          <cell r="CP129" t="str">
            <v/>
          </cell>
          <cell r="CQ129" t="str">
            <v/>
          </cell>
          <cell r="CR129" t="str">
            <v/>
          </cell>
          <cell r="CS129">
            <v>38292</v>
          </cell>
          <cell r="CT129" t="str">
            <v/>
          </cell>
          <cell r="CV129" t="str">
            <v/>
          </cell>
          <cell r="CW129" t="str">
            <v>CUSTOMER RELATIONSHIP MANAGEMENT</v>
          </cell>
        </row>
        <row r="130">
          <cell r="A130" t="str">
            <v>CFTN7GL</v>
          </cell>
          <cell r="B130" t="str">
            <v>UTL</v>
          </cell>
          <cell r="C130" t="str">
            <v>AIS</v>
          </cell>
          <cell r="D130" t="str">
            <v>AIS</v>
          </cell>
          <cell r="E130" t="str">
            <v>C&amp;SI</v>
          </cell>
          <cell r="F130" t="str">
            <v>RRI</v>
          </cell>
          <cell r="G130" t="str">
            <v>Prod Control Outsourcing ...</v>
          </cell>
          <cell r="H130" t="str">
            <v>CFTN7GL</v>
          </cell>
          <cell r="I130">
            <v>1</v>
          </cell>
          <cell r="J130" t="str">
            <v>Robert E Calvo/Houston/IBM</v>
          </cell>
          <cell r="K130" t="str">
            <v>Kevin Klein/Houston/IBM</v>
          </cell>
          <cell r="L130" t="str">
            <v>FP</v>
          </cell>
          <cell r="M130">
            <v>37928</v>
          </cell>
          <cell r="N130">
            <v>39021</v>
          </cell>
          <cell r="O130">
            <v>266831.74</v>
          </cell>
          <cell r="P130">
            <v>1292176</v>
          </cell>
          <cell r="Q130">
            <v>266831.74</v>
          </cell>
          <cell r="R130">
            <v>0.22279085821126535</v>
          </cell>
          <cell r="S130">
            <v>0.27374165043845866</v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>Y</v>
          </cell>
          <cell r="AA130" t="str">
            <v/>
          </cell>
          <cell r="AC130" t="str">
            <v/>
          </cell>
          <cell r="AD130" t="str">
            <v/>
          </cell>
          <cell r="AE130" t="str">
            <v>Imam</v>
          </cell>
          <cell r="AF130" t="str">
            <v/>
          </cell>
          <cell r="AG130" t="str">
            <v/>
          </cell>
          <cell r="AH130" t="str">
            <v>NA</v>
          </cell>
          <cell r="AI130" t="str">
            <v>M</v>
          </cell>
          <cell r="AJ130" t="str">
            <v>A</v>
          </cell>
          <cell r="AK130">
            <v>38565</v>
          </cell>
          <cell r="AL130">
            <v>38749</v>
          </cell>
          <cell r="AM130" t="str">
            <v>G</v>
          </cell>
          <cell r="AN130" t="str">
            <v>G</v>
          </cell>
          <cell r="AO130" t="str">
            <v>G</v>
          </cell>
          <cell r="AP130" t="str">
            <v>G</v>
          </cell>
          <cell r="AQ130" t="str">
            <v>G</v>
          </cell>
          <cell r="AR130" t="str">
            <v>G</v>
          </cell>
          <cell r="AS130" t="str">
            <v>G</v>
          </cell>
          <cell r="AU130" t="str">
            <v>APPLICATION INNOVATION</v>
          </cell>
          <cell r="AV130" t="str">
            <v>O</v>
          </cell>
          <cell r="AW130">
            <v>208.2</v>
          </cell>
          <cell r="AX130">
            <v>5.5</v>
          </cell>
          <cell r="AY130">
            <v>2.6416906820365037E-2</v>
          </cell>
          <cell r="AZ130">
            <v>1292176</v>
          </cell>
          <cell r="BA130">
            <v>1004291</v>
          </cell>
          <cell r="BB130">
            <v>287885</v>
          </cell>
          <cell r="BC130">
            <v>40172</v>
          </cell>
          <cell r="BD130">
            <v>4.0000358461840246E-2</v>
          </cell>
          <cell r="BE130">
            <v>1025344.26</v>
          </cell>
          <cell r="BF130">
            <v>744664.83</v>
          </cell>
          <cell r="BG130">
            <v>280679.43</v>
          </cell>
          <cell r="BH130">
            <v>-7205.5699999999488</v>
          </cell>
          <cell r="BI130">
            <v>5.0950792227193314E-2</v>
          </cell>
          <cell r="BJ130">
            <v>418406.26</v>
          </cell>
          <cell r="BK130">
            <v>323975.65999999997</v>
          </cell>
          <cell r="BL130">
            <v>94430.6</v>
          </cell>
          <cell r="BM130">
            <v>0.22569117393224478</v>
          </cell>
          <cell r="BN130">
            <v>2.9003157209794295E-3</v>
          </cell>
          <cell r="BO130" t="str">
            <v>ISU</v>
          </cell>
          <cell r="BP130" t="str">
            <v>O</v>
          </cell>
          <cell r="BQ130" t="str">
            <v>FY</v>
          </cell>
          <cell r="BR130">
            <v>7433158</v>
          </cell>
          <cell r="BS130" t="str">
            <v>8NY</v>
          </cell>
          <cell r="BT130">
            <v>7433158</v>
          </cell>
          <cell r="BW130" t="str">
            <v/>
          </cell>
          <cell r="BX130" t="str">
            <v>Rated</v>
          </cell>
          <cell r="BY130" t="str">
            <v>Over</v>
          </cell>
          <cell r="BZ130" t="str">
            <v>A</v>
          </cell>
          <cell r="CA130" t="str">
            <v>M</v>
          </cell>
          <cell r="CG130">
            <v>1292176</v>
          </cell>
          <cell r="CH130">
            <v>799873.84</v>
          </cell>
          <cell r="CI130">
            <v>492302.16</v>
          </cell>
          <cell r="CJ130">
            <v>0.38098692438181792</v>
          </cell>
          <cell r="CK130">
            <v>0.15819606617055257</v>
          </cell>
          <cell r="CL130" t="str">
            <v>Houston…staff aug, periodic reviews okay</v>
          </cell>
          <cell r="CM130" t="str">
            <v/>
          </cell>
          <cell r="CN130" t="str">
            <v/>
          </cell>
          <cell r="CO130" t="str">
            <v/>
          </cell>
          <cell r="CP130" t="str">
            <v/>
          </cell>
          <cell r="CQ130" t="str">
            <v>AMS</v>
          </cell>
          <cell r="CR130" t="str">
            <v>No SME</v>
          </cell>
          <cell r="CS130">
            <v>37926</v>
          </cell>
          <cell r="CT130" t="str">
            <v/>
          </cell>
          <cell r="CU130" t="str">
            <v>6955-24D</v>
          </cell>
          <cell r="CV130" t="str">
            <v>AMS</v>
          </cell>
          <cell r="CW130" t="str">
            <v>APPLICATION INNOVATION</v>
          </cell>
        </row>
        <row r="131">
          <cell r="A131" t="str">
            <v>CFTYFVL</v>
          </cell>
          <cell r="B131" t="str">
            <v>MED</v>
          </cell>
          <cell r="C131" t="str">
            <v>AIS</v>
          </cell>
          <cell r="D131" t="str">
            <v>AIS</v>
          </cell>
          <cell r="E131" t="str">
            <v>C&amp;SI</v>
          </cell>
          <cell r="F131" t="str">
            <v>SAN ANTO EXP NE</v>
          </cell>
          <cell r="G131" t="str">
            <v>NICA Management Solution</v>
          </cell>
          <cell r="H131" t="str">
            <v>CFTYFVL</v>
          </cell>
          <cell r="I131">
            <v>1</v>
          </cell>
          <cell r="J131" t="str">
            <v>Mark Preston/Santa Teresa/IBM</v>
          </cell>
          <cell r="K131" t="str">
            <v>Mark Preston/Santa Teresa/IBM</v>
          </cell>
          <cell r="L131" t="str">
            <v>FP</v>
          </cell>
          <cell r="M131">
            <v>37987</v>
          </cell>
          <cell r="N131">
            <v>38717</v>
          </cell>
          <cell r="O131">
            <v>-20000</v>
          </cell>
          <cell r="P131">
            <v>148500</v>
          </cell>
          <cell r="Q131">
            <v>-20000</v>
          </cell>
          <cell r="R131">
            <v>0.21425589225589226</v>
          </cell>
          <cell r="S131">
            <v>0.28107299703264099</v>
          </cell>
          <cell r="T131" t="str">
            <v/>
          </cell>
          <cell r="U131" t="str">
            <v>Y</v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>Y</v>
          </cell>
          <cell r="AA131" t="str">
            <v/>
          </cell>
          <cell r="AC131" t="str">
            <v/>
          </cell>
          <cell r="AD131" t="str">
            <v/>
          </cell>
          <cell r="AE131" t="str">
            <v/>
          </cell>
          <cell r="AF131" t="str">
            <v/>
          </cell>
          <cell r="AG131" t="str">
            <v/>
          </cell>
          <cell r="AH131" t="str">
            <v/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O131" t="str">
            <v/>
          </cell>
          <cell r="AP131" t="str">
            <v/>
          </cell>
          <cell r="AQ131" t="str">
            <v/>
          </cell>
          <cell r="AR131" t="str">
            <v/>
          </cell>
          <cell r="AS131" t="str">
            <v/>
          </cell>
          <cell r="AU131" t="str">
            <v>APPLICATION INNOVATION</v>
          </cell>
          <cell r="AV131" t="str">
            <v>O</v>
          </cell>
          <cell r="AW131">
            <v>0</v>
          </cell>
          <cell r="AX131">
            <v>0</v>
          </cell>
          <cell r="AY131">
            <v>0</v>
          </cell>
          <cell r="AZ131">
            <v>148500</v>
          </cell>
          <cell r="BA131">
            <v>116683</v>
          </cell>
          <cell r="BB131">
            <v>31817</v>
          </cell>
          <cell r="BC131">
            <v>4667</v>
          </cell>
          <cell r="BD131">
            <v>3.9997257526803387E-2</v>
          </cell>
          <cell r="BE131">
            <v>168500</v>
          </cell>
          <cell r="BF131">
            <v>121139.2</v>
          </cell>
          <cell r="BG131">
            <v>47360.800000000003</v>
          </cell>
          <cell r="BH131">
            <v>15543.8</v>
          </cell>
          <cell r="BI131">
            <v>6.6817104776748737E-2</v>
          </cell>
          <cell r="BJ131">
            <v>45000</v>
          </cell>
          <cell r="BK131">
            <v>19085.86</v>
          </cell>
          <cell r="BL131">
            <v>25914.14</v>
          </cell>
          <cell r="BM131">
            <v>0.57586977777777781</v>
          </cell>
          <cell r="BN131">
            <v>0.36161388552188556</v>
          </cell>
          <cell r="BO131" t="str">
            <v>SMB</v>
          </cell>
          <cell r="BP131" t="str">
            <v>O</v>
          </cell>
          <cell r="BQ131" t="str">
            <v>FY</v>
          </cell>
          <cell r="BR131">
            <v>7878240</v>
          </cell>
          <cell r="BS131" t="str">
            <v>Q3R</v>
          </cell>
          <cell r="BT131">
            <v>4199000</v>
          </cell>
          <cell r="BW131" t="str">
            <v/>
          </cell>
          <cell r="BX131" t="str">
            <v>Unrated</v>
          </cell>
          <cell r="BY131" t="str">
            <v>Under</v>
          </cell>
          <cell r="BZ131" t="str">
            <v/>
          </cell>
          <cell r="CA131" t="str">
            <v/>
          </cell>
          <cell r="CG131">
            <v>148500</v>
          </cell>
          <cell r="CH131">
            <v>121139.2</v>
          </cell>
          <cell r="CI131">
            <v>27360.799999999999</v>
          </cell>
          <cell r="CJ131">
            <v>0.18424781144781144</v>
          </cell>
          <cell r="CK131">
            <v>-3.0008080808080817E-2</v>
          </cell>
          <cell r="CL131" t="str">
            <v/>
          </cell>
          <cell r="CM131" t="str">
            <v/>
          </cell>
          <cell r="CN131" t="str">
            <v/>
          </cell>
          <cell r="CO131" t="str">
            <v/>
          </cell>
          <cell r="CP131" t="str">
            <v/>
          </cell>
          <cell r="CQ131" t="str">
            <v/>
          </cell>
          <cell r="CR131" t="str">
            <v/>
          </cell>
          <cell r="CS131">
            <v>37987</v>
          </cell>
          <cell r="CT131" t="str">
            <v/>
          </cell>
          <cell r="CU131" t="str">
            <v>6955-24D</v>
          </cell>
          <cell r="CV131" t="str">
            <v>AMS</v>
          </cell>
          <cell r="CW131" t="str">
            <v>APPLICATION INNOVATION</v>
          </cell>
        </row>
        <row r="132">
          <cell r="A132" t="str">
            <v>CFTWJ3M</v>
          </cell>
          <cell r="B132" t="str">
            <v>MED</v>
          </cell>
          <cell r="C132" t="str">
            <v>SCM</v>
          </cell>
          <cell r="D132" t="str">
            <v>SCM</v>
          </cell>
          <cell r="E132" t="str">
            <v>C&amp;SI</v>
          </cell>
          <cell r="F132" t="str">
            <v>SAP AMERICA</v>
          </cell>
          <cell r="G132" t="str">
            <v>PCR1 Conversion from FP t...</v>
          </cell>
          <cell r="H132" t="str">
            <v>CFTWJ3M</v>
          </cell>
          <cell r="I132">
            <v>1</v>
          </cell>
          <cell r="J132" t="str">
            <v>Michael S Shouse/Denver/IBM</v>
          </cell>
          <cell r="K132" t="str">
            <v>Ralph Berkessel/Los Angeles/IBM</v>
          </cell>
          <cell r="L132" t="str">
            <v>BE</v>
          </cell>
          <cell r="M132">
            <v>38596</v>
          </cell>
          <cell r="N132">
            <v>39082</v>
          </cell>
          <cell r="O132">
            <v>2183787</v>
          </cell>
          <cell r="P132">
            <v>2866561.5</v>
          </cell>
          <cell r="Q132">
            <v>2183787</v>
          </cell>
          <cell r="R132">
            <v>0.43608326561282568</v>
          </cell>
          <cell r="S132">
            <v>0.57442511400176777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>Y</v>
          </cell>
          <cell r="AA132" t="str">
            <v/>
          </cell>
          <cell r="AC132" t="str">
            <v/>
          </cell>
          <cell r="AD132" t="str">
            <v>Y</v>
          </cell>
          <cell r="AE132" t="str">
            <v>Graham</v>
          </cell>
          <cell r="AF132" t="str">
            <v>Y</v>
          </cell>
          <cell r="AG132" t="str">
            <v>TBD</v>
          </cell>
          <cell r="AH132" t="str">
            <v/>
          </cell>
          <cell r="AI132" t="str">
            <v>H</v>
          </cell>
          <cell r="AJ132" t="str">
            <v>C</v>
          </cell>
          <cell r="AK132">
            <v>38463</v>
          </cell>
          <cell r="AL132">
            <v>38657</v>
          </cell>
          <cell r="AM132" t="str">
            <v>Y</v>
          </cell>
          <cell r="AN132" t="str">
            <v>Y</v>
          </cell>
          <cell r="AO132" t="str">
            <v>Y</v>
          </cell>
          <cell r="AP132" t="str">
            <v>R</v>
          </cell>
          <cell r="AQ132" t="str">
            <v>R</v>
          </cell>
          <cell r="AR132" t="str">
            <v>R</v>
          </cell>
          <cell r="AS132" t="str">
            <v>Y</v>
          </cell>
          <cell r="AU132" t="str">
            <v>SUPPLY CHAIN MANAGEMENT</v>
          </cell>
          <cell r="AV132" t="str">
            <v>O</v>
          </cell>
          <cell r="AW132">
            <v>3556</v>
          </cell>
          <cell r="AX132">
            <v>23</v>
          </cell>
          <cell r="AY132">
            <v>6.4679415073115865E-3</v>
          </cell>
          <cell r="AZ132">
            <v>2866561.5</v>
          </cell>
          <cell r="BA132">
            <v>1616502</v>
          </cell>
          <cell r="BB132">
            <v>1250059.5</v>
          </cell>
          <cell r="BC132">
            <v>66781</v>
          </cell>
          <cell r="BD132">
            <v>4.1312042917361069E-2</v>
          </cell>
          <cell r="BE132">
            <v>682774.5</v>
          </cell>
          <cell r="BF132">
            <v>290571.68</v>
          </cell>
          <cell r="BG132">
            <v>392202.82</v>
          </cell>
          <cell r="BH132">
            <v>-857856.68</v>
          </cell>
          <cell r="BI132">
            <v>0.13834184838894209</v>
          </cell>
          <cell r="BJ132">
            <v>682774.5</v>
          </cell>
          <cell r="BK132">
            <v>290571.68</v>
          </cell>
          <cell r="BL132">
            <v>392202.82</v>
          </cell>
          <cell r="BM132">
            <v>0.57442511400176777</v>
          </cell>
          <cell r="BN132">
            <v>0.13834184838894209</v>
          </cell>
          <cell r="BO132" t="str">
            <v>ISU</v>
          </cell>
          <cell r="BP132" t="str">
            <v>O</v>
          </cell>
          <cell r="BQ132" t="str">
            <v>FX</v>
          </cell>
          <cell r="BR132">
            <v>7917171</v>
          </cell>
          <cell r="BS132" t="str">
            <v>6YM</v>
          </cell>
          <cell r="BT132">
            <v>8707123</v>
          </cell>
          <cell r="BW132" t="str">
            <v/>
          </cell>
          <cell r="BX132" t="str">
            <v>Rated</v>
          </cell>
          <cell r="BY132" t="str">
            <v>Over</v>
          </cell>
          <cell r="BZ132" t="str">
            <v>C</v>
          </cell>
          <cell r="CA132" t="str">
            <v>H</v>
          </cell>
          <cell r="CG132">
            <v>2667405</v>
          </cell>
          <cell r="CH132">
            <v>1328784.31</v>
          </cell>
          <cell r="CI132">
            <v>1338620.69</v>
          </cell>
          <cell r="CJ132">
            <v>0.50184381074490003</v>
          </cell>
          <cell r="CK132">
            <v>6.5760545132074355E-2</v>
          </cell>
          <cell r="CL132" t="str">
            <v>Scheduled for Nov 16…look to see if ISV RM is applicable.</v>
          </cell>
          <cell r="CM132" t="str">
            <v/>
          </cell>
          <cell r="CN132" t="str">
            <v/>
          </cell>
          <cell r="CO132" t="str">
            <v/>
          </cell>
          <cell r="CP132" t="str">
            <v/>
          </cell>
          <cell r="CQ132" t="str">
            <v/>
          </cell>
          <cell r="CR132" t="str">
            <v/>
          </cell>
          <cell r="CS132">
            <v>38596</v>
          </cell>
          <cell r="CT132" t="str">
            <v/>
          </cell>
          <cell r="CV132" t="str">
            <v/>
          </cell>
          <cell r="CW132" t="str">
            <v>SUPPLY CHAIN MANAGEMENT</v>
          </cell>
        </row>
        <row r="133">
          <cell r="A133" t="str">
            <v>CFTBTNN</v>
          </cell>
          <cell r="B133" t="str">
            <v>TEL</v>
          </cell>
          <cell r="C133" t="str">
            <v>AIS</v>
          </cell>
          <cell r="D133" t="str">
            <v>AIS</v>
          </cell>
          <cell r="E133" t="str">
            <v>C&amp;SI</v>
          </cell>
          <cell r="F133" t="str">
            <v>SBC SV</v>
          </cell>
          <cell r="G133" t="str">
            <v>EAD4J Subscription Renew ...</v>
          </cell>
          <cell r="H133" t="str">
            <v>CFTBTNN</v>
          </cell>
          <cell r="I133">
            <v>1</v>
          </cell>
          <cell r="J133" t="str">
            <v>C Kenneth Ewell/New York/IBM</v>
          </cell>
          <cell r="K133" t="str">
            <v>Anna Terry/Indianapolis/IBM</v>
          </cell>
          <cell r="L133" t="str">
            <v>BE</v>
          </cell>
          <cell r="M133">
            <v>38442</v>
          </cell>
          <cell r="N133">
            <v>38776</v>
          </cell>
          <cell r="O133">
            <v>1940</v>
          </cell>
          <cell r="P133">
            <v>1940</v>
          </cell>
          <cell r="Q133">
            <v>1940</v>
          </cell>
          <cell r="R133">
            <v>7.2164948453608251E-3</v>
          </cell>
          <cell r="S133">
            <v>0</v>
          </cell>
          <cell r="T133" t="str">
            <v/>
          </cell>
          <cell r="U133" t="str">
            <v/>
          </cell>
          <cell r="V133" t="str">
            <v>Y</v>
          </cell>
          <cell r="W133" t="str">
            <v>Y</v>
          </cell>
          <cell r="X133" t="str">
            <v>Y</v>
          </cell>
          <cell r="Y133" t="str">
            <v/>
          </cell>
          <cell r="Z133" t="str">
            <v/>
          </cell>
          <cell r="AA133" t="str">
            <v>Y</v>
          </cell>
          <cell r="AC133" t="str">
            <v/>
          </cell>
          <cell r="AD133" t="str">
            <v/>
          </cell>
          <cell r="AE133" t="str">
            <v/>
          </cell>
          <cell r="AF133" t="str">
            <v/>
          </cell>
          <cell r="AG133" t="str">
            <v/>
          </cell>
          <cell r="AH133" t="str">
            <v/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O133" t="str">
            <v/>
          </cell>
          <cell r="AP133" t="str">
            <v/>
          </cell>
          <cell r="AQ133" t="str">
            <v/>
          </cell>
          <cell r="AR133" t="str">
            <v/>
          </cell>
          <cell r="AS133" t="str">
            <v/>
          </cell>
          <cell r="AU133" t="str">
            <v>APPLICATION INNOVATION</v>
          </cell>
          <cell r="AV133" t="str">
            <v>O</v>
          </cell>
          <cell r="AW133">
            <v>0</v>
          </cell>
          <cell r="AX133">
            <v>0</v>
          </cell>
          <cell r="AY133">
            <v>0</v>
          </cell>
          <cell r="AZ133">
            <v>1940</v>
          </cell>
          <cell r="BA133">
            <v>1926</v>
          </cell>
          <cell r="BB133">
            <v>14</v>
          </cell>
          <cell r="BC133">
            <v>77</v>
          </cell>
          <cell r="BD133">
            <v>3.9979231568016617E-2</v>
          </cell>
          <cell r="BE133">
            <v>0</v>
          </cell>
          <cell r="BF133">
            <v>1925.6</v>
          </cell>
          <cell r="BG133">
            <v>-1925.6</v>
          </cell>
          <cell r="BH133">
            <v>-1939.6</v>
          </cell>
          <cell r="BI133">
            <v>-7.2164948453608251E-3</v>
          </cell>
          <cell r="BJ133">
            <v>0</v>
          </cell>
          <cell r="BK133">
            <v>1925.6</v>
          </cell>
          <cell r="BL133">
            <v>-1925.6</v>
          </cell>
          <cell r="BM133">
            <v>0</v>
          </cell>
          <cell r="BN133">
            <v>-7.2164948453608251E-3</v>
          </cell>
          <cell r="BO133" t="str">
            <v>ISU</v>
          </cell>
          <cell r="BP133" t="str">
            <v>O</v>
          </cell>
          <cell r="BQ133" t="str">
            <v>FX</v>
          </cell>
          <cell r="BR133">
            <v>7934766</v>
          </cell>
          <cell r="BS133" t="str">
            <v>6Y6</v>
          </cell>
          <cell r="BT133">
            <v>8333000</v>
          </cell>
          <cell r="BW133" t="str">
            <v/>
          </cell>
          <cell r="BX133" t="str">
            <v>Unrated</v>
          </cell>
          <cell r="BY133" t="str">
            <v>Under</v>
          </cell>
          <cell r="BZ133" t="str">
            <v/>
          </cell>
          <cell r="CA133" t="str">
            <v/>
          </cell>
          <cell r="CG133">
            <v>0</v>
          </cell>
          <cell r="CH133">
            <v>1925.6</v>
          </cell>
          <cell r="CI133">
            <v>-1925.6</v>
          </cell>
          <cell r="CJ133">
            <v>0</v>
          </cell>
          <cell r="CK133">
            <v>-7.2164948453608251E-3</v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  <cell r="CP133" t="str">
            <v/>
          </cell>
          <cell r="CQ133" t="str">
            <v/>
          </cell>
          <cell r="CR133" t="str">
            <v/>
          </cell>
          <cell r="CS133">
            <v>38412</v>
          </cell>
          <cell r="CT133" t="str">
            <v/>
          </cell>
          <cell r="CU133" t="str">
            <v>6955-24A</v>
          </cell>
          <cell r="CV133" t="str">
            <v>AIS</v>
          </cell>
          <cell r="CW133" t="str">
            <v>APPLICATION INNOVATION</v>
          </cell>
        </row>
        <row r="134">
          <cell r="A134" t="str">
            <v>CFTJDCN</v>
          </cell>
          <cell r="B134" t="str">
            <v>TEL</v>
          </cell>
          <cell r="C134" t="str">
            <v>CRM</v>
          </cell>
          <cell r="D134" t="str">
            <v>AIS</v>
          </cell>
          <cell r="E134" t="str">
            <v>C&amp;SI</v>
          </cell>
          <cell r="F134" t="str">
            <v>SBCSI PURC &amp; LE</v>
          </cell>
          <cell r="G134" t="str">
            <v>Lightspeed Service Delive...</v>
          </cell>
          <cell r="H134" t="str">
            <v>CFTJDCN</v>
          </cell>
          <cell r="I134">
            <v>2</v>
          </cell>
          <cell r="J134" t="str">
            <v>Christopher Finn/Richmond/IBM</v>
          </cell>
          <cell r="K134" t="str">
            <v>Charles R Holiday/St Louis/IBM</v>
          </cell>
          <cell r="L134" t="str">
            <v>FP</v>
          </cell>
          <cell r="M134">
            <v>38495</v>
          </cell>
          <cell r="N134">
            <v>38835</v>
          </cell>
          <cell r="O134">
            <v>2943560.7</v>
          </cell>
          <cell r="P134">
            <v>22913558.399999999</v>
          </cell>
          <cell r="Q134">
            <v>2943560.7</v>
          </cell>
          <cell r="R134">
            <v>0.28704735795204989</v>
          </cell>
          <cell r="S134">
            <v>0.22605038357115087</v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>Y</v>
          </cell>
          <cell r="Y134" t="str">
            <v>Y</v>
          </cell>
          <cell r="Z134" t="str">
            <v/>
          </cell>
          <cell r="AA134" t="str">
            <v/>
          </cell>
          <cell r="AC134" t="str">
            <v/>
          </cell>
          <cell r="AD134" t="str">
            <v>Y</v>
          </cell>
          <cell r="AE134" t="str">
            <v>Coleman</v>
          </cell>
          <cell r="AF134" t="str">
            <v/>
          </cell>
          <cell r="AG134" t="str">
            <v/>
          </cell>
          <cell r="AH134" t="str">
            <v>Will Somers</v>
          </cell>
          <cell r="AI134" t="str">
            <v>H</v>
          </cell>
          <cell r="AJ134" t="str">
            <v>B</v>
          </cell>
          <cell r="AK134">
            <v>38565</v>
          </cell>
          <cell r="AL134">
            <v>38777</v>
          </cell>
          <cell r="AM134" t="str">
            <v>G</v>
          </cell>
          <cell r="AN134" t="str">
            <v>G</v>
          </cell>
          <cell r="AO134" t="str">
            <v>Y</v>
          </cell>
          <cell r="AP134" t="str">
            <v>G</v>
          </cell>
          <cell r="AQ134" t="str">
            <v>G</v>
          </cell>
          <cell r="AR134" t="str">
            <v>G</v>
          </cell>
          <cell r="AS134" t="str">
            <v>G</v>
          </cell>
          <cell r="AU134" t="str">
            <v>CUSTOMER RELATIONSHIP MANAGEMENT</v>
          </cell>
          <cell r="AV134" t="str">
            <v>O</v>
          </cell>
          <cell r="AW134">
            <v>33793.699999999997</v>
          </cell>
          <cell r="AX134">
            <v>8</v>
          </cell>
          <cell r="AY134">
            <v>2.3673051485927852E-4</v>
          </cell>
          <cell r="AZ134">
            <v>22913558.399999999</v>
          </cell>
          <cell r="BA134">
            <v>16336282</v>
          </cell>
          <cell r="BB134">
            <v>6577276.3999999985</v>
          </cell>
          <cell r="BC134">
            <v>1613891</v>
          </cell>
          <cell r="BD134">
            <v>9.8791818113815613E-2</v>
          </cell>
          <cell r="BE134">
            <v>19969997.699999999</v>
          </cell>
          <cell r="BF134">
            <v>15455772.059999999</v>
          </cell>
          <cell r="BG134">
            <v>4514225.6399999997</v>
          </cell>
          <cell r="BH134">
            <v>-2063050.76</v>
          </cell>
          <cell r="BI134">
            <v>-6.0996974380899016E-2</v>
          </cell>
          <cell r="BJ134">
            <v>19969997.699999999</v>
          </cell>
          <cell r="BK134">
            <v>15455772.059999999</v>
          </cell>
          <cell r="BL134">
            <v>4514225.6399999997</v>
          </cell>
          <cell r="BM134">
            <v>0.22605038357115087</v>
          </cell>
          <cell r="BN134">
            <v>-6.0996974380899016E-2</v>
          </cell>
          <cell r="BO134" t="str">
            <v>ISU</v>
          </cell>
          <cell r="BP134" t="str">
            <v>O</v>
          </cell>
          <cell r="BQ134" t="str">
            <v>FX</v>
          </cell>
          <cell r="BR134">
            <v>7935910</v>
          </cell>
          <cell r="BS134" t="str">
            <v>6Y6</v>
          </cell>
          <cell r="BT134">
            <v>8333000</v>
          </cell>
          <cell r="BW134" t="str">
            <v/>
          </cell>
          <cell r="BX134" t="str">
            <v>Rated</v>
          </cell>
          <cell r="BY134" t="str">
            <v>Over</v>
          </cell>
          <cell r="BZ134" t="str">
            <v>B</v>
          </cell>
          <cell r="CA134" t="str">
            <v>H</v>
          </cell>
          <cell r="CG134">
            <v>22913558.399999999</v>
          </cell>
          <cell r="CH134">
            <v>15950931.790000001</v>
          </cell>
          <cell r="CI134">
            <v>6962626.6099999994</v>
          </cell>
          <cell r="CJ134">
            <v>0.3038649208671142</v>
          </cell>
          <cell r="CK134">
            <v>1.681756291506431E-2</v>
          </cell>
          <cell r="CL134" t="str">
            <v>Jamie will cover this…should be coded AIS, he will work w/ the partner to get it coded correctly.</v>
          </cell>
          <cell r="CM134" t="str">
            <v/>
          </cell>
          <cell r="CN134" t="str">
            <v/>
          </cell>
          <cell r="CO134" t="str">
            <v>CRM</v>
          </cell>
          <cell r="CP134" t="str">
            <v>AIS</v>
          </cell>
          <cell r="CQ134" t="str">
            <v>Triple</v>
          </cell>
          <cell r="CR134" t="str">
            <v>AIS?</v>
          </cell>
          <cell r="CS134">
            <v>38473</v>
          </cell>
          <cell r="CT134" t="str">
            <v/>
          </cell>
          <cell r="CU134" t="str">
            <v>6955-24A</v>
          </cell>
          <cell r="CV134" t="str">
            <v>AIS</v>
          </cell>
          <cell r="CW134" t="str">
            <v>APPLICATION INNOVATION</v>
          </cell>
        </row>
        <row r="135">
          <cell r="A135" t="str">
            <v>CFT509M</v>
          </cell>
          <cell r="B135" t="str">
            <v>TEL</v>
          </cell>
          <cell r="C135" t="str">
            <v>AIS</v>
          </cell>
          <cell r="D135" t="str">
            <v>AIS</v>
          </cell>
          <cell r="E135" t="str">
            <v>C&amp;SI</v>
          </cell>
          <cell r="F135" t="str">
            <v>SBCSI PURC &amp; LE</v>
          </cell>
          <cell r="G135" t="str">
            <v>Lightspeed Pre-Prod Lab  ...</v>
          </cell>
          <cell r="H135" t="str">
            <v>CFT509M</v>
          </cell>
          <cell r="I135">
            <v>1</v>
          </cell>
          <cell r="J135" t="str">
            <v>Christopher Finn/Richmond/IBM</v>
          </cell>
          <cell r="K135" t="str">
            <v>Charles R Holiday/St Louis/IBM</v>
          </cell>
          <cell r="L135" t="str">
            <v>FP</v>
          </cell>
          <cell r="M135">
            <v>38356</v>
          </cell>
          <cell r="N135">
            <v>38533</v>
          </cell>
          <cell r="O135">
            <v>0</v>
          </cell>
          <cell r="P135">
            <v>4577266</v>
          </cell>
          <cell r="Q135">
            <v>0</v>
          </cell>
          <cell r="R135">
            <v>0.33235276254427859</v>
          </cell>
          <cell r="S135">
            <v>0.43111661196880413</v>
          </cell>
          <cell r="T135" t="str">
            <v/>
          </cell>
          <cell r="U135" t="str">
            <v>Y</v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>Y</v>
          </cell>
          <cell r="AA135" t="str">
            <v/>
          </cell>
          <cell r="AC135" t="str">
            <v/>
          </cell>
          <cell r="AD135" t="str">
            <v/>
          </cell>
          <cell r="AE135" t="str">
            <v>Coleman</v>
          </cell>
          <cell r="AF135" t="str">
            <v/>
          </cell>
          <cell r="AG135" t="str">
            <v/>
          </cell>
          <cell r="AH135" t="str">
            <v/>
          </cell>
          <cell r="AI135" t="str">
            <v/>
          </cell>
          <cell r="AJ135" t="str">
            <v>*CLOSING*</v>
          </cell>
          <cell r="AK135" t="str">
            <v/>
          </cell>
          <cell r="AL135" t="str">
            <v>N/A</v>
          </cell>
          <cell r="AM135" t="str">
            <v/>
          </cell>
          <cell r="AN135" t="str">
            <v/>
          </cell>
          <cell r="AO135" t="str">
            <v/>
          </cell>
          <cell r="AP135" t="str">
            <v/>
          </cell>
          <cell r="AQ135" t="str">
            <v/>
          </cell>
          <cell r="AR135" t="str">
            <v/>
          </cell>
          <cell r="AS135" t="str">
            <v/>
          </cell>
          <cell r="AU135" t="str">
            <v>APPLICATION INNOVATION</v>
          </cell>
          <cell r="AV135" t="str">
            <v>O</v>
          </cell>
          <cell r="AW135">
            <v>15239.2</v>
          </cell>
          <cell r="AX135">
            <v>74</v>
          </cell>
          <cell r="AY135">
            <v>4.8558979473988136E-3</v>
          </cell>
          <cell r="AZ135">
            <v>4577266</v>
          </cell>
          <cell r="BA135">
            <v>3055999</v>
          </cell>
          <cell r="BB135">
            <v>1521267</v>
          </cell>
          <cell r="BC135">
            <v>321684</v>
          </cell>
          <cell r="BD135">
            <v>0.10526312344997495</v>
          </cell>
          <cell r="BE135">
            <v>4577266</v>
          </cell>
          <cell r="BF135">
            <v>2603930.59</v>
          </cell>
          <cell r="BG135">
            <v>1973335.41</v>
          </cell>
          <cell r="BH135">
            <v>452068.41</v>
          </cell>
          <cell r="BI135">
            <v>9.876384942452554E-2</v>
          </cell>
          <cell r="BJ135">
            <v>4577266</v>
          </cell>
          <cell r="BK135">
            <v>2603930.59</v>
          </cell>
          <cell r="BL135">
            <v>1973335.41</v>
          </cell>
          <cell r="BM135">
            <v>0.43111661196880413</v>
          </cell>
          <cell r="BN135">
            <v>9.876384942452554E-2</v>
          </cell>
          <cell r="BO135" t="str">
            <v>ISU</v>
          </cell>
          <cell r="BP135" t="str">
            <v>O</v>
          </cell>
          <cell r="BQ135" t="str">
            <v>FX</v>
          </cell>
          <cell r="BR135">
            <v>7935910</v>
          </cell>
          <cell r="BS135" t="str">
            <v>6Y6</v>
          </cell>
          <cell r="BT135">
            <v>8333000</v>
          </cell>
          <cell r="BW135" t="str">
            <v/>
          </cell>
          <cell r="BX135" t="str">
            <v>Rated</v>
          </cell>
          <cell r="BY135" t="str">
            <v>Over</v>
          </cell>
          <cell r="BZ135" t="str">
            <v>Other</v>
          </cell>
          <cell r="CA135" t="str">
            <v/>
          </cell>
          <cell r="CG135">
            <v>4577266</v>
          </cell>
          <cell r="CH135">
            <v>2567608.56</v>
          </cell>
          <cell r="CI135">
            <v>2009657.44</v>
          </cell>
          <cell r="CJ135">
            <v>0.43905192313490193</v>
          </cell>
          <cell r="CK135">
            <v>0.10669916059062334</v>
          </cell>
          <cell r="CL135" t="str">
            <v/>
          </cell>
          <cell r="CM135" t="str">
            <v/>
          </cell>
          <cell r="CN135" t="str">
            <v/>
          </cell>
          <cell r="CO135" t="str">
            <v/>
          </cell>
          <cell r="CP135" t="str">
            <v/>
          </cell>
          <cell r="CQ135" t="str">
            <v>VOIP</v>
          </cell>
          <cell r="CR135" t="str">
            <v>Portion complete; another contract open</v>
          </cell>
          <cell r="CS135">
            <v>38353</v>
          </cell>
          <cell r="CT135" t="str">
            <v/>
          </cell>
          <cell r="CU135" t="str">
            <v>6955-24A</v>
          </cell>
          <cell r="CV135" t="str">
            <v>AIS</v>
          </cell>
          <cell r="CW135" t="str">
            <v>APPLICATION INNOVATION</v>
          </cell>
        </row>
        <row r="136">
          <cell r="A136" t="str">
            <v>CFTG45L</v>
          </cell>
          <cell r="B136" t="str">
            <v>TEL</v>
          </cell>
          <cell r="C136" t="str">
            <v>CRM</v>
          </cell>
          <cell r="D136" t="str">
            <v>CRM</v>
          </cell>
          <cell r="E136" t="str">
            <v>C&amp;SI</v>
          </cell>
          <cell r="F136" t="str">
            <v>SBCSI PURC &amp; LE</v>
          </cell>
          <cell r="G136" t="str">
            <v>PCR4 CCTP DESKTOP 2005</v>
          </cell>
          <cell r="H136" t="str">
            <v>CFTG45L</v>
          </cell>
          <cell r="I136">
            <v>1</v>
          </cell>
          <cell r="J136" t="str">
            <v>Kimberly J Meier/Baltimore/IBM</v>
          </cell>
          <cell r="K136" t="str">
            <v>Philip Myburgh/New York/IBM</v>
          </cell>
          <cell r="L136" t="str">
            <v>FP</v>
          </cell>
          <cell r="M136">
            <v>38353</v>
          </cell>
          <cell r="N136">
            <v>38837</v>
          </cell>
          <cell r="O136">
            <v>14117</v>
          </cell>
          <cell r="P136">
            <v>3762220</v>
          </cell>
          <cell r="Q136">
            <v>14117</v>
          </cell>
          <cell r="R136">
            <v>0.34831429315670004</v>
          </cell>
          <cell r="S136">
            <v>0.31722992938027589</v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>Y</v>
          </cell>
          <cell r="Y136" t="str">
            <v/>
          </cell>
          <cell r="Z136" t="str">
            <v/>
          </cell>
          <cell r="AA136" t="str">
            <v/>
          </cell>
          <cell r="AC136" t="str">
            <v/>
          </cell>
          <cell r="AD136" t="str">
            <v/>
          </cell>
          <cell r="AE136" t="str">
            <v>Graham</v>
          </cell>
          <cell r="AF136" t="str">
            <v/>
          </cell>
          <cell r="AG136" t="str">
            <v/>
          </cell>
          <cell r="AH136" t="str">
            <v/>
          </cell>
          <cell r="AI136" t="str">
            <v>M</v>
          </cell>
          <cell r="AJ136" t="str">
            <v>C</v>
          </cell>
          <cell r="AK136">
            <v>38565</v>
          </cell>
          <cell r="AL136">
            <v>38718</v>
          </cell>
          <cell r="AM136" t="str">
            <v>G</v>
          </cell>
          <cell r="AN136" t="str">
            <v>G</v>
          </cell>
          <cell r="AO136" t="str">
            <v>G</v>
          </cell>
          <cell r="AP136" t="str">
            <v>Y</v>
          </cell>
          <cell r="AQ136" t="str">
            <v>G</v>
          </cell>
          <cell r="AR136" t="str">
            <v>G</v>
          </cell>
          <cell r="AS136" t="str">
            <v>R</v>
          </cell>
          <cell r="AU136" t="str">
            <v>CUSTOMER RELATIONSHIP MANAGEMENT</v>
          </cell>
          <cell r="AV136" t="str">
            <v>O</v>
          </cell>
          <cell r="AW136">
            <v>9752.2999999999993</v>
          </cell>
          <cell r="AX136">
            <v>0</v>
          </cell>
          <cell r="AY136">
            <v>0</v>
          </cell>
          <cell r="AZ136">
            <v>3762220</v>
          </cell>
          <cell r="BA136">
            <v>2451785</v>
          </cell>
          <cell r="BB136">
            <v>1310435</v>
          </cell>
          <cell r="BC136">
            <v>97506</v>
          </cell>
          <cell r="BD136">
            <v>3.976939250382884E-2</v>
          </cell>
          <cell r="BE136">
            <v>3748103</v>
          </cell>
          <cell r="BF136">
            <v>2559092.5499999998</v>
          </cell>
          <cell r="BG136">
            <v>1189010.45</v>
          </cell>
          <cell r="BH136">
            <v>-121424.55</v>
          </cell>
          <cell r="BI136">
            <v>-3.1084363776424151E-2</v>
          </cell>
          <cell r="BJ136">
            <v>3748103</v>
          </cell>
          <cell r="BK136">
            <v>2559092.5499999998</v>
          </cell>
          <cell r="BL136">
            <v>1189010.45</v>
          </cell>
          <cell r="BM136">
            <v>0.31722992938027589</v>
          </cell>
          <cell r="BN136">
            <v>-3.1084363776424151E-2</v>
          </cell>
          <cell r="BO136" t="str">
            <v>ISU</v>
          </cell>
          <cell r="BP136" t="str">
            <v>O</v>
          </cell>
          <cell r="BQ136" t="str">
            <v>FX</v>
          </cell>
          <cell r="BR136">
            <v>7966167</v>
          </cell>
          <cell r="BS136" t="str">
            <v>6Y6</v>
          </cell>
          <cell r="BT136">
            <v>8333000</v>
          </cell>
          <cell r="BW136" t="str">
            <v/>
          </cell>
          <cell r="BX136" t="str">
            <v>Rated</v>
          </cell>
          <cell r="BY136" t="str">
            <v>Over</v>
          </cell>
          <cell r="BZ136" t="str">
            <v>C</v>
          </cell>
          <cell r="CA136" t="str">
            <v>M</v>
          </cell>
          <cell r="CG136">
            <v>3762220</v>
          </cell>
          <cell r="CH136">
            <v>2370937.29</v>
          </cell>
          <cell r="CI136">
            <v>1391282.71</v>
          </cell>
          <cell r="CJ136">
            <v>0.36980365582023378</v>
          </cell>
          <cell r="CK136">
            <v>2.148936266353374E-2</v>
          </cell>
          <cell r="CL136" t="str">
            <v>Ck point abbrev review scheduled for Aug</v>
          </cell>
          <cell r="CM136" t="str">
            <v/>
          </cell>
          <cell r="CN136" t="str">
            <v/>
          </cell>
          <cell r="CO136" t="str">
            <v/>
          </cell>
          <cell r="CP136" t="str">
            <v/>
          </cell>
          <cell r="CQ136" t="str">
            <v/>
          </cell>
          <cell r="CR136" t="str">
            <v/>
          </cell>
          <cell r="CS136">
            <v>38353</v>
          </cell>
          <cell r="CT136" t="str">
            <v/>
          </cell>
          <cell r="CV136" t="str">
            <v/>
          </cell>
          <cell r="CW136" t="str">
            <v>CUSTOMER RELATIONSHIP MANAGEMENT</v>
          </cell>
        </row>
        <row r="137">
          <cell r="A137" t="str">
            <v>CFT849M</v>
          </cell>
          <cell r="B137" t="str">
            <v>TEL</v>
          </cell>
          <cell r="C137" t="str">
            <v>AIS</v>
          </cell>
          <cell r="D137" t="str">
            <v>AIS</v>
          </cell>
          <cell r="E137" t="str">
            <v>C&amp;SI</v>
          </cell>
          <cell r="F137" t="str">
            <v>SBCSI PURC &amp; LE</v>
          </cell>
          <cell r="G137" t="str">
            <v>2005 SBC e-Technology</v>
          </cell>
          <cell r="H137" t="str">
            <v>CFT849M</v>
          </cell>
          <cell r="I137">
            <v>1</v>
          </cell>
          <cell r="J137" t="str">
            <v>C Kenneth Ewell/New York/IBM</v>
          </cell>
          <cell r="K137" t="str">
            <v>Charles R Holiday/St Louis/IBM</v>
          </cell>
          <cell r="L137" t="str">
            <v>BE</v>
          </cell>
          <cell r="M137">
            <v>38397</v>
          </cell>
          <cell r="N137">
            <v>38776</v>
          </cell>
          <cell r="O137">
            <v>283500</v>
          </cell>
          <cell r="P137">
            <v>1101600</v>
          </cell>
          <cell r="Q137">
            <v>283500</v>
          </cell>
          <cell r="R137">
            <v>0.28150236020334057</v>
          </cell>
          <cell r="S137">
            <v>0.30491882410463267</v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C137" t="str">
            <v/>
          </cell>
          <cell r="AD137" t="str">
            <v/>
          </cell>
          <cell r="AE137" t="str">
            <v>Coleman</v>
          </cell>
          <cell r="AF137" t="str">
            <v/>
          </cell>
          <cell r="AG137" t="str">
            <v/>
          </cell>
          <cell r="AH137" t="str">
            <v>Will Somers</v>
          </cell>
          <cell r="AI137" t="str">
            <v>H</v>
          </cell>
          <cell r="AJ137" t="str">
            <v>Launch</v>
          </cell>
          <cell r="AK137" t="str">
            <v/>
          </cell>
          <cell r="AL137">
            <v>38777</v>
          </cell>
          <cell r="AM137" t="str">
            <v>G</v>
          </cell>
          <cell r="AN137" t="str">
            <v>G</v>
          </cell>
          <cell r="AO137" t="str">
            <v>G</v>
          </cell>
          <cell r="AP137" t="str">
            <v>G</v>
          </cell>
          <cell r="AQ137" t="str">
            <v>G</v>
          </cell>
          <cell r="AR137" t="str">
            <v>G</v>
          </cell>
          <cell r="AS137" t="str">
            <v>G</v>
          </cell>
          <cell r="AU137" t="str">
            <v>APPLICATION INNOVATION</v>
          </cell>
          <cell r="AV137" t="str">
            <v>O</v>
          </cell>
          <cell r="AW137">
            <v>6133</v>
          </cell>
          <cell r="AX137">
            <v>10</v>
          </cell>
          <cell r="AY137">
            <v>1.6305233980107615E-3</v>
          </cell>
          <cell r="AZ137">
            <v>1101600</v>
          </cell>
          <cell r="BA137">
            <v>791497</v>
          </cell>
          <cell r="BB137">
            <v>310103</v>
          </cell>
          <cell r="BC137">
            <v>31047</v>
          </cell>
          <cell r="BD137">
            <v>3.9225669838293765E-2</v>
          </cell>
          <cell r="BE137">
            <v>818100</v>
          </cell>
          <cell r="BF137">
            <v>568645.91</v>
          </cell>
          <cell r="BG137">
            <v>249454.09</v>
          </cell>
          <cell r="BH137">
            <v>-60648.91</v>
          </cell>
          <cell r="BI137">
            <v>2.3416463901292095E-2</v>
          </cell>
          <cell r="BJ137">
            <v>818100</v>
          </cell>
          <cell r="BK137">
            <v>568645.91</v>
          </cell>
          <cell r="BL137">
            <v>249454.09</v>
          </cell>
          <cell r="BM137">
            <v>0.30491882410463267</v>
          </cell>
          <cell r="BN137">
            <v>2.3416463901292095E-2</v>
          </cell>
          <cell r="BO137" t="str">
            <v>ISU</v>
          </cell>
          <cell r="BP137" t="str">
            <v>O</v>
          </cell>
          <cell r="BQ137" t="str">
            <v>FY</v>
          </cell>
          <cell r="BR137">
            <v>7935910</v>
          </cell>
          <cell r="BS137" t="str">
            <v>6Y6</v>
          </cell>
          <cell r="BT137">
            <v>8333000</v>
          </cell>
          <cell r="BW137" t="str">
            <v/>
          </cell>
          <cell r="BX137" t="str">
            <v>Rated</v>
          </cell>
          <cell r="BY137" t="str">
            <v>Over</v>
          </cell>
          <cell r="BZ137" t="str">
            <v>Other</v>
          </cell>
          <cell r="CA137" t="str">
            <v/>
          </cell>
          <cell r="CG137">
            <v>936495</v>
          </cell>
          <cell r="CH137">
            <v>651346.18000000005</v>
          </cell>
          <cell r="CI137">
            <v>285148.82</v>
          </cell>
          <cell r="CJ137">
            <v>0.30448514941350463</v>
          </cell>
          <cell r="CK137">
            <v>2.2982789210164056E-2</v>
          </cell>
          <cell r="CL137" t="str">
            <v>May be Staff Aug…Jamie will follow-up</v>
          </cell>
          <cell r="CM137" t="str">
            <v/>
          </cell>
          <cell r="CN137" t="str">
            <v/>
          </cell>
          <cell r="CO137" t="str">
            <v/>
          </cell>
          <cell r="CP137" t="str">
            <v/>
          </cell>
          <cell r="CQ137" t="str">
            <v>VOIP</v>
          </cell>
          <cell r="CR137" t="str">
            <v>Portion complete; another contract open</v>
          </cell>
          <cell r="CS137">
            <v>38384</v>
          </cell>
          <cell r="CT137" t="str">
            <v/>
          </cell>
          <cell r="CU137" t="str">
            <v>6955-24D</v>
          </cell>
          <cell r="CV137" t="str">
            <v>AMS</v>
          </cell>
          <cell r="CW137" t="str">
            <v>APPLICATION INNOVATION</v>
          </cell>
        </row>
        <row r="138">
          <cell r="A138" t="str">
            <v>CFTWJPN</v>
          </cell>
          <cell r="B138" t="str">
            <v>UTL</v>
          </cell>
          <cell r="C138" t="str">
            <v>AIS</v>
          </cell>
          <cell r="D138" t="str">
            <v>AIS</v>
          </cell>
          <cell r="E138" t="str">
            <v>C&amp;SI</v>
          </cell>
          <cell r="F138" t="str">
            <v>SCE RSMD G01</v>
          </cell>
          <cell r="G138" t="str">
            <v>Advanced Integrated Mete</v>
          </cell>
          <cell r="H138" t="str">
            <v>CFTWJPN</v>
          </cell>
          <cell r="I138">
            <v>1</v>
          </cell>
          <cell r="J138" t="str">
            <v>Michael Valocchi/Philadelphia/IBM</v>
          </cell>
          <cell r="K138" t="str">
            <v>Linda Rybicki/Gary/IBM</v>
          </cell>
          <cell r="L138" t="str">
            <v>BE</v>
          </cell>
          <cell r="M138">
            <v>38609</v>
          </cell>
          <cell r="N138">
            <v>39171</v>
          </cell>
          <cell r="O138">
            <v>1793177.5</v>
          </cell>
          <cell r="P138">
            <v>2340125</v>
          </cell>
          <cell r="Q138">
            <v>1793177.5</v>
          </cell>
          <cell r="R138">
            <v>0.42071556006623578</v>
          </cell>
          <cell r="S138">
            <v>0.45438911412886973</v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C138" t="str">
            <v>Y</v>
          </cell>
          <cell r="AD138" t="str">
            <v>Y</v>
          </cell>
          <cell r="AE138" t="str">
            <v>Imam</v>
          </cell>
          <cell r="AF138" t="str">
            <v/>
          </cell>
          <cell r="AG138" t="str">
            <v/>
          </cell>
          <cell r="AH138" t="str">
            <v/>
          </cell>
          <cell r="AI138" t="str">
            <v/>
          </cell>
          <cell r="AJ138" t="str">
            <v>B</v>
          </cell>
          <cell r="AK138">
            <v>38687</v>
          </cell>
          <cell r="AL138">
            <v>38808</v>
          </cell>
          <cell r="AM138" t="str">
            <v>G</v>
          </cell>
          <cell r="AN138" t="str">
            <v>G</v>
          </cell>
          <cell r="AO138" t="str">
            <v>Y</v>
          </cell>
          <cell r="AP138" t="str">
            <v>Y</v>
          </cell>
          <cell r="AQ138" t="str">
            <v>G</v>
          </cell>
          <cell r="AR138" t="str">
            <v>Y</v>
          </cell>
          <cell r="AS138" t="str">
            <v>Y</v>
          </cell>
          <cell r="AU138" t="str">
            <v>APPLICATION INNOVATION</v>
          </cell>
          <cell r="AV138" t="str">
            <v>O</v>
          </cell>
          <cell r="AW138">
            <v>3112.5</v>
          </cell>
          <cell r="AX138">
            <v>110</v>
          </cell>
          <cell r="AY138">
            <v>3.5341365461847386E-2</v>
          </cell>
          <cell r="AZ138">
            <v>2340125</v>
          </cell>
          <cell r="BA138">
            <v>1355598</v>
          </cell>
          <cell r="BB138">
            <v>984527</v>
          </cell>
          <cell r="BC138">
            <v>55961</v>
          </cell>
          <cell r="BD138">
            <v>4.1281412336105543E-2</v>
          </cell>
          <cell r="BE138">
            <v>546947.5</v>
          </cell>
          <cell r="BF138">
            <v>298420.51</v>
          </cell>
          <cell r="BG138">
            <v>248526.99</v>
          </cell>
          <cell r="BH138">
            <v>-736000.01</v>
          </cell>
          <cell r="BI138">
            <v>3.3673554062633948E-2</v>
          </cell>
          <cell r="BJ138">
            <v>546947.5</v>
          </cell>
          <cell r="BK138">
            <v>298420.51</v>
          </cell>
          <cell r="BL138">
            <v>248526.99</v>
          </cell>
          <cell r="BM138">
            <v>0.45438911412886973</v>
          </cell>
          <cell r="BN138">
            <v>3.3673554062633948E-2</v>
          </cell>
          <cell r="BO138" t="str">
            <v>ISU</v>
          </cell>
          <cell r="BP138" t="str">
            <v>O</v>
          </cell>
          <cell r="BQ138" t="str">
            <v>FX</v>
          </cell>
          <cell r="BR138">
            <v>8300009</v>
          </cell>
          <cell r="BS138" t="str">
            <v>8NY</v>
          </cell>
          <cell r="BT138">
            <v>8300000</v>
          </cell>
          <cell r="BW138" t="str">
            <v/>
          </cell>
          <cell r="BX138" t="str">
            <v>Rated</v>
          </cell>
          <cell r="BY138" t="str">
            <v>Over</v>
          </cell>
          <cell r="BZ138" t="str">
            <v>B</v>
          </cell>
          <cell r="CA138" t="str">
            <v/>
          </cell>
          <cell r="CG138">
            <v>1096625</v>
          </cell>
          <cell r="CH138">
            <v>790660.27</v>
          </cell>
          <cell r="CI138">
            <v>305964.73</v>
          </cell>
          <cell r="CJ138">
            <v>0.27900579505300349</v>
          </cell>
          <cell r="CK138">
            <v>-0.14170976501323229</v>
          </cell>
          <cell r="CL138" t="str">
            <v>New - need launch; 1st PMR w/I 60 days</v>
          </cell>
          <cell r="CM138" t="str">
            <v/>
          </cell>
          <cell r="CN138" t="str">
            <v/>
          </cell>
          <cell r="CO138" t="str">
            <v>SCS</v>
          </cell>
          <cell r="CP138" t="str">
            <v>AIS</v>
          </cell>
          <cell r="CQ138" t="str">
            <v/>
          </cell>
          <cell r="CR138" t="str">
            <v>Check:  Don Mak taking over for MV</v>
          </cell>
          <cell r="CS138">
            <v>38596</v>
          </cell>
          <cell r="CT138" t="str">
            <v/>
          </cell>
          <cell r="CV138" t="str">
            <v/>
          </cell>
          <cell r="CW138" t="str">
            <v>APPLICATION INNOVATION</v>
          </cell>
        </row>
        <row r="139">
          <cell r="A139" t="str">
            <v>CFT4JBN</v>
          </cell>
          <cell r="B139" t="str">
            <v>UTL</v>
          </cell>
          <cell r="C139" t="str">
            <v>AIS</v>
          </cell>
          <cell r="D139" t="str">
            <v>AIS</v>
          </cell>
          <cell r="E139" t="str">
            <v>C&amp;SI</v>
          </cell>
          <cell r="F139" t="str">
            <v>SCE RSMD G01</v>
          </cell>
          <cell r="G139" t="str">
            <v>Server Services Security</v>
          </cell>
          <cell r="H139" t="str">
            <v>CFT4JBN</v>
          </cell>
          <cell r="I139">
            <v>1</v>
          </cell>
          <cell r="J139" t="str">
            <v>Don Mak/Fairfax/IBM</v>
          </cell>
          <cell r="K139" t="str">
            <v>Gene Rodriguez/Dallas/IBM</v>
          </cell>
          <cell r="L139" t="str">
            <v>BE</v>
          </cell>
          <cell r="M139">
            <v>38677</v>
          </cell>
          <cell r="N139">
            <v>38717</v>
          </cell>
          <cell r="O139">
            <v>10826.1</v>
          </cell>
          <cell r="P139">
            <v>53675.1</v>
          </cell>
          <cell r="Q139">
            <v>10826.1</v>
          </cell>
          <cell r="R139">
            <v>1</v>
          </cell>
          <cell r="S139">
            <v>0.43399612593059345</v>
          </cell>
          <cell r="T139" t="str">
            <v/>
          </cell>
          <cell r="U139" t="str">
            <v>Y</v>
          </cell>
          <cell r="V139" t="str">
            <v/>
          </cell>
          <cell r="W139" t="str">
            <v/>
          </cell>
          <cell r="X139" t="str">
            <v>Y</v>
          </cell>
          <cell r="Y139" t="str">
            <v>Y</v>
          </cell>
          <cell r="Z139" t="str">
            <v/>
          </cell>
          <cell r="AA139" t="str">
            <v/>
          </cell>
          <cell r="AC139" t="str">
            <v/>
          </cell>
          <cell r="AD139" t="str">
            <v/>
          </cell>
          <cell r="AE139" t="str">
            <v/>
          </cell>
          <cell r="AF139" t="str">
            <v/>
          </cell>
          <cell r="AG139" t="str">
            <v/>
          </cell>
          <cell r="AH139" t="str">
            <v/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O139" t="str">
            <v/>
          </cell>
          <cell r="AP139" t="str">
            <v/>
          </cell>
          <cell r="AQ139" t="str">
            <v/>
          </cell>
          <cell r="AR139" t="str">
            <v/>
          </cell>
          <cell r="AS139" t="str">
            <v/>
          </cell>
          <cell r="AU139" t="str">
            <v>APPLICATION INNOVATION</v>
          </cell>
          <cell r="AV139" t="str">
            <v>O</v>
          </cell>
          <cell r="AW139">
            <v>214</v>
          </cell>
          <cell r="AX139">
            <v>7</v>
          </cell>
          <cell r="AY139">
            <v>3.2710280373831772E-2</v>
          </cell>
          <cell r="AZ139">
            <v>53675.1</v>
          </cell>
          <cell r="BA139">
            <v>0</v>
          </cell>
          <cell r="BB139">
            <v>53675.1</v>
          </cell>
          <cell r="BC139">
            <v>0</v>
          </cell>
          <cell r="BD139">
            <v>0</v>
          </cell>
          <cell r="BE139">
            <v>42849</v>
          </cell>
          <cell r="BF139">
            <v>24252.7</v>
          </cell>
          <cell r="BG139">
            <v>18596.3</v>
          </cell>
          <cell r="BH139">
            <v>-35078.800000000003</v>
          </cell>
          <cell r="BI139">
            <v>-0.56600387406940655</v>
          </cell>
          <cell r="BJ139">
            <v>42849</v>
          </cell>
          <cell r="BK139">
            <v>24252.7</v>
          </cell>
          <cell r="BL139">
            <v>18596.3</v>
          </cell>
          <cell r="BM139">
            <v>0.43399612593059345</v>
          </cell>
          <cell r="BN139">
            <v>-0.56600387406940655</v>
          </cell>
          <cell r="BO139" t="str">
            <v>ISU</v>
          </cell>
          <cell r="BP139" t="str">
            <v>O</v>
          </cell>
          <cell r="BQ139" t="str">
            <v>FX</v>
          </cell>
          <cell r="BR139">
            <v>8300009</v>
          </cell>
          <cell r="BS139" t="str">
            <v>6Y0</v>
          </cell>
          <cell r="BT139">
            <v>8300000</v>
          </cell>
          <cell r="BW139" t="str">
            <v/>
          </cell>
          <cell r="BX139" t="str">
            <v>Unrated</v>
          </cell>
          <cell r="BY139" t="str">
            <v>Under</v>
          </cell>
          <cell r="BZ139" t="str">
            <v/>
          </cell>
          <cell r="CA139" t="str">
            <v/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-1</v>
          </cell>
          <cell r="CM139" t="e">
            <v>#N/A</v>
          </cell>
          <cell r="CN139" t="str">
            <v/>
          </cell>
          <cell r="CO139" t="str">
            <v/>
          </cell>
          <cell r="CP139" t="str">
            <v/>
          </cell>
          <cell r="CQ139" t="str">
            <v/>
          </cell>
          <cell r="CR139" t="str">
            <v/>
          </cell>
          <cell r="CS139">
            <v>38657</v>
          </cell>
          <cell r="CT139" t="str">
            <v/>
          </cell>
          <cell r="CU139" t="str">
            <v/>
          </cell>
          <cell r="CV139" t="str">
            <v/>
          </cell>
          <cell r="CW139" t="str">
            <v>APPLICATION INNOVATION</v>
          </cell>
        </row>
        <row r="140">
          <cell r="A140" t="str">
            <v>CFTXB7N</v>
          </cell>
          <cell r="B140" t="str">
            <v>UTL</v>
          </cell>
          <cell r="C140" t="str">
            <v>AIS</v>
          </cell>
          <cell r="D140" t="str">
            <v>AIS</v>
          </cell>
          <cell r="E140" t="str">
            <v>C&amp;SI</v>
          </cell>
          <cell r="F140" t="str">
            <v>SEMPRA ENERGY</v>
          </cell>
          <cell r="G140">
            <v>0</v>
          </cell>
          <cell r="H140" t="str">
            <v>CFTXB7N</v>
          </cell>
          <cell r="I140">
            <v>1</v>
          </cell>
          <cell r="J140">
            <v>0</v>
          </cell>
          <cell r="K140">
            <v>0</v>
          </cell>
          <cell r="L140" t="str">
            <v>BE</v>
          </cell>
          <cell r="M140">
            <v>38580</v>
          </cell>
          <cell r="N140">
            <v>38614</v>
          </cell>
          <cell r="O140">
            <v>-7983</v>
          </cell>
          <cell r="P140">
            <v>0</v>
          </cell>
          <cell r="Q140">
            <v>-7983</v>
          </cell>
          <cell r="R140">
            <v>0</v>
          </cell>
          <cell r="S140">
            <v>0.46444569710635103</v>
          </cell>
          <cell r="T140" t="str">
            <v/>
          </cell>
          <cell r="U140" t="str">
            <v>Y</v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>Y</v>
          </cell>
          <cell r="AA140" t="str">
            <v/>
          </cell>
          <cell r="AC140" t="str">
            <v/>
          </cell>
          <cell r="AD140" t="str">
            <v/>
          </cell>
          <cell r="AU140" t="str">
            <v>AOD</v>
          </cell>
          <cell r="AV140" t="str">
            <v>O</v>
          </cell>
          <cell r="AW140">
            <v>53.4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7983</v>
          </cell>
          <cell r="BF140">
            <v>4275.33</v>
          </cell>
          <cell r="BG140">
            <v>3707.67</v>
          </cell>
          <cell r="BH140">
            <v>3707.67</v>
          </cell>
          <cell r="BI140">
            <v>0.46444569710635103</v>
          </cell>
          <cell r="BJ140">
            <v>7983</v>
          </cell>
          <cell r="BK140">
            <v>4275.33</v>
          </cell>
          <cell r="BL140">
            <v>3707.67</v>
          </cell>
          <cell r="BM140">
            <v>0.46444569710635103</v>
          </cell>
          <cell r="BN140">
            <v>0.46444569710635103</v>
          </cell>
          <cell r="BO140" t="str">
            <v>ISU</v>
          </cell>
          <cell r="BP140" t="str">
            <v>O</v>
          </cell>
          <cell r="BQ140" t="str">
            <v>B8</v>
          </cell>
          <cell r="BR140">
            <v>8090278</v>
          </cell>
          <cell r="BS140" t="str">
            <v>1AQ</v>
          </cell>
          <cell r="BT140">
            <v>8107138</v>
          </cell>
          <cell r="BW140" t="str">
            <v/>
          </cell>
          <cell r="BX140" t="str">
            <v>Unrated</v>
          </cell>
          <cell r="BY140" t="str">
            <v>Under</v>
          </cell>
          <cell r="BZ140" t="str">
            <v/>
          </cell>
          <cell r="CA140" t="str">
            <v/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M140" t="e">
            <v>#N/A</v>
          </cell>
          <cell r="CS140">
            <v>38565</v>
          </cell>
          <cell r="CV140" t="str">
            <v/>
          </cell>
          <cell r="CW140" t="str">
            <v>APPLICATION INNOVATION</v>
          </cell>
        </row>
        <row r="141">
          <cell r="A141" t="str">
            <v>CFT1VBE</v>
          </cell>
          <cell r="B141" t="str">
            <v>MED</v>
          </cell>
          <cell r="C141" t="str">
            <v>BTO</v>
          </cell>
          <cell r="D141" t="str">
            <v>BTO</v>
          </cell>
          <cell r="E141" t="str">
            <v>BTO</v>
          </cell>
          <cell r="F141" t="str">
            <v>SHARED SVC</v>
          </cell>
          <cell r="G141" t="str">
            <v>CBS ERS.</v>
          </cell>
          <cell r="H141" t="str">
            <v>CFT1VBE</v>
          </cell>
          <cell r="I141">
            <v>1</v>
          </cell>
          <cell r="J141">
            <v>0</v>
          </cell>
          <cell r="K141" t="str">
            <v>Helen Donovan/Southbury/IBM</v>
          </cell>
          <cell r="L141" t="str">
            <v>IC</v>
          </cell>
          <cell r="M141">
            <v>36410</v>
          </cell>
          <cell r="N141">
            <v>38717</v>
          </cell>
          <cell r="O141">
            <v>102200</v>
          </cell>
          <cell r="P141">
            <v>102200</v>
          </cell>
          <cell r="Q141">
            <v>102200</v>
          </cell>
          <cell r="R141">
            <v>1</v>
          </cell>
          <cell r="S141">
            <v>0</v>
          </cell>
          <cell r="T141" t="str">
            <v/>
          </cell>
          <cell r="U141" t="str">
            <v>Y</v>
          </cell>
          <cell r="V141" t="str">
            <v/>
          </cell>
          <cell r="W141" t="str">
            <v/>
          </cell>
          <cell r="X141" t="str">
            <v>Y</v>
          </cell>
          <cell r="Y141" t="str">
            <v/>
          </cell>
          <cell r="Z141" t="str">
            <v/>
          </cell>
          <cell r="AA141" t="str">
            <v>Y</v>
          </cell>
          <cell r="AC141" t="str">
            <v/>
          </cell>
          <cell r="AD141" t="str">
            <v/>
          </cell>
          <cell r="AE141" t="str">
            <v/>
          </cell>
          <cell r="AF141" t="str">
            <v/>
          </cell>
          <cell r="AG141" t="str">
            <v/>
          </cell>
          <cell r="AH141" t="str">
            <v/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O141" t="str">
            <v/>
          </cell>
          <cell r="AP141" t="str">
            <v/>
          </cell>
          <cell r="AQ141" t="str">
            <v/>
          </cell>
          <cell r="AR141" t="str">
            <v/>
          </cell>
          <cell r="AS141" t="str">
            <v/>
          </cell>
          <cell r="AU141" t="str">
            <v>BTO</v>
          </cell>
          <cell r="AV141" t="str">
            <v>O</v>
          </cell>
          <cell r="AW141">
            <v>0</v>
          </cell>
          <cell r="AX141">
            <v>0</v>
          </cell>
          <cell r="AY141">
            <v>0</v>
          </cell>
          <cell r="AZ141">
            <v>102200</v>
          </cell>
          <cell r="BA141">
            <v>0</v>
          </cell>
          <cell r="BB141">
            <v>102200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-102200</v>
          </cell>
          <cell r="BI141">
            <v>-1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-1</v>
          </cell>
          <cell r="BO141" t="str">
            <v>ISU</v>
          </cell>
          <cell r="BP141" t="str">
            <v>O</v>
          </cell>
          <cell r="BQ141" t="str">
            <v>FZ</v>
          </cell>
          <cell r="BR141">
            <v>8108131</v>
          </cell>
          <cell r="BS141" t="str">
            <v>UHX</v>
          </cell>
          <cell r="BT141">
            <v>9695000</v>
          </cell>
          <cell r="BW141" t="str">
            <v/>
          </cell>
          <cell r="BX141" t="str">
            <v>Unrated</v>
          </cell>
          <cell r="BY141" t="str">
            <v>Under</v>
          </cell>
          <cell r="BZ141" t="str">
            <v/>
          </cell>
          <cell r="CA141" t="str">
            <v/>
          </cell>
          <cell r="CG141">
            <v>62200</v>
          </cell>
          <cell r="CH141">
            <v>34995.29</v>
          </cell>
          <cell r="CI141">
            <v>27204.71</v>
          </cell>
          <cell r="CJ141">
            <v>0.4373747588424437</v>
          </cell>
          <cell r="CK141">
            <v>-0.5626252411575563</v>
          </cell>
          <cell r="CL141" t="str">
            <v/>
          </cell>
          <cell r="CM141" t="str">
            <v/>
          </cell>
          <cell r="CN141" t="str">
            <v/>
          </cell>
          <cell r="CO141" t="str">
            <v/>
          </cell>
          <cell r="CP141" t="str">
            <v/>
          </cell>
          <cell r="CQ141" t="str">
            <v/>
          </cell>
          <cell r="CR141" t="str">
            <v/>
          </cell>
          <cell r="CS141">
            <v>36404</v>
          </cell>
          <cell r="CT141" t="str">
            <v/>
          </cell>
          <cell r="CV141" t="str">
            <v/>
          </cell>
          <cell r="CW141" t="str">
            <v>BTO</v>
          </cell>
        </row>
        <row r="142">
          <cell r="A142" t="str">
            <v>CFTQCQN</v>
          </cell>
          <cell r="B142" t="str">
            <v>TEL</v>
          </cell>
          <cell r="C142" t="str">
            <v>AIS</v>
          </cell>
          <cell r="D142" t="str">
            <v>AIS</v>
          </cell>
          <cell r="E142" t="str">
            <v>C&amp;SI</v>
          </cell>
          <cell r="F142" t="str">
            <v>SKYWOR SOLUTION</v>
          </cell>
          <cell r="G142">
            <v>0</v>
          </cell>
          <cell r="H142" t="str">
            <v>CFTQCQN</v>
          </cell>
          <cell r="I142">
            <v>2</v>
          </cell>
          <cell r="J142">
            <v>0</v>
          </cell>
          <cell r="K142">
            <v>0</v>
          </cell>
          <cell r="L142" t="str">
            <v>IC</v>
          </cell>
          <cell r="M142">
            <v>38565</v>
          </cell>
          <cell r="N142">
            <v>39080</v>
          </cell>
          <cell r="O142">
            <v>-1015</v>
          </cell>
          <cell r="P142">
            <v>0</v>
          </cell>
          <cell r="Q142">
            <v>-1015</v>
          </cell>
          <cell r="R142">
            <v>0</v>
          </cell>
          <cell r="S142">
            <v>1</v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>Y</v>
          </cell>
          <cell r="AA142" t="str">
            <v/>
          </cell>
          <cell r="AC142" t="str">
            <v/>
          </cell>
          <cell r="AD142" t="str">
            <v/>
          </cell>
          <cell r="AE142" t="str">
            <v/>
          </cell>
          <cell r="AF142" t="str">
            <v/>
          </cell>
          <cell r="AG142" t="str">
            <v/>
          </cell>
          <cell r="AH142" t="str">
            <v/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O142" t="str">
            <v/>
          </cell>
          <cell r="AP142" t="str">
            <v/>
          </cell>
          <cell r="AQ142" t="str">
            <v/>
          </cell>
          <cell r="AR142" t="str">
            <v/>
          </cell>
          <cell r="AS142" t="str">
            <v/>
          </cell>
          <cell r="AU142" t="str">
            <v>AOD</v>
          </cell>
          <cell r="AV142" t="str">
            <v>O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1015</v>
          </cell>
          <cell r="BF142">
            <v>0</v>
          </cell>
          <cell r="BG142">
            <v>1015</v>
          </cell>
          <cell r="BH142">
            <v>1015</v>
          </cell>
          <cell r="BI142">
            <v>1</v>
          </cell>
          <cell r="BJ142">
            <v>1015</v>
          </cell>
          <cell r="BK142">
            <v>0</v>
          </cell>
          <cell r="BL142">
            <v>1015</v>
          </cell>
          <cell r="BM142">
            <v>1</v>
          </cell>
          <cell r="BN142">
            <v>1</v>
          </cell>
          <cell r="BO142" t="str">
            <v>SMB</v>
          </cell>
          <cell r="BP142" t="str">
            <v>O</v>
          </cell>
          <cell r="BQ142" t="str">
            <v>B2</v>
          </cell>
          <cell r="BR142">
            <v>8200347</v>
          </cell>
          <cell r="BS142" t="str">
            <v>1AE</v>
          </cell>
          <cell r="BT142">
            <v>8197526</v>
          </cell>
          <cell r="BW142" t="str">
            <v/>
          </cell>
          <cell r="BX142" t="str">
            <v>Unrated</v>
          </cell>
          <cell r="BY142" t="str">
            <v>Under</v>
          </cell>
          <cell r="BZ142" t="str">
            <v/>
          </cell>
          <cell r="CA142" t="str">
            <v/>
          </cell>
          <cell r="CG142">
            <v>812</v>
          </cell>
          <cell r="CH142">
            <v>0</v>
          </cell>
          <cell r="CI142">
            <v>812</v>
          </cell>
          <cell r="CJ142">
            <v>1</v>
          </cell>
          <cell r="CK142">
            <v>1</v>
          </cell>
          <cell r="CM142" t="e">
            <v>#N/A</v>
          </cell>
          <cell r="CN142" t="str">
            <v/>
          </cell>
          <cell r="CO142" t="str">
            <v/>
          </cell>
          <cell r="CP142" t="str">
            <v/>
          </cell>
          <cell r="CQ142" t="str">
            <v/>
          </cell>
          <cell r="CR142" t="str">
            <v/>
          </cell>
          <cell r="CS142">
            <v>38565</v>
          </cell>
          <cell r="CT142" t="str">
            <v/>
          </cell>
          <cell r="CU142" t="str">
            <v/>
          </cell>
          <cell r="CV142" t="str">
            <v/>
          </cell>
          <cell r="CW142" t="str">
            <v>APPLICATION INNOVATION</v>
          </cell>
        </row>
        <row r="143">
          <cell r="A143" t="str">
            <v>CFTQCWN</v>
          </cell>
          <cell r="B143" t="str">
            <v>TEL</v>
          </cell>
          <cell r="C143" t="str">
            <v>AIS</v>
          </cell>
          <cell r="D143" t="str">
            <v>AIS</v>
          </cell>
          <cell r="E143" t="str">
            <v>C&amp;SI</v>
          </cell>
          <cell r="F143" t="str">
            <v>SKYWOR SOLUTION</v>
          </cell>
          <cell r="G143">
            <v>0</v>
          </cell>
          <cell r="H143" t="str">
            <v>CFTQCWN</v>
          </cell>
          <cell r="I143">
            <v>8</v>
          </cell>
          <cell r="J143">
            <v>0</v>
          </cell>
          <cell r="K143">
            <v>0</v>
          </cell>
          <cell r="L143" t="str">
            <v>IC</v>
          </cell>
          <cell r="M143">
            <v>38565</v>
          </cell>
          <cell r="N143">
            <v>39080</v>
          </cell>
          <cell r="O143">
            <v>-133392.75</v>
          </cell>
          <cell r="P143">
            <v>0</v>
          </cell>
          <cell r="Q143">
            <v>-133392.75</v>
          </cell>
          <cell r="R143">
            <v>0</v>
          </cell>
          <cell r="S143">
            <v>1</v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>Y</v>
          </cell>
          <cell r="AA143" t="str">
            <v/>
          </cell>
          <cell r="AC143" t="str">
            <v/>
          </cell>
          <cell r="AD143" t="str">
            <v/>
          </cell>
          <cell r="AE143" t="str">
            <v/>
          </cell>
          <cell r="AF143" t="str">
            <v/>
          </cell>
          <cell r="AG143" t="str">
            <v/>
          </cell>
          <cell r="AH143" t="str">
            <v/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O143" t="str">
            <v/>
          </cell>
          <cell r="AP143" t="str">
            <v/>
          </cell>
          <cell r="AQ143" t="str">
            <v/>
          </cell>
          <cell r="AR143" t="str">
            <v/>
          </cell>
          <cell r="AS143" t="str">
            <v/>
          </cell>
          <cell r="AU143" t="str">
            <v>AOD</v>
          </cell>
          <cell r="AV143" t="str">
            <v>O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133392.75</v>
          </cell>
          <cell r="BF143">
            <v>0</v>
          </cell>
          <cell r="BG143">
            <v>133392.75</v>
          </cell>
          <cell r="BH143">
            <v>133392.75</v>
          </cell>
          <cell r="BI143">
            <v>1</v>
          </cell>
          <cell r="BJ143">
            <v>133392.75</v>
          </cell>
          <cell r="BK143">
            <v>0</v>
          </cell>
          <cell r="BL143">
            <v>133392.75</v>
          </cell>
          <cell r="BM143">
            <v>1</v>
          </cell>
          <cell r="BN143">
            <v>1</v>
          </cell>
          <cell r="BO143" t="str">
            <v>SMB</v>
          </cell>
          <cell r="BP143" t="str">
            <v>O</v>
          </cell>
          <cell r="BQ143" t="str">
            <v>B2</v>
          </cell>
          <cell r="BR143">
            <v>8200347</v>
          </cell>
          <cell r="BS143" t="str">
            <v>1AF</v>
          </cell>
          <cell r="BT143">
            <v>8197526</v>
          </cell>
          <cell r="BW143" t="str">
            <v/>
          </cell>
          <cell r="BX143" t="str">
            <v>Unrated</v>
          </cell>
          <cell r="BY143" t="str">
            <v>Under</v>
          </cell>
          <cell r="BZ143" t="str">
            <v/>
          </cell>
          <cell r="CA143" t="str">
            <v/>
          </cell>
          <cell r="CG143">
            <v>107064</v>
          </cell>
          <cell r="CH143">
            <v>0</v>
          </cell>
          <cell r="CI143">
            <v>107064</v>
          </cell>
          <cell r="CJ143">
            <v>1</v>
          </cell>
          <cell r="CK143">
            <v>1</v>
          </cell>
          <cell r="CM143" t="e">
            <v>#N/A</v>
          </cell>
          <cell r="CN143" t="str">
            <v/>
          </cell>
          <cell r="CO143" t="str">
            <v/>
          </cell>
          <cell r="CP143" t="str">
            <v/>
          </cell>
          <cell r="CQ143" t="str">
            <v/>
          </cell>
          <cell r="CR143" t="str">
            <v/>
          </cell>
          <cell r="CS143">
            <v>38565</v>
          </cell>
          <cell r="CT143" t="str">
            <v/>
          </cell>
          <cell r="CU143" t="str">
            <v/>
          </cell>
          <cell r="CV143" t="str">
            <v/>
          </cell>
          <cell r="CW143" t="str">
            <v>APPLICATION INNOVATION</v>
          </cell>
        </row>
        <row r="144">
          <cell r="A144" t="str">
            <v>CFTRN4N</v>
          </cell>
          <cell r="B144" t="str">
            <v>TEL</v>
          </cell>
          <cell r="C144" t="str">
            <v>AIS</v>
          </cell>
          <cell r="D144" t="str">
            <v>AIS</v>
          </cell>
          <cell r="E144" t="str">
            <v>C&amp;SI</v>
          </cell>
          <cell r="F144" t="str">
            <v>SKYWOR SOLUTION</v>
          </cell>
          <cell r="G144" t="str">
            <v>316600-SS-SA-00-17       ...</v>
          </cell>
          <cell r="H144" t="str">
            <v>CFTRN4N</v>
          </cell>
          <cell r="I144">
            <v>1</v>
          </cell>
          <cell r="J144">
            <v>0</v>
          </cell>
          <cell r="K144">
            <v>0</v>
          </cell>
          <cell r="L144" t="str">
            <v>BE</v>
          </cell>
          <cell r="M144">
            <v>38556</v>
          </cell>
          <cell r="N144">
            <v>38855</v>
          </cell>
          <cell r="O144">
            <v>-0.01</v>
          </cell>
          <cell r="P144">
            <v>0</v>
          </cell>
          <cell r="Q144">
            <v>-0.01</v>
          </cell>
          <cell r="R144">
            <v>0</v>
          </cell>
          <cell r="S144">
            <v>-7760</v>
          </cell>
          <cell r="T144" t="str">
            <v/>
          </cell>
          <cell r="U144" t="str">
            <v/>
          </cell>
          <cell r="V144" t="str">
            <v>Y</v>
          </cell>
          <cell r="W144" t="str">
            <v>Y</v>
          </cell>
          <cell r="X144" t="str">
            <v>Y</v>
          </cell>
          <cell r="Y144" t="str">
            <v>Y</v>
          </cell>
          <cell r="Z144" t="str">
            <v/>
          </cell>
          <cell r="AA144" t="str">
            <v/>
          </cell>
          <cell r="AC144" t="str">
            <v/>
          </cell>
          <cell r="AD144" t="str">
            <v/>
          </cell>
          <cell r="AE144" t="str">
            <v/>
          </cell>
          <cell r="AF144" t="str">
            <v/>
          </cell>
          <cell r="AG144" t="str">
            <v/>
          </cell>
          <cell r="AH144" t="str">
            <v/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O144" t="str">
            <v/>
          </cell>
          <cell r="AP144" t="str">
            <v/>
          </cell>
          <cell r="AQ144" t="str">
            <v/>
          </cell>
          <cell r="AR144" t="str">
            <v/>
          </cell>
          <cell r="AS144" t="str">
            <v/>
          </cell>
          <cell r="AU144" t="str">
            <v>AOD</v>
          </cell>
          <cell r="AV144" t="str">
            <v>O</v>
          </cell>
          <cell r="AW144">
            <v>1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0.01</v>
          </cell>
          <cell r="BF144">
            <v>77.61</v>
          </cell>
          <cell r="BG144">
            <v>-77.599999999999994</v>
          </cell>
          <cell r="BH144">
            <v>-77.599999999999994</v>
          </cell>
          <cell r="BI144">
            <v>-7760</v>
          </cell>
          <cell r="BJ144">
            <v>0.01</v>
          </cell>
          <cell r="BK144">
            <v>77.61</v>
          </cell>
          <cell r="BL144">
            <v>-77.599999999999994</v>
          </cell>
          <cell r="BM144">
            <v>-7760</v>
          </cell>
          <cell r="BN144">
            <v>-7760</v>
          </cell>
          <cell r="BO144" t="str">
            <v>SMB</v>
          </cell>
          <cell r="BP144" t="str">
            <v>O</v>
          </cell>
          <cell r="BQ144" t="str">
            <v>B8</v>
          </cell>
          <cell r="BR144">
            <v>8200347</v>
          </cell>
          <cell r="BS144" t="str">
            <v>1AQ</v>
          </cell>
          <cell r="BT144">
            <v>8197526</v>
          </cell>
          <cell r="BW144" t="str">
            <v/>
          </cell>
          <cell r="BX144" t="str">
            <v>Unrated</v>
          </cell>
          <cell r="BY144" t="str">
            <v>Under</v>
          </cell>
          <cell r="BZ144" t="str">
            <v/>
          </cell>
          <cell r="CA144" t="str">
            <v/>
          </cell>
          <cell r="CG144">
            <v>0.01</v>
          </cell>
          <cell r="CH144">
            <v>77.61</v>
          </cell>
          <cell r="CI144">
            <v>-77.599999999999994</v>
          </cell>
          <cell r="CJ144">
            <v>-7760</v>
          </cell>
          <cell r="CK144">
            <v>-7760</v>
          </cell>
          <cell r="CM144" t="e">
            <v>#N/A</v>
          </cell>
          <cell r="CN144" t="str">
            <v/>
          </cell>
          <cell r="CO144" t="str">
            <v/>
          </cell>
          <cell r="CP144" t="str">
            <v/>
          </cell>
          <cell r="CQ144" t="str">
            <v/>
          </cell>
          <cell r="CR144" t="str">
            <v/>
          </cell>
          <cell r="CS144">
            <v>38534</v>
          </cell>
          <cell r="CT144" t="str">
            <v/>
          </cell>
          <cell r="CU144" t="str">
            <v/>
          </cell>
          <cell r="CV144" t="str">
            <v/>
          </cell>
          <cell r="CW144" t="str">
            <v>APPLICATION INNOVATION</v>
          </cell>
        </row>
        <row r="145">
          <cell r="A145" t="str">
            <v>CFTRN5N</v>
          </cell>
          <cell r="B145" t="str">
            <v>TEL</v>
          </cell>
          <cell r="C145" t="str">
            <v>AIS</v>
          </cell>
          <cell r="D145" t="str">
            <v>AIS</v>
          </cell>
          <cell r="E145" t="str">
            <v>C&amp;SI</v>
          </cell>
          <cell r="F145" t="str">
            <v>SKYWOR SOLUTION</v>
          </cell>
          <cell r="G145" t="str">
            <v>316600-SW-SA-07-0</v>
          </cell>
          <cell r="H145" t="str">
            <v>CFTRN5N</v>
          </cell>
          <cell r="I145">
            <v>1</v>
          </cell>
          <cell r="J145">
            <v>0</v>
          </cell>
          <cell r="K145">
            <v>0</v>
          </cell>
          <cell r="L145" t="str">
            <v>BE</v>
          </cell>
          <cell r="M145">
            <v>38556</v>
          </cell>
          <cell r="N145">
            <v>38717</v>
          </cell>
          <cell r="O145">
            <v>-8370</v>
          </cell>
          <cell r="P145">
            <v>0</v>
          </cell>
          <cell r="Q145">
            <v>-8370</v>
          </cell>
          <cell r="R145">
            <v>0</v>
          </cell>
          <cell r="S145">
            <v>0.30385185185185182</v>
          </cell>
          <cell r="T145" t="str">
            <v/>
          </cell>
          <cell r="U145" t="str">
            <v>Y</v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>Y</v>
          </cell>
          <cell r="AA145" t="str">
            <v/>
          </cell>
          <cell r="AC145" t="str">
            <v/>
          </cell>
          <cell r="AD145" t="str">
            <v/>
          </cell>
          <cell r="AE145" t="str">
            <v/>
          </cell>
          <cell r="AF145" t="str">
            <v/>
          </cell>
          <cell r="AG145" t="str">
            <v/>
          </cell>
          <cell r="AH145" t="str">
            <v/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O145" t="str">
            <v/>
          </cell>
          <cell r="AP145" t="str">
            <v/>
          </cell>
          <cell r="AQ145" t="str">
            <v/>
          </cell>
          <cell r="AR145" t="str">
            <v/>
          </cell>
          <cell r="AS145" t="str">
            <v/>
          </cell>
          <cell r="AU145" t="str">
            <v>AOD</v>
          </cell>
          <cell r="AV145" t="str">
            <v>O</v>
          </cell>
          <cell r="AW145">
            <v>62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8370</v>
          </cell>
          <cell r="BF145">
            <v>5826.76</v>
          </cell>
          <cell r="BG145">
            <v>2543.2399999999998</v>
          </cell>
          <cell r="BH145">
            <v>2543.2399999999998</v>
          </cell>
          <cell r="BI145">
            <v>0.30385185185185182</v>
          </cell>
          <cell r="BJ145">
            <v>8370</v>
          </cell>
          <cell r="BK145">
            <v>5826.76</v>
          </cell>
          <cell r="BL145">
            <v>2543.2399999999998</v>
          </cell>
          <cell r="BM145">
            <v>0.30385185185185182</v>
          </cell>
          <cell r="BN145">
            <v>0.30385185185185182</v>
          </cell>
          <cell r="BO145" t="str">
            <v>SMB</v>
          </cell>
          <cell r="BP145" t="str">
            <v>O</v>
          </cell>
          <cell r="BQ145" t="str">
            <v>B8</v>
          </cell>
          <cell r="BR145">
            <v>8200347</v>
          </cell>
          <cell r="BS145" t="str">
            <v>1AQ</v>
          </cell>
          <cell r="BT145">
            <v>8197526</v>
          </cell>
          <cell r="BW145" t="str">
            <v/>
          </cell>
          <cell r="BX145" t="str">
            <v>Unrated</v>
          </cell>
          <cell r="BY145" t="str">
            <v>Under</v>
          </cell>
          <cell r="BZ145" t="str">
            <v/>
          </cell>
          <cell r="CA145" t="str">
            <v/>
          </cell>
          <cell r="CG145">
            <v>8370</v>
          </cell>
          <cell r="CH145">
            <v>5826.76</v>
          </cell>
          <cell r="CI145">
            <v>2543.2399999999998</v>
          </cell>
          <cell r="CJ145">
            <v>0.30385185185185182</v>
          </cell>
          <cell r="CK145">
            <v>0.30385185185185182</v>
          </cell>
          <cell r="CM145" t="e">
            <v>#N/A</v>
          </cell>
          <cell r="CN145" t="str">
            <v/>
          </cell>
          <cell r="CO145" t="str">
            <v/>
          </cell>
          <cell r="CP145" t="str">
            <v/>
          </cell>
          <cell r="CQ145" t="str">
            <v/>
          </cell>
          <cell r="CR145" t="str">
            <v/>
          </cell>
          <cell r="CS145">
            <v>38534</v>
          </cell>
          <cell r="CT145" t="str">
            <v/>
          </cell>
          <cell r="CU145" t="str">
            <v/>
          </cell>
          <cell r="CV145" t="str">
            <v/>
          </cell>
          <cell r="CW145" t="str">
            <v>APPLICATION INNOVATION</v>
          </cell>
        </row>
        <row r="146">
          <cell r="A146" t="str">
            <v>CFTRN8N</v>
          </cell>
          <cell r="B146" t="str">
            <v>TEL</v>
          </cell>
          <cell r="C146" t="str">
            <v>AIS</v>
          </cell>
          <cell r="D146" t="str">
            <v>AIS</v>
          </cell>
          <cell r="E146" t="str">
            <v>C&amp;SI</v>
          </cell>
          <cell r="F146" t="str">
            <v>SKYWOR SOLUTION</v>
          </cell>
          <cell r="G146" t="str">
            <v>Skyworks - SAP Servers Mo...</v>
          </cell>
          <cell r="H146" t="str">
            <v>CFTRN8N</v>
          </cell>
          <cell r="I146">
            <v>1</v>
          </cell>
          <cell r="J146">
            <v>0</v>
          </cell>
          <cell r="K146">
            <v>0</v>
          </cell>
          <cell r="L146" t="str">
            <v>BE</v>
          </cell>
          <cell r="M146">
            <v>38556</v>
          </cell>
          <cell r="N146">
            <v>39080</v>
          </cell>
          <cell r="O146">
            <v>-9435</v>
          </cell>
          <cell r="P146">
            <v>0</v>
          </cell>
          <cell r="Q146">
            <v>-9435</v>
          </cell>
          <cell r="R146">
            <v>0</v>
          </cell>
          <cell r="S146">
            <v>0.29978696343402222</v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>Y</v>
          </cell>
          <cell r="AA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U146" t="str">
            <v>AOD</v>
          </cell>
          <cell r="AV146" t="str">
            <v>O</v>
          </cell>
          <cell r="AW146">
            <v>75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9435</v>
          </cell>
          <cell r="BF146">
            <v>6606.51</v>
          </cell>
          <cell r="BG146">
            <v>2828.49</v>
          </cell>
          <cell r="BH146">
            <v>2828.49</v>
          </cell>
          <cell r="BI146">
            <v>0.29978696343402222</v>
          </cell>
          <cell r="BJ146">
            <v>9435</v>
          </cell>
          <cell r="BK146">
            <v>6606.51</v>
          </cell>
          <cell r="BL146">
            <v>2828.49</v>
          </cell>
          <cell r="BM146">
            <v>0.29978696343402222</v>
          </cell>
          <cell r="BN146">
            <v>0.29978696343402222</v>
          </cell>
          <cell r="BO146" t="str">
            <v>SMB</v>
          </cell>
          <cell r="BP146" t="str">
            <v>O</v>
          </cell>
          <cell r="BQ146" t="str">
            <v>B8</v>
          </cell>
          <cell r="BR146">
            <v>8200347</v>
          </cell>
          <cell r="BS146" t="str">
            <v>1AQ</v>
          </cell>
          <cell r="BT146">
            <v>8197526</v>
          </cell>
          <cell r="BW146" t="str">
            <v/>
          </cell>
          <cell r="BX146" t="str">
            <v>Unrated</v>
          </cell>
          <cell r="BY146" t="str">
            <v>Under</v>
          </cell>
          <cell r="BZ146" t="str">
            <v/>
          </cell>
          <cell r="CA146" t="str">
            <v/>
          </cell>
          <cell r="CG146">
            <v>9435</v>
          </cell>
          <cell r="CH146">
            <v>6606.51</v>
          </cell>
          <cell r="CI146">
            <v>2828.49</v>
          </cell>
          <cell r="CJ146">
            <v>0.29978696343402222</v>
          </cell>
          <cell r="CK146">
            <v>0.29978696343402222</v>
          </cell>
          <cell r="CM146" t="e">
            <v>#N/A</v>
          </cell>
          <cell r="CN146" t="str">
            <v/>
          </cell>
          <cell r="CO146" t="str">
            <v/>
          </cell>
          <cell r="CP146" t="str">
            <v/>
          </cell>
          <cell r="CQ146" t="str">
            <v/>
          </cell>
          <cell r="CR146" t="str">
            <v/>
          </cell>
          <cell r="CS146">
            <v>38534</v>
          </cell>
          <cell r="CT146" t="str">
            <v/>
          </cell>
          <cell r="CU146" t="str">
            <v/>
          </cell>
          <cell r="CV146" t="str">
            <v/>
          </cell>
          <cell r="CW146" t="str">
            <v>APPLICATION INNOVATION</v>
          </cell>
        </row>
        <row r="147">
          <cell r="A147" t="str">
            <v>CFTRN9N</v>
          </cell>
          <cell r="B147" t="str">
            <v>TEL</v>
          </cell>
          <cell r="C147" t="str">
            <v>AIS</v>
          </cell>
          <cell r="D147" t="str">
            <v>AIS</v>
          </cell>
          <cell r="E147" t="str">
            <v>C&amp;SI</v>
          </cell>
          <cell r="F147" t="str">
            <v>SKYWOR SOLUTION</v>
          </cell>
          <cell r="G147" t="str">
            <v>316600-SW-SA-09-0</v>
          </cell>
          <cell r="H147" t="str">
            <v>CFTRN9N</v>
          </cell>
          <cell r="I147">
            <v>1</v>
          </cell>
          <cell r="J147">
            <v>0</v>
          </cell>
          <cell r="K147">
            <v>0</v>
          </cell>
          <cell r="L147" t="str">
            <v>BE</v>
          </cell>
          <cell r="M147">
            <v>38556</v>
          </cell>
          <cell r="N147">
            <v>38717</v>
          </cell>
          <cell r="O147">
            <v>-2865</v>
          </cell>
          <cell r="P147">
            <v>0</v>
          </cell>
          <cell r="Q147">
            <v>-2865</v>
          </cell>
          <cell r="R147">
            <v>0</v>
          </cell>
          <cell r="S147">
            <v>0.50795811518324607</v>
          </cell>
          <cell r="T147" t="str">
            <v/>
          </cell>
          <cell r="U147" t="str">
            <v>Y</v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>Y</v>
          </cell>
          <cell r="AA147" t="str">
            <v/>
          </cell>
          <cell r="AC147" t="str">
            <v/>
          </cell>
          <cell r="AD147" t="str">
            <v/>
          </cell>
          <cell r="AE147" t="str">
            <v/>
          </cell>
          <cell r="AF147" t="str">
            <v/>
          </cell>
          <cell r="AG147" t="str">
            <v/>
          </cell>
          <cell r="AH147" t="str">
            <v/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O147" t="str">
            <v/>
          </cell>
          <cell r="AP147" t="str">
            <v/>
          </cell>
          <cell r="AQ147" t="str">
            <v/>
          </cell>
          <cell r="AR147" t="str">
            <v/>
          </cell>
          <cell r="AS147" t="str">
            <v/>
          </cell>
          <cell r="AU147" t="str">
            <v>AOD</v>
          </cell>
          <cell r="AV147" t="str">
            <v>O</v>
          </cell>
          <cell r="AW147">
            <v>45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2865</v>
          </cell>
          <cell r="BF147">
            <v>1409.7</v>
          </cell>
          <cell r="BG147">
            <v>1455.3</v>
          </cell>
          <cell r="BH147">
            <v>1455.3</v>
          </cell>
          <cell r="BI147">
            <v>0.50795811518324607</v>
          </cell>
          <cell r="BJ147">
            <v>2865</v>
          </cell>
          <cell r="BK147">
            <v>1409.7</v>
          </cell>
          <cell r="BL147">
            <v>1455.3</v>
          </cell>
          <cell r="BM147">
            <v>0.50795811518324607</v>
          </cell>
          <cell r="BN147">
            <v>0.50795811518324607</v>
          </cell>
          <cell r="BO147" t="str">
            <v>SMB</v>
          </cell>
          <cell r="BP147" t="str">
            <v>O</v>
          </cell>
          <cell r="BQ147" t="str">
            <v>B8</v>
          </cell>
          <cell r="BR147">
            <v>8200347</v>
          </cell>
          <cell r="BS147" t="str">
            <v>1AQ</v>
          </cell>
          <cell r="BT147">
            <v>8197526</v>
          </cell>
          <cell r="BW147" t="str">
            <v/>
          </cell>
          <cell r="BX147" t="str">
            <v>Unrated</v>
          </cell>
          <cell r="BY147" t="str">
            <v>Under</v>
          </cell>
          <cell r="BZ147" t="str">
            <v/>
          </cell>
          <cell r="CA147" t="str">
            <v/>
          </cell>
          <cell r="CG147">
            <v>2865</v>
          </cell>
          <cell r="CH147">
            <v>1409.7</v>
          </cell>
          <cell r="CI147">
            <v>1455.3</v>
          </cell>
          <cell r="CJ147">
            <v>0.50795811518324607</v>
          </cell>
          <cell r="CK147">
            <v>0.50795811518324607</v>
          </cell>
          <cell r="CM147" t="e">
            <v>#N/A</v>
          </cell>
          <cell r="CN147" t="str">
            <v/>
          </cell>
          <cell r="CO147" t="str">
            <v/>
          </cell>
          <cell r="CP147" t="str">
            <v/>
          </cell>
          <cell r="CQ147" t="str">
            <v/>
          </cell>
          <cell r="CR147" t="str">
            <v/>
          </cell>
          <cell r="CS147">
            <v>38534</v>
          </cell>
          <cell r="CT147" t="str">
            <v/>
          </cell>
          <cell r="CU147" t="str">
            <v/>
          </cell>
          <cell r="CV147" t="str">
            <v/>
          </cell>
          <cell r="CW147" t="str">
            <v>APPLICATION INNOVATION</v>
          </cell>
        </row>
        <row r="148">
          <cell r="A148" t="str">
            <v>CFTRNCN</v>
          </cell>
          <cell r="B148" t="str">
            <v>TEL</v>
          </cell>
          <cell r="C148" t="str">
            <v>AIS</v>
          </cell>
          <cell r="D148" t="str">
            <v>AIS</v>
          </cell>
          <cell r="E148" t="str">
            <v>C&amp;SI</v>
          </cell>
          <cell r="F148" t="str">
            <v>SKYWOR SOLUTION</v>
          </cell>
          <cell r="G148" t="str">
            <v>Skyworks - Installation o...</v>
          </cell>
          <cell r="H148" t="str">
            <v>CFTRNCN</v>
          </cell>
          <cell r="I148">
            <v>1</v>
          </cell>
          <cell r="J148">
            <v>0</v>
          </cell>
          <cell r="K148">
            <v>0</v>
          </cell>
          <cell r="L148" t="str">
            <v>BE</v>
          </cell>
          <cell r="M148">
            <v>38556</v>
          </cell>
          <cell r="N148">
            <v>38717</v>
          </cell>
          <cell r="O148">
            <v>-9450</v>
          </cell>
          <cell r="P148">
            <v>0</v>
          </cell>
          <cell r="Q148">
            <v>-9450</v>
          </cell>
          <cell r="R148">
            <v>0</v>
          </cell>
          <cell r="S148">
            <v>0.41818201058201054</v>
          </cell>
          <cell r="T148" t="str">
            <v/>
          </cell>
          <cell r="U148" t="str">
            <v>Y</v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>Y</v>
          </cell>
          <cell r="AA148" t="str">
            <v/>
          </cell>
          <cell r="AC148" t="str">
            <v/>
          </cell>
          <cell r="AD148" t="str">
            <v/>
          </cell>
          <cell r="AE148" t="str">
            <v/>
          </cell>
          <cell r="AF148" t="str">
            <v/>
          </cell>
          <cell r="AG148" t="str">
            <v/>
          </cell>
          <cell r="AH148" t="str">
            <v/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O148" t="str">
            <v/>
          </cell>
          <cell r="AP148" t="str">
            <v/>
          </cell>
          <cell r="AQ148" t="str">
            <v/>
          </cell>
          <cell r="AR148" t="str">
            <v/>
          </cell>
          <cell r="AS148" t="str">
            <v/>
          </cell>
          <cell r="AU148" t="str">
            <v>AOD</v>
          </cell>
          <cell r="AV148" t="str">
            <v>O</v>
          </cell>
          <cell r="AW148">
            <v>70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9450</v>
          </cell>
          <cell r="BF148">
            <v>5498.18</v>
          </cell>
          <cell r="BG148">
            <v>3951.82</v>
          </cell>
          <cell r="BH148">
            <v>3951.82</v>
          </cell>
          <cell r="BI148">
            <v>0.41818201058201054</v>
          </cell>
          <cell r="BJ148">
            <v>9450</v>
          </cell>
          <cell r="BK148">
            <v>5498.18</v>
          </cell>
          <cell r="BL148">
            <v>3951.82</v>
          </cell>
          <cell r="BM148">
            <v>0.41818201058201054</v>
          </cell>
          <cell r="BN148">
            <v>0.41818201058201054</v>
          </cell>
          <cell r="BO148" t="str">
            <v>SMB</v>
          </cell>
          <cell r="BP148" t="str">
            <v>O</v>
          </cell>
          <cell r="BQ148" t="str">
            <v>B8</v>
          </cell>
          <cell r="BR148">
            <v>8200347</v>
          </cell>
          <cell r="BS148" t="str">
            <v>1AQ</v>
          </cell>
          <cell r="BT148">
            <v>8197526</v>
          </cell>
          <cell r="BW148" t="str">
            <v/>
          </cell>
          <cell r="BX148" t="str">
            <v>Unrated</v>
          </cell>
          <cell r="BY148" t="str">
            <v>Under</v>
          </cell>
          <cell r="BZ148" t="str">
            <v/>
          </cell>
          <cell r="CA148" t="str">
            <v/>
          </cell>
          <cell r="CG148">
            <v>9450</v>
          </cell>
          <cell r="CH148">
            <v>5498.18</v>
          </cell>
          <cell r="CI148">
            <v>3951.82</v>
          </cell>
          <cell r="CJ148">
            <v>0.4181820105820106</v>
          </cell>
          <cell r="CK148">
            <v>0.4181820105820106</v>
          </cell>
          <cell r="CM148" t="e">
            <v>#N/A</v>
          </cell>
          <cell r="CN148" t="str">
            <v/>
          </cell>
          <cell r="CO148" t="str">
            <v/>
          </cell>
          <cell r="CP148" t="str">
            <v/>
          </cell>
          <cell r="CQ148" t="str">
            <v/>
          </cell>
          <cell r="CR148" t="str">
            <v/>
          </cell>
          <cell r="CS148">
            <v>38534</v>
          </cell>
          <cell r="CT148" t="str">
            <v/>
          </cell>
          <cell r="CU148" t="str">
            <v/>
          </cell>
          <cell r="CV148" t="str">
            <v/>
          </cell>
          <cell r="CW148" t="str">
            <v>APPLICATION INNOVATION</v>
          </cell>
        </row>
        <row r="149">
          <cell r="A149" t="str">
            <v>CFTRNDN</v>
          </cell>
          <cell r="B149" t="str">
            <v>TEL</v>
          </cell>
          <cell r="C149" t="str">
            <v>AIS</v>
          </cell>
          <cell r="D149" t="str">
            <v>AIS</v>
          </cell>
          <cell r="E149" t="str">
            <v>C&amp;SI</v>
          </cell>
          <cell r="F149" t="str">
            <v>SKYWOR SOLUTION</v>
          </cell>
          <cell r="G149" t="str">
            <v>Skyworks - SAP Server Swa...</v>
          </cell>
          <cell r="H149" t="str">
            <v>CFTRNDN</v>
          </cell>
          <cell r="I149">
            <v>1</v>
          </cell>
          <cell r="J149">
            <v>0</v>
          </cell>
          <cell r="K149">
            <v>0</v>
          </cell>
          <cell r="L149" t="str">
            <v>BE</v>
          </cell>
          <cell r="M149">
            <v>38556</v>
          </cell>
          <cell r="N149">
            <v>38717</v>
          </cell>
          <cell r="O149">
            <v>-2700</v>
          </cell>
          <cell r="P149">
            <v>0</v>
          </cell>
          <cell r="Q149">
            <v>-2700</v>
          </cell>
          <cell r="R149">
            <v>0</v>
          </cell>
          <cell r="S149">
            <v>0.42511111111111111</v>
          </cell>
          <cell r="T149" t="str">
            <v/>
          </cell>
          <cell r="U149" t="str">
            <v>Y</v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>Y</v>
          </cell>
          <cell r="AA149" t="str">
            <v/>
          </cell>
          <cell r="AC149" t="str">
            <v/>
          </cell>
          <cell r="AD149" t="str">
            <v/>
          </cell>
          <cell r="AE149" t="str">
            <v/>
          </cell>
          <cell r="AF149" t="str">
            <v/>
          </cell>
          <cell r="AG149" t="str">
            <v/>
          </cell>
          <cell r="AH149" t="str">
            <v/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O149" t="str">
            <v/>
          </cell>
          <cell r="AP149" t="str">
            <v/>
          </cell>
          <cell r="AQ149" t="str">
            <v/>
          </cell>
          <cell r="AR149" t="str">
            <v/>
          </cell>
          <cell r="AS149" t="str">
            <v/>
          </cell>
          <cell r="AU149" t="str">
            <v>AOD</v>
          </cell>
          <cell r="AV149" t="str">
            <v>O</v>
          </cell>
          <cell r="AW149">
            <v>20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2700</v>
          </cell>
          <cell r="BF149">
            <v>1552.2</v>
          </cell>
          <cell r="BG149">
            <v>1147.8</v>
          </cell>
          <cell r="BH149">
            <v>1147.8</v>
          </cell>
          <cell r="BI149">
            <v>0.42511111111111111</v>
          </cell>
          <cell r="BJ149">
            <v>2700</v>
          </cell>
          <cell r="BK149">
            <v>1552.2</v>
          </cell>
          <cell r="BL149">
            <v>1147.8</v>
          </cell>
          <cell r="BM149">
            <v>0.42511111111111111</v>
          </cell>
          <cell r="BN149">
            <v>0.42511111111111111</v>
          </cell>
          <cell r="BO149" t="str">
            <v>SMB</v>
          </cell>
          <cell r="BP149" t="str">
            <v>O</v>
          </cell>
          <cell r="BQ149" t="str">
            <v>B8</v>
          </cell>
          <cell r="BR149">
            <v>8200347</v>
          </cell>
          <cell r="BS149" t="str">
            <v>1AQ</v>
          </cell>
          <cell r="BT149">
            <v>8197526</v>
          </cell>
          <cell r="BW149" t="str">
            <v/>
          </cell>
          <cell r="BX149" t="str">
            <v>Unrated</v>
          </cell>
          <cell r="BY149" t="str">
            <v>Under</v>
          </cell>
          <cell r="BZ149" t="str">
            <v/>
          </cell>
          <cell r="CA149" t="str">
            <v/>
          </cell>
          <cell r="CG149">
            <v>2700</v>
          </cell>
          <cell r="CH149">
            <v>1552.2</v>
          </cell>
          <cell r="CI149">
            <v>1147.8</v>
          </cell>
          <cell r="CJ149">
            <v>0.42511111111111111</v>
          </cell>
          <cell r="CK149">
            <v>0.42511111111111111</v>
          </cell>
          <cell r="CM149" t="e">
            <v>#N/A</v>
          </cell>
          <cell r="CN149" t="str">
            <v/>
          </cell>
          <cell r="CO149" t="str">
            <v/>
          </cell>
          <cell r="CP149" t="str">
            <v/>
          </cell>
          <cell r="CQ149" t="str">
            <v/>
          </cell>
          <cell r="CR149" t="str">
            <v/>
          </cell>
          <cell r="CS149">
            <v>38534</v>
          </cell>
          <cell r="CT149" t="str">
            <v/>
          </cell>
          <cell r="CU149" t="str">
            <v/>
          </cell>
          <cell r="CV149" t="str">
            <v/>
          </cell>
          <cell r="CW149" t="str">
            <v>APPLICATION INNOVATION</v>
          </cell>
        </row>
        <row r="150">
          <cell r="A150" t="str">
            <v>CFTRNFN</v>
          </cell>
          <cell r="B150" t="str">
            <v>TEL</v>
          </cell>
          <cell r="C150" t="str">
            <v>AIS</v>
          </cell>
          <cell r="D150" t="str">
            <v>AIS</v>
          </cell>
          <cell r="E150" t="str">
            <v>C&amp;SI</v>
          </cell>
          <cell r="F150" t="str">
            <v>SKYWOR SOLUTION</v>
          </cell>
          <cell r="G150" t="str">
            <v>Skyworks - SAP Sandbox Se...</v>
          </cell>
          <cell r="H150" t="str">
            <v>CFTRNFN</v>
          </cell>
          <cell r="I150">
            <v>1</v>
          </cell>
          <cell r="J150">
            <v>0</v>
          </cell>
          <cell r="K150">
            <v>0</v>
          </cell>
          <cell r="L150" t="str">
            <v>BE</v>
          </cell>
          <cell r="M150">
            <v>38556</v>
          </cell>
          <cell r="N150">
            <v>38717</v>
          </cell>
          <cell r="O150">
            <v>-11680</v>
          </cell>
          <cell r="P150">
            <v>0</v>
          </cell>
          <cell r="Q150">
            <v>-11680</v>
          </cell>
          <cell r="R150">
            <v>0</v>
          </cell>
          <cell r="S150">
            <v>0.34799315068493153</v>
          </cell>
          <cell r="T150" t="str">
            <v/>
          </cell>
          <cell r="U150" t="str">
            <v>Y</v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>Y</v>
          </cell>
          <cell r="AA150" t="str">
            <v/>
          </cell>
          <cell r="AC150" t="str">
            <v/>
          </cell>
          <cell r="AD150" t="str">
            <v/>
          </cell>
          <cell r="AE150" t="str">
            <v/>
          </cell>
          <cell r="AF150" t="str">
            <v/>
          </cell>
          <cell r="AG150" t="str">
            <v/>
          </cell>
          <cell r="AH150" t="str">
            <v/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O150" t="str">
            <v/>
          </cell>
          <cell r="AP150" t="str">
            <v/>
          </cell>
          <cell r="AQ150" t="str">
            <v/>
          </cell>
          <cell r="AR150" t="str">
            <v/>
          </cell>
          <cell r="AS150" t="str">
            <v/>
          </cell>
          <cell r="AU150" t="str">
            <v>AOD</v>
          </cell>
          <cell r="AV150" t="str">
            <v>O</v>
          </cell>
          <cell r="AW150">
            <v>88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11680</v>
          </cell>
          <cell r="BF150">
            <v>7615.44</v>
          </cell>
          <cell r="BG150">
            <v>4064.56</v>
          </cell>
          <cell r="BH150">
            <v>4064.56</v>
          </cell>
          <cell r="BI150">
            <v>0.34799315068493153</v>
          </cell>
          <cell r="BJ150">
            <v>11680</v>
          </cell>
          <cell r="BK150">
            <v>7615.44</v>
          </cell>
          <cell r="BL150">
            <v>4064.56</v>
          </cell>
          <cell r="BM150">
            <v>0.34799315068493153</v>
          </cell>
          <cell r="BN150">
            <v>0.34799315068493153</v>
          </cell>
          <cell r="BO150" t="str">
            <v>SMB</v>
          </cell>
          <cell r="BP150" t="str">
            <v>O</v>
          </cell>
          <cell r="BQ150" t="str">
            <v>B8</v>
          </cell>
          <cell r="BR150">
            <v>8200347</v>
          </cell>
          <cell r="BS150" t="str">
            <v>1AQ</v>
          </cell>
          <cell r="BT150">
            <v>8197526</v>
          </cell>
          <cell r="BW150" t="str">
            <v/>
          </cell>
          <cell r="BX150" t="str">
            <v>Unrated</v>
          </cell>
          <cell r="BY150" t="str">
            <v>Under</v>
          </cell>
          <cell r="BZ150" t="str">
            <v/>
          </cell>
          <cell r="CA150" t="str">
            <v/>
          </cell>
          <cell r="CG150">
            <v>11680</v>
          </cell>
          <cell r="CH150">
            <v>7615.44</v>
          </cell>
          <cell r="CI150">
            <v>4064.56</v>
          </cell>
          <cell r="CJ150">
            <v>0.34799315068493153</v>
          </cell>
          <cell r="CK150">
            <v>0.34799315068493153</v>
          </cell>
          <cell r="CM150" t="e">
            <v>#N/A</v>
          </cell>
          <cell r="CN150" t="str">
            <v/>
          </cell>
          <cell r="CO150" t="str">
            <v/>
          </cell>
          <cell r="CP150" t="str">
            <v/>
          </cell>
          <cell r="CQ150" t="str">
            <v/>
          </cell>
          <cell r="CR150" t="str">
            <v/>
          </cell>
          <cell r="CS150">
            <v>38534</v>
          </cell>
          <cell r="CT150" t="str">
            <v/>
          </cell>
          <cell r="CU150" t="str">
            <v/>
          </cell>
          <cell r="CV150" t="str">
            <v/>
          </cell>
          <cell r="CW150" t="str">
            <v>APPLICATION INNOVATION</v>
          </cell>
        </row>
        <row r="151">
          <cell r="A151" t="str">
            <v>CFTT12N</v>
          </cell>
          <cell r="B151" t="str">
            <v>TEL</v>
          </cell>
          <cell r="C151" t="str">
            <v>AIS</v>
          </cell>
          <cell r="D151" t="str">
            <v>AIS</v>
          </cell>
          <cell r="E151" t="str">
            <v>C&amp;SI</v>
          </cell>
          <cell r="F151" t="str">
            <v>SKYWOR SOLUTION</v>
          </cell>
          <cell r="G151" t="str">
            <v>AOD CONTRACT</v>
          </cell>
          <cell r="H151" t="str">
            <v>CFTT12N</v>
          </cell>
          <cell r="I151">
            <v>1</v>
          </cell>
          <cell r="J151">
            <v>0</v>
          </cell>
          <cell r="K151">
            <v>0</v>
          </cell>
          <cell r="L151" t="str">
            <v>BE</v>
          </cell>
          <cell r="M151">
            <v>38556</v>
          </cell>
          <cell r="N151">
            <v>38717</v>
          </cell>
          <cell r="O151">
            <v>-3240</v>
          </cell>
          <cell r="P151">
            <v>0</v>
          </cell>
          <cell r="Q151">
            <v>-3240</v>
          </cell>
          <cell r="R151">
            <v>0</v>
          </cell>
          <cell r="S151">
            <v>0.42511111111111111</v>
          </cell>
          <cell r="T151" t="str">
            <v/>
          </cell>
          <cell r="U151" t="str">
            <v>Y</v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>Y</v>
          </cell>
          <cell r="AA151" t="str">
            <v/>
          </cell>
          <cell r="AC151" t="str">
            <v/>
          </cell>
          <cell r="AD151" t="str">
            <v/>
          </cell>
          <cell r="AE151" t="str">
            <v/>
          </cell>
          <cell r="AF151" t="str">
            <v/>
          </cell>
          <cell r="AG151" t="str">
            <v/>
          </cell>
          <cell r="AH151" t="str">
            <v/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O151" t="str">
            <v/>
          </cell>
          <cell r="AP151" t="str">
            <v/>
          </cell>
          <cell r="AQ151" t="str">
            <v/>
          </cell>
          <cell r="AR151" t="str">
            <v/>
          </cell>
          <cell r="AS151" t="str">
            <v/>
          </cell>
          <cell r="AU151" t="str">
            <v>AOD</v>
          </cell>
          <cell r="AV151" t="str">
            <v>O</v>
          </cell>
          <cell r="AW151">
            <v>24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3240</v>
          </cell>
          <cell r="BF151">
            <v>1862.64</v>
          </cell>
          <cell r="BG151">
            <v>1377.36</v>
          </cell>
          <cell r="BH151">
            <v>1377.36</v>
          </cell>
          <cell r="BI151">
            <v>0.42511111111111111</v>
          </cell>
          <cell r="BJ151">
            <v>3240</v>
          </cell>
          <cell r="BK151">
            <v>1862.64</v>
          </cell>
          <cell r="BL151">
            <v>1377.36</v>
          </cell>
          <cell r="BM151">
            <v>0.42511111111111111</v>
          </cell>
          <cell r="BN151">
            <v>0.42511111111111111</v>
          </cell>
          <cell r="BO151" t="str">
            <v>SMB</v>
          </cell>
          <cell r="BP151" t="str">
            <v>O</v>
          </cell>
          <cell r="BQ151" t="str">
            <v>B8</v>
          </cell>
          <cell r="BR151">
            <v>8200347</v>
          </cell>
          <cell r="BS151" t="str">
            <v>1AQ</v>
          </cell>
          <cell r="BT151">
            <v>8197526</v>
          </cell>
          <cell r="BW151" t="str">
            <v/>
          </cell>
          <cell r="BX151" t="str">
            <v>Unrated</v>
          </cell>
          <cell r="BY151" t="str">
            <v>Under</v>
          </cell>
          <cell r="BZ151" t="str">
            <v/>
          </cell>
          <cell r="CA151" t="str">
            <v/>
          </cell>
          <cell r="CG151">
            <v>3240</v>
          </cell>
          <cell r="CH151">
            <v>1862.64</v>
          </cell>
          <cell r="CI151">
            <v>1377.36</v>
          </cell>
          <cell r="CJ151">
            <v>0.42511111111111111</v>
          </cell>
          <cell r="CK151">
            <v>0.42511111111111111</v>
          </cell>
          <cell r="CM151" t="e">
            <v>#N/A</v>
          </cell>
          <cell r="CN151" t="str">
            <v/>
          </cell>
          <cell r="CO151" t="str">
            <v/>
          </cell>
          <cell r="CP151" t="str">
            <v/>
          </cell>
          <cell r="CQ151" t="str">
            <v/>
          </cell>
          <cell r="CR151" t="str">
            <v/>
          </cell>
          <cell r="CS151">
            <v>38534</v>
          </cell>
          <cell r="CT151" t="str">
            <v/>
          </cell>
          <cell r="CU151" t="str">
            <v/>
          </cell>
          <cell r="CV151" t="str">
            <v/>
          </cell>
          <cell r="CW151" t="str">
            <v>APPLICATION INNOVATION</v>
          </cell>
        </row>
        <row r="152">
          <cell r="A152" t="str">
            <v>CFT3R0N</v>
          </cell>
          <cell r="B152" t="str">
            <v>TEL</v>
          </cell>
          <cell r="C152" t="str">
            <v>AIS</v>
          </cell>
          <cell r="D152" t="str">
            <v>AIS</v>
          </cell>
          <cell r="E152" t="str">
            <v>C&amp;SI</v>
          </cell>
          <cell r="F152" t="str">
            <v>SKYWOR SOLUTION</v>
          </cell>
          <cell r="G152">
            <v>0</v>
          </cell>
          <cell r="H152" t="str">
            <v>CFT3R0N</v>
          </cell>
          <cell r="I152">
            <v>1</v>
          </cell>
          <cell r="J152">
            <v>0</v>
          </cell>
          <cell r="K152">
            <v>0</v>
          </cell>
          <cell r="L152" t="str">
            <v>BE</v>
          </cell>
          <cell r="M152">
            <v>38657</v>
          </cell>
          <cell r="N152">
            <v>38777</v>
          </cell>
          <cell r="O152">
            <v>-12543</v>
          </cell>
          <cell r="P152">
            <v>0</v>
          </cell>
          <cell r="Q152">
            <v>-12543</v>
          </cell>
          <cell r="R152">
            <v>0</v>
          </cell>
          <cell r="S152">
            <v>6.0735071354540322E-2</v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>Y</v>
          </cell>
          <cell r="AA152" t="str">
            <v/>
          </cell>
          <cell r="AC152" t="str">
            <v/>
          </cell>
          <cell r="AD152" t="str">
            <v/>
          </cell>
          <cell r="AU152" t="str">
            <v>AOD</v>
          </cell>
          <cell r="AV152" t="str">
            <v>O</v>
          </cell>
          <cell r="AW152">
            <v>108.2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12543</v>
          </cell>
          <cell r="BF152">
            <v>11781.2</v>
          </cell>
          <cell r="BG152">
            <v>761.79999999999927</v>
          </cell>
          <cell r="BH152">
            <v>761.79999999999927</v>
          </cell>
          <cell r="BI152">
            <v>6.0735071354540322E-2</v>
          </cell>
          <cell r="BJ152">
            <v>12543</v>
          </cell>
          <cell r="BK152">
            <v>11781.2</v>
          </cell>
          <cell r="BL152">
            <v>761.79999999999927</v>
          </cell>
          <cell r="BM152">
            <v>6.0735071354540322E-2</v>
          </cell>
          <cell r="BN152">
            <v>6.0735071354540322E-2</v>
          </cell>
          <cell r="BO152" t="str">
            <v>SMB</v>
          </cell>
          <cell r="BP152" t="str">
            <v>O</v>
          </cell>
          <cell r="BQ152" t="str">
            <v>B8</v>
          </cell>
          <cell r="BR152">
            <v>8200347</v>
          </cell>
          <cell r="BS152" t="str">
            <v>1AQ</v>
          </cell>
          <cell r="BT152">
            <v>8197526</v>
          </cell>
          <cell r="BW152" t="str">
            <v/>
          </cell>
          <cell r="BX152" t="str">
            <v>Unrated</v>
          </cell>
          <cell r="BY152" t="str">
            <v>Under</v>
          </cell>
          <cell r="BZ152" t="str">
            <v/>
          </cell>
          <cell r="CA152" t="str">
            <v/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M152" t="e">
            <v>#N/A</v>
          </cell>
          <cell r="CS152">
            <v>38657</v>
          </cell>
          <cell r="CV152" t="str">
            <v/>
          </cell>
          <cell r="CW152" t="str">
            <v>APPLICATION INNOVATION</v>
          </cell>
        </row>
        <row r="153">
          <cell r="A153" t="str">
            <v>CFT6K2N</v>
          </cell>
          <cell r="B153" t="str">
            <v>TEL</v>
          </cell>
          <cell r="C153" t="str">
            <v>AIS</v>
          </cell>
          <cell r="D153" t="str">
            <v>AIS</v>
          </cell>
          <cell r="E153" t="str">
            <v>C&amp;SI</v>
          </cell>
          <cell r="F153" t="str">
            <v>SKYWOR SOLUTION</v>
          </cell>
          <cell r="G153">
            <v>0</v>
          </cell>
          <cell r="H153" t="str">
            <v>CFT6K2N</v>
          </cell>
          <cell r="I153">
            <v>1</v>
          </cell>
          <cell r="J153">
            <v>0</v>
          </cell>
          <cell r="K153">
            <v>0</v>
          </cell>
          <cell r="L153" t="str">
            <v>IC</v>
          </cell>
          <cell r="M153">
            <v>39234</v>
          </cell>
          <cell r="N153">
            <v>39964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 t="str">
            <v>Y</v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C153" t="str">
            <v/>
          </cell>
          <cell r="AD153" t="str">
            <v/>
          </cell>
          <cell r="AU153" t="str">
            <v>AOD</v>
          </cell>
          <cell r="AV153" t="str">
            <v>O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 t="str">
            <v>SMB</v>
          </cell>
          <cell r="BP153" t="str">
            <v>O</v>
          </cell>
          <cell r="BQ153" t="str">
            <v>B6</v>
          </cell>
          <cell r="BR153">
            <v>8200347</v>
          </cell>
          <cell r="BS153" t="str">
            <v>1AF</v>
          </cell>
          <cell r="BT153">
            <v>8197526</v>
          </cell>
          <cell r="BW153" t="str">
            <v/>
          </cell>
          <cell r="BX153" t="str">
            <v>Unrated</v>
          </cell>
          <cell r="BY153" t="str">
            <v>Under</v>
          </cell>
          <cell r="BZ153" t="str">
            <v/>
          </cell>
          <cell r="CA153" t="str">
            <v/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M153" t="e">
            <v>#N/A</v>
          </cell>
          <cell r="CS153">
            <v>39234</v>
          </cell>
          <cell r="CV153" t="str">
            <v/>
          </cell>
          <cell r="CW153" t="str">
            <v>APPLICATION INNOVATION</v>
          </cell>
        </row>
        <row r="154">
          <cell r="A154" t="str">
            <v>CFT02FM</v>
          </cell>
          <cell r="B154" t="str">
            <v>MED</v>
          </cell>
          <cell r="C154" t="str">
            <v>FM</v>
          </cell>
          <cell r="D154" t="str">
            <v>FM</v>
          </cell>
          <cell r="E154" t="str">
            <v>C&amp;SI</v>
          </cell>
          <cell r="F154" t="str">
            <v>SONY BMG MUS EN</v>
          </cell>
          <cell r="G154" t="str">
            <v>Support Finance / Accting...</v>
          </cell>
          <cell r="H154" t="str">
            <v>CFT02FM</v>
          </cell>
          <cell r="I154">
            <v>3</v>
          </cell>
          <cell r="J154" t="str">
            <v>Joseph F Devaney/Philadelphia/IBM</v>
          </cell>
          <cell r="K154" t="str">
            <v>Keith J Roberts/Atlanta/IBM</v>
          </cell>
          <cell r="L154" t="str">
            <v>BE</v>
          </cell>
          <cell r="M154">
            <v>38405</v>
          </cell>
          <cell r="N154">
            <v>38744</v>
          </cell>
          <cell r="O154">
            <v>226880.06</v>
          </cell>
          <cell r="P154">
            <v>2471962.79</v>
          </cell>
          <cell r="Q154">
            <v>226880.06</v>
          </cell>
          <cell r="R154">
            <v>0.47120603704556574</v>
          </cell>
          <cell r="S154">
            <v>0.47054364896388468</v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>Y</v>
          </cell>
          <cell r="Y154" t="str">
            <v/>
          </cell>
          <cell r="Z154" t="str">
            <v/>
          </cell>
          <cell r="AA154" t="str">
            <v/>
          </cell>
          <cell r="AC154" t="str">
            <v/>
          </cell>
          <cell r="AD154" t="str">
            <v/>
          </cell>
          <cell r="AE154" t="str">
            <v>Giblin</v>
          </cell>
          <cell r="AF154" t="str">
            <v/>
          </cell>
          <cell r="AG154" t="str">
            <v/>
          </cell>
          <cell r="AH154" t="str">
            <v>Rob Tomlin</v>
          </cell>
          <cell r="AI154" t="str">
            <v/>
          </cell>
          <cell r="AJ154" t="str">
            <v/>
          </cell>
          <cell r="AK154" t="str">
            <v/>
          </cell>
          <cell r="AL154">
            <v>38749</v>
          </cell>
          <cell r="AM154" t="str">
            <v>G</v>
          </cell>
          <cell r="AN154" t="str">
            <v>Y</v>
          </cell>
          <cell r="AO154" t="str">
            <v>Y</v>
          </cell>
          <cell r="AP154" t="str">
            <v>Y</v>
          </cell>
          <cell r="AQ154" t="str">
            <v>G</v>
          </cell>
          <cell r="AR154" t="str">
            <v>G</v>
          </cell>
          <cell r="AS154" t="str">
            <v>G</v>
          </cell>
          <cell r="AU154" t="str">
            <v>FINANCIAL MANAGEMENT</v>
          </cell>
          <cell r="AV154" t="str">
            <v>O</v>
          </cell>
          <cell r="AW154">
            <v>9135.4</v>
          </cell>
          <cell r="AX154">
            <v>6.4</v>
          </cell>
          <cell r="AY154">
            <v>7.0057140355102136E-4</v>
          </cell>
          <cell r="AZ154">
            <v>2471962.79</v>
          </cell>
          <cell r="BA154">
            <v>1307159</v>
          </cell>
          <cell r="BB154">
            <v>1164803.79</v>
          </cell>
          <cell r="BC154">
            <v>110605</v>
          </cell>
          <cell r="BD154">
            <v>8.4614802024849306E-2</v>
          </cell>
          <cell r="BE154">
            <v>2245082.73</v>
          </cell>
          <cell r="BF154">
            <v>1188673.31</v>
          </cell>
          <cell r="BG154">
            <v>1056409.42</v>
          </cell>
          <cell r="BH154">
            <v>-108394.37</v>
          </cell>
          <cell r="BI154">
            <v>-6.6238808168106456E-4</v>
          </cell>
          <cell r="BJ154">
            <v>2245082.73</v>
          </cell>
          <cell r="BK154">
            <v>1188673.31</v>
          </cell>
          <cell r="BL154">
            <v>1056409.42</v>
          </cell>
          <cell r="BM154">
            <v>0.47054364896388468</v>
          </cell>
          <cell r="BN154">
            <v>-6.6238808168106456E-4</v>
          </cell>
          <cell r="BO154" t="str">
            <v>ISU</v>
          </cell>
          <cell r="BP154" t="str">
            <v>O</v>
          </cell>
          <cell r="BQ154" t="str">
            <v>FX</v>
          </cell>
          <cell r="BR154">
            <v>1049194</v>
          </cell>
          <cell r="BS154" t="str">
            <v>6YR</v>
          </cell>
          <cell r="BT154">
            <v>953818</v>
          </cell>
          <cell r="BW154" t="str">
            <v/>
          </cell>
          <cell r="BX154" t="str">
            <v>Unrated</v>
          </cell>
          <cell r="BY154" t="str">
            <v>Over</v>
          </cell>
          <cell r="BZ154" t="str">
            <v/>
          </cell>
          <cell r="CA154" t="str">
            <v/>
          </cell>
          <cell r="CG154">
            <v>2051606.73</v>
          </cell>
          <cell r="CH154">
            <v>1099680.53</v>
          </cell>
          <cell r="CI154">
            <v>951926.2</v>
          </cell>
          <cell r="CJ154">
            <v>0.46399058166474233</v>
          </cell>
          <cell r="CK154">
            <v>-7.2154553808234101E-3</v>
          </cell>
          <cell r="CL154" t="str">
            <v>Actually FM not SC..PCR being put together; Paul to ck on status.</v>
          </cell>
          <cell r="CM154" t="str">
            <v/>
          </cell>
          <cell r="CN154" t="str">
            <v/>
          </cell>
          <cell r="CO154" t="str">
            <v>SC</v>
          </cell>
          <cell r="CP154" t="str">
            <v>FM</v>
          </cell>
          <cell r="CQ154" t="str">
            <v/>
          </cell>
          <cell r="CR154" t="str">
            <v/>
          </cell>
          <cell r="CS154">
            <v>38384</v>
          </cell>
          <cell r="CT154" t="str">
            <v/>
          </cell>
          <cell r="CV154" t="str">
            <v/>
          </cell>
          <cell r="CW154" t="str">
            <v>FINANCIAL MANAGEMENT</v>
          </cell>
        </row>
        <row r="155">
          <cell r="A155" t="str">
            <v>CFT6H5K</v>
          </cell>
          <cell r="B155" t="str">
            <v>MED</v>
          </cell>
          <cell r="C155" t="str">
            <v>FM</v>
          </cell>
          <cell r="D155" t="str">
            <v>FM</v>
          </cell>
          <cell r="E155" t="str">
            <v>C&amp;SI</v>
          </cell>
          <cell r="F155" t="str">
            <v>SONY PICT ENTER</v>
          </cell>
          <cell r="G155" t="str">
            <v>SPE Financials</v>
          </cell>
          <cell r="H155" t="str">
            <v>CFT6H5K</v>
          </cell>
          <cell r="I155">
            <v>6</v>
          </cell>
          <cell r="J155" t="str">
            <v>Richard G Dorion/Los Angeles/IBM</v>
          </cell>
          <cell r="K155" t="str">
            <v>Marie A Bell/Morristown/IBM</v>
          </cell>
          <cell r="L155" t="str">
            <v>FP</v>
          </cell>
          <cell r="M155">
            <v>37760</v>
          </cell>
          <cell r="N155">
            <v>39263</v>
          </cell>
          <cell r="O155">
            <v>1653165</v>
          </cell>
          <cell r="P155">
            <v>38740496</v>
          </cell>
          <cell r="Q155">
            <v>1653165</v>
          </cell>
          <cell r="R155">
            <v>0.41201106459762415</v>
          </cell>
          <cell r="S155">
            <v>-0.13208320598751108</v>
          </cell>
          <cell r="T155" t="str">
            <v/>
          </cell>
          <cell r="U155" t="str">
            <v/>
          </cell>
          <cell r="V155" t="str">
            <v>Y</v>
          </cell>
          <cell r="W155" t="str">
            <v>Y</v>
          </cell>
          <cell r="X155" t="str">
            <v>Y</v>
          </cell>
          <cell r="Y155" t="str">
            <v>Y</v>
          </cell>
          <cell r="Z155" t="str">
            <v/>
          </cell>
          <cell r="AA155" t="str">
            <v/>
          </cell>
          <cell r="AC155" t="str">
            <v>Y</v>
          </cell>
          <cell r="AD155" t="str">
            <v>Y</v>
          </cell>
          <cell r="AE155" t="str">
            <v>Coleman</v>
          </cell>
          <cell r="AF155" t="str">
            <v>Y</v>
          </cell>
          <cell r="AG155" t="str">
            <v>Angie Ramirez</v>
          </cell>
          <cell r="AH155" t="str">
            <v/>
          </cell>
          <cell r="AI155" t="str">
            <v>H</v>
          </cell>
          <cell r="AJ155" t="str">
            <v>D</v>
          </cell>
          <cell r="AK155">
            <v>38673</v>
          </cell>
          <cell r="AL155" t="str">
            <v>TBD</v>
          </cell>
          <cell r="AM155" t="str">
            <v>Y</v>
          </cell>
          <cell r="AN155" t="str">
            <v>Y</v>
          </cell>
          <cell r="AO155" t="str">
            <v>Y</v>
          </cell>
          <cell r="AP155" t="str">
            <v>Y</v>
          </cell>
          <cell r="AQ155" t="str">
            <v>Y</v>
          </cell>
          <cell r="AR155" t="str">
            <v>Y</v>
          </cell>
          <cell r="AS155" t="str">
            <v>R</v>
          </cell>
          <cell r="AU155" t="str">
            <v>FINANCIAL MANAGEMENT</v>
          </cell>
          <cell r="AV155" t="str">
            <v>O</v>
          </cell>
          <cell r="AW155">
            <v>277639.40000000002</v>
          </cell>
          <cell r="AX155">
            <v>1631.8</v>
          </cell>
          <cell r="AY155">
            <v>5.8774078895142403E-3</v>
          </cell>
          <cell r="AZ155">
            <v>38740496</v>
          </cell>
          <cell r="BA155">
            <v>22778983</v>
          </cell>
          <cell r="BB155">
            <v>15961513</v>
          </cell>
          <cell r="BC155">
            <v>2187683</v>
          </cell>
          <cell r="BD155">
            <v>9.6039537849429008E-2</v>
          </cell>
          <cell r="BE155">
            <v>37087331</v>
          </cell>
          <cell r="BF155">
            <v>41985944.580000006</v>
          </cell>
          <cell r="BG155">
            <v>-4898613.5800000057</v>
          </cell>
          <cell r="BH155">
            <v>-20860126.580000006</v>
          </cell>
          <cell r="BI155">
            <v>-0.54409427058513526</v>
          </cell>
          <cell r="BJ155">
            <v>9015422.8599999994</v>
          </cell>
          <cell r="BK155">
            <v>20738837.169999998</v>
          </cell>
          <cell r="BL155">
            <v>-11723414.309999999</v>
          </cell>
          <cell r="BM155">
            <v>-1.3003732040140821</v>
          </cell>
          <cell r="BN155">
            <v>-1.7123842686117063</v>
          </cell>
          <cell r="BO155" t="str">
            <v>SMB</v>
          </cell>
          <cell r="BP155" t="str">
            <v>O</v>
          </cell>
          <cell r="BQ155" t="str">
            <v>FY</v>
          </cell>
          <cell r="BR155">
            <v>8278496</v>
          </cell>
          <cell r="BS155" t="str">
            <v>6YM</v>
          </cell>
          <cell r="BT155">
            <v>8250500</v>
          </cell>
          <cell r="BW155" t="str">
            <v/>
          </cell>
          <cell r="BX155" t="str">
            <v>Rated</v>
          </cell>
          <cell r="BY155" t="str">
            <v>Over</v>
          </cell>
          <cell r="BZ155" t="str">
            <v>D</v>
          </cell>
          <cell r="CA155" t="str">
            <v>H</v>
          </cell>
          <cell r="CG155">
            <v>38200711</v>
          </cell>
          <cell r="CH155">
            <v>43002894.569999993</v>
          </cell>
          <cell r="CI155">
            <v>-4802183.57</v>
          </cell>
          <cell r="CJ155">
            <v>-0.12570927200805243</v>
          </cell>
          <cell r="CK155">
            <v>-0.53772033660567664</v>
          </cell>
          <cell r="CL155" t="str">
            <v>30 - 45 days…use ISV no transition needed...</v>
          </cell>
          <cell r="CM155" t="str">
            <v/>
          </cell>
          <cell r="CN155" t="str">
            <v/>
          </cell>
          <cell r="CO155" t="str">
            <v/>
          </cell>
          <cell r="CP155" t="str">
            <v/>
          </cell>
          <cell r="CQ155" t="str">
            <v/>
          </cell>
          <cell r="CR155" t="str">
            <v/>
          </cell>
          <cell r="CS155">
            <v>37742</v>
          </cell>
          <cell r="CT155" t="str">
            <v/>
          </cell>
          <cell r="CV155" t="str">
            <v/>
          </cell>
          <cell r="CW155" t="str">
            <v>FINANCIAL MANAGEMENT</v>
          </cell>
        </row>
        <row r="156">
          <cell r="A156" t="str">
            <v>CFTF5XL</v>
          </cell>
          <cell r="B156" t="str">
            <v>MED</v>
          </cell>
          <cell r="C156" t="str">
            <v>HCM</v>
          </cell>
          <cell r="D156" t="str">
            <v>HCM</v>
          </cell>
          <cell r="E156" t="str">
            <v>C&amp;SI</v>
          </cell>
          <cell r="F156" t="str">
            <v>SONY PICT ENTER</v>
          </cell>
          <cell r="G156" t="str">
            <v>SPE HTG Support</v>
          </cell>
          <cell r="H156" t="str">
            <v>CFTF5XL</v>
          </cell>
          <cell r="I156">
            <v>1</v>
          </cell>
          <cell r="J156" t="str">
            <v>Gary I Hill/Irvine/IBM</v>
          </cell>
          <cell r="K156" t="str">
            <v>JoJo Borromeo/San Francisco/IBM</v>
          </cell>
          <cell r="L156" t="str">
            <v>BE</v>
          </cell>
          <cell r="M156">
            <v>37813</v>
          </cell>
          <cell r="N156">
            <v>38748</v>
          </cell>
          <cell r="O156">
            <v>538075</v>
          </cell>
          <cell r="P156">
            <v>4761595</v>
          </cell>
          <cell r="Q156">
            <v>538075</v>
          </cell>
          <cell r="R156">
            <v>0.40941050215316505</v>
          </cell>
          <cell r="S156">
            <v>0.39547818170625443</v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>Y</v>
          </cell>
          <cell r="Y156" t="str">
            <v/>
          </cell>
          <cell r="Z156" t="str">
            <v/>
          </cell>
          <cell r="AA156" t="str">
            <v/>
          </cell>
          <cell r="AC156" t="str">
            <v>Y</v>
          </cell>
          <cell r="AD156" t="str">
            <v>Y</v>
          </cell>
          <cell r="AE156" t="str">
            <v>Sills</v>
          </cell>
          <cell r="AF156" t="str">
            <v/>
          </cell>
          <cell r="AG156" t="str">
            <v/>
          </cell>
          <cell r="AH156" t="str">
            <v/>
          </cell>
          <cell r="AI156" t="str">
            <v/>
          </cell>
          <cell r="AJ156" t="str">
            <v>*CLOSING*</v>
          </cell>
          <cell r="AK156">
            <v>38596</v>
          </cell>
          <cell r="AL156" t="str">
            <v>N/A</v>
          </cell>
          <cell r="AM156" t="str">
            <v/>
          </cell>
          <cell r="AN156" t="str">
            <v/>
          </cell>
          <cell r="AO156" t="str">
            <v/>
          </cell>
          <cell r="AP156" t="str">
            <v/>
          </cell>
          <cell r="AQ156" t="str">
            <v/>
          </cell>
          <cell r="AR156" t="str">
            <v/>
          </cell>
          <cell r="AS156" t="str">
            <v/>
          </cell>
          <cell r="AU156" t="str">
            <v>HUMAN CAPITAL MANAGEMENT</v>
          </cell>
          <cell r="AV156" t="str">
            <v>O</v>
          </cell>
          <cell r="AW156">
            <v>22617</v>
          </cell>
          <cell r="AX156">
            <v>892</v>
          </cell>
          <cell r="AY156">
            <v>3.9439359773621611E-2</v>
          </cell>
          <cell r="AZ156">
            <v>4761595</v>
          </cell>
          <cell r="BA156">
            <v>2812148</v>
          </cell>
          <cell r="BB156">
            <v>1949447</v>
          </cell>
          <cell r="BC156">
            <v>112940</v>
          </cell>
          <cell r="BD156">
            <v>4.0161470875643812E-2</v>
          </cell>
          <cell r="BE156">
            <v>4223520</v>
          </cell>
          <cell r="BF156">
            <v>2553209.9900000002</v>
          </cell>
          <cell r="BG156">
            <v>1670310.01</v>
          </cell>
          <cell r="BH156">
            <v>-279136.99</v>
          </cell>
          <cell r="BI156">
            <v>-1.3932320446910618E-2</v>
          </cell>
          <cell r="BJ156">
            <v>1681920</v>
          </cell>
          <cell r="BK156">
            <v>1057229.5</v>
          </cell>
          <cell r="BL156">
            <v>624690.5</v>
          </cell>
          <cell r="BM156">
            <v>0.37141510892313545</v>
          </cell>
          <cell r="BN156">
            <v>-3.7995393230029595E-2</v>
          </cell>
          <cell r="BO156" t="str">
            <v>ISU</v>
          </cell>
          <cell r="BP156" t="str">
            <v>O</v>
          </cell>
          <cell r="BQ156" t="str">
            <v>FX</v>
          </cell>
          <cell r="BR156">
            <v>8252605</v>
          </cell>
          <cell r="BS156" t="str">
            <v>6YM</v>
          </cell>
          <cell r="BT156">
            <v>8250500</v>
          </cell>
          <cell r="BW156" t="str">
            <v/>
          </cell>
          <cell r="BX156" t="str">
            <v>Rated</v>
          </cell>
          <cell r="BY156" t="str">
            <v>Over</v>
          </cell>
          <cell r="BZ156" t="str">
            <v>Other</v>
          </cell>
          <cell r="CA156" t="str">
            <v/>
          </cell>
          <cell r="CG156">
            <v>4252575</v>
          </cell>
          <cell r="CH156">
            <v>2567429.5299999998</v>
          </cell>
          <cell r="CI156">
            <v>1685145.47</v>
          </cell>
          <cell r="CJ156">
            <v>0.39626472666560847</v>
          </cell>
          <cell r="CK156">
            <v>-1.3145775487556577E-2</v>
          </cell>
          <cell r="CL156" t="str">
            <v/>
          </cell>
          <cell r="CM156" t="str">
            <v/>
          </cell>
          <cell r="CN156" t="str">
            <v/>
          </cell>
          <cell r="CO156" t="str">
            <v/>
          </cell>
          <cell r="CP156" t="str">
            <v/>
          </cell>
          <cell r="CQ156" t="str">
            <v/>
          </cell>
          <cell r="CR156" t="str">
            <v/>
          </cell>
          <cell r="CS156">
            <v>37803</v>
          </cell>
          <cell r="CT156" t="str">
            <v/>
          </cell>
          <cell r="CV156" t="str">
            <v/>
          </cell>
          <cell r="CW156" t="str">
            <v>HUMAN CAPITAL MANAGEMENT</v>
          </cell>
        </row>
        <row r="157">
          <cell r="A157" t="str">
            <v>CFTKVBM</v>
          </cell>
          <cell r="B157" t="str">
            <v>MED</v>
          </cell>
          <cell r="C157" t="str">
            <v>AIS</v>
          </cell>
          <cell r="D157" t="str">
            <v>AIS</v>
          </cell>
          <cell r="E157" t="str">
            <v>C&amp;SI</v>
          </cell>
          <cell r="F157" t="str">
            <v>SONY PICT ENTER</v>
          </cell>
          <cell r="G157" t="str">
            <v>Blu-rayDiscAuthoringSys</v>
          </cell>
          <cell r="H157" t="str">
            <v>CFTKVBM</v>
          </cell>
          <cell r="I157">
            <v>1</v>
          </cell>
          <cell r="J157" t="str">
            <v>Edward Hanapole/New York/IBM</v>
          </cell>
          <cell r="K157" t="str">
            <v>Lily Hwu/Los Angeles/IBM</v>
          </cell>
          <cell r="L157" t="str">
            <v>FP</v>
          </cell>
          <cell r="M157">
            <v>38205</v>
          </cell>
          <cell r="N157">
            <v>38717</v>
          </cell>
          <cell r="O157">
            <v>15202.060000000056</v>
          </cell>
          <cell r="P157">
            <v>4100000</v>
          </cell>
          <cell r="Q157">
            <v>15202.060000000056</v>
          </cell>
          <cell r="R157">
            <v>0.27506487804878049</v>
          </cell>
          <cell r="S157">
            <v>-6.6308097482050771E-2</v>
          </cell>
          <cell r="T157" t="str">
            <v/>
          </cell>
          <cell r="U157" t="str">
            <v>Y</v>
          </cell>
          <cell r="V157" t="str">
            <v>Y</v>
          </cell>
          <cell r="W157" t="str">
            <v>Y</v>
          </cell>
          <cell r="X157" t="str">
            <v>Y</v>
          </cell>
          <cell r="Y157" t="str">
            <v>Y</v>
          </cell>
          <cell r="Z157" t="str">
            <v/>
          </cell>
          <cell r="AA157" t="str">
            <v/>
          </cell>
          <cell r="AC157" t="str">
            <v>Y</v>
          </cell>
          <cell r="AD157" t="str">
            <v/>
          </cell>
          <cell r="AE157" t="str">
            <v>Coleman</v>
          </cell>
          <cell r="AF157" t="str">
            <v/>
          </cell>
          <cell r="AG157" t="str">
            <v/>
          </cell>
          <cell r="AH157" t="str">
            <v>Kim Krostue</v>
          </cell>
          <cell r="AI157" t="str">
            <v>H</v>
          </cell>
          <cell r="AJ157" t="str">
            <v>D</v>
          </cell>
          <cell r="AK157">
            <v>38497</v>
          </cell>
          <cell r="AL157" t="str">
            <v>TBD</v>
          </cell>
          <cell r="AM157" t="str">
            <v>Y</v>
          </cell>
          <cell r="AN157" t="str">
            <v>Y</v>
          </cell>
          <cell r="AO157" t="str">
            <v>R</v>
          </cell>
          <cell r="AP157" t="str">
            <v>Y</v>
          </cell>
          <cell r="AQ157" t="str">
            <v>Y</v>
          </cell>
          <cell r="AR157" t="str">
            <v>Y</v>
          </cell>
          <cell r="AS157" t="str">
            <v>R</v>
          </cell>
          <cell r="AU157" t="str">
            <v>APPLICATION INNOVATION</v>
          </cell>
          <cell r="AV157" t="str">
            <v>O</v>
          </cell>
          <cell r="AW157">
            <v>22354.6</v>
          </cell>
          <cell r="AX157">
            <v>108</v>
          </cell>
          <cell r="AY157">
            <v>4.8312204199583084E-3</v>
          </cell>
          <cell r="AZ157">
            <v>4100000</v>
          </cell>
          <cell r="BA157">
            <v>2972234</v>
          </cell>
          <cell r="BB157">
            <v>1127766</v>
          </cell>
          <cell r="BC157">
            <v>297223</v>
          </cell>
          <cell r="BD157">
            <v>9.9999865421094028E-2</v>
          </cell>
          <cell r="BE157">
            <v>4084797.94</v>
          </cell>
          <cell r="BF157">
            <v>4355653.12</v>
          </cell>
          <cell r="BG157">
            <v>-270855.18</v>
          </cell>
          <cell r="BH157">
            <v>-1398621.18</v>
          </cell>
          <cell r="BI157">
            <v>-0.34137297553083124</v>
          </cell>
          <cell r="BJ157">
            <v>2888723.06</v>
          </cell>
          <cell r="BK157">
            <v>3407931.02</v>
          </cell>
          <cell r="BL157">
            <v>-519207.96</v>
          </cell>
          <cell r="BM157">
            <v>-0.17973614957745376</v>
          </cell>
          <cell r="BN157">
            <v>-0.45480102762623426</v>
          </cell>
          <cell r="BO157" t="str">
            <v>ISU</v>
          </cell>
          <cell r="BP157" t="str">
            <v>O</v>
          </cell>
          <cell r="BQ157" t="str">
            <v>FY</v>
          </cell>
          <cell r="BR157">
            <v>8252605</v>
          </cell>
          <cell r="BS157" t="str">
            <v>6YM</v>
          </cell>
          <cell r="BT157">
            <v>8250500</v>
          </cell>
          <cell r="BW157" t="str">
            <v/>
          </cell>
          <cell r="BX157" t="str">
            <v>Rated</v>
          </cell>
          <cell r="BY157" t="str">
            <v>Over</v>
          </cell>
          <cell r="BZ157" t="str">
            <v>D</v>
          </cell>
          <cell r="CA157" t="str">
            <v>H</v>
          </cell>
          <cell r="CG157">
            <v>4100000</v>
          </cell>
          <cell r="CH157">
            <v>3603446.98</v>
          </cell>
          <cell r="CI157">
            <v>496553.02</v>
          </cell>
          <cell r="CJ157">
            <v>0.12111049268292684</v>
          </cell>
          <cell r="CK157">
            <v>-0.15395438536585365</v>
          </cell>
          <cell r="CL157" t="str">
            <v/>
          </cell>
          <cell r="CM157" t="str">
            <v/>
          </cell>
          <cell r="CN157" t="str">
            <v/>
          </cell>
          <cell r="CO157" t="str">
            <v/>
          </cell>
          <cell r="CP157" t="str">
            <v/>
          </cell>
          <cell r="CQ157" t="str">
            <v>Large Scale Develp</v>
          </cell>
          <cell r="CR157" t="str">
            <v>EH and TC requested no PMR.  Possilble exit.</v>
          </cell>
          <cell r="CS157">
            <v>38200</v>
          </cell>
          <cell r="CT157" t="str">
            <v/>
          </cell>
          <cell r="CU157" t="str">
            <v>6955-24D</v>
          </cell>
          <cell r="CV157" t="str">
            <v>AMS</v>
          </cell>
          <cell r="CW157" t="str">
            <v>APPLICATION INNOVATION</v>
          </cell>
        </row>
        <row r="158">
          <cell r="A158" t="str">
            <v>CFT5VWN</v>
          </cell>
          <cell r="B158" t="str">
            <v>MED</v>
          </cell>
          <cell r="C158" t="str">
            <v>AIS</v>
          </cell>
          <cell r="D158" t="str">
            <v>AIS</v>
          </cell>
          <cell r="E158" t="str">
            <v>C&amp;SI</v>
          </cell>
          <cell r="F158" t="str">
            <v>SONY PICT ENTER</v>
          </cell>
          <cell r="G158" t="str">
            <v>Blu-ray Staff Augmentati</v>
          </cell>
          <cell r="H158" t="str">
            <v>CFT5VWN</v>
          </cell>
          <cell r="I158">
            <v>1</v>
          </cell>
          <cell r="J158" t="str">
            <v>Edward Hanapole/New York/IBM</v>
          </cell>
          <cell r="K158" t="str">
            <v>Fabio Schiattarella/Atlanta/IBM</v>
          </cell>
          <cell r="L158" t="str">
            <v>BE</v>
          </cell>
          <cell r="M158">
            <v>38718</v>
          </cell>
          <cell r="N158">
            <v>38800</v>
          </cell>
          <cell r="O158">
            <v>1105440</v>
          </cell>
          <cell r="P158">
            <v>1105440</v>
          </cell>
          <cell r="Q158">
            <v>1105440</v>
          </cell>
          <cell r="R158">
            <v>0.43868233463598205</v>
          </cell>
          <cell r="S158">
            <v>0</v>
          </cell>
          <cell r="T158" t="str">
            <v>Y</v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C158" t="str">
            <v/>
          </cell>
          <cell r="AD158" t="str">
            <v>Y</v>
          </cell>
          <cell r="AE158" t="str">
            <v>Coleman</v>
          </cell>
          <cell r="AH158" t="str">
            <v>Krostue</v>
          </cell>
          <cell r="AL158" t="str">
            <v>TBD</v>
          </cell>
          <cell r="AU158" t="str">
            <v>APPLICATION INNOVATION</v>
          </cell>
          <cell r="AV158" t="str">
            <v>O</v>
          </cell>
          <cell r="AW158">
            <v>42</v>
          </cell>
          <cell r="AX158">
            <v>0</v>
          </cell>
          <cell r="AY158">
            <v>0</v>
          </cell>
          <cell r="AZ158">
            <v>1105440</v>
          </cell>
          <cell r="BA158">
            <v>620503</v>
          </cell>
          <cell r="BB158">
            <v>484937</v>
          </cell>
          <cell r="BC158">
            <v>25385</v>
          </cell>
          <cell r="BD158">
            <v>4.0910358209388188E-2</v>
          </cell>
          <cell r="BE158">
            <v>0</v>
          </cell>
          <cell r="BF158">
            <v>0</v>
          </cell>
          <cell r="BG158">
            <v>0</v>
          </cell>
          <cell r="BH158">
            <v>-484937</v>
          </cell>
          <cell r="BI158">
            <v>-0.43868233463598205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-0.43868233463598205</v>
          </cell>
          <cell r="BO158" t="str">
            <v>ISU</v>
          </cell>
          <cell r="BP158" t="str">
            <v>O</v>
          </cell>
          <cell r="BQ158" t="str">
            <v>FX</v>
          </cell>
          <cell r="BR158">
            <v>8252605</v>
          </cell>
          <cell r="BS158" t="str">
            <v>6YM</v>
          </cell>
          <cell r="BT158">
            <v>8250500</v>
          </cell>
          <cell r="BW158" t="str">
            <v/>
          </cell>
          <cell r="BX158" t="str">
            <v>Unrated</v>
          </cell>
          <cell r="BY158" t="str">
            <v>Over</v>
          </cell>
          <cell r="BZ158" t="str">
            <v/>
          </cell>
          <cell r="CA158" t="str">
            <v/>
          </cell>
          <cell r="CG158">
            <v>1105440</v>
          </cell>
          <cell r="CH158">
            <v>611967</v>
          </cell>
          <cell r="CI158">
            <v>493473</v>
          </cell>
          <cell r="CJ158">
            <v>0.44640414676508899</v>
          </cell>
          <cell r="CK158">
            <v>7.7218121291069419E-3</v>
          </cell>
          <cell r="CM158" t="e">
            <v>#N/A</v>
          </cell>
          <cell r="CS158">
            <v>38718</v>
          </cell>
          <cell r="CV158" t="str">
            <v/>
          </cell>
          <cell r="CW158" t="str">
            <v>APPLICATION INNOVATION</v>
          </cell>
        </row>
        <row r="159">
          <cell r="A159" t="str">
            <v>CFTVJVN</v>
          </cell>
          <cell r="B159" t="str">
            <v>MED</v>
          </cell>
          <cell r="C159" t="str">
            <v>HCM</v>
          </cell>
          <cell r="D159" t="str">
            <v>HCM</v>
          </cell>
          <cell r="E159" t="str">
            <v>C&amp;SI</v>
          </cell>
          <cell r="F159" t="str">
            <v>SONY PICT ENTER</v>
          </cell>
          <cell r="G159" t="str">
            <v>SPE Content Maintenance</v>
          </cell>
          <cell r="H159" t="str">
            <v>CFTVJVN</v>
          </cell>
          <cell r="I159">
            <v>1</v>
          </cell>
          <cell r="J159" t="str">
            <v>Tony Caudill/Irvine/IBM</v>
          </cell>
          <cell r="K159" t="str">
            <v>Tony Caudill/Irvine/IBM</v>
          </cell>
          <cell r="L159" t="str">
            <v>BE</v>
          </cell>
          <cell r="M159">
            <v>38596</v>
          </cell>
          <cell r="N159">
            <v>39141</v>
          </cell>
          <cell r="O159">
            <v>640543.80000000005</v>
          </cell>
          <cell r="P159">
            <v>710150</v>
          </cell>
          <cell r="Q159">
            <v>640543.80000000005</v>
          </cell>
          <cell r="R159">
            <v>0.27832852214320919</v>
          </cell>
          <cell r="S159">
            <v>0.5735435923811385</v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>Y</v>
          </cell>
          <cell r="AA159" t="str">
            <v/>
          </cell>
          <cell r="AC159" t="str">
            <v/>
          </cell>
          <cell r="AD159" t="str">
            <v>Y</v>
          </cell>
          <cell r="AF159" t="str">
            <v/>
          </cell>
          <cell r="AG159" t="str">
            <v/>
          </cell>
          <cell r="AH159" t="str">
            <v/>
          </cell>
          <cell r="AI159" t="str">
            <v/>
          </cell>
          <cell r="AJ159" t="str">
            <v/>
          </cell>
          <cell r="AK159" t="str">
            <v/>
          </cell>
          <cell r="AM159" t="str">
            <v/>
          </cell>
          <cell r="AN159" t="str">
            <v/>
          </cell>
          <cell r="AO159" t="str">
            <v/>
          </cell>
          <cell r="AP159" t="str">
            <v/>
          </cell>
          <cell r="AQ159" t="str">
            <v/>
          </cell>
          <cell r="AR159" t="str">
            <v/>
          </cell>
          <cell r="AS159" t="str">
            <v/>
          </cell>
          <cell r="AU159" t="str">
            <v>HUMAN CAPITAL MANAGEMENT</v>
          </cell>
          <cell r="AV159" t="str">
            <v>O</v>
          </cell>
          <cell r="AW159">
            <v>550.70000000000005</v>
          </cell>
          <cell r="AX159">
            <v>0</v>
          </cell>
          <cell r="AY159">
            <v>0</v>
          </cell>
          <cell r="AZ159">
            <v>710150</v>
          </cell>
          <cell r="BA159">
            <v>512495</v>
          </cell>
          <cell r="BB159">
            <v>197655</v>
          </cell>
          <cell r="BC159">
            <v>20949</v>
          </cell>
          <cell r="BD159">
            <v>4.0876496356062011E-2</v>
          </cell>
          <cell r="BE159">
            <v>69606.2</v>
          </cell>
          <cell r="BF159">
            <v>29684.01</v>
          </cell>
          <cell r="BG159">
            <v>39922.19</v>
          </cell>
          <cell r="BH159">
            <v>-157732.81</v>
          </cell>
          <cell r="BI159">
            <v>0.29521507023792931</v>
          </cell>
          <cell r="BJ159">
            <v>69606.2</v>
          </cell>
          <cell r="BK159">
            <v>29684.01</v>
          </cell>
          <cell r="BL159">
            <v>39922.19</v>
          </cell>
          <cell r="BM159">
            <v>0.5735435923811385</v>
          </cell>
          <cell r="BN159">
            <v>0.29521507023792931</v>
          </cell>
          <cell r="BO159" t="str">
            <v>ISU</v>
          </cell>
          <cell r="BP159" t="str">
            <v>O</v>
          </cell>
          <cell r="BQ159" t="str">
            <v>FY</v>
          </cell>
          <cell r="BR159">
            <v>8252740</v>
          </cell>
          <cell r="BS159" t="str">
            <v>6YM</v>
          </cell>
          <cell r="BT159">
            <v>8250500</v>
          </cell>
          <cell r="BW159" t="str">
            <v/>
          </cell>
          <cell r="BX159" t="str">
            <v>Unrated</v>
          </cell>
          <cell r="BY159" t="str">
            <v>Under</v>
          </cell>
          <cell r="BZ159" t="str">
            <v/>
          </cell>
          <cell r="CA159" t="str">
            <v/>
          </cell>
          <cell r="CG159">
            <v>651511</v>
          </cell>
          <cell r="CH159">
            <v>464021.89</v>
          </cell>
          <cell r="CI159">
            <v>187489.11</v>
          </cell>
          <cell r="CJ159">
            <v>0.28777581652497042</v>
          </cell>
          <cell r="CK159">
            <v>9.4472943817612287E-3</v>
          </cell>
          <cell r="CL159" t="str">
            <v/>
          </cell>
          <cell r="CM159" t="str">
            <v/>
          </cell>
          <cell r="CN159" t="str">
            <v/>
          </cell>
          <cell r="CO159" t="str">
            <v/>
          </cell>
          <cell r="CP159" t="str">
            <v/>
          </cell>
          <cell r="CQ159" t="str">
            <v/>
          </cell>
          <cell r="CR159" t="str">
            <v/>
          </cell>
          <cell r="CS159">
            <v>38596</v>
          </cell>
          <cell r="CT159" t="str">
            <v/>
          </cell>
          <cell r="CV159" t="str">
            <v/>
          </cell>
          <cell r="CW159" t="str">
            <v>HUMAN CAPITAL MANAGEMENT</v>
          </cell>
        </row>
        <row r="160">
          <cell r="A160" t="str">
            <v>CFTNYNN</v>
          </cell>
          <cell r="B160" t="str">
            <v>TEL</v>
          </cell>
          <cell r="C160" t="str">
            <v>HCM</v>
          </cell>
          <cell r="D160" t="str">
            <v>HCM</v>
          </cell>
          <cell r="E160" t="str">
            <v>C&amp;SI</v>
          </cell>
          <cell r="F160" t="str">
            <v>SPRINT</v>
          </cell>
          <cell r="G160" t="str">
            <v>Benefits Open Enroll Ast-...</v>
          </cell>
          <cell r="H160" t="str">
            <v>CFTNYNN</v>
          </cell>
          <cell r="I160">
            <v>1</v>
          </cell>
          <cell r="J160" t="str">
            <v>David K Williams/Charlotte/IBM</v>
          </cell>
          <cell r="K160" t="str">
            <v>Steve Taylor/Charlotte/IBM</v>
          </cell>
          <cell r="L160" t="str">
            <v>BE</v>
          </cell>
          <cell r="M160">
            <v>38513</v>
          </cell>
          <cell r="N160">
            <v>38744</v>
          </cell>
          <cell r="O160">
            <v>618332</v>
          </cell>
          <cell r="P160">
            <v>1379770</v>
          </cell>
          <cell r="Q160">
            <v>618332</v>
          </cell>
          <cell r="R160">
            <v>0.41162150213441373</v>
          </cell>
          <cell r="S160">
            <v>0.42427919279048326</v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C160" t="str">
            <v/>
          </cell>
          <cell r="AD160" t="str">
            <v>Y</v>
          </cell>
          <cell r="AE160" t="str">
            <v>Sills</v>
          </cell>
          <cell r="AF160" t="str">
            <v/>
          </cell>
          <cell r="AG160" t="str">
            <v/>
          </cell>
          <cell r="AH160" t="str">
            <v/>
          </cell>
          <cell r="AI160" t="str">
            <v/>
          </cell>
          <cell r="AJ160" t="str">
            <v/>
          </cell>
          <cell r="AK160" t="str">
            <v/>
          </cell>
          <cell r="AL160">
            <v>38718</v>
          </cell>
          <cell r="AM160" t="str">
            <v/>
          </cell>
          <cell r="AN160" t="str">
            <v/>
          </cell>
          <cell r="AO160" t="str">
            <v/>
          </cell>
          <cell r="AP160" t="str">
            <v/>
          </cell>
          <cell r="AQ160" t="str">
            <v/>
          </cell>
          <cell r="AR160" t="str">
            <v/>
          </cell>
          <cell r="AS160" t="str">
            <v/>
          </cell>
          <cell r="AU160" t="str">
            <v>HUMAN CAPITAL MANAGEMENT</v>
          </cell>
          <cell r="AV160" t="str">
            <v>O</v>
          </cell>
          <cell r="AW160">
            <v>4592</v>
          </cell>
          <cell r="AX160">
            <v>0</v>
          </cell>
          <cell r="AY160">
            <v>0</v>
          </cell>
          <cell r="AZ160">
            <v>1379770</v>
          </cell>
          <cell r="BA160">
            <v>811827</v>
          </cell>
          <cell r="BB160">
            <v>567943</v>
          </cell>
          <cell r="BC160">
            <v>33398</v>
          </cell>
          <cell r="BD160">
            <v>4.1139306773487455E-2</v>
          </cell>
          <cell r="BE160">
            <v>761438</v>
          </cell>
          <cell r="BF160">
            <v>438375.7</v>
          </cell>
          <cell r="BG160">
            <v>323062.3</v>
          </cell>
          <cell r="BH160">
            <v>-244880.7</v>
          </cell>
          <cell r="BI160">
            <v>1.2657690656069531E-2</v>
          </cell>
          <cell r="BJ160">
            <v>761438</v>
          </cell>
          <cell r="BK160">
            <v>438375.7</v>
          </cell>
          <cell r="BL160">
            <v>323062.3</v>
          </cell>
          <cell r="BM160">
            <v>0.42427919279048326</v>
          </cell>
          <cell r="BN160">
            <v>1.2657690656069531E-2</v>
          </cell>
          <cell r="BO160" t="str">
            <v>ISU</v>
          </cell>
          <cell r="BP160" t="str">
            <v>O</v>
          </cell>
          <cell r="BQ160" t="str">
            <v>FX</v>
          </cell>
          <cell r="BR160">
            <v>8390178</v>
          </cell>
          <cell r="BS160" t="str">
            <v>6Y9</v>
          </cell>
          <cell r="BT160">
            <v>9162300</v>
          </cell>
          <cell r="BW160" t="str">
            <v/>
          </cell>
          <cell r="BX160" t="str">
            <v>Unrated</v>
          </cell>
          <cell r="BY160" t="str">
            <v>Over</v>
          </cell>
          <cell r="BZ160" t="str">
            <v/>
          </cell>
          <cell r="CA160" t="str">
            <v/>
          </cell>
          <cell r="CG160">
            <v>659383</v>
          </cell>
          <cell r="CH160">
            <v>370576.59</v>
          </cell>
          <cell r="CI160">
            <v>288806.40999999997</v>
          </cell>
          <cell r="CJ160">
            <v>0.43799492859233552</v>
          </cell>
          <cell r="CK160">
            <v>2.6373426457921789E-2</v>
          </cell>
          <cell r="CL160" t="str">
            <v>Close-out of 2 existing ones and start up for conversion</v>
          </cell>
          <cell r="CM160" t="str">
            <v/>
          </cell>
          <cell r="CN160" t="str">
            <v/>
          </cell>
          <cell r="CO160" t="str">
            <v/>
          </cell>
          <cell r="CP160" t="str">
            <v/>
          </cell>
          <cell r="CQ160" t="str">
            <v/>
          </cell>
          <cell r="CR160" t="str">
            <v/>
          </cell>
          <cell r="CS160">
            <v>38504</v>
          </cell>
          <cell r="CT160" t="str">
            <v/>
          </cell>
          <cell r="CV160" t="str">
            <v/>
          </cell>
          <cell r="CW160" t="str">
            <v>HUMAN CAPITAL MANAGEMENT</v>
          </cell>
        </row>
        <row r="161">
          <cell r="A161" t="str">
            <v>CFTM6KN</v>
          </cell>
          <cell r="B161" t="str">
            <v>TEL</v>
          </cell>
          <cell r="C161" t="str">
            <v>HCM</v>
          </cell>
          <cell r="D161" t="str">
            <v>HCM</v>
          </cell>
          <cell r="E161" t="str">
            <v>C&amp;SI</v>
          </cell>
          <cell r="F161" t="str">
            <v>SPRINT</v>
          </cell>
          <cell r="G161" t="str">
            <v>HR Conversion Assistance ...</v>
          </cell>
          <cell r="H161" t="str">
            <v>CFTM6KN</v>
          </cell>
          <cell r="I161">
            <v>1</v>
          </cell>
          <cell r="J161" t="str">
            <v>David K Williams/Charlotte/IBM</v>
          </cell>
          <cell r="K161" t="str">
            <v>Steve Taylor/Charlotte/IBM</v>
          </cell>
          <cell r="L161" t="str">
            <v>BE</v>
          </cell>
          <cell r="M161">
            <v>38513</v>
          </cell>
          <cell r="N161">
            <v>38688</v>
          </cell>
          <cell r="O161">
            <v>22365</v>
          </cell>
          <cell r="P161">
            <v>798885</v>
          </cell>
          <cell r="Q161">
            <v>22365</v>
          </cell>
          <cell r="R161">
            <v>0.40985874061973876</v>
          </cell>
          <cell r="S161">
            <v>0.30033959202596194</v>
          </cell>
          <cell r="T161" t="str">
            <v/>
          </cell>
          <cell r="U161" t="str">
            <v>Y</v>
          </cell>
          <cell r="V161" t="str">
            <v/>
          </cell>
          <cell r="W161" t="str">
            <v/>
          </cell>
          <cell r="X161" t="str">
            <v>Y</v>
          </cell>
          <cell r="Y161" t="str">
            <v>Y</v>
          </cell>
          <cell r="Z161" t="str">
            <v/>
          </cell>
          <cell r="AA161" t="str">
            <v/>
          </cell>
          <cell r="AC161" t="str">
            <v/>
          </cell>
          <cell r="AD161" t="str">
            <v/>
          </cell>
          <cell r="AE161" t="str">
            <v/>
          </cell>
          <cell r="AF161" t="str">
            <v/>
          </cell>
          <cell r="AG161" t="str">
            <v/>
          </cell>
          <cell r="AH161" t="str">
            <v/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O161" t="str">
            <v/>
          </cell>
          <cell r="AP161" t="str">
            <v/>
          </cell>
          <cell r="AQ161" t="str">
            <v/>
          </cell>
          <cell r="AR161" t="str">
            <v/>
          </cell>
          <cell r="AS161" t="str">
            <v/>
          </cell>
          <cell r="AU161" t="str">
            <v>HUMAN CAPITAL MANAGEMENT</v>
          </cell>
          <cell r="AV161" t="str">
            <v>O</v>
          </cell>
          <cell r="AW161">
            <v>3818.5</v>
          </cell>
          <cell r="AX161">
            <v>0</v>
          </cell>
          <cell r="AY161">
            <v>0</v>
          </cell>
          <cell r="AZ161">
            <v>798885</v>
          </cell>
          <cell r="BA161">
            <v>471455</v>
          </cell>
          <cell r="BB161">
            <v>327430</v>
          </cell>
          <cell r="BC161">
            <v>19310</v>
          </cell>
          <cell r="BD161">
            <v>4.0958309912929126E-2</v>
          </cell>
          <cell r="BE161">
            <v>776520</v>
          </cell>
          <cell r="BF161">
            <v>543300.30000000005</v>
          </cell>
          <cell r="BG161">
            <v>233219.7</v>
          </cell>
          <cell r="BH161">
            <v>-94210.3</v>
          </cell>
          <cell r="BI161">
            <v>-0.10951914859377682</v>
          </cell>
          <cell r="BJ161">
            <v>776520</v>
          </cell>
          <cell r="BK161">
            <v>543300.30000000005</v>
          </cell>
          <cell r="BL161">
            <v>233219.7</v>
          </cell>
          <cell r="BM161">
            <v>0.30033959202596194</v>
          </cell>
          <cell r="BN161">
            <v>-0.10951914859377682</v>
          </cell>
          <cell r="BO161" t="str">
            <v>ISU</v>
          </cell>
          <cell r="BP161" t="str">
            <v>O</v>
          </cell>
          <cell r="BQ161" t="str">
            <v>FX</v>
          </cell>
          <cell r="BR161">
            <v>8390178</v>
          </cell>
          <cell r="BS161" t="str">
            <v>6Y9</v>
          </cell>
          <cell r="BT161">
            <v>9162300</v>
          </cell>
          <cell r="BW161" t="str">
            <v/>
          </cell>
          <cell r="BX161" t="str">
            <v>Unrated</v>
          </cell>
          <cell r="BY161" t="str">
            <v>Under</v>
          </cell>
          <cell r="BZ161" t="str">
            <v/>
          </cell>
          <cell r="CA161" t="str">
            <v/>
          </cell>
          <cell r="CG161">
            <v>784325</v>
          </cell>
          <cell r="CH161">
            <v>521887.06</v>
          </cell>
          <cell r="CI161">
            <v>262437.94</v>
          </cell>
          <cell r="CJ161">
            <v>0.33460356357377363</v>
          </cell>
          <cell r="CK161">
            <v>-7.5255177045965127E-2</v>
          </cell>
          <cell r="CL161" t="str">
            <v/>
          </cell>
          <cell r="CM161" t="str">
            <v/>
          </cell>
          <cell r="CN161" t="str">
            <v/>
          </cell>
          <cell r="CO161" t="str">
            <v/>
          </cell>
          <cell r="CP161" t="str">
            <v/>
          </cell>
          <cell r="CQ161" t="str">
            <v/>
          </cell>
          <cell r="CR161" t="str">
            <v/>
          </cell>
          <cell r="CS161">
            <v>38504</v>
          </cell>
          <cell r="CT161" t="str">
            <v/>
          </cell>
          <cell r="CV161" t="str">
            <v/>
          </cell>
          <cell r="CW161" t="str">
            <v>HUMAN CAPITAL MANAGEMENT</v>
          </cell>
        </row>
        <row r="162">
          <cell r="A162" t="str">
            <v>CFTF9KN</v>
          </cell>
          <cell r="B162" t="str">
            <v>TEL</v>
          </cell>
          <cell r="C162" t="str">
            <v>SCS</v>
          </cell>
          <cell r="D162" t="str">
            <v>SCS</v>
          </cell>
          <cell r="E162" t="str">
            <v>C&amp;SI</v>
          </cell>
          <cell r="F162" t="str">
            <v>SPRINT</v>
          </cell>
          <cell r="G162" t="str">
            <v>IT PMO SUPPORT FOR MERGED...</v>
          </cell>
          <cell r="H162" t="str">
            <v>CFTF9KN</v>
          </cell>
          <cell r="I162">
            <v>2</v>
          </cell>
          <cell r="J162" t="str">
            <v>Robert A Hallman/Fairfax/IBM</v>
          </cell>
          <cell r="K162" t="str">
            <v>James G Turoff/Baltimore/IBM</v>
          </cell>
          <cell r="L162" t="str">
            <v>FP</v>
          </cell>
          <cell r="M162">
            <v>38439</v>
          </cell>
          <cell r="N162">
            <v>38625</v>
          </cell>
          <cell r="O162">
            <v>233364</v>
          </cell>
          <cell r="P162">
            <v>651500</v>
          </cell>
          <cell r="Q162">
            <v>233364</v>
          </cell>
          <cell r="R162">
            <v>0.39558864159631618</v>
          </cell>
          <cell r="S162">
            <v>0.52502226548300079</v>
          </cell>
          <cell r="T162" t="str">
            <v/>
          </cell>
          <cell r="U162" t="str">
            <v>Y</v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>Y</v>
          </cell>
          <cell r="AA162" t="str">
            <v/>
          </cell>
          <cell r="AC162" t="str">
            <v>Y</v>
          </cell>
          <cell r="AD162" t="str">
            <v/>
          </cell>
          <cell r="AE162" t="str">
            <v/>
          </cell>
          <cell r="AF162" t="str">
            <v/>
          </cell>
          <cell r="AG162" t="str">
            <v/>
          </cell>
          <cell r="AH162" t="str">
            <v/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O162" t="str">
            <v/>
          </cell>
          <cell r="AP162" t="str">
            <v/>
          </cell>
          <cell r="AQ162" t="str">
            <v/>
          </cell>
          <cell r="AR162" t="str">
            <v/>
          </cell>
          <cell r="AS162" t="str">
            <v/>
          </cell>
          <cell r="AU162" t="str">
            <v>STRATEGY AND CHANGE</v>
          </cell>
          <cell r="AV162" t="str">
            <v>O</v>
          </cell>
          <cell r="AW162">
            <v>1743.5</v>
          </cell>
          <cell r="AX162">
            <v>802.8</v>
          </cell>
          <cell r="AY162">
            <v>0.46045311155721247</v>
          </cell>
          <cell r="AZ162">
            <v>651500</v>
          </cell>
          <cell r="BA162">
            <v>393774</v>
          </cell>
          <cell r="BB162">
            <v>257726</v>
          </cell>
          <cell r="BC162">
            <v>15752</v>
          </cell>
          <cell r="BD162">
            <v>4.0002641108859399E-2</v>
          </cell>
          <cell r="BE162">
            <v>418136</v>
          </cell>
          <cell r="BF162">
            <v>198605.29</v>
          </cell>
          <cell r="BG162">
            <v>219530.71</v>
          </cell>
          <cell r="BH162">
            <v>-38195.29</v>
          </cell>
          <cell r="BI162">
            <v>0.12943362388668461</v>
          </cell>
          <cell r="BJ162">
            <v>418136</v>
          </cell>
          <cell r="BK162">
            <v>198605.29</v>
          </cell>
          <cell r="BL162">
            <v>219530.71</v>
          </cell>
          <cell r="BM162">
            <v>0.52502226548300079</v>
          </cell>
          <cell r="BN162">
            <v>0.12943362388668461</v>
          </cell>
          <cell r="BO162" t="str">
            <v>ISU</v>
          </cell>
          <cell r="BP162" t="str">
            <v>O</v>
          </cell>
          <cell r="BQ162" t="str">
            <v>FX</v>
          </cell>
          <cell r="BR162">
            <v>8390178</v>
          </cell>
          <cell r="BS162" t="str">
            <v>6Y9</v>
          </cell>
          <cell r="BT162">
            <v>9162300</v>
          </cell>
          <cell r="BW162" t="str">
            <v/>
          </cell>
          <cell r="BX162" t="str">
            <v>Unrated</v>
          </cell>
          <cell r="BY162" t="str">
            <v>Under</v>
          </cell>
          <cell r="BZ162" t="str">
            <v/>
          </cell>
          <cell r="CA162" t="str">
            <v/>
          </cell>
          <cell r="CG162">
            <v>651500</v>
          </cell>
          <cell r="CH162">
            <v>197333.35</v>
          </cell>
          <cell r="CI162">
            <v>454166.65</v>
          </cell>
          <cell r="CJ162">
            <v>0.69710920951650046</v>
          </cell>
          <cell r="CK162">
            <v>0.30152056792018428</v>
          </cell>
          <cell r="CL162" t="str">
            <v/>
          </cell>
          <cell r="CM162" t="str">
            <v/>
          </cell>
          <cell r="CN162" t="str">
            <v/>
          </cell>
          <cell r="CO162" t="str">
            <v/>
          </cell>
          <cell r="CP162" t="str">
            <v/>
          </cell>
          <cell r="CQ162" t="str">
            <v/>
          </cell>
          <cell r="CR162" t="str">
            <v/>
          </cell>
          <cell r="CS162">
            <v>38412</v>
          </cell>
          <cell r="CT162" t="str">
            <v/>
          </cell>
          <cell r="CV162" t="str">
            <v/>
          </cell>
          <cell r="CW162" t="str">
            <v>STRATEGY AND CHANGE</v>
          </cell>
        </row>
        <row r="163">
          <cell r="A163" t="str">
            <v>CFTWPHL</v>
          </cell>
          <cell r="B163" t="str">
            <v>TEL</v>
          </cell>
          <cell r="C163" t="str">
            <v>BTO</v>
          </cell>
          <cell r="D163" t="str">
            <v>BTO</v>
          </cell>
          <cell r="E163" t="str">
            <v>BTO</v>
          </cell>
          <cell r="F163" t="str">
            <v>SPRINT MANA COM</v>
          </cell>
          <cell r="G163" t="str">
            <v>NSR 25 Sacremento IEX    ...</v>
          </cell>
          <cell r="H163" t="str">
            <v>CFTWPHL</v>
          </cell>
          <cell r="I163">
            <v>66</v>
          </cell>
          <cell r="J163" t="str">
            <v>Atul Mori/Somers/IBM</v>
          </cell>
          <cell r="K163" t="str">
            <v>Matthew Held/Somers/IBM</v>
          </cell>
          <cell r="L163" t="str">
            <v>IC</v>
          </cell>
          <cell r="M163">
            <v>37986</v>
          </cell>
          <cell r="N163">
            <v>40175</v>
          </cell>
          <cell r="O163">
            <v>1735406583.9400001</v>
          </cell>
          <cell r="P163">
            <v>1735406583.9400001</v>
          </cell>
          <cell r="Q163">
            <v>1735406583.9400001</v>
          </cell>
          <cell r="R163">
            <v>0.99540995690939749</v>
          </cell>
          <cell r="S163">
            <v>0</v>
          </cell>
          <cell r="T163" t="str">
            <v/>
          </cell>
          <cell r="U163" t="str">
            <v/>
          </cell>
          <cell r="V163" t="str">
            <v>Y</v>
          </cell>
          <cell r="W163" t="str">
            <v>Y</v>
          </cell>
          <cell r="X163" t="str">
            <v>Y</v>
          </cell>
          <cell r="Y163" t="str">
            <v/>
          </cell>
          <cell r="Z163" t="str">
            <v/>
          </cell>
          <cell r="AA163" t="str">
            <v>Y</v>
          </cell>
          <cell r="AC163" t="str">
            <v>Y</v>
          </cell>
          <cell r="AD163" t="str">
            <v>Y</v>
          </cell>
          <cell r="AE163" t="str">
            <v>Giblin</v>
          </cell>
          <cell r="AF163" t="str">
            <v/>
          </cell>
          <cell r="AG163" t="str">
            <v/>
          </cell>
          <cell r="AH163" t="str">
            <v/>
          </cell>
          <cell r="AI163" t="str">
            <v>H</v>
          </cell>
          <cell r="AJ163" t="str">
            <v>D</v>
          </cell>
          <cell r="AK163">
            <v>38525</v>
          </cell>
          <cell r="AL163" t="str">
            <v>TBD</v>
          </cell>
          <cell r="AM163" t="str">
            <v>Y</v>
          </cell>
          <cell r="AN163" t="str">
            <v>G</v>
          </cell>
          <cell r="AO163" t="str">
            <v>Y</v>
          </cell>
          <cell r="AP163" t="str">
            <v>G</v>
          </cell>
          <cell r="AQ163" t="str">
            <v>G</v>
          </cell>
          <cell r="AR163" t="str">
            <v>G</v>
          </cell>
          <cell r="AS163" t="str">
            <v>G</v>
          </cell>
          <cell r="AU163" t="str">
            <v>BTO</v>
          </cell>
          <cell r="AV163" t="str">
            <v>O</v>
          </cell>
          <cell r="AW163">
            <v>1884863.6</v>
          </cell>
          <cell r="AX163">
            <v>1290.5</v>
          </cell>
          <cell r="AY163">
            <v>6.8466492747804118E-4</v>
          </cell>
          <cell r="AZ163">
            <v>1735406583.9400001</v>
          </cell>
          <cell r="BA163">
            <v>7965591</v>
          </cell>
          <cell r="BB163">
            <v>1727440992.9400001</v>
          </cell>
          <cell r="BC163">
            <v>321262</v>
          </cell>
          <cell r="BD163">
            <v>4.0331219616975063E-2</v>
          </cell>
          <cell r="BE163">
            <v>0</v>
          </cell>
          <cell r="BF163">
            <v>8345095.1800000006</v>
          </cell>
          <cell r="BG163">
            <v>-8345095.1800000006</v>
          </cell>
          <cell r="BH163">
            <v>-1735786088.1200001</v>
          </cell>
          <cell r="BI163">
            <v>-0.99540995690939749</v>
          </cell>
          <cell r="BJ163">
            <v>0</v>
          </cell>
          <cell r="BK163">
            <v>5263183.46</v>
          </cell>
          <cell r="BL163">
            <v>-5263183.46</v>
          </cell>
          <cell r="BM163">
            <v>0</v>
          </cell>
          <cell r="BN163">
            <v>-0.99540995690939749</v>
          </cell>
          <cell r="BO163" t="str">
            <v>ISU</v>
          </cell>
          <cell r="BP163" t="str">
            <v>O</v>
          </cell>
          <cell r="BQ163" t="str">
            <v>FZ</v>
          </cell>
          <cell r="BR163">
            <v>8389122</v>
          </cell>
          <cell r="BS163" t="str">
            <v>Q3T</v>
          </cell>
          <cell r="BT163">
            <v>9162300</v>
          </cell>
          <cell r="BW163" t="str">
            <v/>
          </cell>
          <cell r="BX163" t="str">
            <v>Rated</v>
          </cell>
          <cell r="BY163" t="str">
            <v>Over</v>
          </cell>
          <cell r="BZ163" t="str">
            <v>D</v>
          </cell>
          <cell r="CA163" t="str">
            <v>H</v>
          </cell>
          <cell r="CG163">
            <v>801207994.12000012</v>
          </cell>
          <cell r="CH163">
            <v>691323824.43000007</v>
          </cell>
          <cell r="CI163">
            <v>109884169.68999997</v>
          </cell>
          <cell r="CJ163">
            <v>0.13714811946015379</v>
          </cell>
          <cell r="CK163">
            <v>-0.85826183744924367</v>
          </cell>
          <cell r="CL163" t="str">
            <v>Informal review in Oct w/ Pam Jones….in renegotiation mode w/ Sprint…not sure regarding status</v>
          </cell>
          <cell r="CM163" t="str">
            <v/>
          </cell>
          <cell r="CN163" t="str">
            <v/>
          </cell>
          <cell r="CO163" t="str">
            <v/>
          </cell>
          <cell r="CP163" t="str">
            <v/>
          </cell>
          <cell r="CQ163" t="str">
            <v/>
          </cell>
          <cell r="CR163" t="str">
            <v/>
          </cell>
          <cell r="CS163">
            <v>37956</v>
          </cell>
          <cell r="CT163" t="str">
            <v/>
          </cell>
          <cell r="CV163" t="str">
            <v/>
          </cell>
          <cell r="CW163" t="str">
            <v>BTO</v>
          </cell>
        </row>
        <row r="164">
          <cell r="A164" t="str">
            <v>CFT3TKN</v>
          </cell>
          <cell r="B164" t="str">
            <v>TEL</v>
          </cell>
          <cell r="C164" t="str">
            <v>HCM</v>
          </cell>
          <cell r="D164" t="str">
            <v>HCM</v>
          </cell>
          <cell r="E164" t="str">
            <v>C&amp;SI</v>
          </cell>
          <cell r="F164" t="str">
            <v>SPRINT MANA COM</v>
          </cell>
          <cell r="G164" t="str">
            <v>*NS* HRMA Conversion -</v>
          </cell>
          <cell r="H164" t="str">
            <v>CFT3TKN</v>
          </cell>
          <cell r="I164">
            <v>1</v>
          </cell>
          <cell r="J164" t="str">
            <v>David K Williams/Charlotte/IBM</v>
          </cell>
          <cell r="K164" t="str">
            <v>Steve Taylor/Charlotte/IBM</v>
          </cell>
          <cell r="L164" t="str">
            <v>BE</v>
          </cell>
          <cell r="M164">
            <v>38670</v>
          </cell>
          <cell r="N164">
            <v>38926</v>
          </cell>
          <cell r="O164">
            <v>4213219</v>
          </cell>
          <cell r="P164">
            <v>4712335</v>
          </cell>
          <cell r="Q164">
            <v>4213219</v>
          </cell>
          <cell r="R164">
            <v>0.39358852882912609</v>
          </cell>
          <cell r="S164">
            <v>0.41827430897827361</v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C164" t="str">
            <v/>
          </cell>
          <cell r="AD164" t="str">
            <v>Y</v>
          </cell>
          <cell r="AE164" t="str">
            <v>Sills</v>
          </cell>
          <cell r="AF164" t="str">
            <v>Y</v>
          </cell>
          <cell r="AG164" t="str">
            <v>Ann Eldridge</v>
          </cell>
          <cell r="AH164" t="str">
            <v/>
          </cell>
          <cell r="AI164" t="str">
            <v/>
          </cell>
          <cell r="AJ164" t="str">
            <v/>
          </cell>
          <cell r="AK164" t="str">
            <v/>
          </cell>
          <cell r="AL164">
            <v>38718</v>
          </cell>
          <cell r="AM164" t="str">
            <v/>
          </cell>
          <cell r="AN164" t="str">
            <v/>
          </cell>
          <cell r="AO164" t="str">
            <v/>
          </cell>
          <cell r="AP164" t="str">
            <v/>
          </cell>
          <cell r="AQ164" t="str">
            <v/>
          </cell>
          <cell r="AR164" t="str">
            <v/>
          </cell>
          <cell r="AS164" t="str">
            <v/>
          </cell>
          <cell r="AU164" t="str">
            <v>HUMAN CAPITAL MANAGEMENT</v>
          </cell>
          <cell r="AV164" t="str">
            <v>O</v>
          </cell>
          <cell r="AW164">
            <v>3358.6</v>
          </cell>
          <cell r="AX164">
            <v>0</v>
          </cell>
          <cell r="AY164">
            <v>0</v>
          </cell>
          <cell r="AZ164">
            <v>4712335</v>
          </cell>
          <cell r="BA164">
            <v>2857614</v>
          </cell>
          <cell r="BB164">
            <v>1854721</v>
          </cell>
          <cell r="BC164">
            <v>113739</v>
          </cell>
          <cell r="BD164">
            <v>3.9802086635913739E-2</v>
          </cell>
          <cell r="BE164">
            <v>499116</v>
          </cell>
          <cell r="BF164">
            <v>290348.59999999998</v>
          </cell>
          <cell r="BG164">
            <v>208767.4</v>
          </cell>
          <cell r="BH164">
            <v>-1645953.6</v>
          </cell>
          <cell r="BI164">
            <v>2.4685780149147518E-2</v>
          </cell>
          <cell r="BJ164">
            <v>499116</v>
          </cell>
          <cell r="BK164">
            <v>290348.59999999998</v>
          </cell>
          <cell r="BL164">
            <v>208767.4</v>
          </cell>
          <cell r="BM164">
            <v>0.41827430897827361</v>
          </cell>
          <cell r="BN164">
            <v>2.4685780149147518E-2</v>
          </cell>
          <cell r="BO164" t="str">
            <v>ISU</v>
          </cell>
          <cell r="BP164" t="str">
            <v>O</v>
          </cell>
          <cell r="BQ164" t="str">
            <v>FX</v>
          </cell>
          <cell r="BR164">
            <v>8387646</v>
          </cell>
          <cell r="BS164" t="str">
            <v>6Y9</v>
          </cell>
          <cell r="BT164">
            <v>9162300</v>
          </cell>
          <cell r="BW164" t="str">
            <v/>
          </cell>
          <cell r="BX164" t="str">
            <v>Unrated</v>
          </cell>
          <cell r="BY164" t="str">
            <v>Over</v>
          </cell>
          <cell r="BZ164" t="str">
            <v/>
          </cell>
          <cell r="CA164" t="str">
            <v/>
          </cell>
          <cell r="CG164">
            <v>1069770</v>
          </cell>
          <cell r="CH164">
            <v>2256571.73</v>
          </cell>
          <cell r="CI164">
            <v>-1186801.73</v>
          </cell>
          <cell r="CJ164">
            <v>-1.1093989642633464</v>
          </cell>
          <cell r="CK164">
            <v>-1.5029874930924725</v>
          </cell>
          <cell r="CM164" t="e">
            <v>#N/A</v>
          </cell>
          <cell r="CN164" t="str">
            <v/>
          </cell>
          <cell r="CO164" t="str">
            <v/>
          </cell>
          <cell r="CP164" t="str">
            <v/>
          </cell>
          <cell r="CQ164" t="str">
            <v/>
          </cell>
          <cell r="CR164" t="str">
            <v/>
          </cell>
          <cell r="CS164">
            <v>38657</v>
          </cell>
          <cell r="CT164" t="str">
            <v/>
          </cell>
          <cell r="CU164" t="str">
            <v/>
          </cell>
          <cell r="CV164" t="str">
            <v/>
          </cell>
          <cell r="CW164" t="str">
            <v>HUMAN CAPITAL MANAGEMENT</v>
          </cell>
        </row>
        <row r="165">
          <cell r="A165" t="str">
            <v>CFT1SLL</v>
          </cell>
          <cell r="B165" t="str">
            <v>TEL</v>
          </cell>
          <cell r="C165" t="str">
            <v>AIS</v>
          </cell>
          <cell r="D165" t="str">
            <v>AIS</v>
          </cell>
          <cell r="E165" t="str">
            <v>C&amp;SI</v>
          </cell>
          <cell r="F165" t="str">
            <v>SPRINT SPEC L P</v>
          </cell>
          <cell r="G165" t="str">
            <v>SPDE PSI Phase A         ...</v>
          </cell>
          <cell r="H165" t="str">
            <v>CFT1SLL</v>
          </cell>
          <cell r="I165">
            <v>1</v>
          </cell>
          <cell r="J165" t="str">
            <v>Michael J Singer/Chicago/IBM</v>
          </cell>
          <cell r="K165" t="str">
            <v>Lasith G Perera/Irvine/IBM</v>
          </cell>
          <cell r="L165" t="str">
            <v>BE</v>
          </cell>
          <cell r="M165">
            <v>38042</v>
          </cell>
          <cell r="N165">
            <v>38717</v>
          </cell>
          <cell r="O165">
            <v>0</v>
          </cell>
          <cell r="P165">
            <v>11638597.5</v>
          </cell>
          <cell r="Q165">
            <v>0</v>
          </cell>
          <cell r="R165">
            <v>0.44565339595256215</v>
          </cell>
          <cell r="S165">
            <v>0.44512800704724087</v>
          </cell>
          <cell r="T165" t="str">
            <v/>
          </cell>
          <cell r="U165" t="str">
            <v>Y</v>
          </cell>
          <cell r="V165" t="str">
            <v/>
          </cell>
          <cell r="W165" t="str">
            <v/>
          </cell>
          <cell r="X165" t="str">
            <v>Y</v>
          </cell>
          <cell r="Y165" t="str">
            <v/>
          </cell>
          <cell r="Z165" t="str">
            <v/>
          </cell>
          <cell r="AA165" t="str">
            <v/>
          </cell>
          <cell r="AC165" t="str">
            <v>Y</v>
          </cell>
          <cell r="AD165" t="str">
            <v/>
          </cell>
          <cell r="AE165" t="str">
            <v>Coleman</v>
          </cell>
          <cell r="AF165" t="str">
            <v/>
          </cell>
          <cell r="AG165" t="str">
            <v/>
          </cell>
          <cell r="AH165" t="str">
            <v/>
          </cell>
          <cell r="AI165" t="str">
            <v/>
          </cell>
          <cell r="AJ165" t="str">
            <v>Sub</v>
          </cell>
          <cell r="AL165" t="str">
            <v>N/A</v>
          </cell>
          <cell r="AM165" t="str">
            <v/>
          </cell>
          <cell r="AN165" t="str">
            <v/>
          </cell>
          <cell r="AO165" t="str">
            <v/>
          </cell>
          <cell r="AP165" t="str">
            <v/>
          </cell>
          <cell r="AQ165" t="str">
            <v/>
          </cell>
          <cell r="AR165" t="str">
            <v/>
          </cell>
          <cell r="AS165" t="str">
            <v/>
          </cell>
          <cell r="AU165" t="str">
            <v>APPLICATION INNOVATION</v>
          </cell>
          <cell r="AV165" t="str">
            <v>O</v>
          </cell>
          <cell r="AW165">
            <v>69036.7</v>
          </cell>
          <cell r="AX165">
            <v>4192</v>
          </cell>
          <cell r="AY165">
            <v>6.0721326482870708E-2</v>
          </cell>
          <cell r="AZ165">
            <v>11638597.5</v>
          </cell>
          <cell r="BA165">
            <v>6451817</v>
          </cell>
          <cell r="BB165">
            <v>5186780.5</v>
          </cell>
          <cell r="BC165">
            <v>570812</v>
          </cell>
          <cell r="BD165">
            <v>8.8473061154710375E-2</v>
          </cell>
          <cell r="BE165">
            <v>11638597.5</v>
          </cell>
          <cell r="BF165">
            <v>6457931.79</v>
          </cell>
          <cell r="BG165">
            <v>5180665.71</v>
          </cell>
          <cell r="BH165">
            <v>-6114.7900000000373</v>
          </cell>
          <cell r="BI165">
            <v>-5.2538890532127791E-4</v>
          </cell>
          <cell r="BJ165">
            <v>2681115.5</v>
          </cell>
          <cell r="BK165">
            <v>1521605.35</v>
          </cell>
          <cell r="BL165">
            <v>1159510.1499999999</v>
          </cell>
          <cell r="BM165">
            <v>0.43247303221364386</v>
          </cell>
          <cell r="BN165">
            <v>-1.3180363738918288E-2</v>
          </cell>
          <cell r="BO165" t="str">
            <v>ISU</v>
          </cell>
          <cell r="BP165" t="str">
            <v>O</v>
          </cell>
          <cell r="BQ165" t="str">
            <v>FX</v>
          </cell>
          <cell r="BR165">
            <v>8388703</v>
          </cell>
          <cell r="BS165" t="str">
            <v>6Y6</v>
          </cell>
          <cell r="BT165">
            <v>9162300</v>
          </cell>
          <cell r="BW165" t="str">
            <v/>
          </cell>
          <cell r="BX165" t="str">
            <v>Rated</v>
          </cell>
          <cell r="BY165" t="str">
            <v>Over</v>
          </cell>
          <cell r="BZ165" t="str">
            <v>Other</v>
          </cell>
          <cell r="CA165" t="str">
            <v/>
          </cell>
          <cell r="CG165">
            <v>11638597.5</v>
          </cell>
          <cell r="CH165">
            <v>6239843.1600000001</v>
          </cell>
          <cell r="CI165">
            <v>5398754.3399999999</v>
          </cell>
          <cell r="CJ165">
            <v>0.46386640142852265</v>
          </cell>
          <cell r="CK165">
            <v>1.8213005475960498E-2</v>
          </cell>
          <cell r="CL165" t="str">
            <v/>
          </cell>
          <cell r="CM165" t="str">
            <v/>
          </cell>
          <cell r="CN165" t="str">
            <v/>
          </cell>
          <cell r="CO165" t="str">
            <v/>
          </cell>
          <cell r="CP165" t="str">
            <v/>
          </cell>
          <cell r="CQ165" t="str">
            <v/>
          </cell>
          <cell r="CR165" t="str">
            <v/>
          </cell>
          <cell r="CS165">
            <v>38018</v>
          </cell>
          <cell r="CT165" t="str">
            <v/>
          </cell>
          <cell r="CU165" t="str">
            <v>6955-24A</v>
          </cell>
          <cell r="CV165" t="str">
            <v>AIS</v>
          </cell>
          <cell r="CW165" t="str">
            <v>APPLICATION INNOVATION</v>
          </cell>
        </row>
        <row r="166">
          <cell r="A166" t="str">
            <v>CFTAPYL</v>
          </cell>
          <cell r="B166" t="str">
            <v>TEL</v>
          </cell>
          <cell r="C166" t="str">
            <v>AIS</v>
          </cell>
          <cell r="D166" t="str">
            <v>AIS</v>
          </cell>
          <cell r="E166" t="str">
            <v>C&amp;SI</v>
          </cell>
          <cell r="F166" t="str">
            <v>SPRINT SPEC L P</v>
          </cell>
          <cell r="G166" t="str">
            <v>PSI-A Portal SWG Time    ...</v>
          </cell>
          <cell r="H166" t="str">
            <v>CFTAPYL</v>
          </cell>
          <cell r="I166">
            <v>3</v>
          </cell>
          <cell r="J166" t="str">
            <v>Daniel R Rydeen/Dallas/IBM</v>
          </cell>
          <cell r="K166" t="str">
            <v>Conrad Zarek III/Baltimore/IBM</v>
          </cell>
          <cell r="L166" t="str">
            <v>FP</v>
          </cell>
          <cell r="M166">
            <v>37795</v>
          </cell>
          <cell r="N166">
            <v>38717</v>
          </cell>
          <cell r="O166">
            <v>104694.01</v>
          </cell>
          <cell r="P166">
            <v>10499174.01</v>
          </cell>
          <cell r="Q166">
            <v>104694.01</v>
          </cell>
          <cell r="R166">
            <v>0.4395681037007596</v>
          </cell>
          <cell r="S166">
            <v>0.36532822324926306</v>
          </cell>
          <cell r="T166" t="str">
            <v/>
          </cell>
          <cell r="U166" t="str">
            <v>Y</v>
          </cell>
          <cell r="V166" t="str">
            <v/>
          </cell>
          <cell r="W166" t="str">
            <v/>
          </cell>
          <cell r="X166" t="str">
            <v>Y</v>
          </cell>
          <cell r="Y166" t="str">
            <v>Y</v>
          </cell>
          <cell r="Z166" t="str">
            <v/>
          </cell>
          <cell r="AA166" t="str">
            <v/>
          </cell>
          <cell r="AC166" t="str">
            <v>Y</v>
          </cell>
          <cell r="AD166" t="str">
            <v/>
          </cell>
          <cell r="AE166" t="str">
            <v>Coleman</v>
          </cell>
          <cell r="AF166" t="str">
            <v/>
          </cell>
          <cell r="AG166" t="str">
            <v/>
          </cell>
          <cell r="AH166" t="str">
            <v/>
          </cell>
          <cell r="AI166" t="str">
            <v/>
          </cell>
          <cell r="AJ166" t="str">
            <v>Sub</v>
          </cell>
          <cell r="AL166" t="str">
            <v>N/A</v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 t="str">
            <v/>
          </cell>
          <cell r="AS166" t="str">
            <v/>
          </cell>
          <cell r="AU166" t="str">
            <v>APPLICATION INNOVATION</v>
          </cell>
          <cell r="AV166" t="str">
            <v>O</v>
          </cell>
          <cell r="AW166">
            <v>58577.599999999999</v>
          </cell>
          <cell r="AX166">
            <v>5896.8</v>
          </cell>
          <cell r="AY166">
            <v>0.10066646636256864</v>
          </cell>
          <cell r="AZ166">
            <v>10499174.01</v>
          </cell>
          <cell r="BA166">
            <v>5884072</v>
          </cell>
          <cell r="BB166">
            <v>4615102.01</v>
          </cell>
          <cell r="BC166">
            <v>298088</v>
          </cell>
          <cell r="BD166">
            <v>5.0660155076280508E-2</v>
          </cell>
          <cell r="BE166">
            <v>10394480</v>
          </cell>
          <cell r="BF166">
            <v>6597083.0899999999</v>
          </cell>
          <cell r="BG166">
            <v>3797396.91</v>
          </cell>
          <cell r="BH166">
            <v>-817705.1</v>
          </cell>
          <cell r="BI166">
            <v>-7.4239880451496543E-2</v>
          </cell>
          <cell r="BJ166">
            <v>4757975</v>
          </cell>
          <cell r="BK166">
            <v>2892553.22</v>
          </cell>
          <cell r="BL166">
            <v>1865421.78</v>
          </cell>
          <cell r="BM166">
            <v>0.39206212306706106</v>
          </cell>
          <cell r="BN166">
            <v>-4.7505980633698541E-2</v>
          </cell>
          <cell r="BO166" t="str">
            <v>ISU</v>
          </cell>
          <cell r="BP166" t="str">
            <v>O</v>
          </cell>
          <cell r="BQ166" t="str">
            <v>FX</v>
          </cell>
          <cell r="BR166">
            <v>8388703</v>
          </cell>
          <cell r="BS166" t="str">
            <v>6Y6</v>
          </cell>
          <cell r="BT166">
            <v>9162300</v>
          </cell>
          <cell r="BW166" t="str">
            <v/>
          </cell>
          <cell r="BX166" t="str">
            <v>Rated</v>
          </cell>
          <cell r="BY166" t="str">
            <v>Over</v>
          </cell>
          <cell r="BZ166" t="str">
            <v>Other</v>
          </cell>
          <cell r="CA166" t="str">
            <v/>
          </cell>
          <cell r="CG166">
            <v>10216925.01</v>
          </cell>
          <cell r="CH166">
            <v>6596743.3200000003</v>
          </cell>
          <cell r="CI166">
            <v>3620181.69</v>
          </cell>
          <cell r="CJ166">
            <v>0.3543318255205633</v>
          </cell>
          <cell r="CK166">
            <v>-8.5236278180196301E-2</v>
          </cell>
          <cell r="CL166" t="str">
            <v/>
          </cell>
          <cell r="CM166" t="str">
            <v/>
          </cell>
          <cell r="CN166" t="str">
            <v/>
          </cell>
          <cell r="CO166" t="str">
            <v/>
          </cell>
          <cell r="CP166" t="str">
            <v/>
          </cell>
          <cell r="CQ166" t="str">
            <v/>
          </cell>
          <cell r="CR166" t="str">
            <v/>
          </cell>
          <cell r="CS166">
            <v>37773</v>
          </cell>
          <cell r="CT166" t="str">
            <v/>
          </cell>
          <cell r="CU166" t="str">
            <v>6955-24A</v>
          </cell>
          <cell r="CV166" t="str">
            <v>AIS</v>
          </cell>
          <cell r="CW166" t="str">
            <v>APPLICATION INNOVATION</v>
          </cell>
        </row>
        <row r="167">
          <cell r="A167" t="str">
            <v>CFTY85M</v>
          </cell>
          <cell r="B167" t="str">
            <v>TEL</v>
          </cell>
          <cell r="C167" t="str">
            <v>AIS</v>
          </cell>
          <cell r="D167" t="str">
            <v>AIS</v>
          </cell>
          <cell r="E167" t="str">
            <v>C&amp;SI</v>
          </cell>
          <cell r="F167" t="str">
            <v>SPRINT SPEC L P</v>
          </cell>
          <cell r="G167" t="str">
            <v>PSI PhaseB LoC</v>
          </cell>
          <cell r="H167" t="str">
            <v>CFTY85M</v>
          </cell>
          <cell r="I167">
            <v>1</v>
          </cell>
          <cell r="J167" t="str">
            <v>Michael R Douglas/Dallas/IBM</v>
          </cell>
          <cell r="K167" t="str">
            <v>John Kashen/Baltimore/IBM</v>
          </cell>
          <cell r="L167" t="str">
            <v>FP</v>
          </cell>
          <cell r="M167">
            <v>38320</v>
          </cell>
          <cell r="N167">
            <v>38744</v>
          </cell>
          <cell r="O167">
            <v>-1189038.07</v>
          </cell>
          <cell r="P167">
            <v>9176470</v>
          </cell>
          <cell r="Q167">
            <v>-1189038.07</v>
          </cell>
          <cell r="R167">
            <v>0.47937409483167276</v>
          </cell>
          <cell r="S167">
            <v>0.44791741983564926</v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>Y</v>
          </cell>
          <cell r="Y167" t="str">
            <v/>
          </cell>
          <cell r="Z167" t="str">
            <v/>
          </cell>
          <cell r="AA167" t="str">
            <v/>
          </cell>
          <cell r="AC167" t="str">
            <v>Y</v>
          </cell>
          <cell r="AD167" t="str">
            <v/>
          </cell>
          <cell r="AE167" t="str">
            <v>Coleman</v>
          </cell>
          <cell r="AF167" t="str">
            <v/>
          </cell>
          <cell r="AG167" t="str">
            <v/>
          </cell>
          <cell r="AH167" t="str">
            <v>Kim Krostue</v>
          </cell>
          <cell r="AI167" t="str">
            <v>M</v>
          </cell>
          <cell r="AJ167" t="str">
            <v>C</v>
          </cell>
          <cell r="AK167">
            <v>38626</v>
          </cell>
          <cell r="AL167" t="str">
            <v>N/A</v>
          </cell>
          <cell r="AM167" t="str">
            <v>Y</v>
          </cell>
          <cell r="AN167" t="str">
            <v>G</v>
          </cell>
          <cell r="AO167" t="str">
            <v>G</v>
          </cell>
          <cell r="AP167" t="str">
            <v>G</v>
          </cell>
          <cell r="AQ167" t="str">
            <v>Y</v>
          </cell>
          <cell r="AR167" t="str">
            <v>Y</v>
          </cell>
          <cell r="AS167" t="str">
            <v>G</v>
          </cell>
          <cell r="AU167" t="str">
            <v>APPLICATION INNOVATION</v>
          </cell>
          <cell r="AV167" t="str">
            <v>O</v>
          </cell>
          <cell r="AW167">
            <v>55058.8</v>
          </cell>
          <cell r="AX167">
            <v>163</v>
          </cell>
          <cell r="AY167">
            <v>2.9604713506287822E-3</v>
          </cell>
          <cell r="AZ167">
            <v>9176470</v>
          </cell>
          <cell r="BA167">
            <v>4777508</v>
          </cell>
          <cell r="BB167">
            <v>4398962</v>
          </cell>
          <cell r="BC167">
            <v>443427</v>
          </cell>
          <cell r="BD167">
            <v>9.2815543166018769E-2</v>
          </cell>
          <cell r="BE167">
            <v>10365508.07</v>
          </cell>
          <cell r="BF167">
            <v>5722616.4399999995</v>
          </cell>
          <cell r="BG167">
            <v>4642891.63</v>
          </cell>
          <cell r="BH167">
            <v>243929.63000000082</v>
          </cell>
          <cell r="BI167">
            <v>-3.1456674996023504E-2</v>
          </cell>
          <cell r="BJ167">
            <v>10365508.07</v>
          </cell>
          <cell r="BK167">
            <v>5702325.459999999</v>
          </cell>
          <cell r="BL167">
            <v>4663182.6100000003</v>
          </cell>
          <cell r="BM167">
            <v>0.44987496787506731</v>
          </cell>
          <cell r="BN167">
            <v>-2.9499126956605448E-2</v>
          </cell>
          <cell r="BO167" t="str">
            <v>ISU</v>
          </cell>
          <cell r="BP167" t="str">
            <v>O</v>
          </cell>
          <cell r="BQ167" t="str">
            <v>FX</v>
          </cell>
          <cell r="BR167">
            <v>8388703</v>
          </cell>
          <cell r="BS167" t="str">
            <v>6Y6</v>
          </cell>
          <cell r="BT167">
            <v>9162300</v>
          </cell>
          <cell r="BW167" t="str">
            <v/>
          </cell>
          <cell r="BX167" t="str">
            <v>Rated</v>
          </cell>
          <cell r="BY167" t="str">
            <v>Over</v>
          </cell>
          <cell r="BZ167" t="str">
            <v>C</v>
          </cell>
          <cell r="CA167" t="str">
            <v>M</v>
          </cell>
          <cell r="CG167">
            <v>9176470</v>
          </cell>
          <cell r="CH167">
            <v>5894122.8499999996</v>
          </cell>
          <cell r="CI167">
            <v>3282347.15</v>
          </cell>
          <cell r="CJ167">
            <v>0.35769169953151919</v>
          </cell>
          <cell r="CK167">
            <v>-0.12168239530015357</v>
          </cell>
          <cell r="CL167" t="str">
            <v/>
          </cell>
          <cell r="CM167" t="str">
            <v/>
          </cell>
          <cell r="CN167" t="str">
            <v/>
          </cell>
          <cell r="CO167" t="str">
            <v/>
          </cell>
          <cell r="CP167" t="str">
            <v/>
          </cell>
          <cell r="CQ167" t="str">
            <v/>
          </cell>
          <cell r="CR167" t="str">
            <v/>
          </cell>
          <cell r="CS167">
            <v>38292</v>
          </cell>
          <cell r="CT167" t="str">
            <v/>
          </cell>
          <cell r="CU167" t="str">
            <v>6955-24A</v>
          </cell>
          <cell r="CV167" t="str">
            <v>AIS</v>
          </cell>
          <cell r="CW167" t="str">
            <v>APPLICATION INNOVATION</v>
          </cell>
        </row>
        <row r="168">
          <cell r="A168" t="str">
            <v>CFTB74M</v>
          </cell>
          <cell r="B168" t="str">
            <v>TEL</v>
          </cell>
          <cell r="C168" t="str">
            <v>AIS</v>
          </cell>
          <cell r="D168" t="str">
            <v>AIS</v>
          </cell>
          <cell r="E168" t="str">
            <v>C&amp;SI</v>
          </cell>
          <cell r="F168" t="str">
            <v>SPRINT SPEC L P</v>
          </cell>
          <cell r="G168" t="str">
            <v>BMP Operations&amp;Support</v>
          </cell>
          <cell r="H168" t="str">
            <v>CFTB74M</v>
          </cell>
          <cell r="I168">
            <v>1</v>
          </cell>
          <cell r="J168" t="str">
            <v>Michael R Douglas/Dallas/IBM</v>
          </cell>
          <cell r="K168" t="str">
            <v>David A Shuster/Richmond/IBM</v>
          </cell>
          <cell r="L168" t="str">
            <v>BE</v>
          </cell>
          <cell r="M168">
            <v>38139</v>
          </cell>
          <cell r="N168">
            <v>38717</v>
          </cell>
          <cell r="O168">
            <v>69660</v>
          </cell>
          <cell r="P168">
            <v>432536</v>
          </cell>
          <cell r="Q168">
            <v>69660</v>
          </cell>
          <cell r="R168">
            <v>0.38171389202286055</v>
          </cell>
          <cell r="S168">
            <v>0.4308058675690869</v>
          </cell>
          <cell r="T168" t="str">
            <v/>
          </cell>
          <cell r="U168" t="str">
            <v>Y</v>
          </cell>
          <cell r="V168" t="str">
            <v/>
          </cell>
          <cell r="W168" t="str">
            <v>Y</v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C168" t="str">
            <v/>
          </cell>
          <cell r="AD168" t="str">
            <v/>
          </cell>
          <cell r="AE168" t="str">
            <v/>
          </cell>
          <cell r="AF168" t="str">
            <v/>
          </cell>
          <cell r="AG168" t="str">
            <v/>
          </cell>
          <cell r="AH168" t="str">
            <v/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O168" t="str">
            <v/>
          </cell>
          <cell r="AP168" t="str">
            <v/>
          </cell>
          <cell r="AQ168" t="str">
            <v/>
          </cell>
          <cell r="AR168" t="str">
            <v/>
          </cell>
          <cell r="AS168" t="str">
            <v/>
          </cell>
          <cell r="AU168" t="str">
            <v>APPLICATION INNOVATION</v>
          </cell>
          <cell r="AV168" t="str">
            <v>O</v>
          </cell>
          <cell r="AW168">
            <v>3296</v>
          </cell>
          <cell r="AX168">
            <v>0</v>
          </cell>
          <cell r="AY168">
            <v>0</v>
          </cell>
          <cell r="AZ168">
            <v>432536</v>
          </cell>
          <cell r="BA168">
            <v>267431</v>
          </cell>
          <cell r="BB168">
            <v>165105</v>
          </cell>
          <cell r="BC168">
            <v>10697</v>
          </cell>
          <cell r="BD168">
            <v>3.9999102572252282E-2</v>
          </cell>
          <cell r="BE168">
            <v>362876</v>
          </cell>
          <cell r="BF168">
            <v>206546.89</v>
          </cell>
          <cell r="BG168">
            <v>156329.10999999999</v>
          </cell>
          <cell r="BH168">
            <v>-8775.890000000014</v>
          </cell>
          <cell r="BI168">
            <v>4.9091975546226352E-2</v>
          </cell>
          <cell r="BJ168">
            <v>182894</v>
          </cell>
          <cell r="BK168">
            <v>206546.89</v>
          </cell>
          <cell r="BL168">
            <v>-23652.89</v>
          </cell>
          <cell r="BM168">
            <v>-0.1293256749811367</v>
          </cell>
          <cell r="BN168">
            <v>-0.51103956700399722</v>
          </cell>
          <cell r="BO168" t="str">
            <v>ISU</v>
          </cell>
          <cell r="BP168" t="str">
            <v>O</v>
          </cell>
          <cell r="BQ168" t="str">
            <v>FX</v>
          </cell>
          <cell r="BR168">
            <v>8388703</v>
          </cell>
          <cell r="BS168" t="str">
            <v>6Y6</v>
          </cell>
          <cell r="BT168">
            <v>9162300</v>
          </cell>
          <cell r="BW168" t="str">
            <v/>
          </cell>
          <cell r="BX168" t="str">
            <v>Unrated</v>
          </cell>
          <cell r="BY168" t="str">
            <v>Under</v>
          </cell>
          <cell r="BZ168" t="str">
            <v/>
          </cell>
          <cell r="CA168" t="str">
            <v/>
          </cell>
          <cell r="CG168">
            <v>343931</v>
          </cell>
          <cell r="CH168">
            <v>194889.33</v>
          </cell>
          <cell r="CI168">
            <v>149041.67000000001</v>
          </cell>
          <cell r="CJ168">
            <v>0.4333475900689383</v>
          </cell>
          <cell r="CK168">
            <v>5.1633698046077758E-2</v>
          </cell>
          <cell r="CL168" t="str">
            <v/>
          </cell>
          <cell r="CM168" t="str">
            <v/>
          </cell>
          <cell r="CN168" t="str">
            <v/>
          </cell>
          <cell r="CO168" t="str">
            <v/>
          </cell>
          <cell r="CP168" t="str">
            <v/>
          </cell>
          <cell r="CQ168" t="str">
            <v/>
          </cell>
          <cell r="CR168" t="str">
            <v/>
          </cell>
          <cell r="CS168">
            <v>38139</v>
          </cell>
          <cell r="CT168" t="str">
            <v/>
          </cell>
          <cell r="CU168" t="str">
            <v>6955-24A</v>
          </cell>
          <cell r="CV168" t="str">
            <v>AIS</v>
          </cell>
          <cell r="CW168" t="str">
            <v>APPLICATION INNOVATION</v>
          </cell>
        </row>
        <row r="169">
          <cell r="A169" t="str">
            <v>CFT5KFN</v>
          </cell>
          <cell r="B169" t="str">
            <v>TEL</v>
          </cell>
          <cell r="C169" t="str">
            <v>AIS</v>
          </cell>
          <cell r="D169" t="str">
            <v>AIS</v>
          </cell>
          <cell r="E169" t="str">
            <v>C&amp;SI</v>
          </cell>
          <cell r="F169" t="str">
            <v>SPRINT SPEC L P</v>
          </cell>
          <cell r="G169" t="str">
            <v>Sprint SPDE L&amp;P testing</v>
          </cell>
          <cell r="H169" t="str">
            <v>CFT5KFN</v>
          </cell>
          <cell r="I169">
            <v>1</v>
          </cell>
          <cell r="J169" t="str">
            <v>Michael R Douglas/Dallas/IBM</v>
          </cell>
          <cell r="K169" t="str">
            <v>Lasith G Perera/Irvine/IBM</v>
          </cell>
          <cell r="L169" t="str">
            <v>BE</v>
          </cell>
          <cell r="M169">
            <v>38691</v>
          </cell>
          <cell r="N169">
            <v>38730</v>
          </cell>
          <cell r="O169">
            <v>330850</v>
          </cell>
          <cell r="P169">
            <v>330850</v>
          </cell>
          <cell r="Q169">
            <v>330850</v>
          </cell>
          <cell r="R169">
            <v>0.45212936376001212</v>
          </cell>
          <cell r="S169">
            <v>0</v>
          </cell>
          <cell r="T169" t="str">
            <v>Y</v>
          </cell>
          <cell r="U169" t="str">
            <v/>
          </cell>
          <cell r="V169" t="str">
            <v>Y</v>
          </cell>
          <cell r="W169" t="str">
            <v>Y</v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C169" t="str">
            <v/>
          </cell>
          <cell r="AD169" t="str">
            <v/>
          </cell>
          <cell r="AU169" t="str">
            <v>APPLICATION INNOVATION</v>
          </cell>
          <cell r="AV169" t="str">
            <v>O</v>
          </cell>
          <cell r="AW169">
            <v>110</v>
          </cell>
          <cell r="AX169">
            <v>0</v>
          </cell>
          <cell r="AY169">
            <v>0</v>
          </cell>
          <cell r="AZ169">
            <v>330850</v>
          </cell>
          <cell r="BA169">
            <v>181263</v>
          </cell>
          <cell r="BB169">
            <v>149587</v>
          </cell>
          <cell r="BC169">
            <v>7410</v>
          </cell>
          <cell r="BD169">
            <v>4.0879826550371562E-2</v>
          </cell>
          <cell r="BE169">
            <v>0</v>
          </cell>
          <cell r="BF169">
            <v>7682.17</v>
          </cell>
          <cell r="BG169">
            <v>-7682.17</v>
          </cell>
          <cell r="BH169">
            <v>-157269.17000000001</v>
          </cell>
          <cell r="BI169">
            <v>-0.45212936376001212</v>
          </cell>
          <cell r="BJ169">
            <v>0</v>
          </cell>
          <cell r="BK169">
            <v>7682.17</v>
          </cell>
          <cell r="BL169">
            <v>-7682.17</v>
          </cell>
          <cell r="BM169">
            <v>0</v>
          </cell>
          <cell r="BN169">
            <v>-0.45212936376001212</v>
          </cell>
          <cell r="BO169" t="str">
            <v>ISU</v>
          </cell>
          <cell r="BP169" t="str">
            <v>O</v>
          </cell>
          <cell r="BQ169" t="str">
            <v>FX</v>
          </cell>
          <cell r="BR169">
            <v>8388703</v>
          </cell>
          <cell r="BS169" t="str">
            <v>6Y6</v>
          </cell>
          <cell r="BT169">
            <v>9162300</v>
          </cell>
          <cell r="BW169" t="str">
            <v/>
          </cell>
          <cell r="BX169" t="str">
            <v>Unrated</v>
          </cell>
          <cell r="BY169" t="str">
            <v>Under</v>
          </cell>
          <cell r="BZ169" t="str">
            <v/>
          </cell>
          <cell r="CA169" t="str">
            <v/>
          </cell>
          <cell r="CG169">
            <v>140450</v>
          </cell>
          <cell r="CH169">
            <v>62318</v>
          </cell>
          <cell r="CI169">
            <v>78132</v>
          </cell>
          <cell r="CJ169">
            <v>0.55629761480954076</v>
          </cell>
          <cell r="CK169">
            <v>0.10416825104952865</v>
          </cell>
          <cell r="CM169" t="e">
            <v>#N/A</v>
          </cell>
          <cell r="CS169">
            <v>38687</v>
          </cell>
          <cell r="CV169" t="str">
            <v/>
          </cell>
          <cell r="CW169" t="str">
            <v>APPLICATION INNOVATION</v>
          </cell>
        </row>
        <row r="170">
          <cell r="A170" t="str">
            <v>CFT2JGN</v>
          </cell>
          <cell r="B170" t="str">
            <v>TEL</v>
          </cell>
          <cell r="C170" t="str">
            <v>AIS</v>
          </cell>
          <cell r="D170" t="str">
            <v>AIS</v>
          </cell>
          <cell r="E170" t="str">
            <v>C&amp;SI</v>
          </cell>
          <cell r="F170" t="str">
            <v>SPRINT SPEC L P</v>
          </cell>
          <cell r="G170" t="str">
            <v>SPDE Websphere Commerce</v>
          </cell>
          <cell r="H170" t="str">
            <v>CFT2JGN</v>
          </cell>
          <cell r="I170">
            <v>1</v>
          </cell>
          <cell r="J170" t="str">
            <v>Michael R Douglas/Dallas/IBM</v>
          </cell>
          <cell r="K170" t="str">
            <v>John Kashen/Baltimore/IBM</v>
          </cell>
          <cell r="L170" t="str">
            <v>BE</v>
          </cell>
          <cell r="M170">
            <v>38644</v>
          </cell>
          <cell r="N170">
            <v>38651</v>
          </cell>
          <cell r="O170">
            <v>2560</v>
          </cell>
          <cell r="P170">
            <v>6400</v>
          </cell>
          <cell r="Q170">
            <v>2560</v>
          </cell>
          <cell r="R170">
            <v>0.46062500000000001</v>
          </cell>
          <cell r="S170">
            <v>0.52562500000000001</v>
          </cell>
          <cell r="T170" t="str">
            <v/>
          </cell>
          <cell r="U170" t="str">
            <v>Y</v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>Y</v>
          </cell>
          <cell r="AA170" t="str">
            <v/>
          </cell>
          <cell r="AC170" t="str">
            <v/>
          </cell>
          <cell r="AD170" t="str">
            <v/>
          </cell>
          <cell r="AE170" t="str">
            <v/>
          </cell>
          <cell r="AF170" t="str">
            <v/>
          </cell>
          <cell r="AG170" t="str">
            <v/>
          </cell>
          <cell r="AH170" t="str">
            <v/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O170" t="str">
            <v/>
          </cell>
          <cell r="AP170" t="str">
            <v/>
          </cell>
          <cell r="AQ170" t="str">
            <v/>
          </cell>
          <cell r="AR170" t="str">
            <v/>
          </cell>
          <cell r="AS170" t="str">
            <v/>
          </cell>
          <cell r="AU170" t="str">
            <v>APPLICATION INNOVATION</v>
          </cell>
          <cell r="AV170" t="str">
            <v>O</v>
          </cell>
          <cell r="AW170">
            <v>24</v>
          </cell>
          <cell r="AX170">
            <v>0</v>
          </cell>
          <cell r="AY170">
            <v>0</v>
          </cell>
          <cell r="AZ170">
            <v>6400</v>
          </cell>
          <cell r="BA170">
            <v>3452</v>
          </cell>
          <cell r="BB170">
            <v>2948</v>
          </cell>
          <cell r="BC170">
            <v>141</v>
          </cell>
          <cell r="BD170">
            <v>4.0845886442641949E-2</v>
          </cell>
          <cell r="BE170">
            <v>3840</v>
          </cell>
          <cell r="BF170">
            <v>1821.6</v>
          </cell>
          <cell r="BG170">
            <v>2018.4</v>
          </cell>
          <cell r="BH170">
            <v>-929.6</v>
          </cell>
          <cell r="BI170">
            <v>6.5000000000000002E-2</v>
          </cell>
          <cell r="BJ170">
            <v>3840</v>
          </cell>
          <cell r="BK170">
            <v>1821.6</v>
          </cell>
          <cell r="BL170">
            <v>2018.4</v>
          </cell>
          <cell r="BM170">
            <v>0.52562500000000001</v>
          </cell>
          <cell r="BN170">
            <v>6.5000000000000002E-2</v>
          </cell>
          <cell r="BO170" t="str">
            <v>ISU</v>
          </cell>
          <cell r="BP170" t="str">
            <v>O</v>
          </cell>
          <cell r="BQ170" t="str">
            <v>FX</v>
          </cell>
          <cell r="BR170">
            <v>8388703</v>
          </cell>
          <cell r="BS170" t="str">
            <v>6Y6</v>
          </cell>
          <cell r="BT170">
            <v>9162300</v>
          </cell>
          <cell r="BW170" t="str">
            <v/>
          </cell>
          <cell r="BX170" t="str">
            <v>Unrated</v>
          </cell>
          <cell r="BY170" t="str">
            <v>Under</v>
          </cell>
          <cell r="BZ170" t="str">
            <v/>
          </cell>
          <cell r="CA170" t="str">
            <v/>
          </cell>
          <cell r="CG170">
            <v>3840</v>
          </cell>
          <cell r="CH170">
            <v>0</v>
          </cell>
          <cell r="CI170">
            <v>3840</v>
          </cell>
          <cell r="CJ170">
            <v>1</v>
          </cell>
          <cell r="CK170">
            <v>0.53937500000000005</v>
          </cell>
          <cell r="CM170" t="e">
            <v>#N/A</v>
          </cell>
          <cell r="CN170" t="str">
            <v/>
          </cell>
          <cell r="CO170" t="str">
            <v/>
          </cell>
          <cell r="CP170" t="str">
            <v/>
          </cell>
          <cell r="CQ170" t="str">
            <v/>
          </cell>
          <cell r="CR170" t="str">
            <v/>
          </cell>
          <cell r="CS170">
            <v>38626</v>
          </cell>
          <cell r="CT170" t="str">
            <v/>
          </cell>
          <cell r="CU170" t="str">
            <v/>
          </cell>
          <cell r="CV170" t="str">
            <v/>
          </cell>
          <cell r="CW170" t="str">
            <v>APPLICATION INNOVATION</v>
          </cell>
        </row>
        <row r="171">
          <cell r="A171" t="str">
            <v>CFTNRWN</v>
          </cell>
          <cell r="B171" t="str">
            <v>TEL</v>
          </cell>
          <cell r="C171" t="str">
            <v>CRM</v>
          </cell>
          <cell r="D171" t="str">
            <v>CRM</v>
          </cell>
          <cell r="E171" t="str">
            <v>C&amp;SI</v>
          </cell>
          <cell r="F171" t="str">
            <v>SPRINT SPEC L P</v>
          </cell>
          <cell r="G171" t="str">
            <v>Sprint PCS FEP Upgrade</v>
          </cell>
          <cell r="H171" t="str">
            <v>CFTNRWN</v>
          </cell>
          <cell r="I171">
            <v>1</v>
          </cell>
          <cell r="J171" t="str">
            <v>Kenneth Misyak/Piscataway/IBM</v>
          </cell>
          <cell r="K171" t="str">
            <v>Maria Manansala/Piscataway/IBM</v>
          </cell>
          <cell r="L171" t="str">
            <v>FP</v>
          </cell>
          <cell r="M171">
            <v>38533</v>
          </cell>
          <cell r="N171">
            <v>38595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 t="str">
            <v/>
          </cell>
          <cell r="U171" t="str">
            <v>Y</v>
          </cell>
          <cell r="V171" t="str">
            <v>Y</v>
          </cell>
          <cell r="W171" t="str">
            <v>Y</v>
          </cell>
          <cell r="X171" t="str">
            <v/>
          </cell>
          <cell r="Y171" t="str">
            <v/>
          </cell>
          <cell r="Z171" t="str">
            <v/>
          </cell>
          <cell r="AA171" t="str">
            <v>Y</v>
          </cell>
          <cell r="AC171" t="str">
            <v/>
          </cell>
          <cell r="AD171" t="str">
            <v/>
          </cell>
          <cell r="AE171" t="str">
            <v/>
          </cell>
          <cell r="AF171" t="str">
            <v/>
          </cell>
          <cell r="AG171" t="str">
            <v/>
          </cell>
          <cell r="AH171" t="str">
            <v/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O171" t="str">
            <v/>
          </cell>
          <cell r="AP171" t="str">
            <v/>
          </cell>
          <cell r="AQ171" t="str">
            <v/>
          </cell>
          <cell r="AR171" t="str">
            <v/>
          </cell>
          <cell r="AS171" t="str">
            <v/>
          </cell>
          <cell r="AU171" t="str">
            <v>CUSTOMER RELATIONSHIP MANAGEMENT</v>
          </cell>
          <cell r="AV171" t="str">
            <v>O</v>
          </cell>
          <cell r="AW171">
            <v>110</v>
          </cell>
          <cell r="AX171">
            <v>0</v>
          </cell>
          <cell r="AY171">
            <v>0</v>
          </cell>
          <cell r="AZ171">
            <v>0</v>
          </cell>
          <cell r="BA171">
            <v>194016</v>
          </cell>
          <cell r="BB171">
            <v>-194016</v>
          </cell>
          <cell r="BC171">
            <v>7761</v>
          </cell>
          <cell r="BD171">
            <v>4.0001855517070757E-2</v>
          </cell>
          <cell r="BE171">
            <v>0</v>
          </cell>
          <cell r="BF171">
            <v>15796.4</v>
          </cell>
          <cell r="BG171">
            <v>-15796.4</v>
          </cell>
          <cell r="BH171">
            <v>178219.6</v>
          </cell>
          <cell r="BI171">
            <v>0</v>
          </cell>
          <cell r="BJ171">
            <v>0</v>
          </cell>
          <cell r="BK171">
            <v>15796.4</v>
          </cell>
          <cell r="BL171">
            <v>-15796.4</v>
          </cell>
          <cell r="BM171">
            <v>0</v>
          </cell>
          <cell r="BN171">
            <v>0</v>
          </cell>
          <cell r="BO171" t="str">
            <v>ISU</v>
          </cell>
          <cell r="BP171" t="str">
            <v>O</v>
          </cell>
          <cell r="BQ171" t="str">
            <v>FX</v>
          </cell>
          <cell r="BR171">
            <v>8387544</v>
          </cell>
          <cell r="BS171" t="str">
            <v>6Y6</v>
          </cell>
          <cell r="BT171">
            <v>9162300</v>
          </cell>
          <cell r="BW171" t="str">
            <v/>
          </cell>
          <cell r="BX171" t="str">
            <v>Unrated</v>
          </cell>
          <cell r="BY171" t="str">
            <v>Under</v>
          </cell>
          <cell r="BZ171" t="str">
            <v/>
          </cell>
          <cell r="CA171" t="str">
            <v/>
          </cell>
          <cell r="CG171">
            <v>0</v>
          </cell>
          <cell r="CH171">
            <v>15796.4</v>
          </cell>
          <cell r="CI171">
            <v>-15796.4</v>
          </cell>
          <cell r="CJ171">
            <v>0</v>
          </cell>
          <cell r="CK171">
            <v>0</v>
          </cell>
          <cell r="CL171" t="str">
            <v/>
          </cell>
          <cell r="CM171" t="str">
            <v/>
          </cell>
          <cell r="CN171" t="str">
            <v/>
          </cell>
          <cell r="CO171" t="str">
            <v/>
          </cell>
          <cell r="CP171" t="str">
            <v/>
          </cell>
          <cell r="CQ171" t="str">
            <v/>
          </cell>
          <cell r="CR171" t="str">
            <v/>
          </cell>
          <cell r="CS171">
            <v>38504</v>
          </cell>
          <cell r="CT171" t="str">
            <v/>
          </cell>
          <cell r="CV171" t="str">
            <v/>
          </cell>
          <cell r="CW171" t="str">
            <v>CUSTOMER RELATIONSHIP MANAGEMENT</v>
          </cell>
        </row>
        <row r="172">
          <cell r="A172" t="str">
            <v>CFTF82N</v>
          </cell>
          <cell r="B172" t="str">
            <v>TEL</v>
          </cell>
          <cell r="C172" t="str">
            <v>CRM</v>
          </cell>
          <cell r="D172" t="str">
            <v>CRM</v>
          </cell>
          <cell r="E172" t="str">
            <v>C&amp;SI</v>
          </cell>
          <cell r="F172" t="str">
            <v>SPRINT SPECT EQ</v>
          </cell>
          <cell r="G172" t="str">
            <v>SPRINT PCS NCG STIC LAB</v>
          </cell>
          <cell r="H172" t="str">
            <v>CFTF82N</v>
          </cell>
          <cell r="I172">
            <v>2</v>
          </cell>
          <cell r="J172" t="str">
            <v>Kenneth Misyak/Piscataway/IBM</v>
          </cell>
          <cell r="K172" t="str">
            <v>Maria Manansala/Piscataway/IBM</v>
          </cell>
          <cell r="L172" t="str">
            <v>FP</v>
          </cell>
          <cell r="M172">
            <v>38470</v>
          </cell>
          <cell r="N172">
            <v>38656</v>
          </cell>
          <cell r="O172">
            <v>0</v>
          </cell>
          <cell r="P172">
            <v>429700</v>
          </cell>
          <cell r="Q172">
            <v>0</v>
          </cell>
          <cell r="R172">
            <v>0.37710728415173378</v>
          </cell>
          <cell r="S172">
            <v>0.38991594135443336</v>
          </cell>
          <cell r="T172" t="str">
            <v/>
          </cell>
          <cell r="U172" t="str">
            <v>Y</v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C172" t="str">
            <v/>
          </cell>
          <cell r="AD172" t="str">
            <v/>
          </cell>
          <cell r="AE172" t="str">
            <v/>
          </cell>
          <cell r="AF172" t="str">
            <v/>
          </cell>
          <cell r="AG172" t="str">
            <v/>
          </cell>
          <cell r="AH172" t="str">
            <v/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O172" t="str">
            <v/>
          </cell>
          <cell r="AP172" t="str">
            <v/>
          </cell>
          <cell r="AQ172" t="str">
            <v/>
          </cell>
          <cell r="AR172" t="str">
            <v/>
          </cell>
          <cell r="AS172" t="str">
            <v/>
          </cell>
          <cell r="AU172" t="str">
            <v>CUSTOMER RELATIONSHIP MANAGEMENT</v>
          </cell>
          <cell r="AV172" t="str">
            <v>O</v>
          </cell>
          <cell r="AW172">
            <v>1010</v>
          </cell>
          <cell r="AX172">
            <v>0</v>
          </cell>
          <cell r="AY172">
            <v>0</v>
          </cell>
          <cell r="AZ172">
            <v>429700</v>
          </cell>
          <cell r="BA172">
            <v>267657</v>
          </cell>
          <cell r="BB172">
            <v>162043</v>
          </cell>
          <cell r="BC172">
            <v>10706</v>
          </cell>
          <cell r="BD172">
            <v>3.9998953885009549E-2</v>
          </cell>
          <cell r="BE172">
            <v>429700</v>
          </cell>
          <cell r="BF172">
            <v>262153.12</v>
          </cell>
          <cell r="BG172">
            <v>167546.88</v>
          </cell>
          <cell r="BH172">
            <v>5503.88</v>
          </cell>
          <cell r="BI172">
            <v>1.280865720269958E-2</v>
          </cell>
          <cell r="BJ172">
            <v>429700</v>
          </cell>
          <cell r="BK172">
            <v>262153.12</v>
          </cell>
          <cell r="BL172">
            <v>167546.88</v>
          </cell>
          <cell r="BM172">
            <v>0.38991594135443336</v>
          </cell>
          <cell r="BN172">
            <v>1.280865720269958E-2</v>
          </cell>
          <cell r="BO172" t="str">
            <v>ISU</v>
          </cell>
          <cell r="BP172" t="str">
            <v>O</v>
          </cell>
          <cell r="BQ172" t="str">
            <v>FX</v>
          </cell>
          <cell r="BR172">
            <v>8392352</v>
          </cell>
          <cell r="BS172" t="str">
            <v>6Y3</v>
          </cell>
          <cell r="BT172">
            <v>9162300</v>
          </cell>
          <cell r="BW172" t="str">
            <v/>
          </cell>
          <cell r="BX172" t="str">
            <v>Unrated</v>
          </cell>
          <cell r="BY172" t="str">
            <v>Under</v>
          </cell>
          <cell r="BZ172" t="str">
            <v/>
          </cell>
          <cell r="CA172" t="str">
            <v/>
          </cell>
          <cell r="CG172">
            <v>429700</v>
          </cell>
          <cell r="CH172">
            <v>262153.12</v>
          </cell>
          <cell r="CI172">
            <v>167546.88</v>
          </cell>
          <cell r="CJ172">
            <v>0.38991594135443336</v>
          </cell>
          <cell r="CK172">
            <v>1.280865720269958E-2</v>
          </cell>
          <cell r="CM172" t="e">
            <v>#N/A</v>
          </cell>
          <cell r="CN172" t="str">
            <v/>
          </cell>
          <cell r="CO172" t="str">
            <v/>
          </cell>
          <cell r="CP172" t="str">
            <v/>
          </cell>
          <cell r="CQ172" t="str">
            <v/>
          </cell>
          <cell r="CR172" t="str">
            <v/>
          </cell>
          <cell r="CS172">
            <v>38443</v>
          </cell>
          <cell r="CT172" t="str">
            <v/>
          </cell>
          <cell r="CU172" t="str">
            <v/>
          </cell>
          <cell r="CV172" t="str">
            <v/>
          </cell>
          <cell r="CW172" t="str">
            <v>CUSTOMER RELATIONSHIP MANAGEMENT</v>
          </cell>
        </row>
        <row r="173">
          <cell r="A173" t="str">
            <v>CFTNBYL</v>
          </cell>
          <cell r="B173" t="str">
            <v>TEL</v>
          </cell>
          <cell r="C173" t="str">
            <v>FM</v>
          </cell>
          <cell r="D173" t="str">
            <v>FM</v>
          </cell>
          <cell r="E173" t="str">
            <v>C&amp;SI</v>
          </cell>
          <cell r="F173" t="str">
            <v>SPRINT/RISC</v>
          </cell>
          <cell r="G173" t="str">
            <v>SO PSOFT ADM SERVICES    ...</v>
          </cell>
          <cell r="H173" t="str">
            <v>CFTNBYL</v>
          </cell>
          <cell r="I173">
            <v>1</v>
          </cell>
          <cell r="J173" t="str">
            <v>David G Gonzales/Dallas/IBM</v>
          </cell>
          <cell r="K173" t="str">
            <v>David G Gonzales/Dallas/IBM</v>
          </cell>
          <cell r="L173" t="str">
            <v>FP</v>
          </cell>
          <cell r="M173">
            <v>37879</v>
          </cell>
          <cell r="N173">
            <v>38837</v>
          </cell>
          <cell r="O173">
            <v>3215355.64</v>
          </cell>
          <cell r="P173">
            <v>6124049</v>
          </cell>
          <cell r="Q173">
            <v>3215355.64</v>
          </cell>
          <cell r="R173">
            <v>0.13754592753911668</v>
          </cell>
          <cell r="S173">
            <v>0.12755739917527775</v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>Y</v>
          </cell>
          <cell r="Y173" t="str">
            <v/>
          </cell>
          <cell r="Z173" t="str">
            <v/>
          </cell>
          <cell r="AA173" t="str">
            <v/>
          </cell>
          <cell r="AC173" t="str">
            <v/>
          </cell>
          <cell r="AD173" t="str">
            <v>Y</v>
          </cell>
          <cell r="AE173" t="str">
            <v>Coleman</v>
          </cell>
          <cell r="AF173" t="str">
            <v>Y</v>
          </cell>
          <cell r="AG173" t="str">
            <v>Lisa Strang</v>
          </cell>
          <cell r="AH173" t="str">
            <v>Lisa Strang</v>
          </cell>
          <cell r="AI173" t="str">
            <v>M</v>
          </cell>
          <cell r="AJ173" t="str">
            <v>Waived</v>
          </cell>
          <cell r="AK173">
            <v>38326</v>
          </cell>
          <cell r="AL173">
            <v>38749</v>
          </cell>
          <cell r="AM173" t="str">
            <v>G</v>
          </cell>
          <cell r="AN173" t="str">
            <v>G</v>
          </cell>
          <cell r="AO173" t="str">
            <v>G</v>
          </cell>
          <cell r="AP173" t="str">
            <v>G</v>
          </cell>
          <cell r="AQ173" t="str">
            <v>G</v>
          </cell>
          <cell r="AR173" t="str">
            <v>G</v>
          </cell>
          <cell r="AS173" t="str">
            <v>G</v>
          </cell>
          <cell r="AU173" t="str">
            <v>FINANCIAL MANAGEMENT</v>
          </cell>
          <cell r="AV173" t="str">
            <v>O</v>
          </cell>
          <cell r="AW173">
            <v>90101.9</v>
          </cell>
          <cell r="AX173">
            <v>0</v>
          </cell>
          <cell r="AY173">
            <v>0</v>
          </cell>
          <cell r="AZ173">
            <v>6124049</v>
          </cell>
          <cell r="BA173">
            <v>5281711</v>
          </cell>
          <cell r="BB173">
            <v>842338</v>
          </cell>
          <cell r="BC173">
            <v>105634</v>
          </cell>
          <cell r="BD173">
            <v>1.999995834683117E-2</v>
          </cell>
          <cell r="BE173">
            <v>2908693.36</v>
          </cell>
          <cell r="BF173">
            <v>2537668</v>
          </cell>
          <cell r="BG173">
            <v>371025.36</v>
          </cell>
          <cell r="BH173">
            <v>-471312.64000000001</v>
          </cell>
          <cell r="BI173">
            <v>-9.9885283638389277E-3</v>
          </cell>
          <cell r="BJ173">
            <v>1738318.33</v>
          </cell>
          <cell r="BK173">
            <v>1344252.34</v>
          </cell>
          <cell r="BL173">
            <v>394065.99</v>
          </cell>
          <cell r="BM173">
            <v>0.22669380124410238</v>
          </cell>
          <cell r="BN173">
            <v>8.9147873704985697E-2</v>
          </cell>
          <cell r="BO173" t="str">
            <v>ISU</v>
          </cell>
          <cell r="BP173" t="str">
            <v>O</v>
          </cell>
          <cell r="BQ173" t="str">
            <v>FY</v>
          </cell>
          <cell r="BR173">
            <v>8387671</v>
          </cell>
          <cell r="BS173" t="str">
            <v>6Y9</v>
          </cell>
          <cell r="BT173">
            <v>9162300</v>
          </cell>
          <cell r="BW173" t="str">
            <v/>
          </cell>
          <cell r="BX173" t="str">
            <v>Rated</v>
          </cell>
          <cell r="BY173" t="str">
            <v>Over</v>
          </cell>
          <cell r="BZ173" t="str">
            <v>Other</v>
          </cell>
          <cell r="CA173" t="str">
            <v/>
          </cell>
          <cell r="CG173">
            <v>6124049</v>
          </cell>
          <cell r="CH173">
            <v>2937125.52</v>
          </cell>
          <cell r="CI173">
            <v>3186923.48</v>
          </cell>
          <cell r="CJ173">
            <v>0.52039483681466303</v>
          </cell>
          <cell r="CK173">
            <v>0.38284890927554638</v>
          </cell>
          <cell r="CL173" t="str">
            <v>May be one for Lisa to participate on…the team wants a Financial review as well…</v>
          </cell>
          <cell r="CM173" t="str">
            <v/>
          </cell>
          <cell r="CN173" t="str">
            <v/>
          </cell>
          <cell r="CO173" t="str">
            <v/>
          </cell>
          <cell r="CP173" t="str">
            <v/>
          </cell>
          <cell r="CQ173" t="str">
            <v/>
          </cell>
          <cell r="CR173" t="str">
            <v/>
          </cell>
          <cell r="CS173">
            <v>37865</v>
          </cell>
          <cell r="CT173" t="str">
            <v/>
          </cell>
          <cell r="CV173" t="str">
            <v/>
          </cell>
          <cell r="CW173" t="str">
            <v>FINANCIAL MANAGEMENT</v>
          </cell>
        </row>
        <row r="174">
          <cell r="A174" t="str">
            <v>CFT1FQN</v>
          </cell>
          <cell r="B174" t="str">
            <v>MED</v>
          </cell>
          <cell r="C174" t="str">
            <v>AIS</v>
          </cell>
          <cell r="D174" t="str">
            <v>AIS</v>
          </cell>
          <cell r="E174" t="str">
            <v>C&amp;SI</v>
          </cell>
          <cell r="F174" t="str">
            <v>SUN SENTINEL</v>
          </cell>
          <cell r="G174" t="str">
            <v>NICA data migration</v>
          </cell>
          <cell r="H174" t="str">
            <v>CFT1FQN</v>
          </cell>
          <cell r="I174">
            <v>1</v>
          </cell>
          <cell r="J174" t="str">
            <v>Mark Preston/Santa Teresa/IBM</v>
          </cell>
          <cell r="K174" t="str">
            <v>Mark Preston/Santa Teresa/IBM</v>
          </cell>
          <cell r="L174" t="str">
            <v>FP</v>
          </cell>
          <cell r="M174">
            <v>38684</v>
          </cell>
          <cell r="N174">
            <v>38695</v>
          </cell>
          <cell r="O174">
            <v>0</v>
          </cell>
          <cell r="P174">
            <v>16000</v>
          </cell>
          <cell r="Q174">
            <v>0</v>
          </cell>
          <cell r="R174">
            <v>0.51875000000000004</v>
          </cell>
          <cell r="S174">
            <v>1</v>
          </cell>
          <cell r="T174" t="str">
            <v/>
          </cell>
          <cell r="U174" t="str">
            <v>Y</v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>Y</v>
          </cell>
          <cell r="AA174" t="str">
            <v/>
          </cell>
          <cell r="AC174" t="str">
            <v/>
          </cell>
          <cell r="AD174" t="str">
            <v/>
          </cell>
          <cell r="AU174" t="str">
            <v>APPLICATION INNOVATION</v>
          </cell>
          <cell r="AV174" t="str">
            <v>O</v>
          </cell>
          <cell r="AW174">
            <v>0</v>
          </cell>
          <cell r="AX174">
            <v>0</v>
          </cell>
          <cell r="AY174">
            <v>0</v>
          </cell>
          <cell r="AZ174">
            <v>16000</v>
          </cell>
          <cell r="BA174">
            <v>7700</v>
          </cell>
          <cell r="BB174">
            <v>8300</v>
          </cell>
          <cell r="BC174">
            <v>1540</v>
          </cell>
          <cell r="BD174">
            <v>0.2</v>
          </cell>
          <cell r="BE174">
            <v>16000</v>
          </cell>
          <cell r="BF174">
            <v>0</v>
          </cell>
          <cell r="BG174">
            <v>16000</v>
          </cell>
          <cell r="BH174">
            <v>7700</v>
          </cell>
          <cell r="BI174">
            <v>0.48125000000000001</v>
          </cell>
          <cell r="BJ174">
            <v>16000</v>
          </cell>
          <cell r="BK174">
            <v>0</v>
          </cell>
          <cell r="BL174">
            <v>16000</v>
          </cell>
          <cell r="BM174">
            <v>1</v>
          </cell>
          <cell r="BN174">
            <v>0.48125000000000001</v>
          </cell>
          <cell r="BO174" t="str">
            <v>ISU</v>
          </cell>
          <cell r="BP174" t="str">
            <v>O</v>
          </cell>
          <cell r="BQ174" t="str">
            <v>FX</v>
          </cell>
          <cell r="BR174">
            <v>8629334</v>
          </cell>
          <cell r="BS174" t="str">
            <v>6YR</v>
          </cell>
          <cell r="BT174">
            <v>8937200</v>
          </cell>
          <cell r="BW174" t="str">
            <v/>
          </cell>
          <cell r="BX174" t="str">
            <v>Unrated</v>
          </cell>
          <cell r="BY174" t="str">
            <v>Under</v>
          </cell>
          <cell r="BZ174" t="str">
            <v/>
          </cell>
          <cell r="CA174" t="str">
            <v/>
          </cell>
          <cell r="CG174">
            <v>16000</v>
          </cell>
          <cell r="CH174">
            <v>0</v>
          </cell>
          <cell r="CI174">
            <v>16000</v>
          </cell>
          <cell r="CJ174">
            <v>1</v>
          </cell>
          <cell r="CK174">
            <v>0.48125000000000001</v>
          </cell>
          <cell r="CM174" t="e">
            <v>#N/A</v>
          </cell>
          <cell r="CS174">
            <v>38657</v>
          </cell>
          <cell r="CV174" t="str">
            <v/>
          </cell>
          <cell r="CW174" t="str">
            <v>APPLICATION INNOVATION</v>
          </cell>
        </row>
        <row r="175">
          <cell r="A175" t="str">
            <v>CFT2TXN</v>
          </cell>
          <cell r="B175" t="str">
            <v>MED</v>
          </cell>
          <cell r="C175" t="str">
            <v>SCS</v>
          </cell>
          <cell r="D175" t="str">
            <v>SCS</v>
          </cell>
          <cell r="E175" t="str">
            <v>C&amp;SI</v>
          </cell>
          <cell r="F175" t="str">
            <v>TAYLOR GLEN MIL</v>
          </cell>
          <cell r="G175" t="str">
            <v>IT Assessment Strategy</v>
          </cell>
          <cell r="H175" t="str">
            <v>CFT2TXN</v>
          </cell>
          <cell r="I175">
            <v>1</v>
          </cell>
          <cell r="J175" t="str">
            <v>JACQUES PEAY/New York/IBM</v>
          </cell>
          <cell r="K175" t="str">
            <v>JACQUES PEAY/New York/IBM</v>
          </cell>
          <cell r="L175" t="str">
            <v>BE</v>
          </cell>
          <cell r="M175">
            <v>38663</v>
          </cell>
          <cell r="N175">
            <v>38709</v>
          </cell>
          <cell r="O175">
            <v>76200</v>
          </cell>
          <cell r="P175">
            <v>76200</v>
          </cell>
          <cell r="Q175">
            <v>76200</v>
          </cell>
          <cell r="R175">
            <v>0.41342519685039369</v>
          </cell>
          <cell r="S175">
            <v>0</v>
          </cell>
          <cell r="T175" t="str">
            <v/>
          </cell>
          <cell r="U175" t="str">
            <v>Y</v>
          </cell>
          <cell r="V175" t="str">
            <v/>
          </cell>
          <cell r="W175" t="str">
            <v/>
          </cell>
          <cell r="X175" t="str">
            <v>Y</v>
          </cell>
          <cell r="Y175" t="str">
            <v/>
          </cell>
          <cell r="Z175" t="str">
            <v/>
          </cell>
          <cell r="AA175" t="str">
            <v>Y</v>
          </cell>
          <cell r="AC175" t="str">
            <v/>
          </cell>
          <cell r="AD175" t="str">
            <v/>
          </cell>
          <cell r="AE175" t="str">
            <v/>
          </cell>
          <cell r="AF175" t="str">
            <v/>
          </cell>
          <cell r="AG175" t="str">
            <v/>
          </cell>
          <cell r="AH175" t="str">
            <v/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O175" t="str">
            <v/>
          </cell>
          <cell r="AP175" t="str">
            <v/>
          </cell>
          <cell r="AQ175" t="str">
            <v/>
          </cell>
          <cell r="AR175" t="str">
            <v/>
          </cell>
          <cell r="AS175" t="str">
            <v/>
          </cell>
          <cell r="AU175" t="str">
            <v>STRATEGY AND CHANGE</v>
          </cell>
          <cell r="AV175" t="str">
            <v>O</v>
          </cell>
          <cell r="AW175">
            <v>0</v>
          </cell>
          <cell r="AX175">
            <v>0</v>
          </cell>
          <cell r="AY175">
            <v>0</v>
          </cell>
          <cell r="AZ175">
            <v>76200</v>
          </cell>
          <cell r="BA175">
            <v>44697</v>
          </cell>
          <cell r="BB175">
            <v>31503</v>
          </cell>
          <cell r="BC175">
            <v>1788</v>
          </cell>
          <cell r="BD175">
            <v>4.0002684743942543E-2</v>
          </cell>
          <cell r="BE175">
            <v>0</v>
          </cell>
          <cell r="BF175">
            <v>0</v>
          </cell>
          <cell r="BG175">
            <v>0</v>
          </cell>
          <cell r="BH175">
            <v>-31503</v>
          </cell>
          <cell r="BI175">
            <v>-0.41342519685039369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-0.41342519685039369</v>
          </cell>
          <cell r="BO175" t="str">
            <v>SMB</v>
          </cell>
          <cell r="BP175" t="str">
            <v>O</v>
          </cell>
          <cell r="BQ175" t="str">
            <v>FX</v>
          </cell>
          <cell r="BR175">
            <v>8736692</v>
          </cell>
          <cell r="BS175" t="str">
            <v>Q3P</v>
          </cell>
          <cell r="BT175">
            <v>8739331</v>
          </cell>
          <cell r="BW175" t="str">
            <v/>
          </cell>
          <cell r="BX175" t="str">
            <v>Unrated</v>
          </cell>
          <cell r="BY175" t="str">
            <v>Under</v>
          </cell>
          <cell r="BZ175" t="str">
            <v/>
          </cell>
          <cell r="CA175" t="str">
            <v/>
          </cell>
          <cell r="CG175">
            <v>76200</v>
          </cell>
          <cell r="CH175">
            <v>44696</v>
          </cell>
          <cell r="CI175">
            <v>31504</v>
          </cell>
          <cell r="CJ175">
            <v>0.41343832020997373</v>
          </cell>
          <cell r="CK175">
            <v>1.3123359580036187E-5</v>
          </cell>
          <cell r="CM175" t="e">
            <v>#N/A</v>
          </cell>
          <cell r="CN175" t="str">
            <v/>
          </cell>
          <cell r="CO175" t="str">
            <v/>
          </cell>
          <cell r="CP175" t="str">
            <v/>
          </cell>
          <cell r="CQ175" t="str">
            <v/>
          </cell>
          <cell r="CR175" t="str">
            <v/>
          </cell>
          <cell r="CS175">
            <v>38657</v>
          </cell>
          <cell r="CT175" t="str">
            <v/>
          </cell>
          <cell r="CU175" t="str">
            <v/>
          </cell>
          <cell r="CV175" t="str">
            <v/>
          </cell>
          <cell r="CW175" t="str">
            <v>STRATEGY AND CHANGE</v>
          </cell>
        </row>
        <row r="176">
          <cell r="A176" t="str">
            <v>CFTDNFK</v>
          </cell>
          <cell r="B176" t="str">
            <v>TEL</v>
          </cell>
          <cell r="C176" t="str">
            <v>CRM</v>
          </cell>
          <cell r="D176" t="str">
            <v>CRM</v>
          </cell>
          <cell r="E176" t="str">
            <v>C&amp;SI</v>
          </cell>
          <cell r="F176" t="str">
            <v>TELCORDIA</v>
          </cell>
          <cell r="G176" t="str">
            <v>PCA 78B</v>
          </cell>
          <cell r="H176" t="str">
            <v>CFTDNFK</v>
          </cell>
          <cell r="I176">
            <v>10</v>
          </cell>
          <cell r="J176" t="str">
            <v>Kenneth Misyak/Piscataway/IBM</v>
          </cell>
          <cell r="K176" t="str">
            <v>Maria Manansala/Piscataway/IBM</v>
          </cell>
          <cell r="L176" t="str">
            <v>FP</v>
          </cell>
          <cell r="M176">
            <v>38461</v>
          </cell>
          <cell r="N176">
            <v>38717</v>
          </cell>
          <cell r="O176">
            <v>0</v>
          </cell>
          <cell r="P176">
            <v>640380</v>
          </cell>
          <cell r="Q176">
            <v>0</v>
          </cell>
          <cell r="R176">
            <v>0.28805552952934194</v>
          </cell>
          <cell r="S176">
            <v>0.34773465754708133</v>
          </cell>
          <cell r="T176" t="str">
            <v/>
          </cell>
          <cell r="U176" t="str">
            <v>Y</v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>Y</v>
          </cell>
          <cell r="AA176" t="str">
            <v/>
          </cell>
          <cell r="AC176" t="str">
            <v/>
          </cell>
          <cell r="AD176" t="str">
            <v/>
          </cell>
          <cell r="AE176" t="str">
            <v>Graham</v>
          </cell>
          <cell r="AF176" t="str">
            <v/>
          </cell>
          <cell r="AG176" t="str">
            <v/>
          </cell>
          <cell r="AH176" t="str">
            <v/>
          </cell>
          <cell r="AI176" t="str">
            <v/>
          </cell>
          <cell r="AJ176" t="str">
            <v>Waived</v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O176" t="str">
            <v/>
          </cell>
          <cell r="AP176" t="str">
            <v/>
          </cell>
          <cell r="AQ176" t="str">
            <v/>
          </cell>
          <cell r="AR176" t="str">
            <v/>
          </cell>
          <cell r="AS176" t="str">
            <v/>
          </cell>
          <cell r="AU176" t="str">
            <v>CUSTOMER RELATIONSHIP MANAGEMENT</v>
          </cell>
          <cell r="AV176" t="str">
            <v>O</v>
          </cell>
          <cell r="AW176">
            <v>891.5</v>
          </cell>
          <cell r="AX176">
            <v>0</v>
          </cell>
          <cell r="AY176">
            <v>0</v>
          </cell>
          <cell r="AZ176">
            <v>640380</v>
          </cell>
          <cell r="BA176">
            <v>455915</v>
          </cell>
          <cell r="BB176">
            <v>184465</v>
          </cell>
          <cell r="BC176">
            <v>18132</v>
          </cell>
          <cell r="BD176">
            <v>3.9770571268767207E-2</v>
          </cell>
          <cell r="BE176">
            <v>640380</v>
          </cell>
          <cell r="BF176">
            <v>417697.68</v>
          </cell>
          <cell r="BG176">
            <v>222682.32</v>
          </cell>
          <cell r="BH176">
            <v>38217.319999999949</v>
          </cell>
          <cell r="BI176">
            <v>5.9679128017739391E-2</v>
          </cell>
          <cell r="BJ176">
            <v>640380</v>
          </cell>
          <cell r="BK176">
            <v>417697.68</v>
          </cell>
          <cell r="BL176">
            <v>222682.32</v>
          </cell>
          <cell r="BM176">
            <v>0.34773465754708133</v>
          </cell>
          <cell r="BN176">
            <v>5.9679128017739391E-2</v>
          </cell>
          <cell r="BO176" t="str">
            <v>ISU</v>
          </cell>
          <cell r="BP176" t="str">
            <v>O</v>
          </cell>
          <cell r="BQ176" t="str">
            <v>FX</v>
          </cell>
          <cell r="BR176">
            <v>894813</v>
          </cell>
          <cell r="BS176" t="str">
            <v>6Y9</v>
          </cell>
          <cell r="BT176">
            <v>8753929</v>
          </cell>
          <cell r="BW176" t="str">
            <v/>
          </cell>
          <cell r="BX176" t="str">
            <v>Rated</v>
          </cell>
          <cell r="BY176" t="str">
            <v>Under</v>
          </cell>
          <cell r="BZ176" t="str">
            <v>Other</v>
          </cell>
          <cell r="CA176" t="str">
            <v/>
          </cell>
          <cell r="CG176">
            <v>640380</v>
          </cell>
          <cell r="CH176">
            <v>404817.68</v>
          </cell>
          <cell r="CI176">
            <v>235562.32</v>
          </cell>
          <cell r="CJ176">
            <v>0.36784771541896999</v>
          </cell>
          <cell r="CK176">
            <v>7.9792185889628053E-2</v>
          </cell>
          <cell r="CL176" t="str">
            <v/>
          </cell>
          <cell r="CM176" t="str">
            <v/>
          </cell>
          <cell r="CN176" t="str">
            <v/>
          </cell>
          <cell r="CO176" t="str">
            <v/>
          </cell>
          <cell r="CP176" t="str">
            <v/>
          </cell>
          <cell r="CQ176" t="str">
            <v/>
          </cell>
          <cell r="CR176" t="str">
            <v/>
          </cell>
          <cell r="CS176">
            <v>38443</v>
          </cell>
          <cell r="CT176" t="str">
            <v/>
          </cell>
          <cell r="CV176" t="str">
            <v/>
          </cell>
          <cell r="CW176" t="str">
            <v>CUSTOMER RELATIONSHIP MANAGEMENT</v>
          </cell>
        </row>
        <row r="177">
          <cell r="A177" t="str">
            <v>CFTVN8M</v>
          </cell>
          <cell r="B177" t="str">
            <v>MED</v>
          </cell>
          <cell r="C177" t="str">
            <v>BTO</v>
          </cell>
          <cell r="D177" t="str">
            <v>BTO</v>
          </cell>
          <cell r="E177" t="str">
            <v>BTO</v>
          </cell>
          <cell r="F177" t="str">
            <v>THE DUN BRADSTR</v>
          </cell>
          <cell r="G177" t="str">
            <v>BTO CRM Risk Mgmt Solutio...</v>
          </cell>
          <cell r="H177" t="str">
            <v>CFTVN8M</v>
          </cell>
          <cell r="I177">
            <v>17</v>
          </cell>
          <cell r="J177" t="str">
            <v>John Doyle/Somers/IBM</v>
          </cell>
          <cell r="K177" t="str">
            <v>John Doyle/Somers/IBM</v>
          </cell>
          <cell r="L177" t="str">
            <v>IC</v>
          </cell>
          <cell r="M177">
            <v>38275</v>
          </cell>
          <cell r="N177">
            <v>40999</v>
          </cell>
          <cell r="O177">
            <v>121698386.59999999</v>
          </cell>
          <cell r="P177">
            <v>121698386.59999999</v>
          </cell>
          <cell r="Q177">
            <v>121698386.59999999</v>
          </cell>
          <cell r="R177">
            <v>0.99479730161024171</v>
          </cell>
          <cell r="S177">
            <v>0</v>
          </cell>
          <cell r="T177" t="str">
            <v/>
          </cell>
          <cell r="U177" t="str">
            <v/>
          </cell>
          <cell r="V177" t="str">
            <v>Y</v>
          </cell>
          <cell r="W177" t="str">
            <v>Y</v>
          </cell>
          <cell r="X177" t="str">
            <v>Y</v>
          </cell>
          <cell r="Y177" t="str">
            <v/>
          </cell>
          <cell r="Z177" t="str">
            <v/>
          </cell>
          <cell r="AA177" t="str">
            <v>Y</v>
          </cell>
          <cell r="AC177" t="str">
            <v>Y</v>
          </cell>
          <cell r="AD177" t="str">
            <v>Y</v>
          </cell>
          <cell r="AE177" t="str">
            <v>Graham</v>
          </cell>
          <cell r="AF177" t="str">
            <v/>
          </cell>
          <cell r="AG177" t="str">
            <v/>
          </cell>
          <cell r="AH177" t="str">
            <v/>
          </cell>
          <cell r="AI177" t="str">
            <v>M</v>
          </cell>
          <cell r="AJ177" t="str">
            <v>C</v>
          </cell>
          <cell r="AK177">
            <v>38384</v>
          </cell>
          <cell r="AL177" t="str">
            <v>TBD</v>
          </cell>
          <cell r="AM177" t="str">
            <v>G</v>
          </cell>
          <cell r="AN177" t="str">
            <v>G</v>
          </cell>
          <cell r="AO177" t="str">
            <v>Y</v>
          </cell>
          <cell r="AP177" t="str">
            <v>G</v>
          </cell>
          <cell r="AQ177" t="str">
            <v>Y</v>
          </cell>
          <cell r="AR177" t="str">
            <v>G</v>
          </cell>
          <cell r="AS177" t="str">
            <v>R</v>
          </cell>
          <cell r="AU177" t="str">
            <v>BTO</v>
          </cell>
          <cell r="AV177" t="str">
            <v>O</v>
          </cell>
          <cell r="AW177">
            <v>546662.19999999995</v>
          </cell>
          <cell r="AX177">
            <v>844</v>
          </cell>
          <cell r="AY177">
            <v>1.5439150539400749E-3</v>
          </cell>
          <cell r="AZ177">
            <v>121698386.59999999</v>
          </cell>
          <cell r="BA177">
            <v>633160</v>
          </cell>
          <cell r="BB177">
            <v>121065226.59999999</v>
          </cell>
          <cell r="BC177">
            <v>31657</v>
          </cell>
          <cell r="BD177">
            <v>4.9998420620380311E-2</v>
          </cell>
          <cell r="BE177">
            <v>0</v>
          </cell>
          <cell r="BF177">
            <v>890057.85</v>
          </cell>
          <cell r="BG177">
            <v>-890057.85</v>
          </cell>
          <cell r="BH177">
            <v>-121955284.44999999</v>
          </cell>
          <cell r="BI177">
            <v>-0.99479730161024171</v>
          </cell>
          <cell r="BJ177">
            <v>0</v>
          </cell>
          <cell r="BK177">
            <v>575372.24</v>
          </cell>
          <cell r="BL177">
            <v>-575372.24</v>
          </cell>
          <cell r="BM177">
            <v>0</v>
          </cell>
          <cell r="BN177">
            <v>-0.99479730161024171</v>
          </cell>
          <cell r="BO177" t="str">
            <v>ISU</v>
          </cell>
          <cell r="BP177" t="str">
            <v>O</v>
          </cell>
          <cell r="BQ177" t="str">
            <v>FZ</v>
          </cell>
          <cell r="BR177">
            <v>8863943</v>
          </cell>
          <cell r="BS177" t="str">
            <v>UHX</v>
          </cell>
          <cell r="BT177">
            <v>2606000</v>
          </cell>
          <cell r="BW177" t="str">
            <v/>
          </cell>
          <cell r="BX177" t="str">
            <v>Rated</v>
          </cell>
          <cell r="BY177" t="str">
            <v>Over</v>
          </cell>
          <cell r="BZ177" t="str">
            <v>C</v>
          </cell>
          <cell r="CA177" t="str">
            <v>M</v>
          </cell>
          <cell r="CG177">
            <v>9650008.6300000008</v>
          </cell>
          <cell r="CH177">
            <v>21698434.200000003</v>
          </cell>
          <cell r="CI177">
            <v>-12048425.569999998</v>
          </cell>
          <cell r="CJ177">
            <v>-1.2485403932742387</v>
          </cell>
          <cell r="CK177">
            <v>-2.2433376948844805</v>
          </cell>
          <cell r="CL177" t="str">
            <v/>
          </cell>
          <cell r="CM177" t="str">
            <v/>
          </cell>
          <cell r="CN177" t="str">
            <v/>
          </cell>
          <cell r="CO177" t="str">
            <v/>
          </cell>
          <cell r="CP177" t="str">
            <v/>
          </cell>
          <cell r="CQ177" t="str">
            <v/>
          </cell>
          <cell r="CR177" t="str">
            <v/>
          </cell>
          <cell r="CS177">
            <v>38261</v>
          </cell>
          <cell r="CT177" t="str">
            <v/>
          </cell>
          <cell r="CV177" t="str">
            <v/>
          </cell>
          <cell r="CW177" t="str">
            <v>BTO</v>
          </cell>
        </row>
        <row r="178">
          <cell r="A178" t="str">
            <v>CFTD98M</v>
          </cell>
          <cell r="B178" t="str">
            <v>MED</v>
          </cell>
          <cell r="C178" t="str">
            <v>CRM</v>
          </cell>
          <cell r="D178" t="str">
            <v>CRM</v>
          </cell>
          <cell r="E178" t="str">
            <v>C&amp;SI</v>
          </cell>
          <cell r="F178" t="str">
            <v>THE N Y TIMES</v>
          </cell>
          <cell r="G178" t="str">
            <v>Siebel UIA</v>
          </cell>
          <cell r="H178" t="str">
            <v>CFTD98M</v>
          </cell>
          <cell r="I178">
            <v>1</v>
          </cell>
          <cell r="J178" t="str">
            <v>Adam R Steinberg/New York/IBM</v>
          </cell>
          <cell r="K178" t="str">
            <v>Julia L Johnson/Stamford/IBM</v>
          </cell>
          <cell r="L178" t="str">
            <v>FP</v>
          </cell>
          <cell r="M178">
            <v>38174</v>
          </cell>
          <cell r="N178">
            <v>38597</v>
          </cell>
          <cell r="O178">
            <v>1250000</v>
          </cell>
          <cell r="P178">
            <v>3599100</v>
          </cell>
          <cell r="Q178">
            <v>1250000</v>
          </cell>
          <cell r="R178">
            <v>0.13820260620710734</v>
          </cell>
          <cell r="S178">
            <v>-0.71940028947256407</v>
          </cell>
          <cell r="T178" t="str">
            <v/>
          </cell>
          <cell r="U178" t="str">
            <v>Y</v>
          </cell>
          <cell r="V178" t="str">
            <v>Y</v>
          </cell>
          <cell r="W178" t="str">
            <v>Y</v>
          </cell>
          <cell r="X178" t="str">
            <v>Y</v>
          </cell>
          <cell r="Y178" t="str">
            <v>Y</v>
          </cell>
          <cell r="Z178" t="str">
            <v/>
          </cell>
          <cell r="AA178" t="str">
            <v/>
          </cell>
          <cell r="AC178" t="str">
            <v/>
          </cell>
          <cell r="AD178" t="str">
            <v>Y</v>
          </cell>
          <cell r="AE178" t="str">
            <v>Graham</v>
          </cell>
          <cell r="AL178" t="str">
            <v>TBD</v>
          </cell>
          <cell r="AU178" t="str">
            <v>CUSTOMER RELATIONSHIP MANAGEMENT</v>
          </cell>
          <cell r="AV178" t="str">
            <v>O</v>
          </cell>
          <cell r="AW178">
            <v>33593.300000000003</v>
          </cell>
          <cell r="AX178">
            <v>49.4</v>
          </cell>
          <cell r="AY178">
            <v>1.4705313261870669E-3</v>
          </cell>
          <cell r="AZ178">
            <v>3599100</v>
          </cell>
          <cell r="BA178">
            <v>3101695</v>
          </cell>
          <cell r="BB178">
            <v>497405</v>
          </cell>
          <cell r="BC178">
            <v>307460</v>
          </cell>
          <cell r="BD178">
            <v>9.9126445379058875E-2</v>
          </cell>
          <cell r="BE178">
            <v>2349100</v>
          </cell>
          <cell r="BF178">
            <v>4039043.22</v>
          </cell>
          <cell r="BG178">
            <v>-1689943.22</v>
          </cell>
          <cell r="BH178">
            <v>-2187348.2200000002</v>
          </cell>
          <cell r="BI178">
            <v>-0.85760289567967141</v>
          </cell>
          <cell r="BJ178">
            <v>104578</v>
          </cell>
          <cell r="BK178">
            <v>2160402.34</v>
          </cell>
          <cell r="BL178">
            <v>-2055824.34</v>
          </cell>
          <cell r="BM178">
            <v>-19.658287020214576</v>
          </cell>
          <cell r="BN178">
            <v>-19.796489626421682</v>
          </cell>
          <cell r="BO178" t="str">
            <v>ISU</v>
          </cell>
          <cell r="BP178" t="str">
            <v>O</v>
          </cell>
          <cell r="BQ178" t="str">
            <v>FY</v>
          </cell>
          <cell r="BR178">
            <v>6458417</v>
          </cell>
          <cell r="BS178" t="str">
            <v>6YR</v>
          </cell>
          <cell r="BT178">
            <v>6493000</v>
          </cell>
          <cell r="BW178" t="str">
            <v/>
          </cell>
          <cell r="BX178" t="str">
            <v>Unrated</v>
          </cell>
          <cell r="BY178" t="str">
            <v>Over</v>
          </cell>
          <cell r="BZ178" t="str">
            <v/>
          </cell>
          <cell r="CA178" t="str">
            <v/>
          </cell>
          <cell r="CG178">
            <v>3599100</v>
          </cell>
          <cell r="CH178">
            <v>4039043.22</v>
          </cell>
          <cell r="CI178">
            <v>-439943.22</v>
          </cell>
          <cell r="CJ178">
            <v>-0.12223700925231307</v>
          </cell>
          <cell r="CK178">
            <v>-0.2604396154594204</v>
          </cell>
          <cell r="CM178" t="e">
            <v>#N/A</v>
          </cell>
          <cell r="CS178">
            <v>38169</v>
          </cell>
          <cell r="CV178" t="str">
            <v/>
          </cell>
          <cell r="CW178" t="str">
            <v>CUSTOMER RELATIONSHIP MANAGEMENT</v>
          </cell>
        </row>
        <row r="179">
          <cell r="A179" t="str">
            <v>CFTQJ6K</v>
          </cell>
          <cell r="B179" t="str">
            <v>MED</v>
          </cell>
          <cell r="C179" t="str">
            <v>SCM</v>
          </cell>
          <cell r="D179" t="str">
            <v>CRM</v>
          </cell>
          <cell r="E179" t="str">
            <v>C&amp;SI</v>
          </cell>
          <cell r="F179" t="str">
            <v>THE N Y TIMES</v>
          </cell>
          <cell r="G179" t="str">
            <v>AMS Siebel Services</v>
          </cell>
          <cell r="H179" t="str">
            <v>CFTQJ6K</v>
          </cell>
          <cell r="I179">
            <v>1</v>
          </cell>
          <cell r="J179" t="str">
            <v>JACQUES PEAY/New York/IBM</v>
          </cell>
          <cell r="K179" t="str">
            <v>JACQUES PEAY/New York/IBM</v>
          </cell>
          <cell r="L179" t="str">
            <v>FP</v>
          </cell>
          <cell r="M179">
            <v>37712</v>
          </cell>
          <cell r="N179">
            <v>39538</v>
          </cell>
          <cell r="O179">
            <v>793375</v>
          </cell>
          <cell r="P179">
            <v>1650000</v>
          </cell>
          <cell r="Q179">
            <v>793375</v>
          </cell>
          <cell r="R179">
            <v>0.23724181818181819</v>
          </cell>
          <cell r="S179">
            <v>0.22336811323507949</v>
          </cell>
          <cell r="T179" t="str">
            <v/>
          </cell>
          <cell r="U179" t="str">
            <v/>
          </cell>
          <cell r="V179" t="str">
            <v/>
          </cell>
          <cell r="W179" t="str">
            <v>Y</v>
          </cell>
          <cell r="X179" t="str">
            <v>Y</v>
          </cell>
          <cell r="Y179" t="str">
            <v/>
          </cell>
          <cell r="Z179" t="str">
            <v/>
          </cell>
          <cell r="AA179" t="str">
            <v/>
          </cell>
          <cell r="AC179" t="str">
            <v/>
          </cell>
          <cell r="AD179" t="str">
            <v>Y</v>
          </cell>
          <cell r="AE179" t="str">
            <v>Graham</v>
          </cell>
          <cell r="AF179" t="str">
            <v>Y</v>
          </cell>
          <cell r="AG179" t="str">
            <v>TBD</v>
          </cell>
          <cell r="AH179" t="str">
            <v/>
          </cell>
          <cell r="AI179" t="str">
            <v/>
          </cell>
          <cell r="AJ179" t="str">
            <v>*CLOSING*</v>
          </cell>
          <cell r="AK179" t="str">
            <v/>
          </cell>
          <cell r="AL179" t="str">
            <v>N/A</v>
          </cell>
          <cell r="AM179" t="str">
            <v/>
          </cell>
          <cell r="AN179" t="str">
            <v/>
          </cell>
          <cell r="AO179" t="str">
            <v/>
          </cell>
          <cell r="AP179" t="str">
            <v/>
          </cell>
          <cell r="AQ179" t="str">
            <v/>
          </cell>
          <cell r="AR179" t="str">
            <v/>
          </cell>
          <cell r="AS179" t="str">
            <v/>
          </cell>
          <cell r="AU179" t="str">
            <v>SUPPLY CHAIN MANAGEMENT</v>
          </cell>
          <cell r="AV179" t="str">
            <v>O</v>
          </cell>
          <cell r="AW179">
            <v>438.7</v>
          </cell>
          <cell r="AX179">
            <v>11</v>
          </cell>
          <cell r="AY179">
            <v>2.5074082516526101E-2</v>
          </cell>
          <cell r="AZ179">
            <v>1650000</v>
          </cell>
          <cell r="BA179">
            <v>1258551</v>
          </cell>
          <cell r="BB179">
            <v>391449</v>
          </cell>
          <cell r="BC179">
            <v>62928</v>
          </cell>
          <cell r="BD179">
            <v>5.0000357554044292E-2</v>
          </cell>
          <cell r="BE179">
            <v>856625</v>
          </cell>
          <cell r="BF179">
            <v>665282.29</v>
          </cell>
          <cell r="BG179">
            <v>191342.71</v>
          </cell>
          <cell r="BH179">
            <v>-200106.29</v>
          </cell>
          <cell r="BI179">
            <v>-1.3873704946738702E-2</v>
          </cell>
          <cell r="BJ179">
            <v>248948</v>
          </cell>
          <cell r="BK179">
            <v>270291.77</v>
          </cell>
          <cell r="BL179">
            <v>-21343.77</v>
          </cell>
          <cell r="BM179">
            <v>-8.5735856484085105E-2</v>
          </cell>
          <cell r="BN179">
            <v>-0.32297767466590332</v>
          </cell>
          <cell r="BO179" t="str">
            <v>ISU</v>
          </cell>
          <cell r="BP179" t="str">
            <v>O</v>
          </cell>
          <cell r="BQ179" t="str">
            <v>FY</v>
          </cell>
          <cell r="BR179">
            <v>6458417</v>
          </cell>
          <cell r="BS179" t="str">
            <v>6YR</v>
          </cell>
          <cell r="BT179">
            <v>6493000</v>
          </cell>
          <cell r="BW179" t="str">
            <v/>
          </cell>
          <cell r="BX179" t="str">
            <v>Rated</v>
          </cell>
          <cell r="BY179" t="str">
            <v>Over</v>
          </cell>
          <cell r="BZ179" t="str">
            <v>Other</v>
          </cell>
          <cell r="CA179" t="str">
            <v/>
          </cell>
          <cell r="CG179">
            <v>1650000</v>
          </cell>
          <cell r="CH179">
            <v>1139478.08</v>
          </cell>
          <cell r="CI179">
            <v>510521.92</v>
          </cell>
          <cell r="CJ179">
            <v>0.30940722424242423</v>
          </cell>
          <cell r="CK179">
            <v>7.2165406060606035E-2</v>
          </cell>
          <cell r="CL179" t="str">
            <v/>
          </cell>
          <cell r="CM179" t="str">
            <v/>
          </cell>
          <cell r="CN179" t="str">
            <v/>
          </cell>
          <cell r="CO179" t="str">
            <v>SCM</v>
          </cell>
          <cell r="CP179" t="str">
            <v>CRM</v>
          </cell>
          <cell r="CQ179" t="str">
            <v/>
          </cell>
          <cell r="CR179" t="str">
            <v/>
          </cell>
          <cell r="CS179">
            <v>37712</v>
          </cell>
          <cell r="CT179" t="str">
            <v/>
          </cell>
          <cell r="CV179" t="str">
            <v/>
          </cell>
          <cell r="CW179" t="str">
            <v>CUSTOMER RELATIONSHIP MANAGEMENT</v>
          </cell>
        </row>
        <row r="180">
          <cell r="A180" t="str">
            <v>CFT3TJN</v>
          </cell>
          <cell r="B180" t="str">
            <v>MED</v>
          </cell>
          <cell r="C180" t="str">
            <v>CRM</v>
          </cell>
          <cell r="D180" t="str">
            <v>CRM</v>
          </cell>
          <cell r="E180" t="str">
            <v>C&amp;SI</v>
          </cell>
          <cell r="F180" t="str">
            <v>THE N Y TIMES</v>
          </cell>
          <cell r="G180" t="str">
            <v>Inbound EAI Consultation</v>
          </cell>
          <cell r="H180" t="str">
            <v>CFT3TJN</v>
          </cell>
          <cell r="I180">
            <v>1</v>
          </cell>
          <cell r="J180" t="str">
            <v>Jason B Wilkinson/Dallas/IBM</v>
          </cell>
          <cell r="K180" t="str">
            <v>Girish Ratnam/Milwaukee/IBM</v>
          </cell>
          <cell r="L180" t="str">
            <v>BE</v>
          </cell>
          <cell r="M180">
            <v>38681</v>
          </cell>
          <cell r="N180">
            <v>38748</v>
          </cell>
          <cell r="O180">
            <v>1000</v>
          </cell>
          <cell r="P180">
            <v>4000</v>
          </cell>
          <cell r="Q180">
            <v>1000</v>
          </cell>
          <cell r="R180">
            <v>0.48875000000000002</v>
          </cell>
          <cell r="S180">
            <v>0.67720000000000002</v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>Y</v>
          </cell>
          <cell r="AA180" t="str">
            <v/>
          </cell>
          <cell r="AC180" t="str">
            <v/>
          </cell>
          <cell r="AD180" t="str">
            <v/>
          </cell>
          <cell r="AE180" t="str">
            <v/>
          </cell>
          <cell r="AF180" t="str">
            <v/>
          </cell>
          <cell r="AG180" t="str">
            <v/>
          </cell>
          <cell r="AH180" t="str">
            <v/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O180" t="str">
            <v/>
          </cell>
          <cell r="AP180" t="str">
            <v/>
          </cell>
          <cell r="AQ180" t="str">
            <v/>
          </cell>
          <cell r="AR180" t="str">
            <v/>
          </cell>
          <cell r="AS180" t="str">
            <v/>
          </cell>
          <cell r="AU180" t="str">
            <v>CUSTOMER RELATIONSHIP MANAGEMENT</v>
          </cell>
          <cell r="AV180" t="str">
            <v>O</v>
          </cell>
          <cell r="AW180">
            <v>14</v>
          </cell>
          <cell r="AX180">
            <v>0</v>
          </cell>
          <cell r="AY180">
            <v>0</v>
          </cell>
          <cell r="AZ180">
            <v>4000</v>
          </cell>
          <cell r="BA180">
            <v>2045</v>
          </cell>
          <cell r="BB180">
            <v>1955</v>
          </cell>
          <cell r="BC180">
            <v>82</v>
          </cell>
          <cell r="BD180">
            <v>4.0097799511002445E-2</v>
          </cell>
          <cell r="BE180">
            <v>3000</v>
          </cell>
          <cell r="BF180">
            <v>968.4</v>
          </cell>
          <cell r="BG180">
            <v>2031.6</v>
          </cell>
          <cell r="BH180">
            <v>76.599999999999909</v>
          </cell>
          <cell r="BI180">
            <v>0.18845000000000001</v>
          </cell>
          <cell r="BJ180">
            <v>3000</v>
          </cell>
          <cell r="BK180">
            <v>968.4</v>
          </cell>
          <cell r="BL180">
            <v>2031.6</v>
          </cell>
          <cell r="BM180">
            <v>0.67720000000000002</v>
          </cell>
          <cell r="BN180">
            <v>0.18845000000000001</v>
          </cell>
          <cell r="BO180" t="str">
            <v>ISU</v>
          </cell>
          <cell r="BP180" t="str">
            <v>O</v>
          </cell>
          <cell r="BQ180" t="str">
            <v>FX</v>
          </cell>
          <cell r="BR180">
            <v>8827325</v>
          </cell>
          <cell r="BS180" t="str">
            <v>6YR</v>
          </cell>
          <cell r="BT180">
            <v>6493000</v>
          </cell>
          <cell r="BW180" t="str">
            <v/>
          </cell>
          <cell r="BX180" t="str">
            <v>Unrated</v>
          </cell>
          <cell r="BY180" t="str">
            <v>Under</v>
          </cell>
          <cell r="BZ180" t="str">
            <v/>
          </cell>
          <cell r="CA180" t="str">
            <v/>
          </cell>
          <cell r="CG180">
            <v>2000</v>
          </cell>
          <cell r="CH180">
            <v>2000</v>
          </cell>
          <cell r="CI180">
            <v>0</v>
          </cell>
          <cell r="CJ180">
            <v>0</v>
          </cell>
          <cell r="CK180">
            <v>-0.48875000000000002</v>
          </cell>
          <cell r="CM180" t="e">
            <v>#N/A</v>
          </cell>
          <cell r="CN180" t="str">
            <v/>
          </cell>
          <cell r="CO180" t="str">
            <v/>
          </cell>
          <cell r="CP180" t="str">
            <v/>
          </cell>
          <cell r="CQ180" t="str">
            <v/>
          </cell>
          <cell r="CR180" t="str">
            <v/>
          </cell>
          <cell r="CS180">
            <v>38657</v>
          </cell>
          <cell r="CT180" t="str">
            <v/>
          </cell>
          <cell r="CU180" t="str">
            <v/>
          </cell>
          <cell r="CV180" t="str">
            <v/>
          </cell>
          <cell r="CW180" t="str">
            <v>CUSTOMER RELATIONSHIP MANAGEMENT</v>
          </cell>
        </row>
        <row r="181">
          <cell r="A181" t="str">
            <v>CFTF67N</v>
          </cell>
          <cell r="B181" t="str">
            <v>MED</v>
          </cell>
          <cell r="C181" t="str">
            <v>SCM</v>
          </cell>
          <cell r="D181" t="str">
            <v>SCM</v>
          </cell>
          <cell r="E181" t="str">
            <v>C&amp;SI</v>
          </cell>
          <cell r="F181" t="str">
            <v>THE OGIL GROUP</v>
          </cell>
          <cell r="G181" t="str">
            <v>SAP PS Implementation</v>
          </cell>
          <cell r="H181" t="str">
            <v>CFTF67N</v>
          </cell>
          <cell r="I181">
            <v>3</v>
          </cell>
          <cell r="J181" t="str">
            <v>Grant Norris/Wayne/IBM</v>
          </cell>
          <cell r="K181" t="str">
            <v>Armando E Ortiz/New York/IBM</v>
          </cell>
          <cell r="L181" t="str">
            <v>BE</v>
          </cell>
          <cell r="M181">
            <v>38460</v>
          </cell>
          <cell r="N181">
            <v>38837</v>
          </cell>
          <cell r="O181">
            <v>1261234</v>
          </cell>
          <cell r="P181">
            <v>2921958</v>
          </cell>
          <cell r="Q181">
            <v>1261234</v>
          </cell>
          <cell r="R181">
            <v>0.63469016323985494</v>
          </cell>
          <cell r="S181">
            <v>0.31946469130331107</v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>Y</v>
          </cell>
          <cell r="Y181" t="str">
            <v>Y</v>
          </cell>
          <cell r="Z181" t="str">
            <v/>
          </cell>
          <cell r="AA181" t="str">
            <v/>
          </cell>
          <cell r="AC181" t="str">
            <v>Y</v>
          </cell>
          <cell r="AD181" t="str">
            <v>Y</v>
          </cell>
          <cell r="AE181" t="str">
            <v>Imam</v>
          </cell>
          <cell r="AF181" t="str">
            <v>Y</v>
          </cell>
          <cell r="AG181" t="str">
            <v>SAP</v>
          </cell>
          <cell r="AH181" t="str">
            <v/>
          </cell>
          <cell r="AI181" t="str">
            <v/>
          </cell>
          <cell r="AJ181" t="str">
            <v>Launch</v>
          </cell>
          <cell r="AK181" t="str">
            <v/>
          </cell>
          <cell r="AL181">
            <v>38749</v>
          </cell>
          <cell r="AM181" t="str">
            <v>G</v>
          </cell>
          <cell r="AN181" t="str">
            <v>G</v>
          </cell>
          <cell r="AO181" t="str">
            <v>Y</v>
          </cell>
          <cell r="AP181" t="str">
            <v>G</v>
          </cell>
          <cell r="AQ181" t="str">
            <v>G</v>
          </cell>
          <cell r="AR181" t="str">
            <v>G</v>
          </cell>
          <cell r="AS181" t="str">
            <v>G</v>
          </cell>
          <cell r="AU181" t="str">
            <v>SUPPLY CHAIN MANAGEMENT</v>
          </cell>
          <cell r="AV181" t="str">
            <v>O</v>
          </cell>
          <cell r="AW181">
            <v>10137.9</v>
          </cell>
          <cell r="AX181">
            <v>1540.4</v>
          </cell>
          <cell r="AY181">
            <v>0.15194468282385901</v>
          </cell>
          <cell r="AZ181">
            <v>2921958</v>
          </cell>
          <cell r="BA181">
            <v>1067420</v>
          </cell>
          <cell r="BB181">
            <v>1854538</v>
          </cell>
          <cell r="BC181">
            <v>43531</v>
          </cell>
          <cell r="BD181">
            <v>4.0781510558168296E-2</v>
          </cell>
          <cell r="BE181">
            <v>1660724</v>
          </cell>
          <cell r="BF181">
            <v>1130181.32</v>
          </cell>
          <cell r="BG181">
            <v>530542.68000000005</v>
          </cell>
          <cell r="BH181">
            <v>-1323995.32</v>
          </cell>
          <cell r="BI181">
            <v>-0.31522547193654388</v>
          </cell>
          <cell r="BJ181">
            <v>1660724</v>
          </cell>
          <cell r="BK181">
            <v>1130181.32</v>
          </cell>
          <cell r="BL181">
            <v>530542.68000000005</v>
          </cell>
          <cell r="BM181">
            <v>0.31946469130331107</v>
          </cell>
          <cell r="BN181">
            <v>-0.31522547193654388</v>
          </cell>
          <cell r="BO181" t="str">
            <v>ISU</v>
          </cell>
          <cell r="BP181" t="str">
            <v>O</v>
          </cell>
          <cell r="BQ181" t="str">
            <v>FX</v>
          </cell>
          <cell r="BR181">
            <v>8838987</v>
          </cell>
          <cell r="BS181" t="str">
            <v>6YR</v>
          </cell>
          <cell r="BT181">
            <v>6675400</v>
          </cell>
          <cell r="BW181" t="str">
            <v/>
          </cell>
          <cell r="BX181" t="str">
            <v>Rated</v>
          </cell>
          <cell r="BY181" t="str">
            <v>Over</v>
          </cell>
          <cell r="BZ181" t="str">
            <v>Other</v>
          </cell>
          <cell r="CA181" t="str">
            <v/>
          </cell>
          <cell r="CG181">
            <v>3989060</v>
          </cell>
          <cell r="CH181">
            <v>1581191.28</v>
          </cell>
          <cell r="CI181">
            <v>2407868.7200000002</v>
          </cell>
          <cell r="CJ181">
            <v>0.60361807543631829</v>
          </cell>
          <cell r="CK181">
            <v>-3.1072087803536652E-2</v>
          </cell>
          <cell r="CL181" t="str">
            <v>Turn over to ISV…..NY…..</v>
          </cell>
          <cell r="CM181" t="str">
            <v/>
          </cell>
          <cell r="CN181" t="str">
            <v/>
          </cell>
          <cell r="CO181" t="str">
            <v/>
          </cell>
          <cell r="CP181" t="str">
            <v/>
          </cell>
          <cell r="CQ181" t="str">
            <v/>
          </cell>
          <cell r="CR181" t="str">
            <v/>
          </cell>
          <cell r="CS181">
            <v>38443</v>
          </cell>
          <cell r="CT181" t="str">
            <v/>
          </cell>
          <cell r="CV181" t="str">
            <v/>
          </cell>
          <cell r="CW181" t="str">
            <v>SUPPLY CHAIN MANAGEMENT</v>
          </cell>
        </row>
        <row r="182">
          <cell r="A182" t="str">
            <v>CFTJ6QN</v>
          </cell>
          <cell r="B182" t="str">
            <v>MED</v>
          </cell>
          <cell r="C182" t="str">
            <v>AIS</v>
          </cell>
          <cell r="D182" t="str">
            <v>AIS</v>
          </cell>
          <cell r="E182" t="str">
            <v>C&amp;SI</v>
          </cell>
          <cell r="F182" t="str">
            <v>THE OGIL GROUP</v>
          </cell>
          <cell r="G182" t="str">
            <v>Consulting Services to d</v>
          </cell>
          <cell r="H182" t="str">
            <v>CFTJ6QN</v>
          </cell>
          <cell r="I182">
            <v>1</v>
          </cell>
          <cell r="J182" t="str">
            <v>Edward Hanapole/New York/IBM</v>
          </cell>
          <cell r="K182" t="str">
            <v>George Schlaughenhoupt/Atlanta/IBM</v>
          </cell>
          <cell r="L182" t="str">
            <v>BE</v>
          </cell>
          <cell r="M182">
            <v>38505</v>
          </cell>
          <cell r="N182">
            <v>38737</v>
          </cell>
          <cell r="O182">
            <v>22458</v>
          </cell>
          <cell r="P182">
            <v>220400</v>
          </cell>
          <cell r="Q182">
            <v>22458</v>
          </cell>
          <cell r="R182">
            <v>0.45299455535390198</v>
          </cell>
          <cell r="S182">
            <v>0.34185766537672652</v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>Y</v>
          </cell>
          <cell r="Y182" t="str">
            <v>Y</v>
          </cell>
          <cell r="Z182" t="str">
            <v/>
          </cell>
          <cell r="AA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 t="str">
            <v/>
          </cell>
          <cell r="AG182" t="str">
            <v/>
          </cell>
          <cell r="AH182" t="str">
            <v/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O182" t="str">
            <v/>
          </cell>
          <cell r="AP182" t="str">
            <v/>
          </cell>
          <cell r="AQ182" t="str">
            <v/>
          </cell>
          <cell r="AR182" t="str">
            <v/>
          </cell>
          <cell r="AS182" t="str">
            <v/>
          </cell>
          <cell r="AU182" t="str">
            <v>APPLICATION INNOVATION</v>
          </cell>
          <cell r="AV182" t="str">
            <v>O</v>
          </cell>
          <cell r="AW182">
            <v>1041.8</v>
          </cell>
          <cell r="AX182">
            <v>0</v>
          </cell>
          <cell r="AY182">
            <v>0</v>
          </cell>
          <cell r="AZ182">
            <v>220400</v>
          </cell>
          <cell r="BA182">
            <v>120560</v>
          </cell>
          <cell r="BB182">
            <v>99840</v>
          </cell>
          <cell r="BC182">
            <v>4854</v>
          </cell>
          <cell r="BD182">
            <v>4.02621101526211E-2</v>
          </cell>
          <cell r="BE182">
            <v>197942</v>
          </cell>
          <cell r="BF182">
            <v>130274.01</v>
          </cell>
          <cell r="BG182">
            <v>67667.990000000005</v>
          </cell>
          <cell r="BH182">
            <v>-32172.01</v>
          </cell>
          <cell r="BI182">
            <v>-0.11113688997717547</v>
          </cell>
          <cell r="BJ182">
            <v>197942</v>
          </cell>
          <cell r="BK182">
            <v>130274.01</v>
          </cell>
          <cell r="BL182">
            <v>67667.990000000005</v>
          </cell>
          <cell r="BM182">
            <v>0.34185766537672652</v>
          </cell>
          <cell r="BN182">
            <v>-0.11113688997717547</v>
          </cell>
          <cell r="BO182" t="str">
            <v>ISU</v>
          </cell>
          <cell r="BP182" t="str">
            <v>O</v>
          </cell>
          <cell r="BQ182" t="str">
            <v>FX</v>
          </cell>
          <cell r="BR182">
            <v>8838987</v>
          </cell>
          <cell r="BS182" t="str">
            <v>6YR</v>
          </cell>
          <cell r="BT182">
            <v>6675400</v>
          </cell>
          <cell r="BW182" t="str">
            <v/>
          </cell>
          <cell r="BX182" t="str">
            <v>Unrated</v>
          </cell>
          <cell r="BY182" t="str">
            <v>Under</v>
          </cell>
          <cell r="BZ182" t="str">
            <v/>
          </cell>
          <cell r="CA182" t="str">
            <v/>
          </cell>
          <cell r="CG182">
            <v>190760</v>
          </cell>
          <cell r="CH182">
            <v>120955.41</v>
          </cell>
          <cell r="CI182">
            <v>69804.59</v>
          </cell>
          <cell r="CJ182">
            <v>0.36592886349339482</v>
          </cell>
          <cell r="CK182">
            <v>-8.7065691860507166E-2</v>
          </cell>
          <cell r="CL182" t="str">
            <v/>
          </cell>
          <cell r="CM182" t="str">
            <v/>
          </cell>
          <cell r="CN182" t="str">
            <v/>
          </cell>
          <cell r="CO182" t="str">
            <v/>
          </cell>
          <cell r="CP182" t="str">
            <v/>
          </cell>
          <cell r="CQ182" t="str">
            <v/>
          </cell>
          <cell r="CR182" t="str">
            <v/>
          </cell>
          <cell r="CS182">
            <v>38504</v>
          </cell>
          <cell r="CT182" t="str">
            <v/>
          </cell>
          <cell r="CU182" t="str">
            <v>6955-24A</v>
          </cell>
          <cell r="CV182" t="str">
            <v>AIS</v>
          </cell>
          <cell r="CW182" t="str">
            <v>APPLICATION INNOVATION</v>
          </cell>
        </row>
        <row r="183">
          <cell r="A183" t="str">
            <v>CFTMK8K</v>
          </cell>
          <cell r="B183" t="str">
            <v>MED</v>
          </cell>
          <cell r="C183" t="str">
            <v>FM</v>
          </cell>
          <cell r="D183" t="str">
            <v>FM</v>
          </cell>
          <cell r="E183" t="str">
            <v>C&amp;SI</v>
          </cell>
          <cell r="F183" t="str">
            <v>THE WALT DISNEY</v>
          </cell>
          <cell r="G183" t="str">
            <v>SAP IMPLEMENATION (Int'l ...</v>
          </cell>
          <cell r="H183" t="str">
            <v>CFTMK8K</v>
          </cell>
          <cell r="I183">
            <v>4</v>
          </cell>
          <cell r="J183" t="str">
            <v>Michael S Shouse/Denver/IBM</v>
          </cell>
          <cell r="K183" t="str">
            <v>Robin Erwin/Irvine/IBM</v>
          </cell>
          <cell r="L183" t="str">
            <v>FP</v>
          </cell>
          <cell r="M183">
            <v>37622</v>
          </cell>
          <cell r="N183">
            <v>38717</v>
          </cell>
          <cell r="O183">
            <v>-6599680.8299999908</v>
          </cell>
          <cell r="P183">
            <v>54663567.350000001</v>
          </cell>
          <cell r="Q183">
            <v>-6599680.8299999908</v>
          </cell>
          <cell r="R183">
            <v>0.33163743657502076</v>
          </cell>
          <cell r="S183">
            <v>0.41505241128074954</v>
          </cell>
          <cell r="T183" t="str">
            <v/>
          </cell>
          <cell r="U183" t="str">
            <v>Y</v>
          </cell>
          <cell r="V183" t="str">
            <v/>
          </cell>
          <cell r="W183" t="str">
            <v>Y</v>
          </cell>
          <cell r="X183" t="str">
            <v/>
          </cell>
          <cell r="Y183" t="str">
            <v/>
          </cell>
          <cell r="Z183" t="str">
            <v>Y</v>
          </cell>
          <cell r="AA183" t="str">
            <v/>
          </cell>
          <cell r="AC183" t="str">
            <v>Y</v>
          </cell>
          <cell r="AD183" t="str">
            <v/>
          </cell>
          <cell r="AE183" t="str">
            <v>Graham</v>
          </cell>
          <cell r="AF183" t="str">
            <v/>
          </cell>
          <cell r="AG183" t="str">
            <v/>
          </cell>
          <cell r="AH183" t="str">
            <v/>
          </cell>
          <cell r="AI183" t="str">
            <v>L</v>
          </cell>
          <cell r="AJ183" t="str">
            <v>*CLOSING*</v>
          </cell>
          <cell r="AK183" t="str">
            <v/>
          </cell>
          <cell r="AL183" t="str">
            <v>N/A</v>
          </cell>
          <cell r="AM183" t="str">
            <v/>
          </cell>
          <cell r="AN183" t="str">
            <v/>
          </cell>
          <cell r="AO183" t="str">
            <v/>
          </cell>
          <cell r="AP183" t="str">
            <v/>
          </cell>
          <cell r="AQ183" t="str">
            <v/>
          </cell>
          <cell r="AR183" t="str">
            <v/>
          </cell>
          <cell r="AS183" t="str">
            <v/>
          </cell>
          <cell r="AU183" t="str">
            <v>FINANCIAL MANAGEMENT</v>
          </cell>
          <cell r="AV183" t="str">
            <v>O</v>
          </cell>
          <cell r="AW183">
            <v>270657.40000000002</v>
          </cell>
          <cell r="AX183">
            <v>160</v>
          </cell>
          <cell r="AY183">
            <v>5.9115324391647889E-4</v>
          </cell>
          <cell r="AZ183">
            <v>54663567.350000001</v>
          </cell>
          <cell r="BA183">
            <v>36535082</v>
          </cell>
          <cell r="BB183">
            <v>18128485.350000001</v>
          </cell>
          <cell r="BC183">
            <v>1450392</v>
          </cell>
          <cell r="BD183">
            <v>3.9698610776349154E-2</v>
          </cell>
          <cell r="BE183">
            <v>61263248.179999992</v>
          </cell>
          <cell r="BF183">
            <v>35835789.300000004</v>
          </cell>
          <cell r="BG183">
            <v>25427458.879999988</v>
          </cell>
          <cell r="BH183">
            <v>7298973.5299999863</v>
          </cell>
          <cell r="BI183">
            <v>8.3414974705728784E-2</v>
          </cell>
          <cell r="BJ183">
            <v>8033816.5899999999</v>
          </cell>
          <cell r="BK183">
            <v>8099494.1500000004</v>
          </cell>
          <cell r="BL183">
            <v>-65677.560000000522</v>
          </cell>
          <cell r="BM183">
            <v>-8.1751380883840312E-3</v>
          </cell>
          <cell r="BN183">
            <v>-0.33981257466340481</v>
          </cell>
          <cell r="BO183" t="str">
            <v>ISU</v>
          </cell>
          <cell r="BP183" t="str">
            <v>O</v>
          </cell>
          <cell r="BQ183" t="str">
            <v>FX</v>
          </cell>
          <cell r="BR183">
            <v>8847869</v>
          </cell>
          <cell r="BS183" t="str">
            <v>6YM</v>
          </cell>
          <cell r="BT183">
            <v>9831300</v>
          </cell>
          <cell r="BW183" t="str">
            <v/>
          </cell>
          <cell r="BX183" t="str">
            <v>Rated</v>
          </cell>
          <cell r="BY183" t="str">
            <v>Over</v>
          </cell>
          <cell r="BZ183" t="str">
            <v>Other</v>
          </cell>
          <cell r="CA183" t="str">
            <v/>
          </cell>
          <cell r="CG183">
            <v>54663567.350000001</v>
          </cell>
          <cell r="CH183">
            <v>35139498.369999997</v>
          </cell>
          <cell r="CI183">
            <v>19524068.98</v>
          </cell>
          <cell r="CJ183">
            <v>0.35716785285876518</v>
          </cell>
          <cell r="CK183">
            <v>2.5530416283744417E-2</v>
          </cell>
          <cell r="CL183" t="str">
            <v>completed accounting needs to be completed</v>
          </cell>
          <cell r="CM183" t="str">
            <v/>
          </cell>
          <cell r="CN183" t="str">
            <v/>
          </cell>
          <cell r="CO183" t="str">
            <v/>
          </cell>
          <cell r="CP183" t="str">
            <v/>
          </cell>
          <cell r="CQ183" t="str">
            <v/>
          </cell>
          <cell r="CR183" t="str">
            <v/>
          </cell>
          <cell r="CS183">
            <v>37622</v>
          </cell>
          <cell r="CT183" t="str">
            <v/>
          </cell>
          <cell r="CV183" t="str">
            <v/>
          </cell>
          <cell r="CW183" t="str">
            <v>FINANCIAL MANAGEMENT</v>
          </cell>
        </row>
        <row r="184">
          <cell r="A184" t="str">
            <v>CFTWKFN</v>
          </cell>
          <cell r="B184" t="str">
            <v>MED</v>
          </cell>
          <cell r="C184" t="str">
            <v>HCM</v>
          </cell>
          <cell r="D184" t="str">
            <v>HCM</v>
          </cell>
          <cell r="E184" t="str">
            <v>C&amp;SI</v>
          </cell>
          <cell r="F184" t="str">
            <v>THE WALT DISNEY</v>
          </cell>
          <cell r="G184" t="str">
            <v>sap content transformation</v>
          </cell>
          <cell r="H184" t="str">
            <v>CFTWKFN</v>
          </cell>
          <cell r="I184">
            <v>1</v>
          </cell>
          <cell r="J184">
            <v>0</v>
          </cell>
          <cell r="K184" t="str">
            <v>Tony Caudill/Irvine/IBM</v>
          </cell>
          <cell r="L184" t="str">
            <v>FP</v>
          </cell>
          <cell r="M184">
            <v>38608</v>
          </cell>
          <cell r="N184">
            <v>38739</v>
          </cell>
          <cell r="O184">
            <v>57458.1</v>
          </cell>
          <cell r="P184">
            <v>280734</v>
          </cell>
          <cell r="Q184">
            <v>57458.1</v>
          </cell>
          <cell r="R184">
            <v>0.27341540390547636</v>
          </cell>
          <cell r="S184">
            <v>8.826998345992558E-2</v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>Y</v>
          </cell>
          <cell r="Y184" t="str">
            <v>Y</v>
          </cell>
          <cell r="Z184" t="str">
            <v/>
          </cell>
          <cell r="AA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O184" t="str">
            <v/>
          </cell>
          <cell r="AP184" t="str">
            <v/>
          </cell>
          <cell r="AQ184" t="str">
            <v/>
          </cell>
          <cell r="AR184" t="str">
            <v/>
          </cell>
          <cell r="AS184" t="str">
            <v/>
          </cell>
          <cell r="AU184" t="str">
            <v>HUMAN CAPITAL MANAGEMENT</v>
          </cell>
          <cell r="AV184" t="str">
            <v>O</v>
          </cell>
          <cell r="AW184">
            <v>3712</v>
          </cell>
          <cell r="AX184">
            <v>0</v>
          </cell>
          <cell r="AY184">
            <v>0</v>
          </cell>
          <cell r="AZ184">
            <v>280734</v>
          </cell>
          <cell r="BA184">
            <v>203977</v>
          </cell>
          <cell r="BB184">
            <v>76757</v>
          </cell>
          <cell r="BC184">
            <v>8219</v>
          </cell>
          <cell r="BD184">
            <v>4.0293758610039365E-2</v>
          </cell>
          <cell r="BE184">
            <v>223275.9</v>
          </cell>
          <cell r="BF184">
            <v>203567.34</v>
          </cell>
          <cell r="BG184">
            <v>19708.560000000001</v>
          </cell>
          <cell r="BH184">
            <v>-57048.44</v>
          </cell>
          <cell r="BI184">
            <v>-0.18514542044555077</v>
          </cell>
          <cell r="BJ184">
            <v>223275.9</v>
          </cell>
          <cell r="BK184">
            <v>203567.34</v>
          </cell>
          <cell r="BL184">
            <v>19708.560000000001</v>
          </cell>
          <cell r="BM184">
            <v>8.826998345992558E-2</v>
          </cell>
          <cell r="BN184">
            <v>-0.18514542044555077</v>
          </cell>
          <cell r="BO184" t="str">
            <v>ISU</v>
          </cell>
          <cell r="BP184" t="str">
            <v>O</v>
          </cell>
          <cell r="BQ184" t="str">
            <v>FY</v>
          </cell>
          <cell r="BR184">
            <v>2505316</v>
          </cell>
          <cell r="BS184" t="str">
            <v>6YM</v>
          </cell>
          <cell r="BT184">
            <v>9831300</v>
          </cell>
          <cell r="BW184" t="str">
            <v/>
          </cell>
          <cell r="BX184" t="str">
            <v>Unrated</v>
          </cell>
          <cell r="BY184" t="str">
            <v>Under</v>
          </cell>
          <cell r="BZ184" t="str">
            <v/>
          </cell>
          <cell r="CA184" t="str">
            <v/>
          </cell>
          <cell r="CG184">
            <v>280734</v>
          </cell>
          <cell r="CH184">
            <v>195126.35</v>
          </cell>
          <cell r="CI184">
            <v>85607.65</v>
          </cell>
          <cell r="CJ184">
            <v>0.30494222288714584</v>
          </cell>
          <cell r="CK184">
            <v>3.152681898166948E-2</v>
          </cell>
          <cell r="CL184" t="str">
            <v/>
          </cell>
          <cell r="CM184" t="str">
            <v/>
          </cell>
          <cell r="CN184" t="str">
            <v/>
          </cell>
          <cell r="CO184" t="str">
            <v/>
          </cell>
          <cell r="CP184" t="str">
            <v/>
          </cell>
          <cell r="CQ184" t="str">
            <v/>
          </cell>
          <cell r="CR184" t="str">
            <v/>
          </cell>
          <cell r="CS184">
            <v>38596</v>
          </cell>
          <cell r="CT184" t="str">
            <v/>
          </cell>
          <cell r="CV184" t="str">
            <v/>
          </cell>
          <cell r="CW184" t="str">
            <v>HUMAN CAPITAL MANAGEMENT</v>
          </cell>
        </row>
        <row r="185">
          <cell r="A185" t="str">
            <v>CFT4D7N</v>
          </cell>
          <cell r="B185" t="str">
            <v>UTL</v>
          </cell>
          <cell r="C185" t="str">
            <v>BTO</v>
          </cell>
          <cell r="D185" t="str">
            <v>BTO</v>
          </cell>
          <cell r="E185" t="str">
            <v>BTO</v>
          </cell>
          <cell r="F185" t="str">
            <v>THE WILLIAMS</v>
          </cell>
          <cell r="G185" t="str">
            <v>RFS 0102=Production Area</v>
          </cell>
          <cell r="H185" t="str">
            <v>CFT4D7N</v>
          </cell>
          <cell r="I185">
            <v>1</v>
          </cell>
          <cell r="J185" t="str">
            <v>Chris Kinsey/Dallas/IBM</v>
          </cell>
          <cell r="K185" t="str">
            <v>Kathleen Hambleton/Houston/IBM</v>
          </cell>
          <cell r="L185" t="str">
            <v>BE</v>
          </cell>
          <cell r="M185">
            <v>38511</v>
          </cell>
          <cell r="N185">
            <v>38595</v>
          </cell>
          <cell r="O185">
            <v>46560</v>
          </cell>
          <cell r="P185">
            <v>46560</v>
          </cell>
          <cell r="Q185">
            <v>46560</v>
          </cell>
          <cell r="R185">
            <v>0.33898195876288661</v>
          </cell>
          <cell r="S185">
            <v>0</v>
          </cell>
          <cell r="T185" t="str">
            <v/>
          </cell>
          <cell r="U185" t="str">
            <v>Y</v>
          </cell>
          <cell r="V185" t="str">
            <v/>
          </cell>
          <cell r="W185" t="str">
            <v/>
          </cell>
          <cell r="X185" t="str">
            <v>Y</v>
          </cell>
          <cell r="Y185" t="str">
            <v/>
          </cell>
          <cell r="Z185" t="str">
            <v/>
          </cell>
          <cell r="AA185" t="str">
            <v>Y</v>
          </cell>
          <cell r="AC185" t="str">
            <v/>
          </cell>
          <cell r="AD185" t="str">
            <v/>
          </cell>
          <cell r="AE185" t="str">
            <v/>
          </cell>
          <cell r="AF185" t="str">
            <v/>
          </cell>
          <cell r="AG185" t="str">
            <v/>
          </cell>
          <cell r="AH185" t="str">
            <v/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O185" t="str">
            <v/>
          </cell>
          <cell r="AP185" t="str">
            <v/>
          </cell>
          <cell r="AQ185" t="str">
            <v/>
          </cell>
          <cell r="AR185" t="str">
            <v/>
          </cell>
          <cell r="AS185" t="str">
            <v/>
          </cell>
          <cell r="AU185" t="str">
            <v>BTO</v>
          </cell>
          <cell r="AV185" t="str">
            <v>O</v>
          </cell>
          <cell r="AW185">
            <v>493</v>
          </cell>
          <cell r="AX185">
            <v>0</v>
          </cell>
          <cell r="AY185">
            <v>0</v>
          </cell>
          <cell r="AZ185">
            <v>46560</v>
          </cell>
          <cell r="BA185">
            <v>30777</v>
          </cell>
          <cell r="BB185">
            <v>15783</v>
          </cell>
          <cell r="BC185">
            <v>1231</v>
          </cell>
          <cell r="BD185">
            <v>3.9997400656334274E-2</v>
          </cell>
          <cell r="BE185">
            <v>0</v>
          </cell>
          <cell r="BF185">
            <v>0</v>
          </cell>
          <cell r="BG185">
            <v>0</v>
          </cell>
          <cell r="BH185">
            <v>-15783</v>
          </cell>
          <cell r="BI185">
            <v>-0.33898195876288661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-0.33898195876288661</v>
          </cell>
          <cell r="BO185" t="str">
            <v>ISU</v>
          </cell>
          <cell r="BP185" t="str">
            <v>O</v>
          </cell>
          <cell r="BQ185" t="str">
            <v>FZ</v>
          </cell>
          <cell r="BR185">
            <v>8836946</v>
          </cell>
          <cell r="BS185" t="str">
            <v>UHX</v>
          </cell>
          <cell r="BT185">
            <v>6203000</v>
          </cell>
          <cell r="BW185" t="str">
            <v/>
          </cell>
          <cell r="BX185" t="str">
            <v>Unrated</v>
          </cell>
          <cell r="BY185" t="str">
            <v>Under</v>
          </cell>
          <cell r="BZ185" t="str">
            <v/>
          </cell>
          <cell r="CA185" t="str">
            <v/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-0.33898195876288661</v>
          </cell>
          <cell r="CM185" t="e">
            <v>#N/A</v>
          </cell>
          <cell r="CN185" t="str">
            <v/>
          </cell>
          <cell r="CO185" t="str">
            <v/>
          </cell>
          <cell r="CP185" t="str">
            <v/>
          </cell>
          <cell r="CQ185" t="str">
            <v/>
          </cell>
          <cell r="CR185" t="str">
            <v/>
          </cell>
          <cell r="CS185">
            <v>38504</v>
          </cell>
          <cell r="CT185" t="str">
            <v/>
          </cell>
          <cell r="CU185" t="str">
            <v/>
          </cell>
          <cell r="CV185" t="str">
            <v/>
          </cell>
          <cell r="CW185" t="str">
            <v>BTO</v>
          </cell>
        </row>
        <row r="186">
          <cell r="A186" t="str">
            <v>CFT4DYN</v>
          </cell>
          <cell r="B186" t="str">
            <v>UTL</v>
          </cell>
          <cell r="C186" t="str">
            <v>BTO</v>
          </cell>
          <cell r="D186" t="str">
            <v>BTO</v>
          </cell>
          <cell r="E186" t="str">
            <v>BTO</v>
          </cell>
          <cell r="F186" t="str">
            <v>THE WILLIAMS</v>
          </cell>
          <cell r="G186" t="str">
            <v>RFS 0101=AP Backlog</v>
          </cell>
          <cell r="H186" t="str">
            <v>CFT4DYN</v>
          </cell>
          <cell r="I186">
            <v>1</v>
          </cell>
          <cell r="J186" t="str">
            <v>Chris Kinsey/Dallas/IBM</v>
          </cell>
          <cell r="K186" t="str">
            <v>Andrea Johns/Tulsa/IBM</v>
          </cell>
          <cell r="L186" t="str">
            <v>FP</v>
          </cell>
          <cell r="M186">
            <v>38495</v>
          </cell>
          <cell r="N186">
            <v>38625</v>
          </cell>
          <cell r="O186">
            <v>23652.720000000001</v>
          </cell>
          <cell r="P186">
            <v>23652.720000000001</v>
          </cell>
          <cell r="Q186">
            <v>23652.720000000001</v>
          </cell>
          <cell r="R186">
            <v>0.2770387507229613</v>
          </cell>
          <cell r="S186">
            <v>0</v>
          </cell>
          <cell r="T186" t="str">
            <v/>
          </cell>
          <cell r="U186" t="str">
            <v>Y</v>
          </cell>
          <cell r="V186" t="str">
            <v/>
          </cell>
          <cell r="W186" t="str">
            <v/>
          </cell>
          <cell r="X186" t="str">
            <v>Y</v>
          </cell>
          <cell r="Y186" t="str">
            <v/>
          </cell>
          <cell r="Z186" t="str">
            <v/>
          </cell>
          <cell r="AA186" t="str">
            <v>Y</v>
          </cell>
          <cell r="AC186" t="str">
            <v/>
          </cell>
          <cell r="AD186" t="str">
            <v/>
          </cell>
          <cell r="AE186" t="str">
            <v/>
          </cell>
          <cell r="AF186" t="str">
            <v/>
          </cell>
          <cell r="AG186" t="str">
            <v/>
          </cell>
          <cell r="AH186" t="str">
            <v/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O186" t="str">
            <v/>
          </cell>
          <cell r="AP186" t="str">
            <v/>
          </cell>
          <cell r="AQ186" t="str">
            <v/>
          </cell>
          <cell r="AR186" t="str">
            <v/>
          </cell>
          <cell r="AS186" t="str">
            <v/>
          </cell>
          <cell r="AU186" t="str">
            <v>BTO</v>
          </cell>
          <cell r="AV186" t="str">
            <v>O</v>
          </cell>
          <cell r="AW186">
            <v>0</v>
          </cell>
          <cell r="AX186">
            <v>0</v>
          </cell>
          <cell r="AY186">
            <v>0</v>
          </cell>
          <cell r="AZ186">
            <v>23652.720000000001</v>
          </cell>
          <cell r="BA186">
            <v>17100</v>
          </cell>
          <cell r="BB186">
            <v>6552.72</v>
          </cell>
          <cell r="BC186">
            <v>684</v>
          </cell>
          <cell r="BD186">
            <v>0.04</v>
          </cell>
          <cell r="BE186">
            <v>0</v>
          </cell>
          <cell r="BF186">
            <v>0</v>
          </cell>
          <cell r="BG186">
            <v>0</v>
          </cell>
          <cell r="BH186">
            <v>-6552.72</v>
          </cell>
          <cell r="BI186">
            <v>-0.2770387507229613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-0.2770387507229613</v>
          </cell>
          <cell r="BO186" t="str">
            <v>ISU</v>
          </cell>
          <cell r="BP186" t="str">
            <v>O</v>
          </cell>
          <cell r="BQ186" t="str">
            <v>FZ</v>
          </cell>
          <cell r="BR186">
            <v>8836946</v>
          </cell>
          <cell r="BS186" t="str">
            <v>UHX</v>
          </cell>
          <cell r="BT186">
            <v>6203000</v>
          </cell>
          <cell r="BW186" t="str">
            <v/>
          </cell>
          <cell r="BX186" t="str">
            <v>Unrated</v>
          </cell>
          <cell r="BY186" t="str">
            <v>Under</v>
          </cell>
          <cell r="BZ186" t="str">
            <v/>
          </cell>
          <cell r="CA186" t="str">
            <v/>
          </cell>
          <cell r="CG186">
            <v>23652.720000000001</v>
          </cell>
          <cell r="CH186">
            <v>0</v>
          </cell>
          <cell r="CI186">
            <v>23652.720000000001</v>
          </cell>
          <cell r="CJ186">
            <v>1</v>
          </cell>
          <cell r="CK186">
            <v>0.72296124927703875</v>
          </cell>
          <cell r="CM186" t="e">
            <v>#N/A</v>
          </cell>
          <cell r="CN186" t="str">
            <v/>
          </cell>
          <cell r="CO186" t="str">
            <v/>
          </cell>
          <cell r="CP186" t="str">
            <v/>
          </cell>
          <cell r="CQ186" t="str">
            <v/>
          </cell>
          <cell r="CR186" t="str">
            <v/>
          </cell>
          <cell r="CS186">
            <v>38473</v>
          </cell>
          <cell r="CT186" t="str">
            <v/>
          </cell>
          <cell r="CU186" t="str">
            <v/>
          </cell>
          <cell r="CV186" t="str">
            <v/>
          </cell>
          <cell r="CW186" t="str">
            <v>BTO</v>
          </cell>
        </row>
        <row r="187">
          <cell r="A187" t="str">
            <v>CFT48CN</v>
          </cell>
          <cell r="B187" t="str">
            <v>MED</v>
          </cell>
          <cell r="C187" t="str">
            <v>CRM</v>
          </cell>
          <cell r="D187" t="str">
            <v>CRM</v>
          </cell>
          <cell r="E187" t="str">
            <v>C&amp;SI</v>
          </cell>
          <cell r="F187" t="str">
            <v>THOMSO COR 0376</v>
          </cell>
          <cell r="G187" t="str">
            <v>Contract Center Transform...</v>
          </cell>
          <cell r="H187" t="str">
            <v>CFT48CN</v>
          </cell>
          <cell r="I187">
            <v>1</v>
          </cell>
          <cell r="J187" t="str">
            <v>Michael R Douglas/Dallas/IBM</v>
          </cell>
          <cell r="K187" t="str">
            <v>Jonathan Hounslow/Atlanta/IBM</v>
          </cell>
          <cell r="L187" t="str">
            <v>BE</v>
          </cell>
          <cell r="M187">
            <v>38705</v>
          </cell>
          <cell r="N187">
            <v>38807</v>
          </cell>
          <cell r="O187">
            <v>3747135</v>
          </cell>
          <cell r="P187">
            <v>3837600</v>
          </cell>
          <cell r="Q187">
            <v>3747135</v>
          </cell>
          <cell r="R187">
            <v>0.4367346779237023</v>
          </cell>
          <cell r="S187">
            <v>0.52894489581606141</v>
          </cell>
          <cell r="T187" t="str">
            <v>Y</v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>Y</v>
          </cell>
          <cell r="AA187" t="str">
            <v/>
          </cell>
          <cell r="AC187" t="str">
            <v/>
          </cell>
          <cell r="AD187" t="str">
            <v>Y</v>
          </cell>
          <cell r="AE187" t="str">
            <v>Graham</v>
          </cell>
          <cell r="AL187" t="str">
            <v>TBD</v>
          </cell>
          <cell r="AU187" t="str">
            <v>CUSTOMER RELATIONSHIP MANAGEMENT</v>
          </cell>
          <cell r="AV187" t="str">
            <v>O</v>
          </cell>
          <cell r="AW187">
            <v>1448.5</v>
          </cell>
          <cell r="AX187">
            <v>0</v>
          </cell>
          <cell r="AY187">
            <v>0</v>
          </cell>
          <cell r="AZ187">
            <v>3837600</v>
          </cell>
          <cell r="BA187">
            <v>2161587</v>
          </cell>
          <cell r="BB187">
            <v>1676013</v>
          </cell>
          <cell r="BC187">
            <v>86464</v>
          </cell>
          <cell r="BD187">
            <v>4.0000240563993032E-2</v>
          </cell>
          <cell r="BE187">
            <v>90465</v>
          </cell>
          <cell r="BF187">
            <v>42614</v>
          </cell>
          <cell r="BG187">
            <v>47851</v>
          </cell>
          <cell r="BH187">
            <v>-1628162</v>
          </cell>
          <cell r="BI187">
            <v>9.2210217892359114E-2</v>
          </cell>
          <cell r="BJ187">
            <v>90465</v>
          </cell>
          <cell r="BK187">
            <v>42614</v>
          </cell>
          <cell r="BL187">
            <v>47851</v>
          </cell>
          <cell r="BM187">
            <v>0.52894489581606141</v>
          </cell>
          <cell r="BN187">
            <v>9.2210217892359114E-2</v>
          </cell>
          <cell r="BO187" t="str">
            <v>ISU</v>
          </cell>
          <cell r="BP187" t="str">
            <v>O</v>
          </cell>
          <cell r="BQ187" t="str">
            <v>FX</v>
          </cell>
          <cell r="BR187">
            <v>8821481</v>
          </cell>
          <cell r="BS187" t="str">
            <v>6YR</v>
          </cell>
          <cell r="BT187">
            <v>9069145</v>
          </cell>
          <cell r="BW187" t="str">
            <v/>
          </cell>
          <cell r="BX187" t="str">
            <v>Unrated</v>
          </cell>
          <cell r="BY187" t="str">
            <v>Over</v>
          </cell>
          <cell r="BZ187" t="str">
            <v/>
          </cell>
          <cell r="CA187" t="str">
            <v/>
          </cell>
          <cell r="CG187">
            <v>2838405</v>
          </cell>
          <cell r="CH187">
            <v>1997903</v>
          </cell>
          <cell r="CI187">
            <v>840502</v>
          </cell>
          <cell r="CJ187">
            <v>0.29611771399782627</v>
          </cell>
          <cell r="CK187">
            <v>-0.14061696392587603</v>
          </cell>
          <cell r="CM187" t="e">
            <v>#N/A</v>
          </cell>
          <cell r="CS187">
            <v>38687</v>
          </cell>
          <cell r="CV187" t="str">
            <v/>
          </cell>
          <cell r="CW187" t="str">
            <v>CUSTOMER RELATIONSHIP MANAGEMENT</v>
          </cell>
        </row>
        <row r="188">
          <cell r="A188" t="str">
            <v>CFT1YAN</v>
          </cell>
          <cell r="B188" t="str">
            <v>MED</v>
          </cell>
          <cell r="C188" t="str">
            <v>FM</v>
          </cell>
          <cell r="D188" t="str">
            <v>FM</v>
          </cell>
          <cell r="E188" t="str">
            <v>C&amp;SI</v>
          </cell>
          <cell r="F188" t="str">
            <v>THOMSO COR 0376</v>
          </cell>
          <cell r="G188" t="str">
            <v>Finance Transformation P</v>
          </cell>
          <cell r="H188" t="str">
            <v>CFT1YAN</v>
          </cell>
          <cell r="I188">
            <v>1</v>
          </cell>
          <cell r="J188" t="str">
            <v>Joseph F Devaney/Philadelphia/IBM</v>
          </cell>
          <cell r="K188" t="str">
            <v>Richard W Taylor/New York/IBM</v>
          </cell>
          <cell r="L188" t="str">
            <v>BE</v>
          </cell>
          <cell r="M188">
            <v>38658</v>
          </cell>
          <cell r="N188">
            <v>38837</v>
          </cell>
          <cell r="O188">
            <v>2936786</v>
          </cell>
          <cell r="P188">
            <v>3540080</v>
          </cell>
          <cell r="Q188">
            <v>2936786</v>
          </cell>
          <cell r="R188">
            <v>0.43672628867144248</v>
          </cell>
          <cell r="S188">
            <v>0.48385077590693759</v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C188" t="str">
            <v/>
          </cell>
          <cell r="AD188" t="str">
            <v>Y</v>
          </cell>
          <cell r="AE188" t="str">
            <v>Giblin</v>
          </cell>
          <cell r="AF188" t="str">
            <v/>
          </cell>
          <cell r="AG188" t="str">
            <v/>
          </cell>
          <cell r="AH188" t="str">
            <v/>
          </cell>
          <cell r="AI188" t="str">
            <v/>
          </cell>
          <cell r="AJ188" t="str">
            <v>Launch</v>
          </cell>
          <cell r="AK188" t="str">
            <v/>
          </cell>
          <cell r="AL188">
            <v>38749</v>
          </cell>
          <cell r="AM188" t="str">
            <v/>
          </cell>
          <cell r="AN188" t="str">
            <v/>
          </cell>
          <cell r="AO188" t="str">
            <v/>
          </cell>
          <cell r="AP188" t="str">
            <v/>
          </cell>
          <cell r="AQ188" t="str">
            <v/>
          </cell>
          <cell r="AR188" t="str">
            <v/>
          </cell>
          <cell r="AS188" t="str">
            <v/>
          </cell>
          <cell r="AU188" t="str">
            <v>FINANCIAL MANAGEMENT</v>
          </cell>
          <cell r="AV188" t="str">
            <v>O</v>
          </cell>
          <cell r="AW188">
            <v>2563.6999999999998</v>
          </cell>
          <cell r="AX188">
            <v>8.1999999999999993</v>
          </cell>
          <cell r="AY188">
            <v>3.1985021648398798E-3</v>
          </cell>
          <cell r="AZ188">
            <v>3540080</v>
          </cell>
          <cell r="BA188">
            <v>1994034</v>
          </cell>
          <cell r="BB188">
            <v>1546046</v>
          </cell>
          <cell r="BC188">
            <v>79761</v>
          </cell>
          <cell r="BD188">
            <v>3.9999819461453513E-2</v>
          </cell>
          <cell r="BE188">
            <v>603294</v>
          </cell>
          <cell r="BF188">
            <v>311389.73</v>
          </cell>
          <cell r="BG188">
            <v>291904.27</v>
          </cell>
          <cell r="BH188">
            <v>-1254141.73</v>
          </cell>
          <cell r="BI188">
            <v>4.7124487235495116E-2</v>
          </cell>
          <cell r="BJ188">
            <v>603294</v>
          </cell>
          <cell r="BK188">
            <v>311389.73</v>
          </cell>
          <cell r="BL188">
            <v>291904.27</v>
          </cell>
          <cell r="BM188">
            <v>0.48385077590693759</v>
          </cell>
          <cell r="BN188">
            <v>4.7124487235495116E-2</v>
          </cell>
          <cell r="BO188" t="str">
            <v>ISU</v>
          </cell>
          <cell r="BP188" t="str">
            <v>O</v>
          </cell>
          <cell r="BQ188" t="str">
            <v>FX</v>
          </cell>
          <cell r="BR188">
            <v>8821481</v>
          </cell>
          <cell r="BS188" t="str">
            <v>6YR</v>
          </cell>
          <cell r="BT188">
            <v>9069145</v>
          </cell>
          <cell r="BW188" t="str">
            <v/>
          </cell>
          <cell r="BX188" t="str">
            <v>Rated</v>
          </cell>
          <cell r="BY188" t="str">
            <v>Over</v>
          </cell>
          <cell r="BZ188" t="str">
            <v>Other</v>
          </cell>
          <cell r="CA188" t="str">
            <v/>
          </cell>
          <cell r="CG188">
            <v>3107441</v>
          </cell>
          <cell r="CH188">
            <v>1597011.58</v>
          </cell>
          <cell r="CI188">
            <v>1510429.42</v>
          </cell>
          <cell r="CJ188">
            <v>0.48606857539692627</v>
          </cell>
          <cell r="CK188">
            <v>4.9342286725483797E-2</v>
          </cell>
          <cell r="CL188" t="str">
            <v/>
          </cell>
          <cell r="CM188" t="str">
            <v/>
          </cell>
          <cell r="CN188" t="str">
            <v/>
          </cell>
          <cell r="CO188" t="str">
            <v/>
          </cell>
          <cell r="CP188" t="str">
            <v/>
          </cell>
          <cell r="CQ188" t="str">
            <v/>
          </cell>
          <cell r="CR188" t="str">
            <v/>
          </cell>
          <cell r="CS188">
            <v>38657</v>
          </cell>
          <cell r="CT188" t="str">
            <v/>
          </cell>
          <cell r="CU188" t="str">
            <v/>
          </cell>
          <cell r="CV188" t="str">
            <v/>
          </cell>
          <cell r="CW188" t="str">
            <v>FINANCIAL MANAGEMENT</v>
          </cell>
        </row>
        <row r="189">
          <cell r="A189" t="str">
            <v>CFTNP8N</v>
          </cell>
          <cell r="B189" t="str">
            <v>MED</v>
          </cell>
          <cell r="C189" t="str">
            <v>CRM</v>
          </cell>
          <cell r="D189" t="str">
            <v>CRM</v>
          </cell>
          <cell r="E189" t="str">
            <v>C&amp;SI</v>
          </cell>
          <cell r="F189" t="str">
            <v>THOMSO COR 0376</v>
          </cell>
          <cell r="G189" t="str">
            <v>Corporate Contact Center</v>
          </cell>
          <cell r="H189" t="str">
            <v>CFTNP8N</v>
          </cell>
          <cell r="I189">
            <v>1</v>
          </cell>
          <cell r="J189" t="str">
            <v>Michael R Douglas/Dallas/IBM</v>
          </cell>
          <cell r="K189" t="str">
            <v>Jonathan Hounslow/Atlanta/IBM</v>
          </cell>
          <cell r="L189" t="str">
            <v>BE</v>
          </cell>
          <cell r="M189">
            <v>38545</v>
          </cell>
          <cell r="N189">
            <v>38716</v>
          </cell>
          <cell r="O189">
            <v>387.5</v>
          </cell>
          <cell r="P189">
            <v>459882.5</v>
          </cell>
          <cell r="Q189">
            <v>387.5</v>
          </cell>
          <cell r="R189">
            <v>0.44192918843400214</v>
          </cell>
          <cell r="S189">
            <v>0.4504347816624773</v>
          </cell>
          <cell r="T189" t="str">
            <v/>
          </cell>
          <cell r="U189" t="str">
            <v>Y</v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 t="str">
            <v/>
          </cell>
          <cell r="AG189" t="str">
            <v/>
          </cell>
          <cell r="AH189" t="str">
            <v/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O189" t="str">
            <v/>
          </cell>
          <cell r="AP189" t="str">
            <v/>
          </cell>
          <cell r="AQ189" t="str">
            <v/>
          </cell>
          <cell r="AR189" t="str">
            <v/>
          </cell>
          <cell r="AS189" t="str">
            <v/>
          </cell>
          <cell r="AU189" t="str">
            <v>CUSTOMER RELATIONSHIP MANAGEMENT</v>
          </cell>
          <cell r="AV189" t="str">
            <v>O</v>
          </cell>
          <cell r="AW189">
            <v>2269.5</v>
          </cell>
          <cell r="AX189">
            <v>9</v>
          </cell>
          <cell r="AY189">
            <v>3.9656311962987445E-3</v>
          </cell>
          <cell r="AZ189">
            <v>459882.5</v>
          </cell>
          <cell r="BA189">
            <v>256647</v>
          </cell>
          <cell r="BB189">
            <v>203235.5</v>
          </cell>
          <cell r="BC189">
            <v>20539</v>
          </cell>
          <cell r="BD189">
            <v>8.0028209953749707E-2</v>
          </cell>
          <cell r="BE189">
            <v>459495</v>
          </cell>
          <cell r="BF189">
            <v>252522.47</v>
          </cell>
          <cell r="BG189">
            <v>206972.53</v>
          </cell>
          <cell r="BH189">
            <v>3737.03</v>
          </cell>
          <cell r="BI189">
            <v>8.5055932284751612E-3</v>
          </cell>
          <cell r="BJ189">
            <v>459495</v>
          </cell>
          <cell r="BK189">
            <v>252522.47</v>
          </cell>
          <cell r="BL189">
            <v>206972.53</v>
          </cell>
          <cell r="BM189">
            <v>0.4504347816624773</v>
          </cell>
          <cell r="BN189">
            <v>8.5055932284751612E-3</v>
          </cell>
          <cell r="BO189" t="str">
            <v>ISU</v>
          </cell>
          <cell r="BP189" t="str">
            <v>O</v>
          </cell>
          <cell r="BQ189" t="str">
            <v>FX</v>
          </cell>
          <cell r="BR189">
            <v>8821481</v>
          </cell>
          <cell r="BS189" t="str">
            <v>6YR</v>
          </cell>
          <cell r="BT189">
            <v>9069145</v>
          </cell>
          <cell r="BW189" t="str">
            <v/>
          </cell>
          <cell r="BX189" t="str">
            <v>Unrated</v>
          </cell>
          <cell r="BY189" t="str">
            <v>Under</v>
          </cell>
          <cell r="BZ189" t="str">
            <v/>
          </cell>
          <cell r="CA189" t="str">
            <v/>
          </cell>
          <cell r="CG189">
            <v>459495</v>
          </cell>
          <cell r="CH189">
            <v>256612.47</v>
          </cell>
          <cell r="CI189">
            <v>202882.53</v>
          </cell>
          <cell r="CJ189">
            <v>0.44153370548101722</v>
          </cell>
          <cell r="CK189">
            <v>-3.9548295298491576E-4</v>
          </cell>
          <cell r="CL189" t="str">
            <v/>
          </cell>
          <cell r="CM189" t="str">
            <v/>
          </cell>
          <cell r="CN189" t="str">
            <v/>
          </cell>
          <cell r="CO189" t="str">
            <v/>
          </cell>
          <cell r="CP189" t="str">
            <v/>
          </cell>
          <cell r="CQ189" t="str">
            <v/>
          </cell>
          <cell r="CR189" t="str">
            <v/>
          </cell>
          <cell r="CS189">
            <v>38534</v>
          </cell>
          <cell r="CT189" t="str">
            <v/>
          </cell>
          <cell r="CV189" t="str">
            <v/>
          </cell>
          <cell r="CW189" t="str">
            <v>CUSTOMER RELATIONSHIP MANAGEMENT</v>
          </cell>
        </row>
        <row r="190">
          <cell r="A190" t="str">
            <v>CFTYCYL</v>
          </cell>
          <cell r="B190" t="str">
            <v>MED</v>
          </cell>
          <cell r="C190" t="str">
            <v>FM</v>
          </cell>
          <cell r="D190" t="str">
            <v>FM</v>
          </cell>
          <cell r="E190" t="str">
            <v>C&amp;SI</v>
          </cell>
          <cell r="F190" t="str">
            <v>TICKET</v>
          </cell>
          <cell r="G190" t="str">
            <v>PAMS SUPPORT</v>
          </cell>
          <cell r="H190" t="str">
            <v>CFTYCYL</v>
          </cell>
          <cell r="I190">
            <v>1</v>
          </cell>
          <cell r="J190" t="str">
            <v>Richard G Dorion/Los Angeles/IBM</v>
          </cell>
          <cell r="K190" t="str">
            <v>Debra D Merlino/Tulsa/IBM</v>
          </cell>
          <cell r="L190" t="str">
            <v>FP</v>
          </cell>
          <cell r="M190">
            <v>38018</v>
          </cell>
          <cell r="N190">
            <v>40209</v>
          </cell>
          <cell r="O190">
            <v>1575026.64</v>
          </cell>
          <cell r="P190">
            <v>2165400</v>
          </cell>
          <cell r="Q190">
            <v>1575026.64</v>
          </cell>
          <cell r="R190">
            <v>0.33938856562297959</v>
          </cell>
          <cell r="S190">
            <v>0.392130701832481</v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>Y</v>
          </cell>
          <cell r="AA190" t="str">
            <v/>
          </cell>
          <cell r="AC190" t="str">
            <v/>
          </cell>
          <cell r="AD190" t="str">
            <v>Y</v>
          </cell>
          <cell r="AE190" t="str">
            <v>Giblin</v>
          </cell>
          <cell r="AF190" t="str">
            <v>Y</v>
          </cell>
          <cell r="AG190" t="str">
            <v>SAP</v>
          </cell>
          <cell r="AH190" t="str">
            <v>N/A</v>
          </cell>
          <cell r="AI190" t="str">
            <v>M</v>
          </cell>
          <cell r="AJ190" t="str">
            <v>B</v>
          </cell>
          <cell r="AK190">
            <v>38473</v>
          </cell>
          <cell r="AL190">
            <v>38657</v>
          </cell>
          <cell r="AM190" t="str">
            <v>G</v>
          </cell>
          <cell r="AN190" t="str">
            <v>G</v>
          </cell>
          <cell r="AO190" t="str">
            <v>Y</v>
          </cell>
          <cell r="AP190" t="str">
            <v>G</v>
          </cell>
          <cell r="AQ190" t="str">
            <v>G</v>
          </cell>
          <cell r="AR190" t="str">
            <v>G</v>
          </cell>
          <cell r="AS190" t="str">
            <v>G</v>
          </cell>
          <cell r="AU190" t="str">
            <v>FINANCIAL MANAGEMENT</v>
          </cell>
          <cell r="AV190" t="str">
            <v>O</v>
          </cell>
          <cell r="AW190">
            <v>7644.3</v>
          </cell>
          <cell r="AX190">
            <v>49</v>
          </cell>
          <cell r="AY190">
            <v>6.4100048402077362E-3</v>
          </cell>
          <cell r="AZ190">
            <v>2165400</v>
          </cell>
          <cell r="BA190">
            <v>1430488</v>
          </cell>
          <cell r="BB190">
            <v>734912</v>
          </cell>
          <cell r="BC190">
            <v>57219</v>
          </cell>
          <cell r="BD190">
            <v>3.9999636487688117E-2</v>
          </cell>
          <cell r="BE190">
            <v>590373.36</v>
          </cell>
          <cell r="BF190">
            <v>358869.84</v>
          </cell>
          <cell r="BG190">
            <v>231503.52</v>
          </cell>
          <cell r="BH190">
            <v>-503408.48</v>
          </cell>
          <cell r="BI190">
            <v>5.2742136209501411E-2</v>
          </cell>
          <cell r="BJ190">
            <v>590373.36</v>
          </cell>
          <cell r="BK190">
            <v>358869.84</v>
          </cell>
          <cell r="BL190">
            <v>231503.52</v>
          </cell>
          <cell r="BM190">
            <v>0.392130701832481</v>
          </cell>
          <cell r="BN190">
            <v>5.2742136209501411E-2</v>
          </cell>
          <cell r="BO190" t="str">
            <v>ISU</v>
          </cell>
          <cell r="BP190" t="str">
            <v>O</v>
          </cell>
          <cell r="BQ190" t="str">
            <v>FY</v>
          </cell>
          <cell r="BR190">
            <v>8853901</v>
          </cell>
          <cell r="BS190" t="str">
            <v>6YM</v>
          </cell>
          <cell r="BT190">
            <v>9391436</v>
          </cell>
          <cell r="BW190" t="str">
            <v/>
          </cell>
          <cell r="BX190" t="str">
            <v>Rated</v>
          </cell>
          <cell r="BY190" t="str">
            <v>Over</v>
          </cell>
          <cell r="BZ190" t="str">
            <v>B</v>
          </cell>
          <cell r="CA190" t="str">
            <v>M</v>
          </cell>
          <cell r="CG190">
            <v>2165400</v>
          </cell>
          <cell r="CH190">
            <v>1398812</v>
          </cell>
          <cell r="CI190">
            <v>766588</v>
          </cell>
          <cell r="CJ190">
            <v>0.35401680982728362</v>
          </cell>
          <cell r="CK190">
            <v>1.4628244204304031E-2</v>
          </cell>
          <cell r="CL190" t="str">
            <v>SAP PAMS Support only…phone review every 6 months and onsite review once a year…transitioned to Paul 11/05</v>
          </cell>
          <cell r="CM190" t="str">
            <v/>
          </cell>
          <cell r="CN190" t="str">
            <v/>
          </cell>
          <cell r="CO190" t="str">
            <v/>
          </cell>
          <cell r="CP190" t="str">
            <v/>
          </cell>
          <cell r="CQ190" t="str">
            <v/>
          </cell>
          <cell r="CR190" t="str">
            <v/>
          </cell>
          <cell r="CS190">
            <v>38018</v>
          </cell>
          <cell r="CT190" t="str">
            <v/>
          </cell>
          <cell r="CV190" t="str">
            <v/>
          </cell>
          <cell r="CW190" t="str">
            <v>FINANCIAL MANAGEMENT</v>
          </cell>
        </row>
        <row r="191">
          <cell r="A191" t="str">
            <v>CFTFPXN</v>
          </cell>
          <cell r="B191" t="str">
            <v>MED</v>
          </cell>
          <cell r="C191" t="str">
            <v>CRM</v>
          </cell>
          <cell r="D191" t="str">
            <v>CRM</v>
          </cell>
          <cell r="E191" t="str">
            <v>C&amp;SI</v>
          </cell>
          <cell r="F191" t="str">
            <v>TIME WARN CABLE</v>
          </cell>
          <cell r="G191" t="str">
            <v>*NS BI Architecture - In</v>
          </cell>
          <cell r="H191" t="str">
            <v>CFTFPXN</v>
          </cell>
          <cell r="I191">
            <v>1</v>
          </cell>
          <cell r="J191" t="str">
            <v>George N Kaczmarskyj/Fairfax/IBM</v>
          </cell>
          <cell r="K191" t="str">
            <v>George N Kaczmarskyj/Fairfax/IBM</v>
          </cell>
          <cell r="L191" t="str">
            <v>BE</v>
          </cell>
          <cell r="M191">
            <v>38467</v>
          </cell>
          <cell r="N191">
            <v>38732</v>
          </cell>
          <cell r="O191">
            <v>26035</v>
          </cell>
          <cell r="P191">
            <v>317545</v>
          </cell>
          <cell r="Q191">
            <v>26035</v>
          </cell>
          <cell r="R191">
            <v>0.46721881937993043</v>
          </cell>
          <cell r="S191">
            <v>0.47866231004082194</v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C191" t="str">
            <v/>
          </cell>
          <cell r="AD191" t="str">
            <v/>
          </cell>
          <cell r="AE191" t="str">
            <v/>
          </cell>
          <cell r="AF191" t="str">
            <v/>
          </cell>
          <cell r="AG191" t="str">
            <v/>
          </cell>
          <cell r="AH191" t="str">
            <v/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O191" t="str">
            <v/>
          </cell>
          <cell r="AP191" t="str">
            <v/>
          </cell>
          <cell r="AQ191" t="str">
            <v/>
          </cell>
          <cell r="AR191" t="str">
            <v/>
          </cell>
          <cell r="AS191" t="str">
            <v/>
          </cell>
          <cell r="AU191" t="str">
            <v>CUSTOMER RELATIONSHIP MANAGEMENT</v>
          </cell>
          <cell r="AV191" t="str">
            <v>O</v>
          </cell>
          <cell r="AW191">
            <v>1454</v>
          </cell>
          <cell r="AX191">
            <v>0</v>
          </cell>
          <cell r="AY191">
            <v>0</v>
          </cell>
          <cell r="AZ191">
            <v>317545</v>
          </cell>
          <cell r="BA191">
            <v>169182</v>
          </cell>
          <cell r="BB191">
            <v>148363</v>
          </cell>
          <cell r="BC191">
            <v>6767</v>
          </cell>
          <cell r="BD191">
            <v>3.9998344977598091E-2</v>
          </cell>
          <cell r="BE191">
            <v>291510</v>
          </cell>
          <cell r="BF191">
            <v>151975.15</v>
          </cell>
          <cell r="BG191">
            <v>139534.85</v>
          </cell>
          <cell r="BH191">
            <v>-8828.1499999999942</v>
          </cell>
          <cell r="BI191">
            <v>1.1443490660891509E-2</v>
          </cell>
          <cell r="BJ191">
            <v>291510</v>
          </cell>
          <cell r="BK191">
            <v>151975.15</v>
          </cell>
          <cell r="BL191">
            <v>139534.85</v>
          </cell>
          <cell r="BM191">
            <v>0.47866231004082194</v>
          </cell>
          <cell r="BN191">
            <v>1.1443490660891509E-2</v>
          </cell>
          <cell r="BO191" t="str">
            <v>ISU</v>
          </cell>
          <cell r="BP191" t="str">
            <v>O</v>
          </cell>
          <cell r="BQ191" t="str">
            <v>FX</v>
          </cell>
          <cell r="BR191">
            <v>8852437</v>
          </cell>
          <cell r="BS191" t="str">
            <v>6YR</v>
          </cell>
          <cell r="BT191">
            <v>8852000</v>
          </cell>
          <cell r="BW191" t="str">
            <v/>
          </cell>
          <cell r="BX191" t="str">
            <v>Unrated</v>
          </cell>
          <cell r="BY191" t="str">
            <v>Under</v>
          </cell>
          <cell r="BZ191" t="str">
            <v/>
          </cell>
          <cell r="CA191" t="str">
            <v/>
          </cell>
          <cell r="CG191">
            <v>257070</v>
          </cell>
          <cell r="CH191">
            <v>140643.67000000001</v>
          </cell>
          <cell r="CI191">
            <v>116426.33</v>
          </cell>
          <cell r="CJ191">
            <v>0.45289738203602131</v>
          </cell>
          <cell r="CK191">
            <v>-1.4321437343909116E-2</v>
          </cell>
          <cell r="CL191" t="str">
            <v/>
          </cell>
          <cell r="CM191" t="str">
            <v/>
          </cell>
          <cell r="CN191" t="str">
            <v/>
          </cell>
          <cell r="CO191" t="str">
            <v/>
          </cell>
          <cell r="CP191" t="str">
            <v/>
          </cell>
          <cell r="CQ191" t="str">
            <v/>
          </cell>
          <cell r="CR191" t="str">
            <v/>
          </cell>
          <cell r="CS191">
            <v>38443</v>
          </cell>
          <cell r="CT191" t="str">
            <v/>
          </cell>
          <cell r="CV191" t="str">
            <v/>
          </cell>
          <cell r="CW191" t="str">
            <v>CUSTOMER RELATIONSHIP MANAGEMENT</v>
          </cell>
        </row>
        <row r="192">
          <cell r="A192" t="str">
            <v>CFT6BML</v>
          </cell>
          <cell r="B192" t="str">
            <v>TEL</v>
          </cell>
          <cell r="C192" t="str">
            <v>FM</v>
          </cell>
          <cell r="D192" t="str">
            <v>FM</v>
          </cell>
          <cell r="E192" t="str">
            <v>C&amp;SI</v>
          </cell>
          <cell r="F192" t="str">
            <v>T-MOBI USA</v>
          </cell>
          <cell r="G192" t="str">
            <v>C9LVQ SAP AMS Long Term</v>
          </cell>
          <cell r="H192" t="str">
            <v>CFT6BML</v>
          </cell>
          <cell r="I192">
            <v>18</v>
          </cell>
          <cell r="J192" t="str">
            <v>Robert M Tomlin/Greensboro/IBM</v>
          </cell>
          <cell r="K192" t="str">
            <v>Brian Whitman/Atlanta/IBM</v>
          </cell>
          <cell r="L192" t="str">
            <v>FP</v>
          </cell>
          <cell r="M192">
            <v>38108</v>
          </cell>
          <cell r="N192">
            <v>39202</v>
          </cell>
          <cell r="O192">
            <v>2974358.27</v>
          </cell>
          <cell r="P192">
            <v>6156162.3399999989</v>
          </cell>
          <cell r="Q192">
            <v>2974358.27</v>
          </cell>
          <cell r="R192">
            <v>0.27109102194338808</v>
          </cell>
          <cell r="S192">
            <v>0.19452886676331402</v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>Y</v>
          </cell>
          <cell r="Y192" t="str">
            <v>Y</v>
          </cell>
          <cell r="Z192" t="str">
            <v/>
          </cell>
          <cell r="AA192" t="str">
            <v/>
          </cell>
          <cell r="AC192" t="str">
            <v>Y</v>
          </cell>
          <cell r="AD192" t="str">
            <v>Y</v>
          </cell>
          <cell r="AE192" t="str">
            <v>Giblin</v>
          </cell>
          <cell r="AF192" t="str">
            <v>Y</v>
          </cell>
          <cell r="AG192" t="str">
            <v>SAP</v>
          </cell>
          <cell r="AH192" t="str">
            <v/>
          </cell>
          <cell r="AI192" t="str">
            <v/>
          </cell>
          <cell r="AJ192" t="str">
            <v/>
          </cell>
          <cell r="AK192" t="str">
            <v/>
          </cell>
          <cell r="AL192">
            <v>38657</v>
          </cell>
          <cell r="AM192" t="str">
            <v/>
          </cell>
          <cell r="AN192" t="str">
            <v/>
          </cell>
          <cell r="AO192" t="str">
            <v/>
          </cell>
          <cell r="AP192" t="str">
            <v/>
          </cell>
          <cell r="AQ192" t="str">
            <v/>
          </cell>
          <cell r="AR192" t="str">
            <v/>
          </cell>
          <cell r="AS192" t="str">
            <v/>
          </cell>
          <cell r="AU192" t="str">
            <v>FINANCIAL MANAGEMENT</v>
          </cell>
          <cell r="AV192" t="str">
            <v>O</v>
          </cell>
          <cell r="AW192">
            <v>32480.5</v>
          </cell>
          <cell r="AX192">
            <v>111</v>
          </cell>
          <cell r="AY192">
            <v>3.4174350764304738E-3</v>
          </cell>
          <cell r="AZ192">
            <v>6156162.3399999989</v>
          </cell>
          <cell r="BA192">
            <v>4487282</v>
          </cell>
          <cell r="BB192">
            <v>1668880.34</v>
          </cell>
          <cell r="BC192">
            <v>186077</v>
          </cell>
          <cell r="BD192">
            <v>4.1467641213545306E-2</v>
          </cell>
          <cell r="BE192">
            <v>3181804.07</v>
          </cell>
          <cell r="BF192">
            <v>2562851.33</v>
          </cell>
          <cell r="BG192">
            <v>618952.74</v>
          </cell>
          <cell r="BH192">
            <v>-1049927.6000000001</v>
          </cell>
          <cell r="BI192">
            <v>-7.656215518007406E-2</v>
          </cell>
          <cell r="BJ192">
            <v>2063713</v>
          </cell>
          <cell r="BK192">
            <v>1610929.19</v>
          </cell>
          <cell r="BL192">
            <v>452783.81</v>
          </cell>
          <cell r="BM192">
            <v>0.21940250897290461</v>
          </cell>
          <cell r="BN192">
            <v>-5.1688512970483463E-2</v>
          </cell>
          <cell r="BO192" t="str">
            <v>SMB</v>
          </cell>
          <cell r="BP192" t="str">
            <v>O</v>
          </cell>
          <cell r="BQ192" t="str">
            <v>FY</v>
          </cell>
          <cell r="BR192">
            <v>6438953</v>
          </cell>
          <cell r="BS192" t="str">
            <v>Q3R</v>
          </cell>
          <cell r="BT192">
            <v>6438953</v>
          </cell>
          <cell r="BW192" t="str">
            <v/>
          </cell>
          <cell r="BX192" t="str">
            <v>Unrated</v>
          </cell>
          <cell r="BY192" t="str">
            <v>Over</v>
          </cell>
          <cell r="BZ192" t="str">
            <v/>
          </cell>
          <cell r="CA192" t="str">
            <v/>
          </cell>
          <cell r="CG192">
            <v>6022059.0199999996</v>
          </cell>
          <cell r="CH192">
            <v>3881931.55</v>
          </cell>
          <cell r="CI192">
            <v>2140127.4700000002</v>
          </cell>
          <cell r="CJ192">
            <v>0.3553813509453117</v>
          </cell>
          <cell r="CK192">
            <v>8.4290329001923625E-2</v>
          </cell>
          <cell r="CL192" t="str">
            <v/>
          </cell>
          <cell r="CM192" t="str">
            <v/>
          </cell>
          <cell r="CN192" t="str">
            <v/>
          </cell>
          <cell r="CO192" t="str">
            <v/>
          </cell>
          <cell r="CP192" t="str">
            <v/>
          </cell>
          <cell r="CQ192" t="str">
            <v/>
          </cell>
          <cell r="CR192" t="str">
            <v/>
          </cell>
          <cell r="CS192">
            <v>38108</v>
          </cell>
          <cell r="CT192" t="str">
            <v/>
          </cell>
          <cell r="CV192" t="str">
            <v/>
          </cell>
          <cell r="CW192" t="str">
            <v>FINANCIAL MANAGEMENT</v>
          </cell>
        </row>
        <row r="193">
          <cell r="A193" t="str">
            <v>CFT3V2K</v>
          </cell>
          <cell r="B193" t="str">
            <v>TEL</v>
          </cell>
          <cell r="C193" t="str">
            <v>FM</v>
          </cell>
          <cell r="D193" t="str">
            <v>FM</v>
          </cell>
          <cell r="E193" t="str">
            <v>C&amp;SI</v>
          </cell>
          <cell r="F193" t="str">
            <v>T-MOBI USA</v>
          </cell>
          <cell r="G193" t="str">
            <v>PCR #11--HR/IT PROG EXT</v>
          </cell>
          <cell r="H193" t="str">
            <v>CFT3V2K</v>
          </cell>
          <cell r="I193">
            <v>2</v>
          </cell>
          <cell r="J193" t="str">
            <v>Robert M Tomlin/Greensboro/IBM</v>
          </cell>
          <cell r="K193" t="str">
            <v>Amy K Donovan/Dallas/IBM</v>
          </cell>
          <cell r="L193" t="str">
            <v>FP</v>
          </cell>
          <cell r="M193">
            <v>38353</v>
          </cell>
          <cell r="N193">
            <v>38807</v>
          </cell>
          <cell r="O193">
            <v>2013237.63</v>
          </cell>
          <cell r="P193">
            <v>5207472</v>
          </cell>
          <cell r="Q193">
            <v>2013237.63</v>
          </cell>
          <cell r="R193">
            <v>0.48741327845833832</v>
          </cell>
          <cell r="S193">
            <v>0.41779050170322979</v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>Y</v>
          </cell>
          <cell r="Y193" t="str">
            <v>Y</v>
          </cell>
          <cell r="Z193" t="str">
            <v/>
          </cell>
          <cell r="AA193" t="str">
            <v/>
          </cell>
          <cell r="AC193" t="str">
            <v/>
          </cell>
          <cell r="AD193" t="str">
            <v>Y</v>
          </cell>
          <cell r="AE193" t="str">
            <v>Sills</v>
          </cell>
          <cell r="AF193" t="str">
            <v>Y</v>
          </cell>
          <cell r="AG193" t="str">
            <v>SAP</v>
          </cell>
          <cell r="AH193" t="str">
            <v>Gary Hill</v>
          </cell>
          <cell r="AI193" t="str">
            <v>M</v>
          </cell>
          <cell r="AJ193" t="str">
            <v>C</v>
          </cell>
          <cell r="AK193">
            <v>38626</v>
          </cell>
          <cell r="AL193">
            <v>38749</v>
          </cell>
          <cell r="AM193" t="str">
            <v>G</v>
          </cell>
          <cell r="AN193" t="str">
            <v>G</v>
          </cell>
          <cell r="AO193" t="str">
            <v>Y</v>
          </cell>
          <cell r="AP193" t="str">
            <v>Y</v>
          </cell>
          <cell r="AQ193" t="str">
            <v>Y</v>
          </cell>
          <cell r="AR193" t="str">
            <v>R</v>
          </cell>
          <cell r="AS193" t="str">
            <v>Y</v>
          </cell>
          <cell r="AU193" t="str">
            <v>FINANCIAL MANAGEMENT</v>
          </cell>
          <cell r="AV193" t="str">
            <v>O</v>
          </cell>
          <cell r="AW193">
            <v>15916.5</v>
          </cell>
          <cell r="AX193">
            <v>0</v>
          </cell>
          <cell r="AY193">
            <v>0</v>
          </cell>
          <cell r="AZ193">
            <v>5207472</v>
          </cell>
          <cell r="BA193">
            <v>2669281</v>
          </cell>
          <cell r="BB193">
            <v>2538191</v>
          </cell>
          <cell r="BC193">
            <v>261410</v>
          </cell>
          <cell r="BD193">
            <v>9.7932739190815798E-2</v>
          </cell>
          <cell r="BE193">
            <v>3194234.37</v>
          </cell>
          <cell r="BF193">
            <v>1859713.59</v>
          </cell>
          <cell r="BG193">
            <v>1334520.78</v>
          </cell>
          <cell r="BH193">
            <v>-1203670.22</v>
          </cell>
          <cell r="BI193">
            <v>-6.9622776755108529E-2</v>
          </cell>
          <cell r="BJ193">
            <v>3194234.37</v>
          </cell>
          <cell r="BK193">
            <v>1859713.59</v>
          </cell>
          <cell r="BL193">
            <v>1334520.78</v>
          </cell>
          <cell r="BM193">
            <v>0.41779050170322979</v>
          </cell>
          <cell r="BN193">
            <v>-6.9622776755108529E-2</v>
          </cell>
          <cell r="BO193" t="str">
            <v>SMB</v>
          </cell>
          <cell r="BP193" t="str">
            <v>O</v>
          </cell>
          <cell r="BQ193" t="str">
            <v>FX</v>
          </cell>
          <cell r="BR193">
            <v>6438953</v>
          </cell>
          <cell r="BS193" t="str">
            <v>Q3R</v>
          </cell>
          <cell r="BT193">
            <v>6438953</v>
          </cell>
          <cell r="BW193" t="str">
            <v/>
          </cell>
          <cell r="BX193" t="str">
            <v>Rated</v>
          </cell>
          <cell r="BY193" t="str">
            <v>Over</v>
          </cell>
          <cell r="BZ193" t="str">
            <v>C</v>
          </cell>
          <cell r="CA193" t="str">
            <v>M</v>
          </cell>
          <cell r="CG193">
            <v>5207472</v>
          </cell>
          <cell r="CH193">
            <v>2385581.88</v>
          </cell>
          <cell r="CI193">
            <v>2821890.12</v>
          </cell>
          <cell r="CJ193">
            <v>0.54189251905723168</v>
          </cell>
          <cell r="CK193">
            <v>5.4479240598893364E-2</v>
          </cell>
          <cell r="CL193" t="str">
            <v/>
          </cell>
          <cell r="CM193" t="str">
            <v/>
          </cell>
          <cell r="CN193" t="str">
            <v/>
          </cell>
          <cell r="CO193" t="str">
            <v/>
          </cell>
          <cell r="CP193" t="str">
            <v/>
          </cell>
          <cell r="CQ193" t="str">
            <v/>
          </cell>
          <cell r="CR193" t="str">
            <v/>
          </cell>
          <cell r="CS193">
            <v>38353</v>
          </cell>
          <cell r="CT193" t="str">
            <v/>
          </cell>
          <cell r="CV193" t="str">
            <v/>
          </cell>
          <cell r="CW193" t="str">
            <v>FINANCIAL MANAGEMENT</v>
          </cell>
        </row>
        <row r="194">
          <cell r="A194" t="str">
            <v>CFTY5TM</v>
          </cell>
          <cell r="B194" t="str">
            <v>MED</v>
          </cell>
          <cell r="C194" t="str">
            <v>FM</v>
          </cell>
          <cell r="D194" t="str">
            <v>FM</v>
          </cell>
          <cell r="E194" t="str">
            <v>C&amp;SI</v>
          </cell>
          <cell r="F194" t="str">
            <v>TWENTI CENT FOX</v>
          </cell>
          <cell r="G194" t="str">
            <v>EnterpriseOneImp</v>
          </cell>
          <cell r="H194" t="str">
            <v>CFTY5TM</v>
          </cell>
          <cell r="I194">
            <v>3</v>
          </cell>
          <cell r="J194" t="str">
            <v>Mitchell D Simon/Irvine/IBM</v>
          </cell>
          <cell r="K194" t="str">
            <v>Gretchen Kaufman/Los Angeles/IBM</v>
          </cell>
          <cell r="L194" t="str">
            <v>FP</v>
          </cell>
          <cell r="M194">
            <v>38328</v>
          </cell>
          <cell r="N194">
            <v>38717</v>
          </cell>
          <cell r="O194">
            <v>326840</v>
          </cell>
          <cell r="P194">
            <v>2546800</v>
          </cell>
          <cell r="Q194">
            <v>326840</v>
          </cell>
          <cell r="R194">
            <v>0.43468352442280511</v>
          </cell>
          <cell r="S194">
            <v>0.40582837979062675</v>
          </cell>
          <cell r="T194" t="str">
            <v/>
          </cell>
          <cell r="U194" t="str">
            <v>Y</v>
          </cell>
          <cell r="V194" t="str">
            <v/>
          </cell>
          <cell r="W194" t="str">
            <v/>
          </cell>
          <cell r="X194" t="str">
            <v>Y</v>
          </cell>
          <cell r="Y194" t="str">
            <v/>
          </cell>
          <cell r="Z194" t="str">
            <v/>
          </cell>
          <cell r="AA194" t="str">
            <v/>
          </cell>
          <cell r="AC194" t="str">
            <v>Y</v>
          </cell>
          <cell r="AD194" t="str">
            <v/>
          </cell>
          <cell r="AE194" t="str">
            <v>Graham</v>
          </cell>
          <cell r="AF194" t="str">
            <v>Y</v>
          </cell>
          <cell r="AG194" t="str">
            <v>Bob Reynolds</v>
          </cell>
          <cell r="AH194" t="str">
            <v>Ken Kritz</v>
          </cell>
          <cell r="AI194" t="str">
            <v>M</v>
          </cell>
          <cell r="AJ194" t="str">
            <v>A</v>
          </cell>
          <cell r="AK194">
            <v>38565</v>
          </cell>
          <cell r="AL194" t="str">
            <v>N/A</v>
          </cell>
          <cell r="AM194" t="str">
            <v>G</v>
          </cell>
          <cell r="AN194" t="str">
            <v>G</v>
          </cell>
          <cell r="AO194" t="str">
            <v>G</v>
          </cell>
          <cell r="AP194" t="str">
            <v>G</v>
          </cell>
          <cell r="AQ194" t="str">
            <v>G</v>
          </cell>
          <cell r="AR194" t="str">
            <v>G</v>
          </cell>
          <cell r="AS194" t="str">
            <v>G</v>
          </cell>
          <cell r="AU194" t="str">
            <v>FINANCIAL MANAGEMENT</v>
          </cell>
          <cell r="AV194" t="str">
            <v>O</v>
          </cell>
          <cell r="AW194">
            <v>13914.1</v>
          </cell>
          <cell r="AX194">
            <v>373</v>
          </cell>
          <cell r="AY194">
            <v>2.6807339317670563E-2</v>
          </cell>
          <cell r="AZ194">
            <v>2546800</v>
          </cell>
          <cell r="BA194">
            <v>1439748</v>
          </cell>
          <cell r="BB194">
            <v>1107052</v>
          </cell>
          <cell r="BC194">
            <v>59067</v>
          </cell>
          <cell r="BD194">
            <v>4.1025929537669092E-2</v>
          </cell>
          <cell r="BE194">
            <v>2219960</v>
          </cell>
          <cell r="BF194">
            <v>1319037.23</v>
          </cell>
          <cell r="BG194">
            <v>900922.77</v>
          </cell>
          <cell r="BH194">
            <v>-206129.23</v>
          </cell>
          <cell r="BI194">
            <v>-2.8855144632178364E-2</v>
          </cell>
          <cell r="BJ194">
            <v>2069960</v>
          </cell>
          <cell r="BK194">
            <v>1278943.5900000001</v>
          </cell>
          <cell r="BL194">
            <v>791016.41</v>
          </cell>
          <cell r="BM194">
            <v>0.38214091576648818</v>
          </cell>
          <cell r="BN194">
            <v>-5.2542608656316936E-2</v>
          </cell>
          <cell r="BO194" t="str">
            <v>ISU</v>
          </cell>
          <cell r="BP194" t="str">
            <v>O</v>
          </cell>
          <cell r="BQ194" t="str">
            <v>FX</v>
          </cell>
          <cell r="BR194">
            <v>8991470</v>
          </cell>
          <cell r="BS194" t="str">
            <v>6YM</v>
          </cell>
          <cell r="BT194">
            <v>8828035</v>
          </cell>
          <cell r="BW194" t="str">
            <v/>
          </cell>
          <cell r="BX194" t="str">
            <v>Rated</v>
          </cell>
          <cell r="BY194" t="str">
            <v>Over</v>
          </cell>
          <cell r="BZ194" t="str">
            <v>A</v>
          </cell>
          <cell r="CA194" t="str">
            <v>M</v>
          </cell>
          <cell r="CG194">
            <v>2142185</v>
          </cell>
          <cell r="CH194">
            <v>1283913.6100000001</v>
          </cell>
          <cell r="CI194">
            <v>858271.39</v>
          </cell>
          <cell r="CJ194">
            <v>0.40065231994435591</v>
          </cell>
          <cell r="CK194">
            <v>-3.4031204478449206E-2</v>
          </cell>
          <cell r="CL194" t="str">
            <v/>
          </cell>
          <cell r="CM194" t="str">
            <v/>
          </cell>
          <cell r="CN194" t="str">
            <v/>
          </cell>
          <cell r="CO194" t="str">
            <v/>
          </cell>
          <cell r="CP194" t="str">
            <v/>
          </cell>
          <cell r="CQ194" t="str">
            <v/>
          </cell>
          <cell r="CR194" t="str">
            <v/>
          </cell>
          <cell r="CS194">
            <v>38322</v>
          </cell>
          <cell r="CT194" t="str">
            <v/>
          </cell>
          <cell r="CV194" t="str">
            <v/>
          </cell>
          <cell r="CW194" t="str">
            <v>FINANCIAL MANAGEMENT</v>
          </cell>
        </row>
        <row r="195">
          <cell r="A195" t="str">
            <v>CFT1D8N</v>
          </cell>
          <cell r="B195" t="str">
            <v>MED</v>
          </cell>
          <cell r="C195" t="str">
            <v>FM</v>
          </cell>
          <cell r="D195" t="str">
            <v>FM</v>
          </cell>
          <cell r="E195" t="str">
            <v>C&amp;SI</v>
          </cell>
          <cell r="F195" t="str">
            <v>TWENTI CENT FOX</v>
          </cell>
          <cell r="G195" t="str">
            <v>Fox International Comple</v>
          </cell>
          <cell r="H195" t="str">
            <v>CFT1D8N</v>
          </cell>
          <cell r="I195">
            <v>1</v>
          </cell>
          <cell r="J195" t="str">
            <v>Raymond T Ignacio/Baltimore/IBM</v>
          </cell>
          <cell r="K195" t="str">
            <v>Vishal Kaushal/Irvine/IBM</v>
          </cell>
          <cell r="L195" t="str">
            <v>BE</v>
          </cell>
          <cell r="M195">
            <v>38621</v>
          </cell>
          <cell r="N195">
            <v>39082</v>
          </cell>
          <cell r="O195">
            <v>717551</v>
          </cell>
          <cell r="P195">
            <v>1663669</v>
          </cell>
          <cell r="Q195">
            <v>717551</v>
          </cell>
          <cell r="R195">
            <v>0.22142385294190131</v>
          </cell>
          <cell r="S195">
            <v>0.38629663530341879</v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>Y</v>
          </cell>
          <cell r="AA195" t="str">
            <v/>
          </cell>
          <cell r="AC195" t="str">
            <v>Y</v>
          </cell>
          <cell r="AD195" t="str">
            <v>Y</v>
          </cell>
          <cell r="AE195" t="str">
            <v>Graham</v>
          </cell>
          <cell r="AF195" t="str">
            <v/>
          </cell>
          <cell r="AG195" t="str">
            <v/>
          </cell>
          <cell r="AH195" t="str">
            <v/>
          </cell>
          <cell r="AI195" t="str">
            <v/>
          </cell>
          <cell r="AJ195" t="str">
            <v>Launch</v>
          </cell>
          <cell r="AK195" t="str">
            <v/>
          </cell>
          <cell r="AL195" t="str">
            <v>TBD</v>
          </cell>
          <cell r="AM195" t="str">
            <v/>
          </cell>
          <cell r="AN195" t="str">
            <v/>
          </cell>
          <cell r="AO195" t="str">
            <v/>
          </cell>
          <cell r="AP195" t="str">
            <v/>
          </cell>
          <cell r="AQ195" t="str">
            <v/>
          </cell>
          <cell r="AR195" t="str">
            <v/>
          </cell>
          <cell r="AS195" t="str">
            <v/>
          </cell>
          <cell r="AU195" t="str">
            <v>FINANCIAL MANAGEMENT</v>
          </cell>
          <cell r="AV195" t="str">
            <v>O</v>
          </cell>
          <cell r="AW195">
            <v>7188.3</v>
          </cell>
          <cell r="AX195">
            <v>152.30000000000001</v>
          </cell>
          <cell r="AY195">
            <v>2.1187206989135125E-2</v>
          </cell>
          <cell r="AZ195">
            <v>1663669</v>
          </cell>
          <cell r="BA195">
            <v>1295293</v>
          </cell>
          <cell r="BB195">
            <v>368376</v>
          </cell>
          <cell r="BC195">
            <v>53042</v>
          </cell>
          <cell r="BD195">
            <v>4.0949808267318671E-2</v>
          </cell>
          <cell r="BE195">
            <v>946118</v>
          </cell>
          <cell r="BF195">
            <v>580635.80000000005</v>
          </cell>
          <cell r="BG195">
            <v>365482.2</v>
          </cell>
          <cell r="BH195">
            <v>-2893.8000000000466</v>
          </cell>
          <cell r="BI195">
            <v>0.16487278236151748</v>
          </cell>
          <cell r="BJ195">
            <v>946118</v>
          </cell>
          <cell r="BK195">
            <v>580635.80000000005</v>
          </cell>
          <cell r="BL195">
            <v>365482.2</v>
          </cell>
          <cell r="BM195">
            <v>0.38629663530341879</v>
          </cell>
          <cell r="BN195">
            <v>0.16487278236151748</v>
          </cell>
          <cell r="BO195" t="str">
            <v>ISU</v>
          </cell>
          <cell r="BP195" t="str">
            <v>O</v>
          </cell>
          <cell r="BQ195" t="str">
            <v>FX</v>
          </cell>
          <cell r="BR195">
            <v>8991837</v>
          </cell>
          <cell r="BS195" t="str">
            <v>6YM</v>
          </cell>
          <cell r="BT195">
            <v>8828035</v>
          </cell>
          <cell r="BW195" t="str">
            <v/>
          </cell>
          <cell r="BX195" t="str">
            <v>Rated</v>
          </cell>
          <cell r="BY195" t="str">
            <v>Over</v>
          </cell>
          <cell r="BZ195" t="str">
            <v>Other</v>
          </cell>
          <cell r="CA195" t="str">
            <v/>
          </cell>
          <cell r="CG195">
            <v>1211677</v>
          </cell>
          <cell r="CH195">
            <v>1280120.1000000001</v>
          </cell>
          <cell r="CI195">
            <v>-68443.100000000006</v>
          </cell>
          <cell r="CJ195">
            <v>-5.648625830151105E-2</v>
          </cell>
          <cell r="CK195">
            <v>-0.27791011124341236</v>
          </cell>
          <cell r="CL195" t="str">
            <v/>
          </cell>
          <cell r="CM195" t="str">
            <v/>
          </cell>
          <cell r="CN195" t="str">
            <v/>
          </cell>
          <cell r="CO195" t="str">
            <v/>
          </cell>
          <cell r="CP195" t="str">
            <v/>
          </cell>
          <cell r="CQ195" t="str">
            <v/>
          </cell>
          <cell r="CR195" t="str">
            <v/>
          </cell>
          <cell r="CS195">
            <v>38596</v>
          </cell>
          <cell r="CT195" t="str">
            <v/>
          </cell>
          <cell r="CU195" t="str">
            <v/>
          </cell>
          <cell r="CV195" t="str">
            <v/>
          </cell>
          <cell r="CW195" t="str">
            <v>FINANCIAL MANAGEMENT</v>
          </cell>
        </row>
        <row r="196">
          <cell r="A196" t="str">
            <v>CFTQXJM</v>
          </cell>
          <cell r="B196" t="str">
            <v>MED</v>
          </cell>
          <cell r="C196" t="str">
            <v>SCM</v>
          </cell>
          <cell r="D196" t="str">
            <v>SCM</v>
          </cell>
          <cell r="E196" t="str">
            <v>C&amp;SI</v>
          </cell>
          <cell r="F196" t="str">
            <v>TWENTI CENT FOX</v>
          </cell>
          <cell r="G196" t="str">
            <v>CNC SUPPORT</v>
          </cell>
          <cell r="H196" t="str">
            <v>CFTQXJM</v>
          </cell>
          <cell r="I196">
            <v>1</v>
          </cell>
          <cell r="J196" t="str">
            <v>Raymond T Ignacio/Baltimore/IBM</v>
          </cell>
          <cell r="K196" t="str">
            <v>Vishal Kaushal/Irvine/IBM</v>
          </cell>
          <cell r="L196" t="str">
            <v>BE</v>
          </cell>
          <cell r="M196">
            <v>38509</v>
          </cell>
          <cell r="N196">
            <v>38717</v>
          </cell>
          <cell r="O196">
            <v>0</v>
          </cell>
          <cell r="P196">
            <v>72000</v>
          </cell>
          <cell r="Q196">
            <v>0</v>
          </cell>
          <cell r="R196">
            <v>0.41255555555555556</v>
          </cell>
          <cell r="S196">
            <v>0.3689925</v>
          </cell>
          <cell r="T196" t="str">
            <v/>
          </cell>
          <cell r="U196" t="str">
            <v>Y</v>
          </cell>
          <cell r="V196" t="str">
            <v/>
          </cell>
          <cell r="W196" t="str">
            <v/>
          </cell>
          <cell r="X196" t="str">
            <v>Y</v>
          </cell>
          <cell r="Y196" t="str">
            <v/>
          </cell>
          <cell r="Z196" t="str">
            <v/>
          </cell>
          <cell r="AA196" t="str">
            <v/>
          </cell>
          <cell r="AC196" t="str">
            <v/>
          </cell>
          <cell r="AD196" t="str">
            <v/>
          </cell>
          <cell r="AU196" t="str">
            <v>SUPPLY CHAIN MANAGEMENT</v>
          </cell>
          <cell r="AV196" t="str">
            <v>O</v>
          </cell>
          <cell r="AW196">
            <v>468</v>
          </cell>
          <cell r="AX196">
            <v>36</v>
          </cell>
          <cell r="AY196">
            <v>7.6923076923076927E-2</v>
          </cell>
          <cell r="AZ196">
            <v>72000</v>
          </cell>
          <cell r="BA196">
            <v>42296</v>
          </cell>
          <cell r="BB196">
            <v>29704</v>
          </cell>
          <cell r="BC196">
            <v>1746</v>
          </cell>
          <cell r="BD196">
            <v>4.1280499337998863E-2</v>
          </cell>
          <cell r="BE196">
            <v>72000</v>
          </cell>
          <cell r="BF196">
            <v>45432.54</v>
          </cell>
          <cell r="BG196">
            <v>26567.46</v>
          </cell>
          <cell r="BH196">
            <v>-3136.54</v>
          </cell>
          <cell r="BI196">
            <v>-4.3563055555555563E-2</v>
          </cell>
          <cell r="BJ196">
            <v>72000</v>
          </cell>
          <cell r="BK196">
            <v>45432.54</v>
          </cell>
          <cell r="BL196">
            <v>26567.46</v>
          </cell>
          <cell r="BM196">
            <v>0.3689925</v>
          </cell>
          <cell r="BN196">
            <v>-4.3563055555555563E-2</v>
          </cell>
          <cell r="BO196" t="str">
            <v>ISU</v>
          </cell>
          <cell r="BP196" t="str">
            <v>O</v>
          </cell>
          <cell r="BQ196" t="str">
            <v>FX</v>
          </cell>
          <cell r="BR196">
            <v>8991837</v>
          </cell>
          <cell r="BS196" t="str">
            <v>6YM</v>
          </cell>
          <cell r="BT196">
            <v>8828035</v>
          </cell>
          <cell r="BW196" t="str">
            <v/>
          </cell>
          <cell r="BX196" t="str">
            <v>Unrated</v>
          </cell>
          <cell r="BY196" t="str">
            <v>Under</v>
          </cell>
          <cell r="BZ196" t="str">
            <v/>
          </cell>
          <cell r="CA196" t="str">
            <v/>
          </cell>
          <cell r="CG196">
            <v>72000</v>
          </cell>
          <cell r="CH196">
            <v>55223.08</v>
          </cell>
          <cell r="CI196">
            <v>16776.919999999998</v>
          </cell>
          <cell r="CJ196">
            <v>0.23301277777777776</v>
          </cell>
          <cell r="CK196">
            <v>-0.1795427777777778</v>
          </cell>
          <cell r="CM196" t="e">
            <v>#N/A</v>
          </cell>
          <cell r="CS196">
            <v>38504</v>
          </cell>
          <cell r="CV196" t="str">
            <v/>
          </cell>
          <cell r="CW196" t="str">
            <v>SUPPLY CHAIN MANAGEMENT</v>
          </cell>
        </row>
        <row r="197">
          <cell r="A197" t="str">
            <v>CFT038A</v>
          </cell>
          <cell r="B197" t="str">
            <v>TEL</v>
          </cell>
          <cell r="C197" t="e">
            <v>#N/A</v>
          </cell>
          <cell r="D197" t="e">
            <v>#N/A</v>
          </cell>
          <cell r="E197" t="str">
            <v>C&amp;SI</v>
          </cell>
          <cell r="F197" t="str">
            <v>U TEL</v>
          </cell>
          <cell r="G197" t="str">
            <v>NDA/SPID ASSISTANCE BRAND...</v>
          </cell>
          <cell r="H197" t="str">
            <v>CFT038A</v>
          </cell>
          <cell r="I197">
            <v>1</v>
          </cell>
          <cell r="J197">
            <v>0</v>
          </cell>
          <cell r="K197">
            <v>0</v>
          </cell>
          <cell r="L197" t="str">
            <v>BE</v>
          </cell>
          <cell r="M197">
            <v>36199</v>
          </cell>
          <cell r="N197">
            <v>36280</v>
          </cell>
          <cell r="O197">
            <v>20000</v>
          </cell>
          <cell r="P197">
            <v>20000</v>
          </cell>
          <cell r="Q197">
            <v>20000</v>
          </cell>
          <cell r="R197">
            <v>1</v>
          </cell>
          <cell r="S197">
            <v>0</v>
          </cell>
          <cell r="T197" t="str">
            <v/>
          </cell>
          <cell r="U197" t="str">
            <v>Y</v>
          </cell>
          <cell r="V197" t="str">
            <v>Y</v>
          </cell>
          <cell r="W197" t="str">
            <v/>
          </cell>
          <cell r="X197" t="str">
            <v>Y</v>
          </cell>
          <cell r="Y197" t="str">
            <v/>
          </cell>
          <cell r="Z197" t="str">
            <v/>
          </cell>
          <cell r="AA197" t="str">
            <v>Y</v>
          </cell>
          <cell r="AC197" t="str">
            <v/>
          </cell>
          <cell r="AD197" t="str">
            <v/>
          </cell>
          <cell r="AE197" t="str">
            <v/>
          </cell>
          <cell r="AF197" t="str">
            <v/>
          </cell>
          <cell r="AG197" t="str">
            <v/>
          </cell>
          <cell r="AH197" t="str">
            <v/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O197" t="str">
            <v/>
          </cell>
          <cell r="AP197" t="str">
            <v/>
          </cell>
          <cell r="AQ197" t="str">
            <v/>
          </cell>
          <cell r="AR197" t="str">
            <v/>
          </cell>
          <cell r="AS197" t="str">
            <v/>
          </cell>
          <cell r="AU197">
            <v>0</v>
          </cell>
          <cell r="AV197" t="str">
            <v>P</v>
          </cell>
          <cell r="AW197">
            <v>0</v>
          </cell>
          <cell r="AX197">
            <v>0</v>
          </cell>
          <cell r="AY197">
            <v>0</v>
          </cell>
          <cell r="AZ197">
            <v>20000</v>
          </cell>
          <cell r="BA197">
            <v>0</v>
          </cell>
          <cell r="BB197">
            <v>20000</v>
          </cell>
          <cell r="BC197">
            <v>1</v>
          </cell>
          <cell r="BD197">
            <v>0</v>
          </cell>
          <cell r="BE197">
            <v>0</v>
          </cell>
          <cell r="BF197">
            <v>2875</v>
          </cell>
          <cell r="BG197">
            <v>-2875</v>
          </cell>
          <cell r="BH197">
            <v>-22875</v>
          </cell>
          <cell r="BI197">
            <v>-1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-1</v>
          </cell>
          <cell r="BO197" t="str">
            <v>ISU</v>
          </cell>
          <cell r="BP197" t="str">
            <v>P</v>
          </cell>
          <cell r="BQ197" t="str">
            <v>BF</v>
          </cell>
          <cell r="BR197">
            <v>9076583</v>
          </cell>
          <cell r="BS197" t="str">
            <v>GID</v>
          </cell>
          <cell r="BT197">
            <v>9162300</v>
          </cell>
          <cell r="BW197" t="str">
            <v/>
          </cell>
          <cell r="BX197" t="str">
            <v>Unrated</v>
          </cell>
          <cell r="BY197" t="str">
            <v>Under</v>
          </cell>
          <cell r="BZ197" t="str">
            <v/>
          </cell>
          <cell r="CA197" t="str">
            <v/>
          </cell>
          <cell r="CG197">
            <v>4600</v>
          </cell>
          <cell r="CH197">
            <v>0</v>
          </cell>
          <cell r="CI197">
            <v>4600</v>
          </cell>
          <cell r="CJ197">
            <v>1</v>
          </cell>
          <cell r="CK197">
            <v>0</v>
          </cell>
          <cell r="CM197" t="e">
            <v>#N/A</v>
          </cell>
          <cell r="CN197" t="str">
            <v/>
          </cell>
          <cell r="CO197" t="str">
            <v/>
          </cell>
          <cell r="CP197" t="str">
            <v/>
          </cell>
          <cell r="CQ197" t="str">
            <v/>
          </cell>
          <cell r="CR197" t="str">
            <v/>
          </cell>
          <cell r="CS197">
            <v>36192</v>
          </cell>
          <cell r="CT197" t="str">
            <v/>
          </cell>
          <cell r="CU197" t="str">
            <v/>
          </cell>
          <cell r="CV197" t="str">
            <v/>
          </cell>
          <cell r="CW197" t="e">
            <v>#N/A</v>
          </cell>
        </row>
        <row r="198">
          <cell r="A198" t="str">
            <v>CFTT1HN</v>
          </cell>
          <cell r="B198" t="str">
            <v>TEL</v>
          </cell>
          <cell r="C198" t="str">
            <v>SCM</v>
          </cell>
          <cell r="D198" t="str">
            <v>SCM</v>
          </cell>
          <cell r="E198" t="str">
            <v>C&amp;SI</v>
          </cell>
          <cell r="F198" t="str">
            <v>VERIZO COM</v>
          </cell>
          <cell r="G198" t="str">
            <v>Phase 1 - FTTP Asset Str</v>
          </cell>
          <cell r="H198" t="str">
            <v>CFTT1HN</v>
          </cell>
          <cell r="I198">
            <v>4</v>
          </cell>
          <cell r="J198" t="str">
            <v>Chet Hirsch/Atlanta/IBM</v>
          </cell>
          <cell r="K198" t="str">
            <v>Chet Hirsch/Atlanta/IBM</v>
          </cell>
          <cell r="L198" t="str">
            <v>BE</v>
          </cell>
          <cell r="M198">
            <v>38582</v>
          </cell>
          <cell r="N198">
            <v>38667</v>
          </cell>
          <cell r="O198">
            <v>42600</v>
          </cell>
          <cell r="P198">
            <v>324000</v>
          </cell>
          <cell r="Q198">
            <v>42600</v>
          </cell>
          <cell r="R198">
            <v>0.39161111111111113</v>
          </cell>
          <cell r="S198">
            <v>0.34926936744847203</v>
          </cell>
          <cell r="T198" t="str">
            <v/>
          </cell>
          <cell r="U198" t="str">
            <v>Y</v>
          </cell>
          <cell r="V198" t="str">
            <v/>
          </cell>
          <cell r="W198" t="str">
            <v/>
          </cell>
          <cell r="X198" t="str">
            <v>Y</v>
          </cell>
          <cell r="Y198" t="str">
            <v/>
          </cell>
          <cell r="Z198" t="str">
            <v/>
          </cell>
          <cell r="AA198" t="str">
            <v/>
          </cell>
          <cell r="AC198" t="str">
            <v/>
          </cell>
          <cell r="AD198" t="str">
            <v/>
          </cell>
          <cell r="AE198" t="str">
            <v/>
          </cell>
          <cell r="AF198" t="str">
            <v/>
          </cell>
          <cell r="AG198" t="str">
            <v/>
          </cell>
          <cell r="AH198" t="str">
            <v/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O198" t="str">
            <v/>
          </cell>
          <cell r="AP198" t="str">
            <v/>
          </cell>
          <cell r="AQ198" t="str">
            <v/>
          </cell>
          <cell r="AR198" t="str">
            <v/>
          </cell>
          <cell r="AS198" t="str">
            <v/>
          </cell>
          <cell r="AU198" t="str">
            <v>SUPPLY CHAIN MANAGEMENT</v>
          </cell>
          <cell r="AV198" t="str">
            <v>O</v>
          </cell>
          <cell r="AW198">
            <v>1257</v>
          </cell>
          <cell r="AX198">
            <v>9</v>
          </cell>
          <cell r="AY198">
            <v>7.1599045346062056E-3</v>
          </cell>
          <cell r="AZ198">
            <v>324000</v>
          </cell>
          <cell r="BA198">
            <v>197118</v>
          </cell>
          <cell r="BB198">
            <v>126882</v>
          </cell>
          <cell r="BC198">
            <v>7886</v>
          </cell>
          <cell r="BD198">
            <v>4.0006493572377969E-2</v>
          </cell>
          <cell r="BE198">
            <v>281400</v>
          </cell>
          <cell r="BF198">
            <v>183115.6</v>
          </cell>
          <cell r="BG198">
            <v>98284.4</v>
          </cell>
          <cell r="BH198">
            <v>-28597.599999999999</v>
          </cell>
          <cell r="BI198">
            <v>-4.2341743662639098E-2</v>
          </cell>
          <cell r="BJ198">
            <v>281400</v>
          </cell>
          <cell r="BK198">
            <v>183115.6</v>
          </cell>
          <cell r="BL198">
            <v>98284.4</v>
          </cell>
          <cell r="BM198">
            <v>0.34926936744847203</v>
          </cell>
          <cell r="BN198">
            <v>-4.2341743662639098E-2</v>
          </cell>
          <cell r="BO198" t="str">
            <v>ISU</v>
          </cell>
          <cell r="BP198" t="str">
            <v>O</v>
          </cell>
          <cell r="BQ198" t="str">
            <v>FX</v>
          </cell>
          <cell r="BR198">
            <v>9441184</v>
          </cell>
          <cell r="BS198" t="str">
            <v>6Y9</v>
          </cell>
          <cell r="BT198">
            <v>899000</v>
          </cell>
          <cell r="BW198" t="str">
            <v/>
          </cell>
          <cell r="BX198" t="str">
            <v>Unrated</v>
          </cell>
          <cell r="BY198" t="str">
            <v>Under</v>
          </cell>
          <cell r="BZ198" t="str">
            <v/>
          </cell>
          <cell r="CA198" t="str">
            <v/>
          </cell>
          <cell r="CG198">
            <v>281400</v>
          </cell>
          <cell r="CH198">
            <v>183115.6</v>
          </cell>
          <cell r="CI198">
            <v>98284.4</v>
          </cell>
          <cell r="CJ198">
            <v>0.34926936744847192</v>
          </cell>
          <cell r="CK198">
            <v>-4.2341743662639209E-2</v>
          </cell>
          <cell r="CL198" t="str">
            <v/>
          </cell>
          <cell r="CM198" t="str">
            <v/>
          </cell>
          <cell r="CN198" t="str">
            <v/>
          </cell>
          <cell r="CO198" t="str">
            <v/>
          </cell>
          <cell r="CP198" t="str">
            <v/>
          </cell>
          <cell r="CQ198" t="str">
            <v/>
          </cell>
          <cell r="CR198" t="str">
            <v/>
          </cell>
          <cell r="CS198">
            <v>38565</v>
          </cell>
          <cell r="CT198" t="str">
            <v/>
          </cell>
          <cell r="CV198" t="str">
            <v/>
          </cell>
          <cell r="CW198" t="str">
            <v>SUPPLY CHAIN MANAGEMENT</v>
          </cell>
        </row>
        <row r="199">
          <cell r="A199" t="str">
            <v>CFT8C9M</v>
          </cell>
          <cell r="B199" t="str">
            <v>TEL</v>
          </cell>
          <cell r="C199" t="str">
            <v>SCS</v>
          </cell>
          <cell r="D199" t="str">
            <v>SCS</v>
          </cell>
          <cell r="E199" t="str">
            <v>C&amp;SI</v>
          </cell>
          <cell r="F199" t="str">
            <v>VERIZO DATA SV</v>
          </cell>
          <cell r="G199" t="str">
            <v>Six Sigma Finance Operati...</v>
          </cell>
          <cell r="H199" t="str">
            <v>CFT8C9M</v>
          </cell>
          <cell r="I199">
            <v>2</v>
          </cell>
          <cell r="J199" t="str">
            <v>George T Byrne/Fairfax/IBM</v>
          </cell>
          <cell r="K199" t="str">
            <v>David Jungers/Fairfax/IBM</v>
          </cell>
          <cell r="L199" t="str">
            <v>FP</v>
          </cell>
          <cell r="M199">
            <v>38404</v>
          </cell>
          <cell r="N199">
            <v>38717</v>
          </cell>
          <cell r="O199">
            <v>36675</v>
          </cell>
          <cell r="P199">
            <v>243000</v>
          </cell>
          <cell r="Q199">
            <v>36675</v>
          </cell>
          <cell r="R199">
            <v>0.52019753086419751</v>
          </cell>
          <cell r="S199">
            <v>0.52489669211195933</v>
          </cell>
          <cell r="T199" t="str">
            <v/>
          </cell>
          <cell r="U199" t="str">
            <v>Y</v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C199" t="str">
            <v/>
          </cell>
          <cell r="AD199" t="str">
            <v/>
          </cell>
          <cell r="AE199" t="str">
            <v/>
          </cell>
          <cell r="AF199" t="str">
            <v/>
          </cell>
          <cell r="AG199" t="str">
            <v/>
          </cell>
          <cell r="AH199" t="str">
            <v/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O199" t="str">
            <v/>
          </cell>
          <cell r="AP199" t="str">
            <v/>
          </cell>
          <cell r="AQ199" t="str">
            <v/>
          </cell>
          <cell r="AR199" t="str">
            <v/>
          </cell>
          <cell r="AS199" t="str">
            <v/>
          </cell>
          <cell r="AU199" t="str">
            <v>STRATEGY AND CHANGE</v>
          </cell>
          <cell r="AV199" t="str">
            <v>O</v>
          </cell>
          <cell r="AW199">
            <v>939.9</v>
          </cell>
          <cell r="AX199">
            <v>13.1</v>
          </cell>
          <cell r="AY199">
            <v>1.3937652941802318E-2</v>
          </cell>
          <cell r="AZ199">
            <v>243000</v>
          </cell>
          <cell r="BA199">
            <v>116592</v>
          </cell>
          <cell r="BB199">
            <v>126408</v>
          </cell>
          <cell r="BC199">
            <v>4863</v>
          </cell>
          <cell r="BD199">
            <v>4.1709551255660768E-2</v>
          </cell>
          <cell r="BE199">
            <v>206325</v>
          </cell>
          <cell r="BF199">
            <v>98025.69</v>
          </cell>
          <cell r="BG199">
            <v>108299.31</v>
          </cell>
          <cell r="BH199">
            <v>-18108.689999999999</v>
          </cell>
          <cell r="BI199">
            <v>4.6991612477618183E-3</v>
          </cell>
          <cell r="BJ199">
            <v>206325</v>
          </cell>
          <cell r="BK199">
            <v>98025.69</v>
          </cell>
          <cell r="BL199">
            <v>108299.31</v>
          </cell>
          <cell r="BM199">
            <v>0.52489669211195933</v>
          </cell>
          <cell r="BN199">
            <v>4.6991612477618183E-3</v>
          </cell>
          <cell r="BO199" t="str">
            <v>ISU</v>
          </cell>
          <cell r="BP199" t="str">
            <v>O</v>
          </cell>
          <cell r="BQ199" t="str">
            <v>FX</v>
          </cell>
          <cell r="BR199">
            <v>9424051</v>
          </cell>
          <cell r="BS199" t="str">
            <v>6Y9</v>
          </cell>
          <cell r="BT199">
            <v>899000</v>
          </cell>
          <cell r="BW199" t="str">
            <v/>
          </cell>
          <cell r="BX199" t="str">
            <v>Unrated</v>
          </cell>
          <cell r="BY199" t="str">
            <v>Under</v>
          </cell>
          <cell r="BZ199" t="str">
            <v/>
          </cell>
          <cell r="CA199" t="str">
            <v/>
          </cell>
          <cell r="CG199">
            <v>206325</v>
          </cell>
          <cell r="CH199">
            <v>98025.69</v>
          </cell>
          <cell r="CI199">
            <v>108299.31</v>
          </cell>
          <cell r="CJ199">
            <v>0.52489669211195933</v>
          </cell>
          <cell r="CK199">
            <v>4.6991612477618183E-3</v>
          </cell>
          <cell r="CL199" t="str">
            <v/>
          </cell>
          <cell r="CM199" t="str">
            <v/>
          </cell>
          <cell r="CN199" t="str">
            <v/>
          </cell>
          <cell r="CO199" t="str">
            <v/>
          </cell>
          <cell r="CP199" t="str">
            <v/>
          </cell>
          <cell r="CQ199" t="str">
            <v/>
          </cell>
          <cell r="CR199" t="str">
            <v/>
          </cell>
          <cell r="CS199">
            <v>38384</v>
          </cell>
          <cell r="CT199" t="str">
            <v/>
          </cell>
          <cell r="CV199" t="str">
            <v/>
          </cell>
          <cell r="CW199" t="str">
            <v>STRATEGY AND CHANGE</v>
          </cell>
        </row>
        <row r="200">
          <cell r="A200" t="str">
            <v>CFT4CNK</v>
          </cell>
          <cell r="B200" t="str">
            <v>TEL</v>
          </cell>
          <cell r="C200" t="str">
            <v>CRM</v>
          </cell>
          <cell r="D200" t="str">
            <v>CRM</v>
          </cell>
          <cell r="E200" t="str">
            <v>C&amp;SI</v>
          </cell>
          <cell r="F200" t="str">
            <v>VERIZO N Y</v>
          </cell>
          <cell r="G200" t="str">
            <v>PCR#3 PHS II Retail MKTS</v>
          </cell>
          <cell r="H200" t="str">
            <v>CFT4CNK</v>
          </cell>
          <cell r="I200">
            <v>2</v>
          </cell>
          <cell r="J200" t="str">
            <v>William A Battino/New York/IBM</v>
          </cell>
          <cell r="K200" t="str">
            <v>Raj Mirchandani/Atlanta/IBM</v>
          </cell>
          <cell r="L200" t="str">
            <v>FP</v>
          </cell>
          <cell r="M200">
            <v>37697</v>
          </cell>
          <cell r="N200">
            <v>38352</v>
          </cell>
          <cell r="O200">
            <v>495472.42</v>
          </cell>
          <cell r="P200">
            <v>14399404</v>
          </cell>
          <cell r="Q200">
            <v>495472.42</v>
          </cell>
          <cell r="R200">
            <v>0.47325979603044682</v>
          </cell>
          <cell r="S200">
            <v>0.46826832342625785</v>
          </cell>
          <cell r="T200" t="str">
            <v/>
          </cell>
          <cell r="U200" t="str">
            <v>Y</v>
          </cell>
          <cell r="V200" t="str">
            <v/>
          </cell>
          <cell r="W200" t="str">
            <v/>
          </cell>
          <cell r="X200" t="str">
            <v>Y</v>
          </cell>
          <cell r="Y200" t="str">
            <v/>
          </cell>
          <cell r="Z200" t="str">
            <v/>
          </cell>
          <cell r="AA200" t="str">
            <v/>
          </cell>
          <cell r="AC200" t="str">
            <v>Y</v>
          </cell>
          <cell r="AD200" t="str">
            <v/>
          </cell>
          <cell r="AE200" t="str">
            <v>Giblin</v>
          </cell>
          <cell r="AF200" t="str">
            <v/>
          </cell>
          <cell r="AG200" t="str">
            <v/>
          </cell>
          <cell r="AH200" t="str">
            <v/>
          </cell>
          <cell r="AI200" t="str">
            <v>L</v>
          </cell>
          <cell r="AJ200" t="str">
            <v>*CLOSING*</v>
          </cell>
          <cell r="AK200" t="str">
            <v/>
          </cell>
          <cell r="AL200" t="str">
            <v>N/A</v>
          </cell>
          <cell r="AM200" t="str">
            <v/>
          </cell>
          <cell r="AN200" t="str">
            <v/>
          </cell>
          <cell r="AO200" t="str">
            <v/>
          </cell>
          <cell r="AP200" t="str">
            <v/>
          </cell>
          <cell r="AQ200" t="str">
            <v/>
          </cell>
          <cell r="AR200" t="str">
            <v/>
          </cell>
          <cell r="AS200" t="str">
            <v/>
          </cell>
          <cell r="AU200" t="str">
            <v>CUSTOMER RELATIONSHIP MANAGEMENT</v>
          </cell>
          <cell r="AV200" t="str">
            <v>O</v>
          </cell>
          <cell r="AW200">
            <v>66164.7</v>
          </cell>
          <cell r="AX200">
            <v>324</v>
          </cell>
          <cell r="AY200">
            <v>4.8968709901201094E-3</v>
          </cell>
          <cell r="AZ200">
            <v>14399404</v>
          </cell>
          <cell r="BA200">
            <v>7584745</v>
          </cell>
          <cell r="BB200">
            <v>6814659</v>
          </cell>
          <cell r="BC200">
            <v>537989</v>
          </cell>
          <cell r="BD200">
            <v>7.0930400428755355E-2</v>
          </cell>
          <cell r="BE200">
            <v>13903931.58</v>
          </cell>
          <cell r="BF200">
            <v>7393160.8499999996</v>
          </cell>
          <cell r="BG200">
            <v>6510770.7300000004</v>
          </cell>
          <cell r="BH200">
            <v>-303888.27</v>
          </cell>
          <cell r="BI200">
            <v>-4.9914726041889734E-3</v>
          </cell>
          <cell r="BJ200">
            <v>216009.9</v>
          </cell>
          <cell r="BK200">
            <v>46106.1</v>
          </cell>
          <cell r="BL200">
            <v>169903.8</v>
          </cell>
          <cell r="BM200">
            <v>0.78655561620092407</v>
          </cell>
          <cell r="BN200">
            <v>0.31329582017047725</v>
          </cell>
          <cell r="BO200" t="str">
            <v>ISU</v>
          </cell>
          <cell r="BP200" t="str">
            <v>O</v>
          </cell>
          <cell r="BQ200" t="str">
            <v>FX</v>
          </cell>
          <cell r="BR200">
            <v>6464826</v>
          </cell>
          <cell r="BS200" t="str">
            <v>6Y9</v>
          </cell>
          <cell r="BT200">
            <v>899000</v>
          </cell>
          <cell r="BW200" t="str">
            <v/>
          </cell>
          <cell r="BX200" t="str">
            <v>Rated</v>
          </cell>
          <cell r="BY200" t="str">
            <v>Over</v>
          </cell>
          <cell r="BZ200" t="str">
            <v>Other</v>
          </cell>
          <cell r="CA200" t="str">
            <v/>
          </cell>
          <cell r="CG200">
            <v>13903931.58</v>
          </cell>
          <cell r="CH200">
            <v>7393160.8499999996</v>
          </cell>
          <cell r="CI200">
            <v>6510770.7300000004</v>
          </cell>
          <cell r="CJ200">
            <v>0.46826832342625785</v>
          </cell>
          <cell r="CK200">
            <v>-4.9914726041889734E-3</v>
          </cell>
          <cell r="CL200" t="str">
            <v/>
          </cell>
          <cell r="CM200" t="str">
            <v/>
          </cell>
          <cell r="CN200" t="str">
            <v/>
          </cell>
          <cell r="CO200" t="str">
            <v/>
          </cell>
          <cell r="CP200" t="str">
            <v/>
          </cell>
          <cell r="CQ200" t="str">
            <v/>
          </cell>
          <cell r="CR200" t="str">
            <v/>
          </cell>
          <cell r="CS200">
            <v>37681</v>
          </cell>
          <cell r="CT200" t="str">
            <v/>
          </cell>
          <cell r="CV200" t="str">
            <v/>
          </cell>
          <cell r="CW200" t="str">
            <v>CUSTOMER RELATIONSHIP MANAGEMENT</v>
          </cell>
        </row>
        <row r="201">
          <cell r="A201" t="str">
            <v>CFT1GKM</v>
          </cell>
          <cell r="B201" t="str">
            <v>TEL</v>
          </cell>
          <cell r="C201" t="str">
            <v>SCS</v>
          </cell>
          <cell r="D201" t="str">
            <v>SCS</v>
          </cell>
          <cell r="E201" t="str">
            <v>C&amp;SI</v>
          </cell>
          <cell r="F201" t="str">
            <v>VERIZO N Y</v>
          </cell>
          <cell r="G201" t="str">
            <v>Retail Mrks 2005</v>
          </cell>
          <cell r="H201" t="str">
            <v>CFT1GKM</v>
          </cell>
          <cell r="I201">
            <v>1</v>
          </cell>
          <cell r="J201" t="str">
            <v>William A Battino/New York/IBM</v>
          </cell>
          <cell r="K201" t="str">
            <v>Raj Mirchandani/Atlanta/IBM</v>
          </cell>
          <cell r="L201" t="str">
            <v>FP</v>
          </cell>
          <cell r="M201">
            <v>38355</v>
          </cell>
          <cell r="N201">
            <v>38748</v>
          </cell>
          <cell r="O201">
            <v>1035000</v>
          </cell>
          <cell r="P201">
            <v>12320000</v>
          </cell>
          <cell r="Q201">
            <v>1035000</v>
          </cell>
          <cell r="R201">
            <v>0.4725380681818182</v>
          </cell>
          <cell r="S201">
            <v>0.48204122463447052</v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C201" t="str">
            <v/>
          </cell>
          <cell r="AD201" t="str">
            <v>Y</v>
          </cell>
          <cell r="AE201" t="str">
            <v>Giblin</v>
          </cell>
          <cell r="AF201" t="str">
            <v/>
          </cell>
          <cell r="AG201" t="str">
            <v/>
          </cell>
          <cell r="AH201" t="str">
            <v/>
          </cell>
          <cell r="AI201" t="str">
            <v>M</v>
          </cell>
          <cell r="AJ201" t="str">
            <v>*CLOSING*</v>
          </cell>
          <cell r="AK201">
            <v>38412</v>
          </cell>
          <cell r="AL201" t="str">
            <v>N/A</v>
          </cell>
          <cell r="AM201" t="str">
            <v>G</v>
          </cell>
          <cell r="AN201" t="str">
            <v>G</v>
          </cell>
          <cell r="AO201" t="str">
            <v>G</v>
          </cell>
          <cell r="AP201" t="str">
            <v>G</v>
          </cell>
          <cell r="AQ201" t="str">
            <v>G</v>
          </cell>
          <cell r="AR201" t="str">
            <v>G</v>
          </cell>
          <cell r="AS201" t="str">
            <v>G</v>
          </cell>
          <cell r="AU201" t="str">
            <v>STRATEGY AND CHANGE</v>
          </cell>
          <cell r="AV201" t="str">
            <v>O</v>
          </cell>
          <cell r="AW201">
            <v>54518.8</v>
          </cell>
          <cell r="AX201">
            <v>56.1</v>
          </cell>
          <cell r="AY201">
            <v>1.0290028393875139E-3</v>
          </cell>
          <cell r="AZ201">
            <v>12320000</v>
          </cell>
          <cell r="BA201">
            <v>6498331</v>
          </cell>
          <cell r="BB201">
            <v>5821669</v>
          </cell>
          <cell r="BC201">
            <v>649833</v>
          </cell>
          <cell r="BD201">
            <v>9.9999984611433307E-2</v>
          </cell>
          <cell r="BE201">
            <v>11285000</v>
          </cell>
          <cell r="BF201">
            <v>5845164.7800000003</v>
          </cell>
          <cell r="BG201">
            <v>5439835.2199999997</v>
          </cell>
          <cell r="BH201">
            <v>-381833.78</v>
          </cell>
          <cell r="BI201">
            <v>9.5031564526523171E-3</v>
          </cell>
          <cell r="BJ201">
            <v>11285000.000000002</v>
          </cell>
          <cell r="BK201">
            <v>5845164.7800000003</v>
          </cell>
          <cell r="BL201">
            <v>5439835.2200000016</v>
          </cell>
          <cell r="BM201">
            <v>0.48204122463447058</v>
          </cell>
          <cell r="BN201">
            <v>9.5031564526523726E-3</v>
          </cell>
          <cell r="BO201" t="str">
            <v>ISU</v>
          </cell>
          <cell r="BP201" t="str">
            <v>O</v>
          </cell>
          <cell r="BQ201" t="str">
            <v>FX</v>
          </cell>
          <cell r="BR201">
            <v>6464826</v>
          </cell>
          <cell r="BS201" t="str">
            <v>6Y9</v>
          </cell>
          <cell r="BT201">
            <v>899000</v>
          </cell>
          <cell r="BW201" t="str">
            <v/>
          </cell>
          <cell r="BX201" t="str">
            <v>Rated</v>
          </cell>
          <cell r="BY201" t="str">
            <v>Over</v>
          </cell>
          <cell r="BZ201" t="str">
            <v>Other</v>
          </cell>
          <cell r="CA201" t="str">
            <v/>
          </cell>
          <cell r="CG201">
            <v>12320000</v>
          </cell>
          <cell r="CH201">
            <v>5672402.3200000003</v>
          </cell>
          <cell r="CI201">
            <v>6647597.6799999997</v>
          </cell>
          <cell r="CJ201">
            <v>0.53957773376623375</v>
          </cell>
          <cell r="CK201">
            <v>6.7039665584415542E-2</v>
          </cell>
          <cell r="CL201" t="str">
            <v>Client ran out of money….only one body left on site through Jan 06</v>
          </cell>
          <cell r="CM201" t="str">
            <v/>
          </cell>
          <cell r="CN201" t="str">
            <v/>
          </cell>
          <cell r="CO201" t="str">
            <v/>
          </cell>
          <cell r="CP201" t="str">
            <v/>
          </cell>
          <cell r="CQ201" t="str">
            <v/>
          </cell>
          <cell r="CR201" t="str">
            <v/>
          </cell>
          <cell r="CS201">
            <v>38353</v>
          </cell>
          <cell r="CT201" t="str">
            <v/>
          </cell>
          <cell r="CV201" t="str">
            <v/>
          </cell>
          <cell r="CW201" t="str">
            <v>STRATEGY AND CHANGE</v>
          </cell>
        </row>
        <row r="202">
          <cell r="A202" t="str">
            <v>CFT98VM</v>
          </cell>
          <cell r="B202" t="str">
            <v>TEL</v>
          </cell>
          <cell r="C202" t="str">
            <v>SCM</v>
          </cell>
          <cell r="D202" t="str">
            <v>SCM</v>
          </cell>
          <cell r="E202" t="str">
            <v>C&amp;SI</v>
          </cell>
          <cell r="F202" t="str">
            <v>VERIZON SERVICE</v>
          </cell>
          <cell r="G202" t="str">
            <v>NS SAP SC Real. &amp; Impl.  ...</v>
          </cell>
          <cell r="H202" t="str">
            <v>CFT98VM</v>
          </cell>
          <cell r="I202">
            <v>1</v>
          </cell>
          <cell r="J202" t="str">
            <v>Grant Norris/Wayne/IBM</v>
          </cell>
          <cell r="K202" t="str">
            <v>Grant Norris/Wayne/IBM</v>
          </cell>
          <cell r="L202" t="str">
            <v>FP</v>
          </cell>
          <cell r="M202">
            <v>38412</v>
          </cell>
          <cell r="N202">
            <v>39082</v>
          </cell>
          <cell r="O202">
            <v>4925935.2</v>
          </cell>
          <cell r="P202">
            <v>15571678</v>
          </cell>
          <cell r="Q202">
            <v>4925935.2</v>
          </cell>
          <cell r="R202">
            <v>0.40374653264728438</v>
          </cell>
          <cell r="S202">
            <v>0.36558071645315349</v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>Y</v>
          </cell>
          <cell r="Y202" t="str">
            <v/>
          </cell>
          <cell r="Z202" t="str">
            <v/>
          </cell>
          <cell r="AA202" t="str">
            <v/>
          </cell>
          <cell r="AC202" t="str">
            <v>Y</v>
          </cell>
          <cell r="AD202" t="str">
            <v>Y</v>
          </cell>
          <cell r="AE202" t="str">
            <v>Giblin</v>
          </cell>
          <cell r="AF202" t="str">
            <v>Y</v>
          </cell>
          <cell r="AG202" t="str">
            <v>Christiaan Bezuidenhout</v>
          </cell>
          <cell r="AH202" t="str">
            <v>Bill Hicks</v>
          </cell>
          <cell r="AI202" t="str">
            <v>M</v>
          </cell>
          <cell r="AJ202" t="str">
            <v>D</v>
          </cell>
          <cell r="AK202">
            <v>38565</v>
          </cell>
          <cell r="AL202">
            <v>38718</v>
          </cell>
          <cell r="AM202" t="str">
            <v>G</v>
          </cell>
          <cell r="AN202" t="str">
            <v>G</v>
          </cell>
          <cell r="AO202" t="str">
            <v>Y</v>
          </cell>
          <cell r="AP202" t="str">
            <v>Y</v>
          </cell>
          <cell r="AQ202" t="str">
            <v>Y</v>
          </cell>
          <cell r="AR202" t="str">
            <v>G</v>
          </cell>
          <cell r="AS202" t="str">
            <v>R</v>
          </cell>
          <cell r="AU202" t="str">
            <v>SUPPLY CHAIN MANAGEMENT</v>
          </cell>
          <cell r="AV202" t="str">
            <v>O</v>
          </cell>
          <cell r="AW202">
            <v>92823.6</v>
          </cell>
          <cell r="AX202">
            <v>321.5</v>
          </cell>
          <cell r="AY202">
            <v>3.4635588363304158E-3</v>
          </cell>
          <cell r="AZ202">
            <v>15571678</v>
          </cell>
          <cell r="BA202">
            <v>9284667</v>
          </cell>
          <cell r="BB202">
            <v>6287011</v>
          </cell>
          <cell r="BC202">
            <v>928466</v>
          </cell>
          <cell r="BD202">
            <v>9.9999924606881438E-2</v>
          </cell>
          <cell r="BE202">
            <v>10645742.800000001</v>
          </cell>
          <cell r="BF202">
            <v>6753864.5200000005</v>
          </cell>
          <cell r="BG202">
            <v>3891878.28</v>
          </cell>
          <cell r="BH202">
            <v>-2395132.7200000002</v>
          </cell>
          <cell r="BI202">
            <v>-3.8165816194130897E-2</v>
          </cell>
          <cell r="BJ202">
            <v>10645742.799999999</v>
          </cell>
          <cell r="BK202">
            <v>6753864.5200000005</v>
          </cell>
          <cell r="BL202">
            <v>3891878.28</v>
          </cell>
          <cell r="BM202">
            <v>0.36558071645315338</v>
          </cell>
          <cell r="BN202">
            <v>-3.8165816194131008E-2</v>
          </cell>
          <cell r="BO202" t="str">
            <v>ISU</v>
          </cell>
          <cell r="BP202" t="str">
            <v>O</v>
          </cell>
          <cell r="BQ202" t="str">
            <v>FX</v>
          </cell>
          <cell r="BR202">
            <v>9439343</v>
          </cell>
          <cell r="BS202" t="str">
            <v>6Y9</v>
          </cell>
          <cell r="BT202">
            <v>899000</v>
          </cell>
          <cell r="BW202" t="str">
            <v/>
          </cell>
          <cell r="BX202" t="str">
            <v>Rated</v>
          </cell>
          <cell r="BY202" t="str">
            <v>Over</v>
          </cell>
          <cell r="BZ202" t="str">
            <v>D</v>
          </cell>
          <cell r="CA202" t="str">
            <v>M</v>
          </cell>
          <cell r="CG202">
            <v>15571678</v>
          </cell>
          <cell r="CH202">
            <v>10002659.98</v>
          </cell>
          <cell r="CI202">
            <v>5569018.0199999996</v>
          </cell>
          <cell r="CJ202">
            <v>0.35763763031832535</v>
          </cell>
          <cell r="CK202">
            <v>-4.6108902328959034E-2</v>
          </cell>
          <cell r="CL202" t="str">
            <v/>
          </cell>
          <cell r="CM202" t="str">
            <v/>
          </cell>
          <cell r="CN202" t="str">
            <v/>
          </cell>
          <cell r="CO202" t="str">
            <v/>
          </cell>
          <cell r="CP202" t="str">
            <v/>
          </cell>
          <cell r="CQ202" t="str">
            <v/>
          </cell>
          <cell r="CR202" t="str">
            <v/>
          </cell>
          <cell r="CS202">
            <v>38412</v>
          </cell>
          <cell r="CT202" t="str">
            <v/>
          </cell>
          <cell r="CV202" t="str">
            <v/>
          </cell>
          <cell r="CW202" t="str">
            <v>SUPPLY CHAIN MANAGEMENT</v>
          </cell>
        </row>
        <row r="203">
          <cell r="A203" t="str">
            <v>CFT8GRM</v>
          </cell>
          <cell r="B203" t="str">
            <v>TEL</v>
          </cell>
          <cell r="C203" t="str">
            <v>CRM</v>
          </cell>
          <cell r="D203" t="str">
            <v>CRM</v>
          </cell>
          <cell r="E203" t="str">
            <v>C&amp;SI</v>
          </cell>
          <cell r="F203" t="str">
            <v>VERIZON SERVICE</v>
          </cell>
          <cell r="G203" t="str">
            <v>BCS-VERIZON P630 NDB Sin ...</v>
          </cell>
          <cell r="H203" t="str">
            <v>CFT8GRM</v>
          </cell>
          <cell r="I203">
            <v>2</v>
          </cell>
          <cell r="J203" t="str">
            <v>Kenneth Misyak/Piscataway/IBM</v>
          </cell>
          <cell r="K203" t="str">
            <v>Maria Manansala/Piscataway/IBM</v>
          </cell>
          <cell r="L203" t="str">
            <v>FP</v>
          </cell>
          <cell r="M203">
            <v>38406</v>
          </cell>
          <cell r="N203">
            <v>38717</v>
          </cell>
          <cell r="O203">
            <v>0</v>
          </cell>
          <cell r="P203">
            <v>271000</v>
          </cell>
          <cell r="Q203">
            <v>0</v>
          </cell>
          <cell r="R203">
            <v>0.42857564575645757</v>
          </cell>
          <cell r="S203">
            <v>0.42911380073800737</v>
          </cell>
          <cell r="T203" t="str">
            <v/>
          </cell>
          <cell r="U203" t="str">
            <v>Y</v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C203" t="str">
            <v/>
          </cell>
          <cell r="AD203" t="str">
            <v/>
          </cell>
          <cell r="AE203" t="str">
            <v/>
          </cell>
          <cell r="AF203" t="str">
            <v/>
          </cell>
          <cell r="AG203" t="str">
            <v/>
          </cell>
          <cell r="AH203" t="str">
            <v/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O203" t="str">
            <v/>
          </cell>
          <cell r="AP203" t="str">
            <v/>
          </cell>
          <cell r="AQ203" t="str">
            <v/>
          </cell>
          <cell r="AR203" t="str">
            <v/>
          </cell>
          <cell r="AS203" t="str">
            <v/>
          </cell>
          <cell r="AU203" t="str">
            <v>CUSTOMER RELATIONSHIP MANAGEMENT</v>
          </cell>
          <cell r="AV203" t="str">
            <v>O</v>
          </cell>
          <cell r="AW203">
            <v>950</v>
          </cell>
          <cell r="AX203">
            <v>0</v>
          </cell>
          <cell r="AY203">
            <v>0</v>
          </cell>
          <cell r="AZ203">
            <v>271000</v>
          </cell>
          <cell r="BA203">
            <v>154856</v>
          </cell>
          <cell r="BB203">
            <v>116144</v>
          </cell>
          <cell r="BC203">
            <v>9022</v>
          </cell>
          <cell r="BD203">
            <v>5.8260577568838144E-2</v>
          </cell>
          <cell r="BE203">
            <v>271000</v>
          </cell>
          <cell r="BF203">
            <v>154710.16</v>
          </cell>
          <cell r="BG203">
            <v>116289.84</v>
          </cell>
          <cell r="BH203">
            <v>145.83999999999651</v>
          </cell>
          <cell r="BI203">
            <v>5.3815498154979879E-4</v>
          </cell>
          <cell r="BJ203">
            <v>271000</v>
          </cell>
          <cell r="BK203">
            <v>154710.16</v>
          </cell>
          <cell r="BL203">
            <v>116289.84</v>
          </cell>
          <cell r="BM203">
            <v>0.42911380073800737</v>
          </cell>
          <cell r="BN203">
            <v>5.3815498154979879E-4</v>
          </cell>
          <cell r="BO203" t="str">
            <v>ISU</v>
          </cell>
          <cell r="BP203" t="str">
            <v>O</v>
          </cell>
          <cell r="BQ203" t="str">
            <v>FX</v>
          </cell>
          <cell r="BR203">
            <v>9434647</v>
          </cell>
          <cell r="BS203" t="str">
            <v>6Y9</v>
          </cell>
          <cell r="BT203">
            <v>899000</v>
          </cell>
          <cell r="BW203" t="str">
            <v/>
          </cell>
          <cell r="BX203" t="str">
            <v>Unrated</v>
          </cell>
          <cell r="BY203" t="str">
            <v>Under</v>
          </cell>
          <cell r="BZ203" t="str">
            <v/>
          </cell>
          <cell r="CA203" t="str">
            <v/>
          </cell>
          <cell r="CG203">
            <v>271000</v>
          </cell>
          <cell r="CH203">
            <v>154710.16</v>
          </cell>
          <cell r="CI203">
            <v>116289.84</v>
          </cell>
          <cell r="CJ203">
            <v>0.42911380073800737</v>
          </cell>
          <cell r="CK203">
            <v>5.3815498154979879E-4</v>
          </cell>
          <cell r="CL203" t="str">
            <v/>
          </cell>
          <cell r="CM203" t="str">
            <v/>
          </cell>
          <cell r="CN203" t="str">
            <v/>
          </cell>
          <cell r="CO203" t="str">
            <v/>
          </cell>
          <cell r="CP203" t="str">
            <v/>
          </cell>
          <cell r="CQ203" t="str">
            <v/>
          </cell>
          <cell r="CR203" t="str">
            <v/>
          </cell>
          <cell r="CS203">
            <v>38384</v>
          </cell>
          <cell r="CT203" t="str">
            <v/>
          </cell>
          <cell r="CV203" t="str">
            <v/>
          </cell>
          <cell r="CW203" t="str">
            <v>CUSTOMER RELATIONSHIP MANAGEMENT</v>
          </cell>
        </row>
        <row r="204">
          <cell r="A204" t="str">
            <v>CFT4CHN</v>
          </cell>
          <cell r="B204" t="str">
            <v>TEL</v>
          </cell>
          <cell r="C204" t="str">
            <v>SCM</v>
          </cell>
          <cell r="D204" t="str">
            <v>SCM</v>
          </cell>
          <cell r="E204" t="str">
            <v>C&amp;SI</v>
          </cell>
          <cell r="F204" t="str">
            <v>VERIZON SVCS</v>
          </cell>
          <cell r="G204" t="str">
            <v>Provide Merger Integration</v>
          </cell>
          <cell r="H204" t="str">
            <v>CFT4CHN</v>
          </cell>
          <cell r="I204">
            <v>1</v>
          </cell>
          <cell r="J204">
            <v>0</v>
          </cell>
          <cell r="K204" t="str">
            <v>Chet Hirsch/Atlanta/IBM</v>
          </cell>
          <cell r="L204" t="str">
            <v>FP</v>
          </cell>
          <cell r="M204">
            <v>38684</v>
          </cell>
          <cell r="N204">
            <v>38744</v>
          </cell>
          <cell r="O204">
            <v>49000</v>
          </cell>
          <cell r="P204">
            <v>98000</v>
          </cell>
          <cell r="Q204">
            <v>49000</v>
          </cell>
          <cell r="R204">
            <v>0.42271428571428571</v>
          </cell>
          <cell r="S204">
            <v>0.42036000000000001</v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>Y</v>
          </cell>
          <cell r="Y204" t="str">
            <v/>
          </cell>
          <cell r="Z204" t="str">
            <v/>
          </cell>
          <cell r="AA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 t="str">
            <v/>
          </cell>
          <cell r="AG204" t="str">
            <v/>
          </cell>
          <cell r="AH204" t="str">
            <v/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O204" t="str">
            <v/>
          </cell>
          <cell r="AP204" t="str">
            <v/>
          </cell>
          <cell r="AQ204" t="str">
            <v/>
          </cell>
          <cell r="AR204" t="str">
            <v/>
          </cell>
          <cell r="AS204" t="str">
            <v/>
          </cell>
          <cell r="AU204" t="str">
            <v>SUPPLY CHAIN MANAGEMENT</v>
          </cell>
          <cell r="AV204" t="str">
            <v>O</v>
          </cell>
          <cell r="AW204">
            <v>150</v>
          </cell>
          <cell r="AX204">
            <v>0</v>
          </cell>
          <cell r="AY204">
            <v>0</v>
          </cell>
          <cell r="AZ204">
            <v>98000</v>
          </cell>
          <cell r="BA204">
            <v>56574</v>
          </cell>
          <cell r="BB204">
            <v>41426</v>
          </cell>
          <cell r="BC204">
            <v>5657</v>
          </cell>
          <cell r="BD204">
            <v>9.9992929614310458E-2</v>
          </cell>
          <cell r="BE204">
            <v>49000</v>
          </cell>
          <cell r="BF204">
            <v>28402.36</v>
          </cell>
          <cell r="BG204">
            <v>20597.64</v>
          </cell>
          <cell r="BH204">
            <v>-20828.36</v>
          </cell>
          <cell r="BI204">
            <v>-2.3542857142856977E-3</v>
          </cell>
          <cell r="BJ204">
            <v>49000</v>
          </cell>
          <cell r="BK204">
            <v>28402.36</v>
          </cell>
          <cell r="BL204">
            <v>20597.64</v>
          </cell>
          <cell r="BM204">
            <v>0.42036000000000001</v>
          </cell>
          <cell r="BN204">
            <v>-2.3542857142856977E-3</v>
          </cell>
          <cell r="BO204" t="str">
            <v>ISU</v>
          </cell>
          <cell r="BP204" t="str">
            <v>O</v>
          </cell>
          <cell r="BQ204" t="str">
            <v>FX</v>
          </cell>
          <cell r="BR204">
            <v>9447522</v>
          </cell>
          <cell r="BS204" t="str">
            <v>6Y6</v>
          </cell>
          <cell r="BT204">
            <v>899000</v>
          </cell>
          <cell r="BW204" t="str">
            <v/>
          </cell>
          <cell r="BX204" t="str">
            <v>Unrated</v>
          </cell>
          <cell r="BY204" t="str">
            <v>Under</v>
          </cell>
          <cell r="BZ204" t="str">
            <v/>
          </cell>
          <cell r="CA204" t="str">
            <v/>
          </cell>
          <cell r="CG204">
            <v>98000</v>
          </cell>
          <cell r="CH204">
            <v>18858</v>
          </cell>
          <cell r="CI204">
            <v>79142</v>
          </cell>
          <cell r="CJ204">
            <v>0.80757142857142861</v>
          </cell>
          <cell r="CK204">
            <v>0.3848571428571429</v>
          </cell>
          <cell r="CM204" t="e">
            <v>#N/A</v>
          </cell>
          <cell r="CN204" t="str">
            <v/>
          </cell>
          <cell r="CO204" t="str">
            <v/>
          </cell>
          <cell r="CP204" t="str">
            <v/>
          </cell>
          <cell r="CQ204" t="str">
            <v/>
          </cell>
          <cell r="CR204" t="str">
            <v/>
          </cell>
          <cell r="CS204">
            <v>38657</v>
          </cell>
          <cell r="CT204" t="str">
            <v/>
          </cell>
          <cell r="CU204" t="str">
            <v/>
          </cell>
          <cell r="CV204" t="str">
            <v/>
          </cell>
          <cell r="CW204" t="str">
            <v>SUPPLY CHAIN MANAGEMENT</v>
          </cell>
        </row>
        <row r="205">
          <cell r="A205" t="str">
            <v>CFTLHGL</v>
          </cell>
          <cell r="B205" t="str">
            <v>MED</v>
          </cell>
          <cell r="C205" t="str">
            <v>HCM</v>
          </cell>
          <cell r="D205" t="str">
            <v>HCM</v>
          </cell>
          <cell r="E205" t="str">
            <v>C&amp;SI</v>
          </cell>
          <cell r="F205" t="str">
            <v>WA POST</v>
          </cell>
          <cell r="G205" t="str">
            <v>PEOPLE SOFT HR HOSTING</v>
          </cell>
          <cell r="H205" t="str">
            <v>CFTLHGL</v>
          </cell>
          <cell r="I205">
            <v>2</v>
          </cell>
          <cell r="J205" t="str">
            <v>Thomas R Crane/Baltimore/IBM</v>
          </cell>
          <cell r="K205" t="str">
            <v>Steve P Cao/Fairfax/IBM</v>
          </cell>
          <cell r="L205" t="str">
            <v>FP</v>
          </cell>
          <cell r="M205">
            <v>37895</v>
          </cell>
          <cell r="N205">
            <v>39813</v>
          </cell>
          <cell r="O205">
            <v>2446597.66</v>
          </cell>
          <cell r="P205">
            <v>4388145</v>
          </cell>
          <cell r="Q205">
            <v>2446597.66</v>
          </cell>
          <cell r="R205">
            <v>0.26896034657013385</v>
          </cell>
          <cell r="S205">
            <v>-0.13991496596729905</v>
          </cell>
          <cell r="T205" t="str">
            <v/>
          </cell>
          <cell r="U205" t="str">
            <v/>
          </cell>
          <cell r="V205" t="str">
            <v>Y</v>
          </cell>
          <cell r="W205" t="str">
            <v/>
          </cell>
          <cell r="X205" t="str">
            <v>Y</v>
          </cell>
          <cell r="Y205" t="str">
            <v>Y</v>
          </cell>
          <cell r="Z205" t="str">
            <v/>
          </cell>
          <cell r="AA205" t="str">
            <v/>
          </cell>
          <cell r="AC205" t="str">
            <v>Y</v>
          </cell>
          <cell r="AD205" t="str">
            <v>Y</v>
          </cell>
          <cell r="AE205" t="str">
            <v>Sills</v>
          </cell>
          <cell r="AF205" t="str">
            <v>Y</v>
          </cell>
          <cell r="AG205" t="str">
            <v>Lisa Strang</v>
          </cell>
          <cell r="AH205" t="str">
            <v>David Pauley</v>
          </cell>
          <cell r="AI205" t="str">
            <v>L</v>
          </cell>
          <cell r="AJ205" t="str">
            <v>D</v>
          </cell>
          <cell r="AK205">
            <v>38626</v>
          </cell>
          <cell r="AL205">
            <v>38749</v>
          </cell>
          <cell r="AM205" t="str">
            <v>Y</v>
          </cell>
          <cell r="AN205" t="str">
            <v>Y</v>
          </cell>
          <cell r="AO205" t="str">
            <v>Y</v>
          </cell>
          <cell r="AP205" t="str">
            <v>Y</v>
          </cell>
          <cell r="AQ205" t="str">
            <v>Y</v>
          </cell>
          <cell r="AR205" t="str">
            <v>Y</v>
          </cell>
          <cell r="AS205" t="str">
            <v>R</v>
          </cell>
          <cell r="AU205" t="str">
            <v>HUMAN CAPITAL MANAGEMENT</v>
          </cell>
          <cell r="AV205" t="str">
            <v>O</v>
          </cell>
          <cell r="AW205">
            <v>30048.6</v>
          </cell>
          <cell r="AX205">
            <v>590</v>
          </cell>
          <cell r="AY205">
            <v>1.9634858196388518E-2</v>
          </cell>
          <cell r="AZ205">
            <v>4388145</v>
          </cell>
          <cell r="BA205">
            <v>3207908</v>
          </cell>
          <cell r="BB205">
            <v>1180237</v>
          </cell>
          <cell r="BC205">
            <v>124994</v>
          </cell>
          <cell r="BD205">
            <v>3.8964334388642066E-2</v>
          </cell>
          <cell r="BE205">
            <v>1941547.34</v>
          </cell>
          <cell r="BF205">
            <v>2213198.87</v>
          </cell>
          <cell r="BG205">
            <v>-271651.53000000003</v>
          </cell>
          <cell r="BH205">
            <v>-1451888.53</v>
          </cell>
          <cell r="BI205">
            <v>-0.40887531253743292</v>
          </cell>
          <cell r="BJ205">
            <v>791317.34</v>
          </cell>
          <cell r="BK205">
            <v>782504.29</v>
          </cell>
          <cell r="BL205">
            <v>8813.0499999999302</v>
          </cell>
          <cell r="BM205">
            <v>1.1137188021179885E-2</v>
          </cell>
          <cell r="BN205">
            <v>-0.25782315854895393</v>
          </cell>
          <cell r="BO205" t="str">
            <v>ISU</v>
          </cell>
          <cell r="BP205" t="str">
            <v>O</v>
          </cell>
          <cell r="BQ205" t="str">
            <v>FY</v>
          </cell>
          <cell r="BR205">
            <v>9529000</v>
          </cell>
          <cell r="BS205" t="str">
            <v>6YR</v>
          </cell>
          <cell r="BT205">
            <v>6506400</v>
          </cell>
          <cell r="BW205" t="str">
            <v/>
          </cell>
          <cell r="BX205" t="str">
            <v>Rated</v>
          </cell>
          <cell r="BY205" t="str">
            <v>Over</v>
          </cell>
          <cell r="BZ205" t="str">
            <v>D</v>
          </cell>
          <cell r="CA205" t="str">
            <v>L</v>
          </cell>
          <cell r="CG205">
            <v>4388145</v>
          </cell>
          <cell r="CH205">
            <v>4364058.88</v>
          </cell>
          <cell r="CI205">
            <v>24086.12</v>
          </cell>
          <cell r="CJ205">
            <v>5.4889070438647759E-3</v>
          </cell>
          <cell r="CK205">
            <v>-0.26347143952626906</v>
          </cell>
          <cell r="CL205" t="str">
            <v>David Pauley is sending in Ascendent info….LT to ck w/ ISV RM regarding attending HR /WL calls</v>
          </cell>
          <cell r="CM205" t="str">
            <v/>
          </cell>
          <cell r="CN205" t="str">
            <v/>
          </cell>
          <cell r="CO205" t="str">
            <v/>
          </cell>
          <cell r="CP205" t="str">
            <v/>
          </cell>
          <cell r="CQ205" t="str">
            <v/>
          </cell>
          <cell r="CR205" t="str">
            <v/>
          </cell>
          <cell r="CS205">
            <v>37895</v>
          </cell>
          <cell r="CT205" t="str">
            <v/>
          </cell>
          <cell r="CV205" t="str">
            <v/>
          </cell>
          <cell r="CW205" t="str">
            <v>HUMAN CAPITAL MANAGEMENT</v>
          </cell>
        </row>
        <row r="206">
          <cell r="A206" t="str">
            <v>CFTTVSK</v>
          </cell>
          <cell r="B206" t="str">
            <v>MED</v>
          </cell>
          <cell r="C206" t="str">
            <v>SCM</v>
          </cell>
          <cell r="D206" t="str">
            <v>SCM</v>
          </cell>
          <cell r="E206" t="str">
            <v>C&amp;SI</v>
          </cell>
          <cell r="F206" t="str">
            <v>WA POST</v>
          </cell>
          <cell r="G206" t="str">
            <v>CWBDQ-06-Lev'geProcSrvcs</v>
          </cell>
          <cell r="H206" t="str">
            <v>CFTTVSK</v>
          </cell>
          <cell r="I206">
            <v>1</v>
          </cell>
          <cell r="J206" t="str">
            <v>Thomas R Crane/Baltimore/IBM</v>
          </cell>
          <cell r="K206" t="str">
            <v>Thomas R Crane/Baltimore/IBM</v>
          </cell>
          <cell r="L206" t="str">
            <v>BE</v>
          </cell>
          <cell r="M206">
            <v>38138</v>
          </cell>
          <cell r="N206">
            <v>38747</v>
          </cell>
          <cell r="O206">
            <v>23402</v>
          </cell>
          <cell r="P206">
            <v>1023918</v>
          </cell>
          <cell r="Q206">
            <v>23402</v>
          </cell>
          <cell r="R206">
            <v>0.41778345531575772</v>
          </cell>
          <cell r="S206">
            <v>0.41239827249139438</v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>Y</v>
          </cell>
          <cell r="Y206" t="str">
            <v/>
          </cell>
          <cell r="Z206" t="str">
            <v/>
          </cell>
          <cell r="AA206" t="str">
            <v/>
          </cell>
          <cell r="AC206" t="str">
            <v/>
          </cell>
          <cell r="AD206" t="str">
            <v/>
          </cell>
          <cell r="AE206" t="str">
            <v>Sills</v>
          </cell>
          <cell r="AF206" t="str">
            <v/>
          </cell>
          <cell r="AG206" t="str">
            <v/>
          </cell>
          <cell r="AH206" t="str">
            <v/>
          </cell>
          <cell r="AI206" t="str">
            <v>L</v>
          </cell>
          <cell r="AJ206" t="str">
            <v>Waived</v>
          </cell>
          <cell r="AK206">
            <v>38322</v>
          </cell>
          <cell r="AL206" t="str">
            <v>N/A</v>
          </cell>
          <cell r="AM206" t="str">
            <v>G</v>
          </cell>
          <cell r="AN206" t="str">
            <v>G</v>
          </cell>
          <cell r="AO206" t="str">
            <v>G</v>
          </cell>
          <cell r="AP206" t="str">
            <v>G</v>
          </cell>
          <cell r="AQ206" t="str">
            <v>Y</v>
          </cell>
          <cell r="AR206" t="str">
            <v>Y</v>
          </cell>
          <cell r="AS206" t="str">
            <v>G</v>
          </cell>
          <cell r="AU206" t="str">
            <v>SUPPLY CHAIN MANAGEMENT</v>
          </cell>
          <cell r="AV206" t="str">
            <v>O</v>
          </cell>
          <cell r="AW206">
            <v>6919</v>
          </cell>
          <cell r="AX206">
            <v>2.5</v>
          </cell>
          <cell r="AY206">
            <v>3.6132389073565546E-4</v>
          </cell>
          <cell r="AZ206">
            <v>1023918</v>
          </cell>
          <cell r="BA206">
            <v>596142</v>
          </cell>
          <cell r="BB206">
            <v>427776</v>
          </cell>
          <cell r="BC206">
            <v>23846</v>
          </cell>
          <cell r="BD206">
            <v>4.0000536784859986E-2</v>
          </cell>
          <cell r="BE206">
            <v>1000516</v>
          </cell>
          <cell r="BF206">
            <v>587904.93000000005</v>
          </cell>
          <cell r="BG206">
            <v>412611.07</v>
          </cell>
          <cell r="BH206">
            <v>-15164.930000000051</v>
          </cell>
          <cell r="BI206">
            <v>-5.3851828243633437E-3</v>
          </cell>
          <cell r="BJ206">
            <v>732980</v>
          </cell>
          <cell r="BK206">
            <v>427171.12</v>
          </cell>
          <cell r="BL206">
            <v>305808.88</v>
          </cell>
          <cell r="BM206">
            <v>0.41721312996261833</v>
          </cell>
          <cell r="BN206">
            <v>-5.7032535313938926E-4</v>
          </cell>
          <cell r="BO206" t="str">
            <v>ISU</v>
          </cell>
          <cell r="BP206" t="str">
            <v>O</v>
          </cell>
          <cell r="BQ206" t="str">
            <v>FX</v>
          </cell>
          <cell r="BR206">
            <v>9520853</v>
          </cell>
          <cell r="BS206" t="str">
            <v>6YR</v>
          </cell>
          <cell r="BT206">
            <v>6506400</v>
          </cell>
          <cell r="BW206" t="str">
            <v/>
          </cell>
          <cell r="BX206" t="str">
            <v>Rated</v>
          </cell>
          <cell r="BY206" t="str">
            <v>Over</v>
          </cell>
          <cell r="BZ206" t="str">
            <v>Other</v>
          </cell>
          <cell r="CA206" t="str">
            <v/>
          </cell>
          <cell r="CG206">
            <v>907781</v>
          </cell>
          <cell r="CH206">
            <v>549249.93999999994</v>
          </cell>
          <cell r="CI206">
            <v>358531.06</v>
          </cell>
          <cell r="CJ206">
            <v>0.39495325414389593</v>
          </cell>
          <cell r="CK206">
            <v>-2.2830201171861797E-2</v>
          </cell>
          <cell r="CL206" t="str">
            <v>Was last rated B…waived due to backlog being approx $300K</v>
          </cell>
          <cell r="CM206" t="str">
            <v/>
          </cell>
          <cell r="CN206" t="str">
            <v/>
          </cell>
          <cell r="CO206" t="str">
            <v/>
          </cell>
          <cell r="CP206" t="str">
            <v/>
          </cell>
          <cell r="CQ206" t="str">
            <v/>
          </cell>
          <cell r="CR206" t="str">
            <v/>
          </cell>
          <cell r="CS206">
            <v>38108</v>
          </cell>
          <cell r="CT206" t="str">
            <v/>
          </cell>
          <cell r="CV206" t="str">
            <v/>
          </cell>
          <cell r="CW206" t="str">
            <v>SUPPLY CHAIN MANAGEMENT</v>
          </cell>
        </row>
        <row r="207">
          <cell r="A207" t="str">
            <v>CFT63WK</v>
          </cell>
          <cell r="B207" t="str">
            <v>MED</v>
          </cell>
          <cell r="C207" t="str">
            <v>AIS</v>
          </cell>
          <cell r="D207" t="str">
            <v>AIS</v>
          </cell>
          <cell r="E207" t="str">
            <v>C&amp;SI</v>
          </cell>
          <cell r="F207" t="str">
            <v>WARNER ENTERTAI</v>
          </cell>
          <cell r="G207" t="str">
            <v>CFI WAVE 2 EAI</v>
          </cell>
          <cell r="H207" t="str">
            <v>CFT63WK</v>
          </cell>
          <cell r="I207">
            <v>1</v>
          </cell>
          <cell r="J207" t="str">
            <v>Richard P Whittington/Irvine/IBM</v>
          </cell>
          <cell r="K207" t="str">
            <v>Anil Padmanabhan/Milwaukee/IBM</v>
          </cell>
          <cell r="L207" t="str">
            <v>BE</v>
          </cell>
          <cell r="M207">
            <v>37773</v>
          </cell>
          <cell r="N207">
            <v>38737</v>
          </cell>
          <cell r="O207">
            <v>511343.5</v>
          </cell>
          <cell r="P207">
            <v>4267639</v>
          </cell>
          <cell r="Q207">
            <v>511343.5</v>
          </cell>
          <cell r="R207">
            <v>0.25960279208246057</v>
          </cell>
          <cell r="S207">
            <v>0.25569978453505593</v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>Y</v>
          </cell>
          <cell r="Y207" t="str">
            <v/>
          </cell>
          <cell r="Z207" t="str">
            <v/>
          </cell>
          <cell r="AA207" t="str">
            <v/>
          </cell>
          <cell r="AC207" t="str">
            <v>Y</v>
          </cell>
          <cell r="AD207" t="str">
            <v>Y</v>
          </cell>
          <cell r="AE207" t="str">
            <v>Coleman</v>
          </cell>
          <cell r="AF207" t="str">
            <v/>
          </cell>
          <cell r="AG207" t="str">
            <v/>
          </cell>
          <cell r="AH207" t="str">
            <v/>
          </cell>
          <cell r="AI207" t="str">
            <v>L</v>
          </cell>
          <cell r="AJ207" t="str">
            <v>Waived</v>
          </cell>
          <cell r="AK207">
            <v>38443</v>
          </cell>
          <cell r="AL207" t="str">
            <v>N/A</v>
          </cell>
          <cell r="AM207" t="str">
            <v>G</v>
          </cell>
          <cell r="AN207" t="str">
            <v>G</v>
          </cell>
          <cell r="AO207" t="str">
            <v>G</v>
          </cell>
          <cell r="AP207" t="str">
            <v>G</v>
          </cell>
          <cell r="AQ207" t="str">
            <v>G</v>
          </cell>
          <cell r="AR207" t="str">
            <v>G</v>
          </cell>
          <cell r="AS207" t="str">
            <v>Y</v>
          </cell>
          <cell r="AU207" t="str">
            <v>APPLICATION INNOVATION</v>
          </cell>
          <cell r="AV207" t="str">
            <v>O</v>
          </cell>
          <cell r="AW207">
            <v>33452</v>
          </cell>
          <cell r="AX207">
            <v>328</v>
          </cell>
          <cell r="AY207">
            <v>9.8050938658376177E-3</v>
          </cell>
          <cell r="AZ207">
            <v>4267639</v>
          </cell>
          <cell r="BA207">
            <v>3159748</v>
          </cell>
          <cell r="BB207">
            <v>1107891</v>
          </cell>
          <cell r="BC207">
            <v>128009</v>
          </cell>
          <cell r="BD207">
            <v>4.0512407951520182E-2</v>
          </cell>
          <cell r="BE207">
            <v>3756295.5</v>
          </cell>
          <cell r="BF207">
            <v>2795811.55</v>
          </cell>
          <cell r="BG207">
            <v>960483.95</v>
          </cell>
          <cell r="BH207">
            <v>-147407.04999999999</v>
          </cell>
          <cell r="BI207">
            <v>-3.9030075474046355E-3</v>
          </cell>
          <cell r="BJ207">
            <v>1030139</v>
          </cell>
          <cell r="BK207">
            <v>755468.43</v>
          </cell>
          <cell r="BL207">
            <v>274670.57</v>
          </cell>
          <cell r="BM207">
            <v>0.26663447360016457</v>
          </cell>
          <cell r="BN207">
            <v>7.0316815177040026E-3</v>
          </cell>
          <cell r="BO207" t="str">
            <v>ISU</v>
          </cell>
          <cell r="BP207" t="str">
            <v>O</v>
          </cell>
          <cell r="BQ207" t="str">
            <v>FY</v>
          </cell>
          <cell r="BR207">
            <v>9538174</v>
          </cell>
          <cell r="BS207" t="str">
            <v>6YM</v>
          </cell>
          <cell r="BT207">
            <v>8852000</v>
          </cell>
          <cell r="BW207" t="str">
            <v/>
          </cell>
          <cell r="BX207" t="str">
            <v>Rated</v>
          </cell>
          <cell r="BY207" t="str">
            <v>Over</v>
          </cell>
          <cell r="BZ207" t="str">
            <v>Other</v>
          </cell>
          <cell r="CA207" t="str">
            <v/>
          </cell>
          <cell r="CG207">
            <v>3798248.5</v>
          </cell>
          <cell r="CH207">
            <v>2829551.57</v>
          </cell>
          <cell r="CI207">
            <v>968696.93</v>
          </cell>
          <cell r="CJ207">
            <v>0.25503779702670853</v>
          </cell>
          <cell r="CK207">
            <v>-4.5649950557520302E-3</v>
          </cell>
          <cell r="CL207" t="str">
            <v>was last rated B…waived …financials looking better..</v>
          </cell>
          <cell r="CM207" t="str">
            <v/>
          </cell>
          <cell r="CN207" t="str">
            <v/>
          </cell>
          <cell r="CO207" t="str">
            <v/>
          </cell>
          <cell r="CP207" t="str">
            <v/>
          </cell>
          <cell r="CQ207" t="str">
            <v>Enterprise Integration</v>
          </cell>
          <cell r="CR207" t="str">
            <v>Waived: financials improved;  Phone Interview</v>
          </cell>
          <cell r="CS207">
            <v>37773</v>
          </cell>
          <cell r="CT207" t="str">
            <v/>
          </cell>
          <cell r="CU207" t="str">
            <v>6955-24D</v>
          </cell>
          <cell r="CV207" t="str">
            <v>AMS</v>
          </cell>
          <cell r="CW207" t="str">
            <v>APPLICATION INNOVATION</v>
          </cell>
        </row>
        <row r="208">
          <cell r="A208" t="str">
            <v>CFTWKGN</v>
          </cell>
          <cell r="B208" t="str">
            <v>MED</v>
          </cell>
          <cell r="C208" t="str">
            <v>CRM</v>
          </cell>
          <cell r="D208" t="str">
            <v>CRM</v>
          </cell>
          <cell r="E208" t="str">
            <v>C&amp;SI</v>
          </cell>
          <cell r="F208" t="str">
            <v>WARNER ENTERTAI</v>
          </cell>
          <cell r="G208" t="str">
            <v>TOOLS AND TEMPLATES</v>
          </cell>
          <cell r="H208" t="str">
            <v>CFTWKGN</v>
          </cell>
          <cell r="I208">
            <v>1</v>
          </cell>
          <cell r="J208">
            <v>0</v>
          </cell>
          <cell r="K208" t="str">
            <v>John S Peters/San Francisco/IBM</v>
          </cell>
          <cell r="L208" t="str">
            <v>FP</v>
          </cell>
          <cell r="M208">
            <v>38611</v>
          </cell>
          <cell r="N208">
            <v>38765</v>
          </cell>
          <cell r="O208">
            <v>248371.32</v>
          </cell>
          <cell r="P208">
            <v>590000</v>
          </cell>
          <cell r="Q208">
            <v>248371.32</v>
          </cell>
          <cell r="R208">
            <v>0.47072033898305082</v>
          </cell>
          <cell r="S208">
            <v>0.4694441637628316</v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>Y</v>
          </cell>
          <cell r="Y208" t="str">
            <v/>
          </cell>
          <cell r="Z208" t="str">
            <v/>
          </cell>
          <cell r="AA208" t="str">
            <v/>
          </cell>
          <cell r="AC208" t="str">
            <v/>
          </cell>
          <cell r="AD208" t="str">
            <v/>
          </cell>
          <cell r="AE208" t="str">
            <v>Graham</v>
          </cell>
          <cell r="AF208" t="str">
            <v/>
          </cell>
          <cell r="AG208" t="str">
            <v/>
          </cell>
          <cell r="AH208" t="str">
            <v/>
          </cell>
          <cell r="AI208" t="str">
            <v/>
          </cell>
          <cell r="AJ208" t="str">
            <v/>
          </cell>
          <cell r="AK208" t="str">
            <v/>
          </cell>
          <cell r="AL208" t="str">
            <v>TBD</v>
          </cell>
          <cell r="AM208" t="str">
            <v/>
          </cell>
          <cell r="AN208" t="str">
            <v/>
          </cell>
          <cell r="AO208" t="str">
            <v/>
          </cell>
          <cell r="AP208" t="str">
            <v/>
          </cell>
          <cell r="AQ208" t="str">
            <v/>
          </cell>
          <cell r="AR208" t="str">
            <v/>
          </cell>
          <cell r="AS208" t="str">
            <v/>
          </cell>
          <cell r="AU208" t="str">
            <v>CUSTOMER RELATIONSHIP MANAGEMENT</v>
          </cell>
          <cell r="AV208" t="str">
            <v>O</v>
          </cell>
          <cell r="AW208">
            <v>1676</v>
          </cell>
          <cell r="AX208">
            <v>0</v>
          </cell>
          <cell r="AY208">
            <v>0</v>
          </cell>
          <cell r="AZ208">
            <v>590000</v>
          </cell>
          <cell r="BA208">
            <v>312275</v>
          </cell>
          <cell r="BB208">
            <v>277725</v>
          </cell>
          <cell r="BC208">
            <v>30021</v>
          </cell>
          <cell r="BD208">
            <v>9.6136418221119208E-2</v>
          </cell>
          <cell r="BE208">
            <v>341628.68</v>
          </cell>
          <cell r="BF208">
            <v>181253.09</v>
          </cell>
          <cell r="BG208">
            <v>160375.59</v>
          </cell>
          <cell r="BH208">
            <v>-117349.41</v>
          </cell>
          <cell r="BI208">
            <v>-1.2761752202192223E-3</v>
          </cell>
          <cell r="BJ208">
            <v>341628.68</v>
          </cell>
          <cell r="BK208">
            <v>181253.09</v>
          </cell>
          <cell r="BL208">
            <v>160375.59</v>
          </cell>
          <cell r="BM208">
            <v>0.4694441637628316</v>
          </cell>
          <cell r="BN208">
            <v>-1.2761752202192223E-3</v>
          </cell>
          <cell r="BO208" t="str">
            <v>ISU</v>
          </cell>
          <cell r="BP208" t="str">
            <v>O</v>
          </cell>
          <cell r="BQ208" t="str">
            <v>FX</v>
          </cell>
          <cell r="BR208">
            <v>9540448</v>
          </cell>
          <cell r="BS208" t="str">
            <v>6YM</v>
          </cell>
          <cell r="BT208">
            <v>8852000</v>
          </cell>
          <cell r="BW208" t="str">
            <v/>
          </cell>
          <cell r="BX208" t="str">
            <v>Unrated</v>
          </cell>
          <cell r="BY208" t="str">
            <v>Under</v>
          </cell>
          <cell r="BZ208" t="str">
            <v/>
          </cell>
          <cell r="CA208" t="str">
            <v/>
          </cell>
          <cell r="CG208">
            <v>590000</v>
          </cell>
          <cell r="CH208">
            <v>264145.93</v>
          </cell>
          <cell r="CI208">
            <v>325854.07</v>
          </cell>
          <cell r="CJ208">
            <v>0.55229503389830514</v>
          </cell>
          <cell r="CK208">
            <v>8.157469491525432E-2</v>
          </cell>
          <cell r="CL208" t="str">
            <v/>
          </cell>
          <cell r="CM208" t="str">
            <v/>
          </cell>
          <cell r="CN208" t="str">
            <v/>
          </cell>
          <cell r="CO208" t="str">
            <v/>
          </cell>
          <cell r="CP208" t="str">
            <v/>
          </cell>
          <cell r="CQ208" t="str">
            <v/>
          </cell>
          <cell r="CR208" t="str">
            <v/>
          </cell>
          <cell r="CS208">
            <v>38596</v>
          </cell>
          <cell r="CT208" t="str">
            <v/>
          </cell>
          <cell r="CV208" t="str">
            <v/>
          </cell>
          <cell r="CW208" t="str">
            <v>CUSTOMER RELATIONSHIP MANAGEMENT</v>
          </cell>
        </row>
        <row r="209">
          <cell r="A209" t="str">
            <v>CFTWC9N</v>
          </cell>
          <cell r="B209" t="str">
            <v>UTL</v>
          </cell>
          <cell r="C209" t="str">
            <v>CRM</v>
          </cell>
          <cell r="D209" t="str">
            <v>CRM</v>
          </cell>
          <cell r="E209" t="str">
            <v>C&amp;SI</v>
          </cell>
          <cell r="F209" t="str">
            <v>WASTE MANA NAT</v>
          </cell>
          <cell r="G209" t="str">
            <v>Data Conversion Analysis</v>
          </cell>
          <cell r="H209" t="str">
            <v>CFTWC9N</v>
          </cell>
          <cell r="I209">
            <v>1</v>
          </cell>
          <cell r="J209" t="str">
            <v>Timothy Butler/Hartford/IBM</v>
          </cell>
          <cell r="K209" t="str">
            <v>Karen Skinner/New Orleans/IBM</v>
          </cell>
          <cell r="L209" t="str">
            <v>FP</v>
          </cell>
          <cell r="M209">
            <v>38621</v>
          </cell>
          <cell r="N209">
            <v>38744</v>
          </cell>
          <cell r="O209">
            <v>414590.2</v>
          </cell>
          <cell r="P209">
            <v>733100</v>
          </cell>
          <cell r="Q209">
            <v>414590.2</v>
          </cell>
          <cell r="R209">
            <v>0.42219478925112536</v>
          </cell>
          <cell r="S209">
            <v>0.49184235461514841</v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>Y</v>
          </cell>
          <cell r="AA209" t="str">
            <v/>
          </cell>
          <cell r="AC209" t="str">
            <v/>
          </cell>
          <cell r="AD209" t="str">
            <v/>
          </cell>
          <cell r="AE209" t="str">
            <v>Graham</v>
          </cell>
          <cell r="AF209" t="str">
            <v/>
          </cell>
          <cell r="AG209" t="str">
            <v/>
          </cell>
          <cell r="AH209" t="str">
            <v/>
          </cell>
          <cell r="AI209" t="str">
            <v/>
          </cell>
          <cell r="AJ209" t="str">
            <v/>
          </cell>
          <cell r="AK209" t="str">
            <v/>
          </cell>
          <cell r="AL209" t="str">
            <v>TBD</v>
          </cell>
          <cell r="AM209" t="str">
            <v/>
          </cell>
          <cell r="AN209" t="str">
            <v/>
          </cell>
          <cell r="AO209" t="str">
            <v/>
          </cell>
          <cell r="AP209" t="str">
            <v/>
          </cell>
          <cell r="AQ209" t="str">
            <v/>
          </cell>
          <cell r="AR209" t="str">
            <v/>
          </cell>
          <cell r="AS209" t="str">
            <v/>
          </cell>
          <cell r="AU209" t="str">
            <v>CUSTOMER RELATIONSHIP MANAGEMENT</v>
          </cell>
          <cell r="AV209" t="str">
            <v>O</v>
          </cell>
          <cell r="AW209">
            <v>1655.5</v>
          </cell>
          <cell r="AX209">
            <v>0</v>
          </cell>
          <cell r="AY209">
            <v>0</v>
          </cell>
          <cell r="AZ209">
            <v>733100</v>
          </cell>
          <cell r="BA209">
            <v>423589</v>
          </cell>
          <cell r="BB209">
            <v>309511</v>
          </cell>
          <cell r="BC209">
            <v>1079</v>
          </cell>
          <cell r="BD209">
            <v>2.5472805006740025E-3</v>
          </cell>
          <cell r="BE209">
            <v>318509.8</v>
          </cell>
          <cell r="BF209">
            <v>161853.19</v>
          </cell>
          <cell r="BG209">
            <v>156656.60999999999</v>
          </cell>
          <cell r="BH209">
            <v>-152854.39000000001</v>
          </cell>
          <cell r="BI209">
            <v>6.9647565364023056E-2</v>
          </cell>
          <cell r="BJ209">
            <v>318509.8</v>
          </cell>
          <cell r="BK209">
            <v>161853.19</v>
          </cell>
          <cell r="BL209">
            <v>156656.60999999999</v>
          </cell>
          <cell r="BM209">
            <v>0.49184235461514841</v>
          </cell>
          <cell r="BN209">
            <v>6.9647565364023056E-2</v>
          </cell>
          <cell r="BO209" t="str">
            <v>ISU</v>
          </cell>
          <cell r="BP209" t="str">
            <v>O</v>
          </cell>
          <cell r="BQ209" t="str">
            <v>FX</v>
          </cell>
          <cell r="BR209">
            <v>9392563</v>
          </cell>
          <cell r="BS209" t="str">
            <v>8NY</v>
          </cell>
          <cell r="BT209">
            <v>9529924</v>
          </cell>
          <cell r="BW209" t="str">
            <v/>
          </cell>
          <cell r="BX209" t="str">
            <v>Unrated</v>
          </cell>
          <cell r="BY209" t="str">
            <v>Under</v>
          </cell>
          <cell r="BZ209" t="str">
            <v/>
          </cell>
          <cell r="CA209" t="str">
            <v/>
          </cell>
          <cell r="CG209">
            <v>733100</v>
          </cell>
          <cell r="CH209">
            <v>127076.87</v>
          </cell>
          <cell r="CI209">
            <v>606023.13</v>
          </cell>
          <cell r="CJ209">
            <v>0.82665820488337194</v>
          </cell>
          <cell r="CK209">
            <v>0.40446341563224658</v>
          </cell>
          <cell r="CL209" t="str">
            <v/>
          </cell>
          <cell r="CM209" t="str">
            <v/>
          </cell>
          <cell r="CN209" t="str">
            <v/>
          </cell>
          <cell r="CO209" t="str">
            <v/>
          </cell>
          <cell r="CP209" t="str">
            <v/>
          </cell>
          <cell r="CQ209" t="str">
            <v/>
          </cell>
          <cell r="CR209" t="str">
            <v/>
          </cell>
          <cell r="CS209">
            <v>38596</v>
          </cell>
          <cell r="CT209" t="str">
            <v/>
          </cell>
          <cell r="CV209" t="str">
            <v/>
          </cell>
          <cell r="CW209" t="str">
            <v>CUSTOMER RELATIONSHIP MANAGEMENT</v>
          </cell>
        </row>
        <row r="210">
          <cell r="A210" t="str">
            <v>CFTDG4M</v>
          </cell>
          <cell r="B210" t="str">
            <v>UTL</v>
          </cell>
          <cell r="C210" t="str">
            <v>BTO</v>
          </cell>
          <cell r="D210" t="str">
            <v>BTO</v>
          </cell>
          <cell r="E210" t="str">
            <v>BTO</v>
          </cell>
          <cell r="F210" t="str">
            <v>WILLIAMS ENERGY</v>
          </cell>
          <cell r="G210" t="str">
            <v>Wms Recruit, Staff &amp; Select</v>
          </cell>
          <cell r="H210" t="str">
            <v>CFTDG4M</v>
          </cell>
          <cell r="I210">
            <v>48</v>
          </cell>
          <cell r="J210">
            <v>0</v>
          </cell>
          <cell r="K210" t="str">
            <v>James Brown/Philadelphia/IBM</v>
          </cell>
          <cell r="L210" t="str">
            <v>FP</v>
          </cell>
          <cell r="M210">
            <v>38108</v>
          </cell>
          <cell r="N210">
            <v>40914</v>
          </cell>
          <cell r="O210">
            <v>98279516.399999991</v>
          </cell>
          <cell r="P210">
            <v>98279516.399999991</v>
          </cell>
          <cell r="Q210">
            <v>98279516.399999991</v>
          </cell>
          <cell r="R210">
            <v>0.94613172516587596</v>
          </cell>
          <cell r="S210">
            <v>0</v>
          </cell>
          <cell r="T210" t="str">
            <v/>
          </cell>
          <cell r="U210" t="str">
            <v/>
          </cell>
          <cell r="V210" t="str">
            <v>Y</v>
          </cell>
          <cell r="W210" t="str">
            <v>Y</v>
          </cell>
          <cell r="X210" t="str">
            <v>Y</v>
          </cell>
          <cell r="Y210" t="str">
            <v/>
          </cell>
          <cell r="Z210" t="str">
            <v/>
          </cell>
          <cell r="AA210" t="str">
            <v>Y</v>
          </cell>
          <cell r="AC210" t="str">
            <v>Y</v>
          </cell>
          <cell r="AD210" t="str">
            <v>Y</v>
          </cell>
          <cell r="AE210" t="str">
            <v>Sills</v>
          </cell>
          <cell r="AF210" t="str">
            <v/>
          </cell>
          <cell r="AG210" t="str">
            <v/>
          </cell>
          <cell r="AH210" t="str">
            <v>Ray Ignacio</v>
          </cell>
          <cell r="AI210" t="str">
            <v>M</v>
          </cell>
          <cell r="AJ210" t="str">
            <v>B</v>
          </cell>
          <cell r="AK210">
            <v>38533</v>
          </cell>
          <cell r="AL210">
            <v>38718</v>
          </cell>
          <cell r="AM210" t="str">
            <v>G</v>
          </cell>
          <cell r="AN210" t="str">
            <v>G</v>
          </cell>
          <cell r="AO210" t="str">
            <v>Y</v>
          </cell>
          <cell r="AP210" t="str">
            <v>G</v>
          </cell>
          <cell r="AQ210" t="str">
            <v>G</v>
          </cell>
          <cell r="AR210" t="str">
            <v>Y</v>
          </cell>
          <cell r="AS210" t="str">
            <v>G</v>
          </cell>
          <cell r="AU210" t="str">
            <v>BTO</v>
          </cell>
          <cell r="AV210" t="str">
            <v>O</v>
          </cell>
          <cell r="AW210">
            <v>639433.1</v>
          </cell>
          <cell r="AX210">
            <v>10164.200000000001</v>
          </cell>
          <cell r="AY210">
            <v>1.5895642562138244E-2</v>
          </cell>
          <cell r="AZ210">
            <v>98279516.399999991</v>
          </cell>
          <cell r="BA210">
            <v>5294148</v>
          </cell>
          <cell r="BB210">
            <v>92985368.399999991</v>
          </cell>
          <cell r="BC210">
            <v>526218</v>
          </cell>
          <cell r="BD210">
            <v>9.9396163461996145E-2</v>
          </cell>
          <cell r="BE210">
            <v>0</v>
          </cell>
          <cell r="BF210">
            <v>427.71</v>
          </cell>
          <cell r="BG210">
            <v>-427.71</v>
          </cell>
          <cell r="BH210">
            <v>-92985796.109999985</v>
          </cell>
          <cell r="BI210">
            <v>-0.94613172516587596</v>
          </cell>
          <cell r="BJ210">
            <v>0</v>
          </cell>
          <cell r="BK210">
            <v>427.71</v>
          </cell>
          <cell r="BL210">
            <v>-427.71</v>
          </cell>
          <cell r="BM210">
            <v>0</v>
          </cell>
          <cell r="BN210">
            <v>-0.94613172516587596</v>
          </cell>
          <cell r="BO210" t="str">
            <v>ISU</v>
          </cell>
          <cell r="BP210" t="str">
            <v>O</v>
          </cell>
          <cell r="BQ210" t="str">
            <v>FZ</v>
          </cell>
          <cell r="BR210">
            <v>8836946</v>
          </cell>
          <cell r="BS210" t="str">
            <v>UHX</v>
          </cell>
          <cell r="BT210">
            <v>6203000</v>
          </cell>
          <cell r="BW210" t="str">
            <v/>
          </cell>
          <cell r="BX210" t="str">
            <v>Rated</v>
          </cell>
          <cell r="BY210" t="str">
            <v>Over</v>
          </cell>
          <cell r="BZ210" t="str">
            <v>B</v>
          </cell>
          <cell r="CA210" t="str">
            <v>M</v>
          </cell>
          <cell r="CG210">
            <v>96461882.909999996</v>
          </cell>
          <cell r="CH210">
            <v>28975023.109999992</v>
          </cell>
          <cell r="CI210">
            <v>67486859.799999997</v>
          </cell>
          <cell r="CJ210">
            <v>0.69962204514467108</v>
          </cell>
          <cell r="CK210">
            <v>-0.24650968002120488</v>
          </cell>
          <cell r="CL210" t="str">
            <v>Awaiting BTO scheduling of review</v>
          </cell>
          <cell r="CM210" t="str">
            <v/>
          </cell>
          <cell r="CN210" t="str">
            <v/>
          </cell>
          <cell r="CO210" t="str">
            <v/>
          </cell>
          <cell r="CP210" t="str">
            <v/>
          </cell>
          <cell r="CQ210" t="str">
            <v/>
          </cell>
          <cell r="CR210" t="str">
            <v/>
          </cell>
          <cell r="CS210">
            <v>38108</v>
          </cell>
          <cell r="CT210" t="str">
            <v/>
          </cell>
          <cell r="CV210" t="str">
            <v/>
          </cell>
          <cell r="CW210" t="str">
            <v>BTO</v>
          </cell>
        </row>
        <row r="211">
          <cell r="A211" t="str">
            <v>CFTYDXL</v>
          </cell>
          <cell r="B211" t="str">
            <v>UTL</v>
          </cell>
          <cell r="C211" t="str">
            <v>AIS</v>
          </cell>
          <cell r="D211" t="str">
            <v>AIS</v>
          </cell>
          <cell r="E211" t="str">
            <v>C&amp;SI</v>
          </cell>
          <cell r="F211" t="str">
            <v>XCEL ENERGY</v>
          </cell>
          <cell r="G211" t="str">
            <v>EAI Staff Aug</v>
          </cell>
          <cell r="H211" t="str">
            <v>CFTYDXL</v>
          </cell>
          <cell r="I211">
            <v>1</v>
          </cell>
          <cell r="J211" t="str">
            <v>Jim Fountain/Austin/IBM</v>
          </cell>
          <cell r="K211" t="str">
            <v>Rebecca C Shelton/Dallas/IBM</v>
          </cell>
          <cell r="L211" t="str">
            <v>BE</v>
          </cell>
          <cell r="M211">
            <v>37991</v>
          </cell>
          <cell r="N211">
            <v>38765</v>
          </cell>
          <cell r="O211">
            <v>220744.2</v>
          </cell>
          <cell r="P211">
            <v>1805868</v>
          </cell>
          <cell r="Q211">
            <v>220744.2</v>
          </cell>
          <cell r="R211">
            <v>-0.25806481979856777</v>
          </cell>
          <cell r="S211">
            <v>0.28361698310251854</v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>Y</v>
          </cell>
          <cell r="AA211" t="str">
            <v/>
          </cell>
          <cell r="AC211" t="str">
            <v>Y</v>
          </cell>
          <cell r="AD211" t="str">
            <v/>
          </cell>
          <cell r="AE211" t="str">
            <v>Graham</v>
          </cell>
          <cell r="AF211" t="str">
            <v/>
          </cell>
          <cell r="AG211" t="str">
            <v/>
          </cell>
          <cell r="AH211" t="str">
            <v/>
          </cell>
          <cell r="AI211" t="str">
            <v>L</v>
          </cell>
          <cell r="AJ211" t="str">
            <v>Waived</v>
          </cell>
          <cell r="AK211" t="str">
            <v/>
          </cell>
          <cell r="AL211" t="str">
            <v>N/A</v>
          </cell>
          <cell r="AM211" t="str">
            <v/>
          </cell>
          <cell r="AN211" t="str">
            <v/>
          </cell>
          <cell r="AO211" t="str">
            <v/>
          </cell>
          <cell r="AP211" t="str">
            <v/>
          </cell>
          <cell r="AQ211" t="str">
            <v/>
          </cell>
          <cell r="AR211" t="str">
            <v/>
          </cell>
          <cell r="AS211" t="str">
            <v/>
          </cell>
          <cell r="AU211" t="str">
            <v>APPLICATION INNOVATION</v>
          </cell>
          <cell r="AV211" t="str">
            <v>O</v>
          </cell>
          <cell r="AW211">
            <v>14306.7</v>
          </cell>
          <cell r="AX211">
            <v>299.5</v>
          </cell>
          <cell r="AY211">
            <v>2.0934247590289862E-2</v>
          </cell>
          <cell r="AZ211">
            <v>1805868</v>
          </cell>
          <cell r="BA211">
            <v>2271899</v>
          </cell>
          <cell r="BB211">
            <v>-466031</v>
          </cell>
          <cell r="BC211">
            <v>90876</v>
          </cell>
          <cell r="BD211">
            <v>4.0000017606416485E-2</v>
          </cell>
          <cell r="BE211">
            <v>1585123.8</v>
          </cell>
          <cell r="BF211">
            <v>1135555.77</v>
          </cell>
          <cell r="BG211">
            <v>449568.03</v>
          </cell>
          <cell r="BH211">
            <v>915599.03</v>
          </cell>
          <cell r="BI211">
            <v>0.54168180290108636</v>
          </cell>
          <cell r="BJ211">
            <v>496424.7</v>
          </cell>
          <cell r="BK211">
            <v>384490.94</v>
          </cell>
          <cell r="BL211">
            <v>111933.75999999999</v>
          </cell>
          <cell r="BM211">
            <v>0.22547983611613204</v>
          </cell>
          <cell r="BN211">
            <v>0.48354465591469981</v>
          </cell>
          <cell r="BO211" t="str">
            <v>ISU</v>
          </cell>
          <cell r="BP211" t="str">
            <v>O</v>
          </cell>
          <cell r="BQ211" t="str">
            <v>FY</v>
          </cell>
          <cell r="BR211">
            <v>9920373</v>
          </cell>
          <cell r="BS211" t="str">
            <v>8NY</v>
          </cell>
          <cell r="BT211">
            <v>9920170</v>
          </cell>
          <cell r="BW211" t="str">
            <v/>
          </cell>
          <cell r="BX211" t="str">
            <v>Rated</v>
          </cell>
          <cell r="BY211" t="str">
            <v>Over</v>
          </cell>
          <cell r="BZ211" t="str">
            <v>Other</v>
          </cell>
          <cell r="CA211" t="str">
            <v/>
          </cell>
          <cell r="CG211">
            <v>1574727.8</v>
          </cell>
          <cell r="CH211">
            <v>1125024.42</v>
          </cell>
          <cell r="CI211">
            <v>449703.38</v>
          </cell>
          <cell r="CJ211">
            <v>0.28557531022186816</v>
          </cell>
          <cell r="CK211">
            <v>0.54364013002043587</v>
          </cell>
          <cell r="CL211" t="str">
            <v/>
          </cell>
          <cell r="CM211" t="str">
            <v/>
          </cell>
          <cell r="CN211" t="str">
            <v/>
          </cell>
          <cell r="CO211" t="str">
            <v/>
          </cell>
          <cell r="CP211" t="str">
            <v/>
          </cell>
          <cell r="CQ211" t="str">
            <v/>
          </cell>
          <cell r="CR211" t="str">
            <v/>
          </cell>
          <cell r="CS211">
            <v>37987</v>
          </cell>
          <cell r="CT211" t="str">
            <v/>
          </cell>
          <cell r="CU211" t="str">
            <v>6955-24D</v>
          </cell>
          <cell r="CV211" t="str">
            <v>AMS</v>
          </cell>
          <cell r="CW211" t="str">
            <v>APPLICATION INNOVATION</v>
          </cell>
        </row>
        <row r="212">
          <cell r="A212" t="str">
            <v>CFTM6RM</v>
          </cell>
          <cell r="B212" t="str">
            <v>UTL</v>
          </cell>
          <cell r="C212" t="str">
            <v>CRM</v>
          </cell>
          <cell r="D212" t="str">
            <v>CRM</v>
          </cell>
          <cell r="E212" t="str">
            <v>C&amp;SI</v>
          </cell>
          <cell r="F212" t="str">
            <v>XCEL ENERGY</v>
          </cell>
          <cell r="G212" t="str">
            <v>RadioNWEngDesign</v>
          </cell>
          <cell r="H212" t="str">
            <v>CFTM6RM</v>
          </cell>
          <cell r="I212">
            <v>1</v>
          </cell>
          <cell r="J212" t="str">
            <v>John Gustafson/Bethesda/IBM</v>
          </cell>
          <cell r="K212" t="str">
            <v>Ranjit R Pradhan/Fairfax/IBM</v>
          </cell>
          <cell r="L212" t="str">
            <v>BE</v>
          </cell>
          <cell r="M212">
            <v>38108</v>
          </cell>
          <cell r="N212">
            <v>38717</v>
          </cell>
          <cell r="O212">
            <v>28000</v>
          </cell>
          <cell r="P212">
            <v>504875</v>
          </cell>
          <cell r="Q212">
            <v>28000</v>
          </cell>
          <cell r="R212">
            <v>0.36439910869026987</v>
          </cell>
          <cell r="S212">
            <v>0.4386672398427261</v>
          </cell>
          <cell r="T212" t="str">
            <v/>
          </cell>
          <cell r="U212" t="str">
            <v>Y</v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>Y</v>
          </cell>
          <cell r="AA212" t="str">
            <v/>
          </cell>
          <cell r="AC212" t="str">
            <v/>
          </cell>
          <cell r="AD212" t="str">
            <v/>
          </cell>
          <cell r="AE212" t="str">
            <v/>
          </cell>
          <cell r="AF212" t="str">
            <v/>
          </cell>
          <cell r="AG212" t="str">
            <v/>
          </cell>
          <cell r="AH212" t="str">
            <v/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O212" t="str">
            <v/>
          </cell>
          <cell r="AP212" t="str">
            <v/>
          </cell>
          <cell r="AQ212" t="str">
            <v/>
          </cell>
          <cell r="AR212" t="str">
            <v/>
          </cell>
          <cell r="AS212" t="str">
            <v/>
          </cell>
          <cell r="AU212" t="str">
            <v>CUSTOMER RELATIONSHIP MANAGEMENT</v>
          </cell>
          <cell r="AV212" t="str">
            <v>O</v>
          </cell>
          <cell r="AW212">
            <v>2727</v>
          </cell>
          <cell r="AX212">
            <v>2</v>
          </cell>
          <cell r="AY212">
            <v>7.334066740007334E-4</v>
          </cell>
          <cell r="AZ212">
            <v>504875</v>
          </cell>
          <cell r="BA212">
            <v>320899</v>
          </cell>
          <cell r="BB212">
            <v>183976</v>
          </cell>
          <cell r="BC212">
            <v>32090</v>
          </cell>
          <cell r="BD212">
            <v>0.10000031162452984</v>
          </cell>
          <cell r="BE212">
            <v>476875</v>
          </cell>
          <cell r="BF212">
            <v>267685.56</v>
          </cell>
          <cell r="BG212">
            <v>209189.44</v>
          </cell>
          <cell r="BH212">
            <v>25213.439999999999</v>
          </cell>
          <cell r="BI212">
            <v>7.4268131152456229E-2</v>
          </cell>
          <cell r="BJ212">
            <v>185412.5</v>
          </cell>
          <cell r="BK212">
            <v>106444.88</v>
          </cell>
          <cell r="BL212">
            <v>78967.62</v>
          </cell>
          <cell r="BM212">
            <v>0.42590235286186207</v>
          </cell>
          <cell r="BN212">
            <v>6.1503244171592197E-2</v>
          </cell>
          <cell r="BO212" t="str">
            <v>ISU</v>
          </cell>
          <cell r="BP212" t="str">
            <v>O</v>
          </cell>
          <cell r="BQ212" t="str">
            <v>FY</v>
          </cell>
          <cell r="BR212">
            <v>9920373</v>
          </cell>
          <cell r="BS212" t="str">
            <v>8NY</v>
          </cell>
          <cell r="BT212">
            <v>9920170</v>
          </cell>
          <cell r="BW212" t="str">
            <v/>
          </cell>
          <cell r="BX212" t="str">
            <v>Unrated</v>
          </cell>
          <cell r="BY212" t="str">
            <v>Under</v>
          </cell>
          <cell r="BZ212" t="str">
            <v/>
          </cell>
          <cell r="CA212" t="str">
            <v/>
          </cell>
          <cell r="CG212">
            <v>476875</v>
          </cell>
          <cell r="CH212">
            <v>267677.52</v>
          </cell>
          <cell r="CI212">
            <v>209197.48</v>
          </cell>
          <cell r="CJ212">
            <v>0.4386840996068152</v>
          </cell>
          <cell r="CK212">
            <v>7.4284990916545335E-2</v>
          </cell>
          <cell r="CL212" t="str">
            <v/>
          </cell>
          <cell r="CM212" t="str">
            <v/>
          </cell>
          <cell r="CN212" t="str">
            <v/>
          </cell>
          <cell r="CO212" t="str">
            <v/>
          </cell>
          <cell r="CP212" t="str">
            <v/>
          </cell>
          <cell r="CQ212" t="str">
            <v/>
          </cell>
          <cell r="CR212" t="str">
            <v/>
          </cell>
          <cell r="CS212">
            <v>38108</v>
          </cell>
          <cell r="CT212" t="str">
            <v/>
          </cell>
          <cell r="CV212" t="str">
            <v/>
          </cell>
          <cell r="CW212" t="str">
            <v>CUSTOMER RELATIONSHIP MANAGEMENT</v>
          </cell>
        </row>
        <row r="213">
          <cell r="A213" t="str">
            <v>CFT1CTN</v>
          </cell>
          <cell r="B213" t="str">
            <v>UTL</v>
          </cell>
          <cell r="C213" t="str">
            <v>AIS</v>
          </cell>
          <cell r="D213" t="str">
            <v>AIS</v>
          </cell>
          <cell r="E213" t="str">
            <v>C&amp;SI</v>
          </cell>
          <cell r="F213" t="str">
            <v>XCEL ENERGY</v>
          </cell>
          <cell r="G213" t="str">
            <v>Meter Shop Assessment</v>
          </cell>
          <cell r="H213" t="str">
            <v>CFT1CTN</v>
          </cell>
          <cell r="I213">
            <v>1</v>
          </cell>
          <cell r="J213" t="str">
            <v>John Gustafson/Bethesda/IBM</v>
          </cell>
          <cell r="K213" t="str">
            <v>Frank Leone/Wayne/IBM</v>
          </cell>
          <cell r="L213" t="str">
            <v>BE</v>
          </cell>
          <cell r="M213">
            <v>38635</v>
          </cell>
          <cell r="N213">
            <v>38700</v>
          </cell>
          <cell r="O213">
            <v>13228</v>
          </cell>
          <cell r="P213">
            <v>80153</v>
          </cell>
          <cell r="Q213">
            <v>13228</v>
          </cell>
          <cell r="R213">
            <v>0.45450575773832547</v>
          </cell>
          <cell r="S213">
            <v>0.45579917818453491</v>
          </cell>
          <cell r="T213" t="str">
            <v/>
          </cell>
          <cell r="U213" t="str">
            <v>Y</v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O213" t="str">
            <v/>
          </cell>
          <cell r="AP213" t="str">
            <v/>
          </cell>
          <cell r="AQ213" t="str">
            <v/>
          </cell>
          <cell r="AR213" t="str">
            <v/>
          </cell>
          <cell r="AS213" t="str">
            <v/>
          </cell>
          <cell r="AU213" t="str">
            <v>APPLICATION INNOVATION</v>
          </cell>
          <cell r="AV213" t="str">
            <v>O</v>
          </cell>
          <cell r="AW213">
            <v>367.5</v>
          </cell>
          <cell r="AX213">
            <v>0</v>
          </cell>
          <cell r="AY213">
            <v>0</v>
          </cell>
          <cell r="AZ213">
            <v>80153</v>
          </cell>
          <cell r="BA213">
            <v>43723</v>
          </cell>
          <cell r="BB213">
            <v>36430</v>
          </cell>
          <cell r="BC213">
            <v>1789</v>
          </cell>
          <cell r="BD213">
            <v>4.0916680008233654E-2</v>
          </cell>
          <cell r="BE213">
            <v>66925</v>
          </cell>
          <cell r="BF213">
            <v>36420.639999999999</v>
          </cell>
          <cell r="BG213">
            <v>30504.36</v>
          </cell>
          <cell r="BH213">
            <v>-5925.64</v>
          </cell>
          <cell r="BI213">
            <v>1.2934204462094478E-3</v>
          </cell>
          <cell r="BJ213">
            <v>66925</v>
          </cell>
          <cell r="BK213">
            <v>36420.639999999999</v>
          </cell>
          <cell r="BL213">
            <v>30504.36</v>
          </cell>
          <cell r="BM213">
            <v>0.45579917818453491</v>
          </cell>
          <cell r="BN213">
            <v>1.2934204462094478E-3</v>
          </cell>
          <cell r="BO213" t="str">
            <v>ISU</v>
          </cell>
          <cell r="BP213" t="str">
            <v>O</v>
          </cell>
          <cell r="BQ213" t="str">
            <v>FX</v>
          </cell>
          <cell r="BR213">
            <v>9920373</v>
          </cell>
          <cell r="BS213" t="str">
            <v>8NY</v>
          </cell>
          <cell r="BT213">
            <v>9920170</v>
          </cell>
          <cell r="BW213" t="str">
            <v/>
          </cell>
          <cell r="BX213" t="str">
            <v>Unrated</v>
          </cell>
          <cell r="BY213" t="str">
            <v>Under</v>
          </cell>
          <cell r="BZ213" t="str">
            <v/>
          </cell>
          <cell r="CA213" t="str">
            <v/>
          </cell>
          <cell r="CG213">
            <v>3800</v>
          </cell>
          <cell r="CH213">
            <v>27796.42</v>
          </cell>
          <cell r="CI213">
            <v>-23996.42</v>
          </cell>
          <cell r="CJ213">
            <v>-6.3148473684210522</v>
          </cell>
          <cell r="CK213">
            <v>-6.7693531261593778</v>
          </cell>
          <cell r="CL213" t="str">
            <v/>
          </cell>
          <cell r="CM213" t="str">
            <v/>
          </cell>
          <cell r="CN213" t="str">
            <v/>
          </cell>
          <cell r="CO213" t="str">
            <v/>
          </cell>
          <cell r="CP213" t="str">
            <v/>
          </cell>
          <cell r="CQ213" t="str">
            <v/>
          </cell>
          <cell r="CR213" t="str">
            <v/>
          </cell>
          <cell r="CS213">
            <v>38626</v>
          </cell>
          <cell r="CT213" t="str">
            <v/>
          </cell>
          <cell r="CU213" t="str">
            <v>6955-24A</v>
          </cell>
          <cell r="CV213" t="str">
            <v>AIS</v>
          </cell>
          <cell r="CW213" t="str">
            <v>APPLICATION INNOVATION</v>
          </cell>
        </row>
        <row r="214">
          <cell r="A214" t="str">
            <v>CFT07QN</v>
          </cell>
          <cell r="B214" t="str">
            <v>MED</v>
          </cell>
          <cell r="C214" t="str">
            <v>AIS</v>
          </cell>
          <cell r="D214" t="str">
            <v>AIS</v>
          </cell>
          <cell r="E214" t="str">
            <v>C&amp;SI</v>
          </cell>
          <cell r="F214" t="str">
            <v>YAHOO</v>
          </cell>
          <cell r="G214">
            <v>0</v>
          </cell>
          <cell r="H214" t="str">
            <v>CFT07QN</v>
          </cell>
          <cell r="I214">
            <v>1</v>
          </cell>
          <cell r="J214">
            <v>0</v>
          </cell>
          <cell r="K214">
            <v>0</v>
          </cell>
          <cell r="L214" t="str">
            <v>FP</v>
          </cell>
          <cell r="M214">
            <v>37622</v>
          </cell>
          <cell r="N214">
            <v>38717</v>
          </cell>
          <cell r="O214">
            <v>-17000</v>
          </cell>
          <cell r="P214">
            <v>0</v>
          </cell>
          <cell r="Q214">
            <v>-17000</v>
          </cell>
          <cell r="R214">
            <v>0</v>
          </cell>
          <cell r="S214">
            <v>1</v>
          </cell>
          <cell r="T214" t="str">
            <v/>
          </cell>
          <cell r="U214" t="str">
            <v>Y</v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>Y</v>
          </cell>
          <cell r="AA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str">
            <v/>
          </cell>
          <cell r="AG214" t="str">
            <v/>
          </cell>
          <cell r="AH214" t="str">
            <v/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O214" t="str">
            <v/>
          </cell>
          <cell r="AP214" t="str">
            <v/>
          </cell>
          <cell r="AQ214" t="str">
            <v/>
          </cell>
          <cell r="AR214" t="str">
            <v/>
          </cell>
          <cell r="AS214" t="str">
            <v/>
          </cell>
          <cell r="AU214" t="str">
            <v>AOD</v>
          </cell>
          <cell r="AV214" t="str">
            <v>O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17000</v>
          </cell>
          <cell r="BF214">
            <v>0</v>
          </cell>
          <cell r="BG214">
            <v>17000</v>
          </cell>
          <cell r="BH214">
            <v>17000</v>
          </cell>
          <cell r="BI214">
            <v>1</v>
          </cell>
          <cell r="BJ214">
            <v>17000</v>
          </cell>
          <cell r="BK214">
            <v>0</v>
          </cell>
          <cell r="BL214">
            <v>17000</v>
          </cell>
          <cell r="BM214">
            <v>1</v>
          </cell>
          <cell r="BN214">
            <v>1</v>
          </cell>
          <cell r="BO214" t="str">
            <v>SMB</v>
          </cell>
          <cell r="BP214" t="str">
            <v>O</v>
          </cell>
          <cell r="BQ214" t="str">
            <v>B2</v>
          </cell>
          <cell r="BR214">
            <v>9940286</v>
          </cell>
          <cell r="BS214" t="str">
            <v>1AE</v>
          </cell>
          <cell r="BT214">
            <v>7754174</v>
          </cell>
          <cell r="BW214" t="str">
            <v/>
          </cell>
          <cell r="BX214" t="str">
            <v>Unrated</v>
          </cell>
          <cell r="BY214" t="str">
            <v>Under</v>
          </cell>
          <cell r="BZ214" t="str">
            <v/>
          </cell>
          <cell r="CA214" t="str">
            <v/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M214" t="e">
            <v>#N/A</v>
          </cell>
          <cell r="CN214" t="str">
            <v/>
          </cell>
          <cell r="CO214" t="str">
            <v/>
          </cell>
          <cell r="CP214" t="str">
            <v/>
          </cell>
          <cell r="CQ214" t="str">
            <v/>
          </cell>
          <cell r="CR214" t="str">
            <v/>
          </cell>
          <cell r="CS214">
            <v>37622</v>
          </cell>
          <cell r="CT214" t="str">
            <v/>
          </cell>
          <cell r="CU214" t="str">
            <v/>
          </cell>
          <cell r="CV214" t="str">
            <v/>
          </cell>
          <cell r="CW214" t="str">
            <v>APPLICATION INNOVATION</v>
          </cell>
        </row>
        <row r="215">
          <cell r="A215" t="str">
            <v>CFTW8JM</v>
          </cell>
          <cell r="B215" t="str">
            <v>MED</v>
          </cell>
          <cell r="C215" t="str">
            <v>CRM</v>
          </cell>
          <cell r="D215" t="str">
            <v>CRM</v>
          </cell>
          <cell r="E215" t="str">
            <v>C&amp;SI</v>
          </cell>
          <cell r="F215" t="str">
            <v>YAHOO!HOTJOBS</v>
          </cell>
          <cell r="G215" t="str">
            <v>Yahoo!Hotjobs OSS Impl</v>
          </cell>
          <cell r="H215" t="str">
            <v>CFTW8JM</v>
          </cell>
          <cell r="I215">
            <v>2</v>
          </cell>
          <cell r="J215" t="str">
            <v>Adam R Steinberg/New York/IBM</v>
          </cell>
          <cell r="K215" t="str">
            <v>Abe Salzman/New York/IBM</v>
          </cell>
          <cell r="L215" t="str">
            <v>FP</v>
          </cell>
          <cell r="M215">
            <v>38306</v>
          </cell>
          <cell r="N215">
            <v>38723</v>
          </cell>
          <cell r="O215">
            <v>478345</v>
          </cell>
          <cell r="P215">
            <v>2599112.5</v>
          </cell>
          <cell r="Q215">
            <v>478345</v>
          </cell>
          <cell r="R215">
            <v>0.14212678366173068</v>
          </cell>
          <cell r="S215">
            <v>-0.56168147616370012</v>
          </cell>
          <cell r="T215" t="str">
            <v/>
          </cell>
          <cell r="U215" t="str">
            <v>Y</v>
          </cell>
          <cell r="V215" t="str">
            <v>Y</v>
          </cell>
          <cell r="W215" t="str">
            <v>Y</v>
          </cell>
          <cell r="X215" t="str">
            <v>Y</v>
          </cell>
          <cell r="Y215" t="str">
            <v>Y</v>
          </cell>
          <cell r="Z215" t="str">
            <v/>
          </cell>
          <cell r="AA215" t="str">
            <v/>
          </cell>
          <cell r="AC215" t="str">
            <v>Y</v>
          </cell>
          <cell r="AD215" t="str">
            <v/>
          </cell>
          <cell r="AE215" t="str">
            <v>Graham</v>
          </cell>
          <cell r="AF215" t="str">
            <v/>
          </cell>
          <cell r="AG215" t="str">
            <v/>
          </cell>
          <cell r="AH215" t="str">
            <v/>
          </cell>
          <cell r="AI215" t="str">
            <v>H</v>
          </cell>
          <cell r="AJ215" t="str">
            <v>*CLOSING*</v>
          </cell>
          <cell r="AK215">
            <v>38504</v>
          </cell>
          <cell r="AL215" t="str">
            <v>N/A</v>
          </cell>
          <cell r="AM215" t="str">
            <v/>
          </cell>
          <cell r="AN215" t="str">
            <v/>
          </cell>
          <cell r="AO215" t="str">
            <v/>
          </cell>
          <cell r="AP215" t="str">
            <v/>
          </cell>
          <cell r="AQ215" t="str">
            <v/>
          </cell>
          <cell r="AR215" t="str">
            <v/>
          </cell>
          <cell r="AS215" t="str">
            <v/>
          </cell>
          <cell r="AU215" t="str">
            <v>CUSTOMER RELATIONSHIP MANAGEMENT</v>
          </cell>
          <cell r="AV215" t="str">
            <v>O</v>
          </cell>
          <cell r="AW215">
            <v>24460.6</v>
          </cell>
          <cell r="AX215">
            <v>128.69999999999999</v>
          </cell>
          <cell r="AY215">
            <v>5.2615226118737889E-3</v>
          </cell>
          <cell r="AZ215">
            <v>2599112.5</v>
          </cell>
          <cell r="BA215">
            <v>2229709</v>
          </cell>
          <cell r="BB215">
            <v>369403.5</v>
          </cell>
          <cell r="BC215">
            <v>223903</v>
          </cell>
          <cell r="BD215">
            <v>0.10041803661374646</v>
          </cell>
          <cell r="BE215">
            <v>2120767.5</v>
          </cell>
          <cell r="BF215">
            <v>3311963.32</v>
          </cell>
          <cell r="BG215">
            <v>-1191195.82</v>
          </cell>
          <cell r="BH215">
            <v>-1560599.32</v>
          </cell>
          <cell r="BI215">
            <v>-0.70380825982543083</v>
          </cell>
          <cell r="BJ215">
            <v>1963255.6</v>
          </cell>
          <cell r="BK215">
            <v>3140792.98</v>
          </cell>
          <cell r="BL215">
            <v>-1177537.3799999999</v>
          </cell>
          <cell r="BM215">
            <v>-0.59978811724769809</v>
          </cell>
          <cell r="BN215">
            <v>-0.7419149009094288</v>
          </cell>
          <cell r="BO215" t="str">
            <v>SMB</v>
          </cell>
          <cell r="BP215" t="str">
            <v>O</v>
          </cell>
          <cell r="BQ215" t="str">
            <v>FX</v>
          </cell>
          <cell r="BR215">
            <v>9940233</v>
          </cell>
          <cell r="BS215" t="str">
            <v>Q29</v>
          </cell>
          <cell r="BT215">
            <v>7754174</v>
          </cell>
          <cell r="BW215" t="str">
            <v/>
          </cell>
          <cell r="BX215" t="str">
            <v>Rated</v>
          </cell>
          <cell r="BY215" t="str">
            <v>Over</v>
          </cell>
          <cell r="BZ215" t="str">
            <v>Other</v>
          </cell>
          <cell r="CA215" t="str">
            <v/>
          </cell>
          <cell r="CG215">
            <v>2120767.5</v>
          </cell>
          <cell r="CH215">
            <v>3338736.58</v>
          </cell>
          <cell r="CI215">
            <v>-1217969.08</v>
          </cell>
          <cell r="CJ215">
            <v>-0.57430580202686055</v>
          </cell>
          <cell r="CK215">
            <v>-0.71643258568859125</v>
          </cell>
          <cell r="CL215" t="str">
            <v/>
          </cell>
          <cell r="CM215" t="str">
            <v/>
          </cell>
          <cell r="CN215" t="str">
            <v/>
          </cell>
          <cell r="CO215" t="str">
            <v/>
          </cell>
          <cell r="CP215" t="str">
            <v/>
          </cell>
          <cell r="CQ215" t="str">
            <v/>
          </cell>
          <cell r="CR215" t="str">
            <v/>
          </cell>
          <cell r="CS215">
            <v>38292</v>
          </cell>
          <cell r="CT215" t="str">
            <v/>
          </cell>
          <cell r="CV215" t="str">
            <v/>
          </cell>
          <cell r="CW215" t="str">
            <v>CUSTOMER RELATIONSHIP MANAGEMENT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ging"/>
      <sheetName val="Macro"/>
      <sheetName val="Variable"/>
      <sheetName val="Bid_Information"/>
      <sheetName val="Input"/>
      <sheetName val="Monthly_Input"/>
      <sheetName val="Pricing"/>
      <sheetName val="Hourly_Price_By_Year"/>
      <sheetName val="Tiered_Pricing"/>
      <sheetName val="Billing_Sched"/>
      <sheetName val="Report"/>
      <sheetName val="Cost_Detail"/>
      <sheetName val="Tables"/>
      <sheetName val="Price_Grids"/>
      <sheetName val="Lite"/>
      <sheetName val="Blank_Sheet1"/>
      <sheetName val="Blank_Sheet2"/>
      <sheetName val="Blank_Sheet3"/>
      <sheetName val="billdata"/>
      <sheetName val="US_Report"/>
      <sheetName val="Currency_Report"/>
      <sheetName val="ModCurrInfl"/>
      <sheetName val="ModLoadTables"/>
      <sheetName val="Startup"/>
      <sheetName val="ModLinda"/>
      <sheetName val="modbijoorkbshortcuts"/>
      <sheetName val="modBidSetup"/>
      <sheetName val="modPopBidInfo"/>
      <sheetName val="modUtility"/>
      <sheetName val="modInit"/>
      <sheetName val="modbijoor"/>
      <sheetName val="modPaul"/>
      <sheetName val="modUpgrade"/>
      <sheetName val="ModUpdateLoc"/>
      <sheetName val="AutoUpdate"/>
    </sheetNames>
    <sheetDataSet>
      <sheetData sheetId="0" refreshError="1"/>
      <sheetData sheetId="1" refreshError="1"/>
      <sheetData sheetId="2" refreshError="1">
        <row r="3">
          <cell r="BF3" t="str">
            <v/>
          </cell>
        </row>
      </sheetData>
      <sheetData sheetId="3" refreshError="1">
        <row r="50">
          <cell r="D50" t="str">
            <v>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leas Data"/>
      <sheetName val="Forwards"/>
      <sheetName val="Mark to Budget"/>
    </sheetNames>
    <sheetDataSet>
      <sheetData sheetId="0" refreshError="1">
        <row r="2">
          <cell r="A2" t="str">
            <v>37356200401</v>
          </cell>
          <cell r="B2">
            <v>37356</v>
          </cell>
          <cell r="C2" t="str">
            <v>NG</v>
          </cell>
          <cell r="D2" t="str">
            <v>200401</v>
          </cell>
          <cell r="E2">
            <v>3.92</v>
          </cell>
        </row>
        <row r="3">
          <cell r="A3" t="str">
            <v>37356200402</v>
          </cell>
          <cell r="B3">
            <v>37356</v>
          </cell>
          <cell r="C3" t="str">
            <v>NG</v>
          </cell>
          <cell r="D3" t="str">
            <v>200402</v>
          </cell>
          <cell r="E3">
            <v>3.83</v>
          </cell>
        </row>
        <row r="4">
          <cell r="A4" t="str">
            <v>37356200403</v>
          </cell>
          <cell r="B4">
            <v>37356</v>
          </cell>
          <cell r="C4" t="str">
            <v>NG</v>
          </cell>
          <cell r="D4" t="str">
            <v>200403</v>
          </cell>
          <cell r="E4">
            <v>3.67</v>
          </cell>
        </row>
        <row r="5">
          <cell r="A5" t="str">
            <v>37356200404</v>
          </cell>
          <cell r="B5">
            <v>37356</v>
          </cell>
          <cell r="C5" t="str">
            <v>NG</v>
          </cell>
          <cell r="D5" t="str">
            <v>200404</v>
          </cell>
          <cell r="E5">
            <v>3.43</v>
          </cell>
        </row>
        <row r="6">
          <cell r="A6" t="str">
            <v>37356200405</v>
          </cell>
          <cell r="B6">
            <v>37356</v>
          </cell>
          <cell r="C6" t="str">
            <v>NG</v>
          </cell>
          <cell r="D6" t="str">
            <v>200405</v>
          </cell>
          <cell r="E6">
            <v>3.41</v>
          </cell>
        </row>
        <row r="7">
          <cell r="A7" t="str">
            <v>37356200406</v>
          </cell>
          <cell r="B7">
            <v>37356</v>
          </cell>
          <cell r="C7" t="str">
            <v>NG</v>
          </cell>
          <cell r="D7" t="str">
            <v>200406</v>
          </cell>
          <cell r="E7">
            <v>3.43</v>
          </cell>
        </row>
        <row r="8">
          <cell r="A8" t="str">
            <v>37356200407</v>
          </cell>
          <cell r="B8">
            <v>37356</v>
          </cell>
          <cell r="C8" t="str">
            <v>NG</v>
          </cell>
          <cell r="D8" t="str">
            <v>200407</v>
          </cell>
          <cell r="E8">
            <v>3.46</v>
          </cell>
        </row>
        <row r="9">
          <cell r="A9" t="str">
            <v>37356200408</v>
          </cell>
          <cell r="B9">
            <v>37356</v>
          </cell>
          <cell r="C9" t="str">
            <v>NG</v>
          </cell>
          <cell r="D9" t="str">
            <v>200408</v>
          </cell>
          <cell r="E9">
            <v>3.48</v>
          </cell>
        </row>
        <row r="10">
          <cell r="A10" t="str">
            <v>37356200409</v>
          </cell>
          <cell r="B10">
            <v>37356</v>
          </cell>
          <cell r="C10" t="str">
            <v>NG</v>
          </cell>
          <cell r="D10" t="str">
            <v>200409</v>
          </cell>
          <cell r="E10">
            <v>3.46</v>
          </cell>
        </row>
        <row r="11">
          <cell r="A11" t="str">
            <v>37356200410</v>
          </cell>
          <cell r="B11">
            <v>37356</v>
          </cell>
          <cell r="C11" t="str">
            <v>NG</v>
          </cell>
          <cell r="D11" t="str">
            <v>200410</v>
          </cell>
          <cell r="E11">
            <v>3.48</v>
          </cell>
        </row>
        <row r="12">
          <cell r="A12" t="str">
            <v>37356200411</v>
          </cell>
          <cell r="B12">
            <v>37356</v>
          </cell>
          <cell r="C12" t="str">
            <v>NG</v>
          </cell>
          <cell r="D12" t="str">
            <v>200411</v>
          </cell>
          <cell r="E12">
            <v>3.68</v>
          </cell>
        </row>
        <row r="13">
          <cell r="A13" t="str">
            <v>37356200412</v>
          </cell>
          <cell r="B13">
            <v>37356</v>
          </cell>
          <cell r="C13" t="str">
            <v>NG</v>
          </cell>
          <cell r="D13" t="str">
            <v>200412</v>
          </cell>
          <cell r="E13">
            <v>3.85</v>
          </cell>
        </row>
        <row r="14">
          <cell r="A14" t="str">
            <v>37357200401</v>
          </cell>
          <cell r="B14">
            <v>37357</v>
          </cell>
          <cell r="C14" t="str">
            <v>NG</v>
          </cell>
          <cell r="D14" t="str">
            <v>200401</v>
          </cell>
          <cell r="E14">
            <v>3.8610000000000002</v>
          </cell>
        </row>
        <row r="15">
          <cell r="A15" t="str">
            <v>37357200402</v>
          </cell>
          <cell r="B15">
            <v>37357</v>
          </cell>
          <cell r="C15" t="str">
            <v>NG</v>
          </cell>
          <cell r="D15" t="str">
            <v>200402</v>
          </cell>
          <cell r="E15">
            <v>3.7709999999999999</v>
          </cell>
        </row>
        <row r="16">
          <cell r="A16" t="str">
            <v>37357200403</v>
          </cell>
          <cell r="B16">
            <v>37357</v>
          </cell>
          <cell r="C16" t="str">
            <v>NG</v>
          </cell>
          <cell r="D16" t="str">
            <v>200403</v>
          </cell>
          <cell r="E16">
            <v>3.6309999999999998</v>
          </cell>
        </row>
        <row r="17">
          <cell r="A17" t="str">
            <v>37357200404</v>
          </cell>
          <cell r="B17">
            <v>37357</v>
          </cell>
          <cell r="C17" t="str">
            <v>NG</v>
          </cell>
          <cell r="D17" t="str">
            <v>200404</v>
          </cell>
          <cell r="E17">
            <v>3.3959999999999999</v>
          </cell>
        </row>
        <row r="18">
          <cell r="A18" t="str">
            <v>37357200405</v>
          </cell>
          <cell r="B18">
            <v>37357</v>
          </cell>
          <cell r="C18" t="str">
            <v>NG</v>
          </cell>
          <cell r="D18" t="str">
            <v>200405</v>
          </cell>
          <cell r="E18">
            <v>3.371</v>
          </cell>
        </row>
        <row r="19">
          <cell r="A19" t="str">
            <v>37357200406</v>
          </cell>
          <cell r="B19">
            <v>37357</v>
          </cell>
          <cell r="C19" t="str">
            <v>NG</v>
          </cell>
          <cell r="D19" t="str">
            <v>200406</v>
          </cell>
          <cell r="E19">
            <v>3.391</v>
          </cell>
        </row>
        <row r="20">
          <cell r="A20" t="str">
            <v>37357200407</v>
          </cell>
          <cell r="B20">
            <v>37357</v>
          </cell>
          <cell r="C20" t="str">
            <v>NG</v>
          </cell>
          <cell r="D20" t="str">
            <v>200407</v>
          </cell>
          <cell r="E20">
            <v>3.4209999999999998</v>
          </cell>
        </row>
        <row r="21">
          <cell r="A21" t="str">
            <v>37357200408</v>
          </cell>
          <cell r="B21">
            <v>37357</v>
          </cell>
          <cell r="C21" t="str">
            <v>NG</v>
          </cell>
          <cell r="D21" t="str">
            <v>200408</v>
          </cell>
          <cell r="E21">
            <v>3.4460000000000002</v>
          </cell>
        </row>
        <row r="22">
          <cell r="A22" t="str">
            <v>37357200409</v>
          </cell>
          <cell r="B22">
            <v>37357</v>
          </cell>
          <cell r="C22" t="str">
            <v>NG</v>
          </cell>
          <cell r="D22" t="str">
            <v>200409</v>
          </cell>
          <cell r="E22">
            <v>3.4260000000000002</v>
          </cell>
        </row>
        <row r="23">
          <cell r="A23" t="str">
            <v>37357200410</v>
          </cell>
          <cell r="B23">
            <v>37357</v>
          </cell>
          <cell r="C23" t="str">
            <v>NG</v>
          </cell>
          <cell r="D23" t="str">
            <v>200410</v>
          </cell>
          <cell r="E23">
            <v>3.4260000000000002</v>
          </cell>
        </row>
        <row r="24">
          <cell r="A24" t="str">
            <v>37357200411</v>
          </cell>
          <cell r="B24">
            <v>37357</v>
          </cell>
          <cell r="C24" t="str">
            <v>NG</v>
          </cell>
          <cell r="D24" t="str">
            <v>200411</v>
          </cell>
          <cell r="E24">
            <v>3.6160000000000001</v>
          </cell>
        </row>
        <row r="25">
          <cell r="A25" t="str">
            <v>37357200412</v>
          </cell>
          <cell r="B25">
            <v>37357</v>
          </cell>
          <cell r="C25" t="str">
            <v>NG</v>
          </cell>
          <cell r="D25" t="str">
            <v>200412</v>
          </cell>
          <cell r="E25">
            <v>3.786</v>
          </cell>
        </row>
        <row r="26">
          <cell r="A26" t="str">
            <v>37358200401</v>
          </cell>
          <cell r="B26">
            <v>37358</v>
          </cell>
          <cell r="C26" t="str">
            <v>NG</v>
          </cell>
          <cell r="D26" t="str">
            <v>200401</v>
          </cell>
          <cell r="E26">
            <v>3.8929999999999998</v>
          </cell>
        </row>
        <row r="27">
          <cell r="A27" t="str">
            <v>37358200402</v>
          </cell>
          <cell r="B27">
            <v>37358</v>
          </cell>
          <cell r="C27" t="str">
            <v>NG</v>
          </cell>
          <cell r="D27" t="str">
            <v>200402</v>
          </cell>
          <cell r="E27">
            <v>3.7930000000000001</v>
          </cell>
        </row>
        <row r="28">
          <cell r="A28" t="str">
            <v>37358200403</v>
          </cell>
          <cell r="B28">
            <v>37358</v>
          </cell>
          <cell r="C28" t="str">
            <v>NG</v>
          </cell>
          <cell r="D28" t="str">
            <v>200403</v>
          </cell>
          <cell r="E28">
            <v>3.6480000000000001</v>
          </cell>
        </row>
        <row r="29">
          <cell r="A29" t="str">
            <v>37358200404</v>
          </cell>
          <cell r="B29">
            <v>37358</v>
          </cell>
          <cell r="C29" t="str">
            <v>NG</v>
          </cell>
          <cell r="D29" t="str">
            <v>200404</v>
          </cell>
          <cell r="E29">
            <v>3.403</v>
          </cell>
        </row>
        <row r="30">
          <cell r="A30" t="str">
            <v>37358200405</v>
          </cell>
          <cell r="B30">
            <v>37358</v>
          </cell>
          <cell r="C30" t="str">
            <v>NG</v>
          </cell>
          <cell r="D30" t="str">
            <v>200405</v>
          </cell>
          <cell r="E30">
            <v>3.3679999999999999</v>
          </cell>
        </row>
        <row r="31">
          <cell r="A31" t="str">
            <v>37358200406</v>
          </cell>
          <cell r="B31">
            <v>37358</v>
          </cell>
          <cell r="C31" t="str">
            <v>NG</v>
          </cell>
          <cell r="D31" t="str">
            <v>200406</v>
          </cell>
          <cell r="E31">
            <v>3.3879999999999999</v>
          </cell>
        </row>
        <row r="32">
          <cell r="A32" t="str">
            <v>37358200407</v>
          </cell>
          <cell r="B32">
            <v>37358</v>
          </cell>
          <cell r="C32" t="str">
            <v>NG</v>
          </cell>
          <cell r="D32" t="str">
            <v>200407</v>
          </cell>
          <cell r="E32">
            <v>3.4180000000000001</v>
          </cell>
        </row>
        <row r="33">
          <cell r="A33" t="str">
            <v>37358200408</v>
          </cell>
          <cell r="B33">
            <v>37358</v>
          </cell>
          <cell r="C33" t="str">
            <v>NG</v>
          </cell>
          <cell r="D33" t="str">
            <v>200408</v>
          </cell>
          <cell r="E33">
            <v>3.4529999999999998</v>
          </cell>
        </row>
        <row r="34">
          <cell r="A34" t="str">
            <v>37358200409</v>
          </cell>
          <cell r="B34">
            <v>37358</v>
          </cell>
          <cell r="C34" t="str">
            <v>NG</v>
          </cell>
          <cell r="D34" t="str">
            <v>200409</v>
          </cell>
          <cell r="E34">
            <v>3.4430000000000001</v>
          </cell>
        </row>
        <row r="35">
          <cell r="A35" t="str">
            <v>37358200410</v>
          </cell>
          <cell r="B35">
            <v>37358</v>
          </cell>
          <cell r="C35" t="str">
            <v>NG</v>
          </cell>
          <cell r="D35" t="str">
            <v>200410</v>
          </cell>
          <cell r="E35">
            <v>3.4329999999999998</v>
          </cell>
        </row>
        <row r="36">
          <cell r="A36" t="str">
            <v>37358200411</v>
          </cell>
          <cell r="B36">
            <v>37358</v>
          </cell>
          <cell r="C36" t="str">
            <v>NG</v>
          </cell>
          <cell r="D36" t="str">
            <v>200411</v>
          </cell>
          <cell r="E36">
            <v>3.6230000000000002</v>
          </cell>
        </row>
        <row r="37">
          <cell r="A37" t="str">
            <v>37358200412</v>
          </cell>
          <cell r="B37">
            <v>37358</v>
          </cell>
          <cell r="C37" t="str">
            <v>NG</v>
          </cell>
          <cell r="D37" t="str">
            <v>200412</v>
          </cell>
          <cell r="E37">
            <v>3.7930000000000001</v>
          </cell>
        </row>
        <row r="38">
          <cell r="A38" t="str">
            <v>37257200401</v>
          </cell>
          <cell r="B38">
            <v>37257</v>
          </cell>
          <cell r="C38" t="str">
            <v>NG</v>
          </cell>
          <cell r="D38" t="str">
            <v>200401</v>
          </cell>
          <cell r="E38">
            <v>3.528</v>
          </cell>
        </row>
        <row r="39">
          <cell r="A39" t="str">
            <v>37257200402</v>
          </cell>
          <cell r="B39">
            <v>37257</v>
          </cell>
          <cell r="C39" t="str">
            <v>NG</v>
          </cell>
          <cell r="D39" t="str">
            <v>200402</v>
          </cell>
          <cell r="E39">
            <v>3.4369999999999998</v>
          </cell>
        </row>
        <row r="40">
          <cell r="A40" t="str">
            <v>37257200403</v>
          </cell>
          <cell r="B40">
            <v>37257</v>
          </cell>
          <cell r="C40" t="str">
            <v>NG</v>
          </cell>
          <cell r="D40" t="str">
            <v>200403</v>
          </cell>
          <cell r="E40">
            <v>3.3370000000000002</v>
          </cell>
        </row>
        <row r="41">
          <cell r="A41" t="str">
            <v>37257200404</v>
          </cell>
          <cell r="B41">
            <v>37257</v>
          </cell>
          <cell r="C41" t="str">
            <v>NG</v>
          </cell>
          <cell r="D41" t="str">
            <v>200404</v>
          </cell>
          <cell r="E41">
            <v>3.1549999999999998</v>
          </cell>
        </row>
        <row r="42">
          <cell r="A42" t="str">
            <v>37257200405</v>
          </cell>
          <cell r="B42">
            <v>37257</v>
          </cell>
          <cell r="C42" t="str">
            <v>NG</v>
          </cell>
          <cell r="D42" t="str">
            <v>200405</v>
          </cell>
          <cell r="E42">
            <v>3.1579999999999999</v>
          </cell>
        </row>
        <row r="43">
          <cell r="A43" t="str">
            <v>37257200406</v>
          </cell>
          <cell r="B43">
            <v>37257</v>
          </cell>
          <cell r="C43" t="str">
            <v>NG</v>
          </cell>
          <cell r="D43" t="str">
            <v>200406</v>
          </cell>
          <cell r="E43">
            <v>3.198</v>
          </cell>
        </row>
        <row r="44">
          <cell r="A44" t="str">
            <v>37257200407</v>
          </cell>
          <cell r="B44">
            <v>37257</v>
          </cell>
          <cell r="C44" t="str">
            <v>NG</v>
          </cell>
          <cell r="D44" t="str">
            <v>200407</v>
          </cell>
          <cell r="E44">
            <v>3.238</v>
          </cell>
        </row>
        <row r="45">
          <cell r="A45" t="str">
            <v>37257200408</v>
          </cell>
          <cell r="B45">
            <v>37257</v>
          </cell>
          <cell r="C45" t="str">
            <v>NG</v>
          </cell>
          <cell r="D45" t="str">
            <v>200408</v>
          </cell>
          <cell r="E45">
            <v>3.2879999999999998</v>
          </cell>
        </row>
        <row r="46">
          <cell r="A46" t="str">
            <v>37257200409</v>
          </cell>
          <cell r="B46">
            <v>37257</v>
          </cell>
          <cell r="C46" t="str">
            <v>NG</v>
          </cell>
          <cell r="D46" t="str">
            <v>200409</v>
          </cell>
          <cell r="E46">
            <v>3.2730000000000001</v>
          </cell>
        </row>
        <row r="47">
          <cell r="A47" t="str">
            <v>37257200410</v>
          </cell>
          <cell r="B47">
            <v>37257</v>
          </cell>
          <cell r="C47" t="str">
            <v>NG</v>
          </cell>
          <cell r="D47" t="str">
            <v>200410</v>
          </cell>
          <cell r="E47">
            <v>3.2879999999999998</v>
          </cell>
        </row>
        <row r="48">
          <cell r="A48" t="str">
            <v>37257200411</v>
          </cell>
          <cell r="B48">
            <v>37257</v>
          </cell>
          <cell r="C48" t="str">
            <v>NG</v>
          </cell>
          <cell r="D48" t="str">
            <v>200411</v>
          </cell>
          <cell r="E48">
            <v>3.4329999999999998</v>
          </cell>
        </row>
        <row r="49">
          <cell r="A49" t="str">
            <v>37257200412</v>
          </cell>
          <cell r="B49">
            <v>37257</v>
          </cell>
          <cell r="C49" t="str">
            <v>NG</v>
          </cell>
          <cell r="D49" t="str">
            <v>200412</v>
          </cell>
          <cell r="E49">
            <v>3.5680000000000001</v>
          </cell>
        </row>
        <row r="50">
          <cell r="A50" t="str">
            <v>37258200401</v>
          </cell>
          <cell r="B50">
            <v>37258</v>
          </cell>
          <cell r="C50" t="str">
            <v>NG</v>
          </cell>
          <cell r="D50" t="str">
            <v>200401</v>
          </cell>
          <cell r="E50">
            <v>3.45</v>
          </cell>
        </row>
        <row r="51">
          <cell r="A51" t="str">
            <v>37258200402</v>
          </cell>
          <cell r="B51">
            <v>37258</v>
          </cell>
          <cell r="C51" t="str">
            <v>NG</v>
          </cell>
          <cell r="D51" t="str">
            <v>200402</v>
          </cell>
          <cell r="E51">
            <v>3.3559999999999999</v>
          </cell>
        </row>
        <row r="52">
          <cell r="A52" t="str">
            <v>37258200403</v>
          </cell>
          <cell r="B52">
            <v>37258</v>
          </cell>
          <cell r="C52" t="str">
            <v>NG</v>
          </cell>
          <cell r="D52" t="str">
            <v>200403</v>
          </cell>
          <cell r="E52">
            <v>3.2559999999999998</v>
          </cell>
        </row>
        <row r="53">
          <cell r="A53" t="str">
            <v>37258200404</v>
          </cell>
          <cell r="B53">
            <v>37258</v>
          </cell>
          <cell r="C53" t="str">
            <v>NG</v>
          </cell>
          <cell r="D53" t="str">
            <v>200404</v>
          </cell>
          <cell r="E53">
            <v>3.0739999999999998</v>
          </cell>
        </row>
        <row r="54">
          <cell r="A54" t="str">
            <v>37258200405</v>
          </cell>
          <cell r="B54">
            <v>37258</v>
          </cell>
          <cell r="C54" t="str">
            <v>NG</v>
          </cell>
          <cell r="D54" t="str">
            <v>200405</v>
          </cell>
          <cell r="E54">
            <v>3.077</v>
          </cell>
        </row>
        <row r="55">
          <cell r="A55" t="str">
            <v>37258200406</v>
          </cell>
          <cell r="B55">
            <v>37258</v>
          </cell>
          <cell r="C55" t="str">
            <v>NG</v>
          </cell>
          <cell r="D55" t="str">
            <v>200406</v>
          </cell>
          <cell r="E55">
            <v>3.117</v>
          </cell>
        </row>
        <row r="56">
          <cell r="A56" t="str">
            <v>37258200407</v>
          </cell>
          <cell r="B56">
            <v>37258</v>
          </cell>
          <cell r="C56" t="str">
            <v>NG</v>
          </cell>
          <cell r="D56" t="str">
            <v>200407</v>
          </cell>
          <cell r="E56">
            <v>3.157</v>
          </cell>
        </row>
        <row r="57">
          <cell r="A57" t="str">
            <v>37258200408</v>
          </cell>
          <cell r="B57">
            <v>37258</v>
          </cell>
          <cell r="C57" t="str">
            <v>NG</v>
          </cell>
          <cell r="D57" t="str">
            <v>200408</v>
          </cell>
          <cell r="E57">
            <v>3.2069999999999999</v>
          </cell>
        </row>
        <row r="58">
          <cell r="A58" t="str">
            <v>37258200409</v>
          </cell>
          <cell r="B58">
            <v>37258</v>
          </cell>
          <cell r="C58" t="str">
            <v>NG</v>
          </cell>
          <cell r="D58" t="str">
            <v>200409</v>
          </cell>
          <cell r="E58">
            <v>3.1920000000000002</v>
          </cell>
        </row>
        <row r="59">
          <cell r="A59" t="str">
            <v>37258200410</v>
          </cell>
          <cell r="B59">
            <v>37258</v>
          </cell>
          <cell r="C59" t="str">
            <v>NG</v>
          </cell>
          <cell r="D59" t="str">
            <v>200410</v>
          </cell>
          <cell r="E59">
            <v>3.2069999999999999</v>
          </cell>
        </row>
        <row r="60">
          <cell r="A60" t="str">
            <v>37258200411</v>
          </cell>
          <cell r="B60">
            <v>37258</v>
          </cell>
          <cell r="C60" t="str">
            <v>NG</v>
          </cell>
          <cell r="D60" t="str">
            <v>200411</v>
          </cell>
          <cell r="E60">
            <v>3.3519999999999999</v>
          </cell>
        </row>
        <row r="61">
          <cell r="A61" t="str">
            <v>37258200412</v>
          </cell>
          <cell r="B61">
            <v>37258</v>
          </cell>
          <cell r="C61" t="str">
            <v>NG</v>
          </cell>
          <cell r="D61" t="str">
            <v>200412</v>
          </cell>
          <cell r="E61">
            <v>3.4870000000000001</v>
          </cell>
        </row>
        <row r="62">
          <cell r="A62" t="str">
            <v>37259200401</v>
          </cell>
          <cell r="B62">
            <v>37259</v>
          </cell>
          <cell r="C62" t="str">
            <v>NG</v>
          </cell>
          <cell r="D62" t="str">
            <v>200401</v>
          </cell>
          <cell r="E62">
            <v>3.395</v>
          </cell>
        </row>
        <row r="63">
          <cell r="A63" t="str">
            <v>37259200402</v>
          </cell>
          <cell r="B63">
            <v>37259</v>
          </cell>
          <cell r="C63" t="str">
            <v>NG</v>
          </cell>
          <cell r="D63" t="str">
            <v>200402</v>
          </cell>
          <cell r="E63">
            <v>3.3010000000000002</v>
          </cell>
        </row>
        <row r="64">
          <cell r="A64" t="str">
            <v>37259200403</v>
          </cell>
          <cell r="B64">
            <v>37259</v>
          </cell>
          <cell r="C64" t="str">
            <v>NG</v>
          </cell>
          <cell r="D64" t="str">
            <v>200403</v>
          </cell>
          <cell r="E64">
            <v>3.2010000000000001</v>
          </cell>
        </row>
        <row r="65">
          <cell r="A65" t="str">
            <v>37259200404</v>
          </cell>
          <cell r="B65">
            <v>37259</v>
          </cell>
          <cell r="C65" t="str">
            <v>NG</v>
          </cell>
          <cell r="D65" t="str">
            <v>200404</v>
          </cell>
          <cell r="E65">
            <v>3.0310000000000001</v>
          </cell>
        </row>
        <row r="66">
          <cell r="A66" t="str">
            <v>37259200405</v>
          </cell>
          <cell r="B66">
            <v>37259</v>
          </cell>
          <cell r="C66" t="str">
            <v>NG</v>
          </cell>
          <cell r="D66" t="str">
            <v>200405</v>
          </cell>
          <cell r="E66">
            <v>3.0339999999999998</v>
          </cell>
        </row>
        <row r="67">
          <cell r="A67" t="str">
            <v>37259200406</v>
          </cell>
          <cell r="B67">
            <v>37259</v>
          </cell>
          <cell r="C67" t="str">
            <v>NG</v>
          </cell>
          <cell r="D67" t="str">
            <v>200406</v>
          </cell>
          <cell r="E67">
            <v>3.0739999999999998</v>
          </cell>
        </row>
        <row r="68">
          <cell r="A68" t="str">
            <v>37259200407</v>
          </cell>
          <cell r="B68">
            <v>37259</v>
          </cell>
          <cell r="C68" t="str">
            <v>NG</v>
          </cell>
          <cell r="D68" t="str">
            <v>200407</v>
          </cell>
          <cell r="E68">
            <v>3.1139999999999999</v>
          </cell>
        </row>
        <row r="69">
          <cell r="A69" t="str">
            <v>37259200408</v>
          </cell>
          <cell r="B69">
            <v>37259</v>
          </cell>
          <cell r="C69" t="str">
            <v>NG</v>
          </cell>
          <cell r="D69" t="str">
            <v>200408</v>
          </cell>
          <cell r="E69">
            <v>3.1640000000000001</v>
          </cell>
        </row>
        <row r="70">
          <cell r="A70" t="str">
            <v>37259200409</v>
          </cell>
          <cell r="B70">
            <v>37259</v>
          </cell>
          <cell r="C70" t="str">
            <v>NG</v>
          </cell>
          <cell r="D70" t="str">
            <v>200409</v>
          </cell>
          <cell r="E70">
            <v>3.149</v>
          </cell>
        </row>
        <row r="71">
          <cell r="A71" t="str">
            <v>37259200410</v>
          </cell>
          <cell r="B71">
            <v>37259</v>
          </cell>
          <cell r="C71" t="str">
            <v>NG</v>
          </cell>
          <cell r="D71" t="str">
            <v>200410</v>
          </cell>
          <cell r="E71">
            <v>3.1640000000000001</v>
          </cell>
        </row>
        <row r="72">
          <cell r="A72" t="str">
            <v>37259200411</v>
          </cell>
          <cell r="B72">
            <v>37259</v>
          </cell>
          <cell r="C72" t="str">
            <v>NG</v>
          </cell>
          <cell r="D72" t="str">
            <v>200411</v>
          </cell>
          <cell r="E72">
            <v>3.3090000000000002</v>
          </cell>
        </row>
        <row r="73">
          <cell r="A73" t="str">
            <v>37259200412</v>
          </cell>
          <cell r="B73">
            <v>37259</v>
          </cell>
          <cell r="C73" t="str">
            <v>NG</v>
          </cell>
          <cell r="D73" t="str">
            <v>200412</v>
          </cell>
          <cell r="E73">
            <v>3.444</v>
          </cell>
        </row>
        <row r="74">
          <cell r="A74" t="str">
            <v>37260200401</v>
          </cell>
          <cell r="B74">
            <v>37260</v>
          </cell>
          <cell r="C74" t="str">
            <v>NG</v>
          </cell>
          <cell r="D74" t="str">
            <v>200401</v>
          </cell>
          <cell r="E74">
            <v>3.444</v>
          </cell>
        </row>
        <row r="75">
          <cell r="A75" t="str">
            <v>37260200402</v>
          </cell>
          <cell r="B75">
            <v>37260</v>
          </cell>
          <cell r="C75" t="str">
            <v>NG</v>
          </cell>
          <cell r="D75" t="str">
            <v>200402</v>
          </cell>
          <cell r="E75">
            <v>3.35</v>
          </cell>
        </row>
        <row r="76">
          <cell r="A76" t="str">
            <v>37260200403</v>
          </cell>
          <cell r="B76">
            <v>37260</v>
          </cell>
          <cell r="C76" t="str">
            <v>NG</v>
          </cell>
          <cell r="D76" t="str">
            <v>200403</v>
          </cell>
          <cell r="E76">
            <v>3.25</v>
          </cell>
        </row>
        <row r="77">
          <cell r="A77" t="str">
            <v>37260200404</v>
          </cell>
          <cell r="B77">
            <v>37260</v>
          </cell>
          <cell r="C77" t="str">
            <v>NG</v>
          </cell>
          <cell r="D77" t="str">
            <v>200404</v>
          </cell>
          <cell r="E77">
            <v>3.08</v>
          </cell>
        </row>
        <row r="78">
          <cell r="A78" t="str">
            <v>37260200405</v>
          </cell>
          <cell r="B78">
            <v>37260</v>
          </cell>
          <cell r="C78" t="str">
            <v>NG</v>
          </cell>
          <cell r="D78" t="str">
            <v>200405</v>
          </cell>
          <cell r="E78">
            <v>3.0830000000000002</v>
          </cell>
        </row>
        <row r="79">
          <cell r="A79" t="str">
            <v>37260200406</v>
          </cell>
          <cell r="B79">
            <v>37260</v>
          </cell>
          <cell r="C79" t="str">
            <v>NG</v>
          </cell>
          <cell r="D79" t="str">
            <v>200406</v>
          </cell>
          <cell r="E79">
            <v>3.1230000000000002</v>
          </cell>
        </row>
        <row r="80">
          <cell r="A80" t="str">
            <v>37260200407</v>
          </cell>
          <cell r="B80">
            <v>37260</v>
          </cell>
          <cell r="C80" t="str">
            <v>NG</v>
          </cell>
          <cell r="D80" t="str">
            <v>200407</v>
          </cell>
          <cell r="E80">
            <v>3.1629999999999998</v>
          </cell>
        </row>
        <row r="81">
          <cell r="A81" t="str">
            <v>37260200408</v>
          </cell>
          <cell r="B81">
            <v>37260</v>
          </cell>
          <cell r="C81" t="str">
            <v>NG</v>
          </cell>
          <cell r="D81" t="str">
            <v>200408</v>
          </cell>
          <cell r="E81">
            <v>3.2130000000000001</v>
          </cell>
        </row>
        <row r="82">
          <cell r="A82" t="str">
            <v>37260200409</v>
          </cell>
          <cell r="B82">
            <v>37260</v>
          </cell>
          <cell r="C82" t="str">
            <v>NG</v>
          </cell>
          <cell r="D82" t="str">
            <v>200409</v>
          </cell>
          <cell r="E82">
            <v>3.198</v>
          </cell>
        </row>
        <row r="83">
          <cell r="A83" t="str">
            <v>37260200410</v>
          </cell>
          <cell r="B83">
            <v>37260</v>
          </cell>
          <cell r="C83" t="str">
            <v>NG</v>
          </cell>
          <cell r="D83" t="str">
            <v>200410</v>
          </cell>
          <cell r="E83">
            <v>3.2130000000000001</v>
          </cell>
        </row>
        <row r="84">
          <cell r="A84" t="str">
            <v>37260200411</v>
          </cell>
          <cell r="B84">
            <v>37260</v>
          </cell>
          <cell r="C84" t="str">
            <v>NG</v>
          </cell>
          <cell r="D84" t="str">
            <v>200411</v>
          </cell>
          <cell r="E84">
            <v>3.3580000000000001</v>
          </cell>
        </row>
        <row r="85">
          <cell r="A85" t="str">
            <v>37260200412</v>
          </cell>
          <cell r="B85">
            <v>37260</v>
          </cell>
          <cell r="C85" t="str">
            <v>NG</v>
          </cell>
          <cell r="D85" t="str">
            <v>200412</v>
          </cell>
          <cell r="E85">
            <v>3.4929999999999999</v>
          </cell>
        </row>
        <row r="86">
          <cell r="A86" t="str">
            <v>37261200401</v>
          </cell>
          <cell r="B86">
            <v>37261</v>
          </cell>
          <cell r="C86" t="str">
            <v>NG</v>
          </cell>
          <cell r="D86" t="str">
            <v>200401</v>
          </cell>
          <cell r="E86">
            <v>3.444</v>
          </cell>
        </row>
        <row r="87">
          <cell r="A87" t="str">
            <v>37261200402</v>
          </cell>
          <cell r="B87">
            <v>37261</v>
          </cell>
          <cell r="C87" t="str">
            <v>NG</v>
          </cell>
          <cell r="D87" t="str">
            <v>200402</v>
          </cell>
          <cell r="E87">
            <v>3.35</v>
          </cell>
        </row>
        <row r="88">
          <cell r="A88" t="str">
            <v>37261200403</v>
          </cell>
          <cell r="B88">
            <v>37261</v>
          </cell>
          <cell r="C88" t="str">
            <v>NG</v>
          </cell>
          <cell r="D88" t="str">
            <v>200403</v>
          </cell>
          <cell r="E88">
            <v>3.25</v>
          </cell>
        </row>
        <row r="89">
          <cell r="A89" t="str">
            <v>37261200404</v>
          </cell>
          <cell r="B89">
            <v>37261</v>
          </cell>
          <cell r="C89" t="str">
            <v>NG</v>
          </cell>
          <cell r="D89" t="str">
            <v>200404</v>
          </cell>
          <cell r="E89">
            <v>3.08</v>
          </cell>
        </row>
        <row r="90">
          <cell r="A90" t="str">
            <v>37261200405</v>
          </cell>
          <cell r="B90">
            <v>37261</v>
          </cell>
          <cell r="C90" t="str">
            <v>NG</v>
          </cell>
          <cell r="D90" t="str">
            <v>200405</v>
          </cell>
          <cell r="E90">
            <v>3.0830000000000002</v>
          </cell>
        </row>
        <row r="91">
          <cell r="A91" t="str">
            <v>37261200406</v>
          </cell>
          <cell r="B91">
            <v>37261</v>
          </cell>
          <cell r="C91" t="str">
            <v>NG</v>
          </cell>
          <cell r="D91" t="str">
            <v>200406</v>
          </cell>
          <cell r="E91">
            <v>3.1230000000000002</v>
          </cell>
        </row>
        <row r="92">
          <cell r="A92" t="str">
            <v>37261200407</v>
          </cell>
          <cell r="B92">
            <v>37261</v>
          </cell>
          <cell r="C92" t="str">
            <v>NG</v>
          </cell>
          <cell r="D92" t="str">
            <v>200407</v>
          </cell>
          <cell r="E92">
            <v>3.1629999999999998</v>
          </cell>
        </row>
        <row r="93">
          <cell r="A93" t="str">
            <v>37261200408</v>
          </cell>
          <cell r="B93">
            <v>37261</v>
          </cell>
          <cell r="C93" t="str">
            <v>NG</v>
          </cell>
          <cell r="D93" t="str">
            <v>200408</v>
          </cell>
          <cell r="E93">
            <v>3.2130000000000001</v>
          </cell>
        </row>
        <row r="94">
          <cell r="A94" t="str">
            <v>37261200409</v>
          </cell>
          <cell r="B94">
            <v>37261</v>
          </cell>
          <cell r="C94" t="str">
            <v>NG</v>
          </cell>
          <cell r="D94" t="str">
            <v>200409</v>
          </cell>
          <cell r="E94">
            <v>3.198</v>
          </cell>
        </row>
        <row r="95">
          <cell r="A95" t="str">
            <v>37261200410</v>
          </cell>
          <cell r="B95">
            <v>37261</v>
          </cell>
          <cell r="C95" t="str">
            <v>NG</v>
          </cell>
          <cell r="D95" t="str">
            <v>200410</v>
          </cell>
          <cell r="E95">
            <v>3.2130000000000001</v>
          </cell>
        </row>
        <row r="96">
          <cell r="A96" t="str">
            <v>37261200411</v>
          </cell>
          <cell r="B96">
            <v>37261</v>
          </cell>
          <cell r="C96" t="str">
            <v>NG</v>
          </cell>
          <cell r="D96" t="str">
            <v>200411</v>
          </cell>
          <cell r="E96">
            <v>3.3580000000000001</v>
          </cell>
        </row>
        <row r="97">
          <cell r="A97" t="str">
            <v>37261200412</v>
          </cell>
          <cell r="B97">
            <v>37261</v>
          </cell>
          <cell r="C97" t="str">
            <v>NG</v>
          </cell>
          <cell r="D97" t="str">
            <v>200412</v>
          </cell>
          <cell r="E97">
            <v>3.4929999999999999</v>
          </cell>
        </row>
        <row r="98">
          <cell r="A98" t="str">
            <v>37262200401</v>
          </cell>
          <cell r="B98">
            <v>37262</v>
          </cell>
          <cell r="C98" t="str">
            <v>NG</v>
          </cell>
          <cell r="D98" t="str">
            <v>200401</v>
          </cell>
          <cell r="E98">
            <v>3.444</v>
          </cell>
        </row>
        <row r="99">
          <cell r="A99" t="str">
            <v>37262200402</v>
          </cell>
          <cell r="B99">
            <v>37262</v>
          </cell>
          <cell r="C99" t="str">
            <v>NG</v>
          </cell>
          <cell r="D99" t="str">
            <v>200402</v>
          </cell>
          <cell r="E99">
            <v>3.35</v>
          </cell>
        </row>
        <row r="100">
          <cell r="A100" t="str">
            <v>37262200403</v>
          </cell>
          <cell r="B100">
            <v>37262</v>
          </cell>
          <cell r="C100" t="str">
            <v>NG</v>
          </cell>
          <cell r="D100" t="str">
            <v>200403</v>
          </cell>
          <cell r="E100">
            <v>3.25</v>
          </cell>
        </row>
        <row r="101">
          <cell r="A101" t="str">
            <v>37262200404</v>
          </cell>
          <cell r="B101">
            <v>37262</v>
          </cell>
          <cell r="C101" t="str">
            <v>NG</v>
          </cell>
          <cell r="D101" t="str">
            <v>200404</v>
          </cell>
          <cell r="E101">
            <v>3.08</v>
          </cell>
        </row>
        <row r="102">
          <cell r="A102" t="str">
            <v>37262200405</v>
          </cell>
          <cell r="B102">
            <v>37262</v>
          </cell>
          <cell r="C102" t="str">
            <v>NG</v>
          </cell>
          <cell r="D102" t="str">
            <v>200405</v>
          </cell>
          <cell r="E102">
            <v>3.0830000000000002</v>
          </cell>
        </row>
        <row r="103">
          <cell r="A103" t="str">
            <v>37262200406</v>
          </cell>
          <cell r="B103">
            <v>37262</v>
          </cell>
          <cell r="C103" t="str">
            <v>NG</v>
          </cell>
          <cell r="D103" t="str">
            <v>200406</v>
          </cell>
          <cell r="E103">
            <v>3.1230000000000002</v>
          </cell>
        </row>
        <row r="104">
          <cell r="A104" t="str">
            <v>37262200407</v>
          </cell>
          <cell r="B104">
            <v>37262</v>
          </cell>
          <cell r="C104" t="str">
            <v>NG</v>
          </cell>
          <cell r="D104" t="str">
            <v>200407</v>
          </cell>
          <cell r="E104">
            <v>3.1629999999999998</v>
          </cell>
        </row>
        <row r="105">
          <cell r="A105" t="str">
            <v>37262200408</v>
          </cell>
          <cell r="B105">
            <v>37262</v>
          </cell>
          <cell r="C105" t="str">
            <v>NG</v>
          </cell>
          <cell r="D105" t="str">
            <v>200408</v>
          </cell>
          <cell r="E105">
            <v>3.2130000000000001</v>
          </cell>
        </row>
        <row r="106">
          <cell r="A106" t="str">
            <v>37262200409</v>
          </cell>
          <cell r="B106">
            <v>37262</v>
          </cell>
          <cell r="C106" t="str">
            <v>NG</v>
          </cell>
          <cell r="D106" t="str">
            <v>200409</v>
          </cell>
          <cell r="E106">
            <v>3.198</v>
          </cell>
        </row>
        <row r="107">
          <cell r="A107" t="str">
            <v>37262200410</v>
          </cell>
          <cell r="B107">
            <v>37262</v>
          </cell>
          <cell r="C107" t="str">
            <v>NG</v>
          </cell>
          <cell r="D107" t="str">
            <v>200410</v>
          </cell>
          <cell r="E107">
            <v>3.2130000000000001</v>
          </cell>
        </row>
        <row r="108">
          <cell r="A108" t="str">
            <v>37262200411</v>
          </cell>
          <cell r="B108">
            <v>37262</v>
          </cell>
          <cell r="C108" t="str">
            <v>NG</v>
          </cell>
          <cell r="D108" t="str">
            <v>200411</v>
          </cell>
          <cell r="E108">
            <v>3.3580000000000001</v>
          </cell>
        </row>
        <row r="109">
          <cell r="A109" t="str">
            <v>37262200412</v>
          </cell>
          <cell r="B109">
            <v>37262</v>
          </cell>
          <cell r="C109" t="str">
            <v>NG</v>
          </cell>
          <cell r="D109" t="str">
            <v>200412</v>
          </cell>
          <cell r="E109">
            <v>3.4929999999999999</v>
          </cell>
        </row>
        <row r="110">
          <cell r="A110" t="str">
            <v>37263200401</v>
          </cell>
          <cell r="B110">
            <v>37263</v>
          </cell>
          <cell r="C110" t="str">
            <v>NG</v>
          </cell>
          <cell r="D110" t="str">
            <v>200401</v>
          </cell>
          <cell r="E110">
            <v>3.4470000000000001</v>
          </cell>
        </row>
        <row r="111">
          <cell r="A111" t="str">
            <v>37263200402</v>
          </cell>
          <cell r="B111">
            <v>37263</v>
          </cell>
          <cell r="C111" t="str">
            <v>NG</v>
          </cell>
          <cell r="D111" t="str">
            <v>200402</v>
          </cell>
          <cell r="E111">
            <v>3.3519999999999999</v>
          </cell>
        </row>
        <row r="112">
          <cell r="A112" t="str">
            <v>37263200403</v>
          </cell>
          <cell r="B112">
            <v>37263</v>
          </cell>
          <cell r="C112" t="str">
            <v>NG</v>
          </cell>
          <cell r="D112" t="str">
            <v>200403</v>
          </cell>
          <cell r="E112">
            <v>3.25</v>
          </cell>
        </row>
        <row r="113">
          <cell r="A113" t="str">
            <v>37263200404</v>
          </cell>
          <cell r="B113">
            <v>37263</v>
          </cell>
          <cell r="C113" t="str">
            <v>NG</v>
          </cell>
          <cell r="D113" t="str">
            <v>200404</v>
          </cell>
          <cell r="E113">
            <v>3.0779999999999998</v>
          </cell>
        </row>
        <row r="114">
          <cell r="A114" t="str">
            <v>37263200405</v>
          </cell>
          <cell r="B114">
            <v>37263</v>
          </cell>
          <cell r="C114" t="str">
            <v>NG</v>
          </cell>
          <cell r="D114" t="str">
            <v>200405</v>
          </cell>
          <cell r="E114">
            <v>3.081</v>
          </cell>
        </row>
        <row r="115">
          <cell r="A115" t="str">
            <v>37263200406</v>
          </cell>
          <cell r="B115">
            <v>37263</v>
          </cell>
          <cell r="C115" t="str">
            <v>NG</v>
          </cell>
          <cell r="D115" t="str">
            <v>200406</v>
          </cell>
          <cell r="E115">
            <v>3.121</v>
          </cell>
        </row>
        <row r="116">
          <cell r="A116" t="str">
            <v>37263200407</v>
          </cell>
          <cell r="B116">
            <v>37263</v>
          </cell>
          <cell r="C116" t="str">
            <v>NG</v>
          </cell>
          <cell r="D116" t="str">
            <v>200407</v>
          </cell>
          <cell r="E116">
            <v>3.165</v>
          </cell>
        </row>
        <row r="117">
          <cell r="A117" t="str">
            <v>37263200408</v>
          </cell>
          <cell r="B117">
            <v>37263</v>
          </cell>
          <cell r="C117" t="str">
            <v>NG</v>
          </cell>
          <cell r="D117" t="str">
            <v>200408</v>
          </cell>
          <cell r="E117">
            <v>3.2149999999999999</v>
          </cell>
        </row>
        <row r="118">
          <cell r="A118" t="str">
            <v>37263200409</v>
          </cell>
          <cell r="B118">
            <v>37263</v>
          </cell>
          <cell r="C118" t="str">
            <v>NG</v>
          </cell>
          <cell r="D118" t="str">
            <v>200409</v>
          </cell>
          <cell r="E118">
            <v>3.2</v>
          </cell>
        </row>
        <row r="119">
          <cell r="A119" t="str">
            <v>37263200410</v>
          </cell>
          <cell r="B119">
            <v>37263</v>
          </cell>
          <cell r="C119" t="str">
            <v>NG</v>
          </cell>
          <cell r="D119" t="str">
            <v>200410</v>
          </cell>
          <cell r="E119">
            <v>3.2149999999999999</v>
          </cell>
        </row>
        <row r="120">
          <cell r="A120" t="str">
            <v>37263200411</v>
          </cell>
          <cell r="B120">
            <v>37263</v>
          </cell>
          <cell r="C120" t="str">
            <v>NG</v>
          </cell>
          <cell r="D120" t="str">
            <v>200411</v>
          </cell>
          <cell r="E120">
            <v>3.36</v>
          </cell>
        </row>
        <row r="121">
          <cell r="A121" t="str">
            <v>37263200412</v>
          </cell>
          <cell r="B121">
            <v>37263</v>
          </cell>
          <cell r="C121" t="str">
            <v>NG</v>
          </cell>
          <cell r="D121" t="str">
            <v>200412</v>
          </cell>
          <cell r="E121">
            <v>3.4950000000000001</v>
          </cell>
        </row>
        <row r="122">
          <cell r="A122" t="str">
            <v>37264200401</v>
          </cell>
          <cell r="B122">
            <v>37264</v>
          </cell>
          <cell r="C122" t="str">
            <v>NG</v>
          </cell>
          <cell r="D122" t="str">
            <v>200401</v>
          </cell>
          <cell r="E122">
            <v>3.484</v>
          </cell>
        </row>
        <row r="123">
          <cell r="A123" t="str">
            <v>37264200402</v>
          </cell>
          <cell r="B123">
            <v>37264</v>
          </cell>
          <cell r="C123" t="str">
            <v>NG</v>
          </cell>
          <cell r="D123" t="str">
            <v>200402</v>
          </cell>
          <cell r="E123">
            <v>3.3889999999999998</v>
          </cell>
        </row>
        <row r="124">
          <cell r="A124" t="str">
            <v>37264200403</v>
          </cell>
          <cell r="B124">
            <v>37264</v>
          </cell>
          <cell r="C124" t="str">
            <v>NG</v>
          </cell>
          <cell r="D124" t="str">
            <v>200403</v>
          </cell>
          <cell r="E124">
            <v>3.28</v>
          </cell>
        </row>
        <row r="125">
          <cell r="A125" t="str">
            <v>37264200404</v>
          </cell>
          <cell r="B125">
            <v>37264</v>
          </cell>
          <cell r="C125" t="str">
            <v>NG</v>
          </cell>
          <cell r="D125" t="str">
            <v>200404</v>
          </cell>
          <cell r="E125">
            <v>3.1040000000000001</v>
          </cell>
        </row>
        <row r="126">
          <cell r="A126" t="str">
            <v>37264200405</v>
          </cell>
          <cell r="B126">
            <v>37264</v>
          </cell>
          <cell r="C126" t="str">
            <v>NG</v>
          </cell>
          <cell r="D126" t="str">
            <v>200405</v>
          </cell>
          <cell r="E126">
            <v>3.1040000000000001</v>
          </cell>
        </row>
        <row r="127">
          <cell r="A127" t="str">
            <v>37264200406</v>
          </cell>
          <cell r="B127">
            <v>37264</v>
          </cell>
          <cell r="C127" t="str">
            <v>NG</v>
          </cell>
          <cell r="D127" t="str">
            <v>200406</v>
          </cell>
          <cell r="E127">
            <v>3.1440000000000001</v>
          </cell>
        </row>
        <row r="128">
          <cell r="A128" t="str">
            <v>37264200407</v>
          </cell>
          <cell r="B128">
            <v>37264</v>
          </cell>
          <cell r="C128" t="str">
            <v>NG</v>
          </cell>
          <cell r="D128" t="str">
            <v>200407</v>
          </cell>
          <cell r="E128">
            <v>3.1880000000000002</v>
          </cell>
        </row>
        <row r="129">
          <cell r="A129" t="str">
            <v>37264200408</v>
          </cell>
          <cell r="B129">
            <v>37264</v>
          </cell>
          <cell r="C129" t="str">
            <v>NG</v>
          </cell>
          <cell r="D129" t="str">
            <v>200408</v>
          </cell>
          <cell r="E129">
            <v>3.238</v>
          </cell>
        </row>
        <row r="130">
          <cell r="A130" t="str">
            <v>37264200409</v>
          </cell>
          <cell r="B130">
            <v>37264</v>
          </cell>
          <cell r="C130" t="str">
            <v>NG</v>
          </cell>
          <cell r="D130" t="str">
            <v>200409</v>
          </cell>
          <cell r="E130">
            <v>3.2229999999999999</v>
          </cell>
        </row>
        <row r="131">
          <cell r="A131" t="str">
            <v>37264200410</v>
          </cell>
          <cell r="B131">
            <v>37264</v>
          </cell>
          <cell r="C131" t="str">
            <v>NG</v>
          </cell>
          <cell r="D131" t="str">
            <v>200410</v>
          </cell>
          <cell r="E131">
            <v>3.238</v>
          </cell>
        </row>
        <row r="132">
          <cell r="A132" t="str">
            <v>37264200411</v>
          </cell>
          <cell r="B132">
            <v>37264</v>
          </cell>
          <cell r="C132" t="str">
            <v>NG</v>
          </cell>
          <cell r="D132" t="str">
            <v>200411</v>
          </cell>
          <cell r="E132">
            <v>3.383</v>
          </cell>
        </row>
        <row r="133">
          <cell r="A133" t="str">
            <v>37264200412</v>
          </cell>
          <cell r="B133">
            <v>37264</v>
          </cell>
          <cell r="C133" t="str">
            <v>NG</v>
          </cell>
          <cell r="D133" t="str">
            <v>200412</v>
          </cell>
          <cell r="E133">
            <v>3.5179999999999998</v>
          </cell>
        </row>
        <row r="134">
          <cell r="A134" t="str">
            <v>37265200401</v>
          </cell>
          <cell r="B134">
            <v>37265</v>
          </cell>
          <cell r="C134" t="str">
            <v>NG</v>
          </cell>
          <cell r="D134" t="str">
            <v>200401</v>
          </cell>
          <cell r="E134">
            <v>3.4390000000000001</v>
          </cell>
        </row>
        <row r="135">
          <cell r="A135" t="str">
            <v>37265200402</v>
          </cell>
          <cell r="B135">
            <v>37265</v>
          </cell>
          <cell r="C135" t="str">
            <v>NG</v>
          </cell>
          <cell r="D135" t="str">
            <v>200402</v>
          </cell>
          <cell r="E135">
            <v>3.3439999999999999</v>
          </cell>
        </row>
        <row r="136">
          <cell r="A136" t="str">
            <v>37265200403</v>
          </cell>
          <cell r="B136">
            <v>37265</v>
          </cell>
          <cell r="C136" t="str">
            <v>NG</v>
          </cell>
          <cell r="D136" t="str">
            <v>200403</v>
          </cell>
          <cell r="E136">
            <v>3.2349999999999999</v>
          </cell>
        </row>
        <row r="137">
          <cell r="A137" t="str">
            <v>37265200404</v>
          </cell>
          <cell r="B137">
            <v>37265</v>
          </cell>
          <cell r="C137" t="str">
            <v>NG</v>
          </cell>
          <cell r="D137" t="str">
            <v>200404</v>
          </cell>
          <cell r="E137">
            <v>3.0649999999999999</v>
          </cell>
        </row>
        <row r="138">
          <cell r="A138" t="str">
            <v>37265200405</v>
          </cell>
          <cell r="B138">
            <v>37265</v>
          </cell>
          <cell r="C138" t="str">
            <v>NG</v>
          </cell>
          <cell r="D138" t="str">
            <v>200405</v>
          </cell>
          <cell r="E138">
            <v>3.0649999999999999</v>
          </cell>
        </row>
        <row r="139">
          <cell r="A139" t="str">
            <v>37265200406</v>
          </cell>
          <cell r="B139">
            <v>37265</v>
          </cell>
          <cell r="C139" t="str">
            <v>NG</v>
          </cell>
          <cell r="D139" t="str">
            <v>200406</v>
          </cell>
          <cell r="E139">
            <v>3.105</v>
          </cell>
        </row>
        <row r="140">
          <cell r="A140" t="str">
            <v>37265200407</v>
          </cell>
          <cell r="B140">
            <v>37265</v>
          </cell>
          <cell r="C140" t="str">
            <v>NG</v>
          </cell>
          <cell r="D140" t="str">
            <v>200407</v>
          </cell>
          <cell r="E140">
            <v>3.149</v>
          </cell>
        </row>
        <row r="141">
          <cell r="A141" t="str">
            <v>37265200408</v>
          </cell>
          <cell r="B141">
            <v>37265</v>
          </cell>
          <cell r="C141" t="str">
            <v>NG</v>
          </cell>
          <cell r="D141" t="str">
            <v>200408</v>
          </cell>
          <cell r="E141">
            <v>3.1989999999999998</v>
          </cell>
        </row>
        <row r="142">
          <cell r="A142" t="str">
            <v>37265200409</v>
          </cell>
          <cell r="B142">
            <v>37265</v>
          </cell>
          <cell r="C142" t="str">
            <v>NG</v>
          </cell>
          <cell r="D142" t="str">
            <v>200409</v>
          </cell>
          <cell r="E142">
            <v>3.18</v>
          </cell>
        </row>
        <row r="143">
          <cell r="A143" t="str">
            <v>37265200410</v>
          </cell>
          <cell r="B143">
            <v>37265</v>
          </cell>
          <cell r="C143" t="str">
            <v>NG</v>
          </cell>
          <cell r="D143" t="str">
            <v>200410</v>
          </cell>
          <cell r="E143">
            <v>3.1949999999999998</v>
          </cell>
        </row>
        <row r="144">
          <cell r="A144" t="str">
            <v>37265200411</v>
          </cell>
          <cell r="B144">
            <v>37265</v>
          </cell>
          <cell r="C144" t="str">
            <v>NG</v>
          </cell>
          <cell r="D144" t="str">
            <v>200411</v>
          </cell>
          <cell r="E144">
            <v>3.34</v>
          </cell>
        </row>
        <row r="145">
          <cell r="A145" t="str">
            <v>37265200412</v>
          </cell>
          <cell r="B145">
            <v>37265</v>
          </cell>
          <cell r="C145" t="str">
            <v>NG</v>
          </cell>
          <cell r="D145" t="str">
            <v>200412</v>
          </cell>
          <cell r="E145">
            <v>3.4750000000000001</v>
          </cell>
        </row>
        <row r="146">
          <cell r="A146" t="str">
            <v>37266200401</v>
          </cell>
          <cell r="B146">
            <v>37266</v>
          </cell>
          <cell r="C146" t="str">
            <v>NG</v>
          </cell>
          <cell r="D146" t="str">
            <v>200401</v>
          </cell>
          <cell r="E146">
            <v>3.37</v>
          </cell>
        </row>
        <row r="147">
          <cell r="A147" t="str">
            <v>37266200402</v>
          </cell>
          <cell r="B147">
            <v>37266</v>
          </cell>
          <cell r="C147" t="str">
            <v>NG</v>
          </cell>
          <cell r="D147" t="str">
            <v>200402</v>
          </cell>
          <cell r="E147">
            <v>3.2749999999999999</v>
          </cell>
        </row>
        <row r="148">
          <cell r="A148" t="str">
            <v>37266200403</v>
          </cell>
          <cell r="B148">
            <v>37266</v>
          </cell>
          <cell r="C148" t="str">
            <v>NG</v>
          </cell>
          <cell r="D148" t="str">
            <v>200403</v>
          </cell>
          <cell r="E148">
            <v>3.1659999999999999</v>
          </cell>
        </row>
        <row r="149">
          <cell r="A149" t="str">
            <v>37266200404</v>
          </cell>
          <cell r="B149">
            <v>37266</v>
          </cell>
          <cell r="C149" t="str">
            <v>NG</v>
          </cell>
          <cell r="D149" t="str">
            <v>200404</v>
          </cell>
          <cell r="E149">
            <v>2.9910000000000001</v>
          </cell>
        </row>
        <row r="150">
          <cell r="A150" t="str">
            <v>37266200405</v>
          </cell>
          <cell r="B150">
            <v>37266</v>
          </cell>
          <cell r="C150" t="str">
            <v>NG</v>
          </cell>
          <cell r="D150" t="str">
            <v>200405</v>
          </cell>
          <cell r="E150">
            <v>2.9910000000000001</v>
          </cell>
        </row>
        <row r="151">
          <cell r="A151" t="str">
            <v>37266200406</v>
          </cell>
          <cell r="B151">
            <v>37266</v>
          </cell>
          <cell r="C151" t="str">
            <v>NG</v>
          </cell>
          <cell r="D151" t="str">
            <v>200406</v>
          </cell>
          <cell r="E151">
            <v>3.0310000000000001</v>
          </cell>
        </row>
        <row r="152">
          <cell r="A152" t="str">
            <v>37266200407</v>
          </cell>
          <cell r="B152">
            <v>37266</v>
          </cell>
          <cell r="C152" t="str">
            <v>NG</v>
          </cell>
          <cell r="D152" t="str">
            <v>200407</v>
          </cell>
          <cell r="E152">
            <v>3.0750000000000002</v>
          </cell>
        </row>
        <row r="153">
          <cell r="A153" t="str">
            <v>37266200408</v>
          </cell>
          <cell r="B153">
            <v>37266</v>
          </cell>
          <cell r="C153" t="str">
            <v>NG</v>
          </cell>
          <cell r="D153" t="str">
            <v>200408</v>
          </cell>
          <cell r="E153">
            <v>3.125</v>
          </cell>
        </row>
        <row r="154">
          <cell r="A154" t="str">
            <v>37266200409</v>
          </cell>
          <cell r="B154">
            <v>37266</v>
          </cell>
          <cell r="C154" t="str">
            <v>NG</v>
          </cell>
          <cell r="D154" t="str">
            <v>200409</v>
          </cell>
          <cell r="E154">
            <v>3.1059999999999999</v>
          </cell>
        </row>
        <row r="155">
          <cell r="A155" t="str">
            <v>37266200410</v>
          </cell>
          <cell r="B155">
            <v>37266</v>
          </cell>
          <cell r="C155" t="str">
            <v>NG</v>
          </cell>
          <cell r="D155" t="str">
            <v>200410</v>
          </cell>
          <cell r="E155">
            <v>3.121</v>
          </cell>
        </row>
        <row r="156">
          <cell r="A156" t="str">
            <v>37266200411</v>
          </cell>
          <cell r="B156">
            <v>37266</v>
          </cell>
          <cell r="C156" t="str">
            <v>NG</v>
          </cell>
          <cell r="D156" t="str">
            <v>200411</v>
          </cell>
          <cell r="E156">
            <v>3.266</v>
          </cell>
        </row>
        <row r="157">
          <cell r="A157" t="str">
            <v>37266200412</v>
          </cell>
          <cell r="B157">
            <v>37266</v>
          </cell>
          <cell r="C157" t="str">
            <v>NG</v>
          </cell>
          <cell r="D157" t="str">
            <v>200412</v>
          </cell>
          <cell r="E157">
            <v>3.4009999999999998</v>
          </cell>
        </row>
        <row r="158">
          <cell r="A158" t="str">
            <v>37267200401</v>
          </cell>
          <cell r="B158">
            <v>37267</v>
          </cell>
          <cell r="C158" t="str">
            <v>NG</v>
          </cell>
          <cell r="D158" t="str">
            <v>200401</v>
          </cell>
          <cell r="E158">
            <v>3.335</v>
          </cell>
        </row>
        <row r="159">
          <cell r="A159" t="str">
            <v>37267200402</v>
          </cell>
          <cell r="B159">
            <v>37267</v>
          </cell>
          <cell r="C159" t="str">
            <v>NG</v>
          </cell>
          <cell r="D159" t="str">
            <v>200402</v>
          </cell>
          <cell r="E159">
            <v>3.24</v>
          </cell>
        </row>
        <row r="160">
          <cell r="A160" t="str">
            <v>37267200403</v>
          </cell>
          <cell r="B160">
            <v>37267</v>
          </cell>
          <cell r="C160" t="str">
            <v>NG</v>
          </cell>
          <cell r="D160" t="str">
            <v>200403</v>
          </cell>
          <cell r="E160">
            <v>3.14</v>
          </cell>
        </row>
        <row r="161">
          <cell r="A161" t="str">
            <v>37267200404</v>
          </cell>
          <cell r="B161">
            <v>37267</v>
          </cell>
          <cell r="C161" t="str">
            <v>NG</v>
          </cell>
          <cell r="D161" t="str">
            <v>200404</v>
          </cell>
          <cell r="E161">
            <v>2.97</v>
          </cell>
        </row>
        <row r="162">
          <cell r="A162" t="str">
            <v>37267200405</v>
          </cell>
          <cell r="B162">
            <v>37267</v>
          </cell>
          <cell r="C162" t="str">
            <v>NG</v>
          </cell>
          <cell r="D162" t="str">
            <v>200405</v>
          </cell>
          <cell r="E162">
            <v>2.9750000000000001</v>
          </cell>
        </row>
        <row r="163">
          <cell r="A163" t="str">
            <v>37267200406</v>
          </cell>
          <cell r="B163">
            <v>37267</v>
          </cell>
          <cell r="C163" t="str">
            <v>NG</v>
          </cell>
          <cell r="D163" t="str">
            <v>200406</v>
          </cell>
          <cell r="E163">
            <v>3.0150000000000001</v>
          </cell>
        </row>
        <row r="164">
          <cell r="A164" t="str">
            <v>37267200407</v>
          </cell>
          <cell r="B164">
            <v>37267</v>
          </cell>
          <cell r="C164" t="str">
            <v>NG</v>
          </cell>
          <cell r="D164" t="str">
            <v>200407</v>
          </cell>
          <cell r="E164">
            <v>3.0590000000000002</v>
          </cell>
        </row>
        <row r="165">
          <cell r="A165" t="str">
            <v>37267200408</v>
          </cell>
          <cell r="B165">
            <v>37267</v>
          </cell>
          <cell r="C165" t="str">
            <v>NG</v>
          </cell>
          <cell r="D165" t="str">
            <v>200408</v>
          </cell>
          <cell r="E165">
            <v>3.109</v>
          </cell>
        </row>
        <row r="166">
          <cell r="A166" t="str">
            <v>37267200409</v>
          </cell>
          <cell r="B166">
            <v>37267</v>
          </cell>
          <cell r="C166" t="str">
            <v>NG</v>
          </cell>
          <cell r="D166" t="str">
            <v>200409</v>
          </cell>
          <cell r="E166">
            <v>3.09</v>
          </cell>
        </row>
        <row r="167">
          <cell r="A167" t="str">
            <v>37267200410</v>
          </cell>
          <cell r="B167">
            <v>37267</v>
          </cell>
          <cell r="C167" t="str">
            <v>NG</v>
          </cell>
          <cell r="D167" t="str">
            <v>200410</v>
          </cell>
          <cell r="E167">
            <v>3.105</v>
          </cell>
        </row>
        <row r="168">
          <cell r="A168" t="str">
            <v>37267200411</v>
          </cell>
          <cell r="B168">
            <v>37267</v>
          </cell>
          <cell r="C168" t="str">
            <v>NG</v>
          </cell>
          <cell r="D168" t="str">
            <v>200411</v>
          </cell>
          <cell r="E168">
            <v>3.25</v>
          </cell>
        </row>
        <row r="169">
          <cell r="A169" t="str">
            <v>37267200412</v>
          </cell>
          <cell r="B169">
            <v>37267</v>
          </cell>
          <cell r="C169" t="str">
            <v>NG</v>
          </cell>
          <cell r="D169" t="str">
            <v>200412</v>
          </cell>
          <cell r="E169">
            <v>3.3849999999999998</v>
          </cell>
        </row>
        <row r="170">
          <cell r="A170" t="str">
            <v>37268200401</v>
          </cell>
          <cell r="B170">
            <v>37268</v>
          </cell>
          <cell r="C170" t="str">
            <v>NG</v>
          </cell>
          <cell r="D170" t="str">
            <v>200401</v>
          </cell>
          <cell r="E170">
            <v>3.335</v>
          </cell>
        </row>
        <row r="171">
          <cell r="A171" t="str">
            <v>37268200402</v>
          </cell>
          <cell r="B171">
            <v>37268</v>
          </cell>
          <cell r="C171" t="str">
            <v>NG</v>
          </cell>
          <cell r="D171" t="str">
            <v>200402</v>
          </cell>
          <cell r="E171">
            <v>3.24</v>
          </cell>
        </row>
        <row r="172">
          <cell r="A172" t="str">
            <v>37268200403</v>
          </cell>
          <cell r="B172">
            <v>37268</v>
          </cell>
          <cell r="C172" t="str">
            <v>NG</v>
          </cell>
          <cell r="D172" t="str">
            <v>200403</v>
          </cell>
          <cell r="E172">
            <v>3.14</v>
          </cell>
        </row>
        <row r="173">
          <cell r="A173" t="str">
            <v>37268200404</v>
          </cell>
          <cell r="B173">
            <v>37268</v>
          </cell>
          <cell r="C173" t="str">
            <v>NG</v>
          </cell>
          <cell r="D173" t="str">
            <v>200404</v>
          </cell>
          <cell r="E173">
            <v>2.97</v>
          </cell>
        </row>
        <row r="174">
          <cell r="A174" t="str">
            <v>37268200405</v>
          </cell>
          <cell r="B174">
            <v>37268</v>
          </cell>
          <cell r="C174" t="str">
            <v>NG</v>
          </cell>
          <cell r="D174" t="str">
            <v>200405</v>
          </cell>
          <cell r="E174">
            <v>2.9750000000000001</v>
          </cell>
        </row>
        <row r="175">
          <cell r="A175" t="str">
            <v>37268200406</v>
          </cell>
          <cell r="B175">
            <v>37268</v>
          </cell>
          <cell r="C175" t="str">
            <v>NG</v>
          </cell>
          <cell r="D175" t="str">
            <v>200406</v>
          </cell>
          <cell r="E175">
            <v>3.0150000000000001</v>
          </cell>
        </row>
        <row r="176">
          <cell r="A176" t="str">
            <v>37268200407</v>
          </cell>
          <cell r="B176">
            <v>37268</v>
          </cell>
          <cell r="C176" t="str">
            <v>NG</v>
          </cell>
          <cell r="D176" t="str">
            <v>200407</v>
          </cell>
          <cell r="E176">
            <v>3.0590000000000002</v>
          </cell>
        </row>
        <row r="177">
          <cell r="A177" t="str">
            <v>37268200408</v>
          </cell>
          <cell r="B177">
            <v>37268</v>
          </cell>
          <cell r="C177" t="str">
            <v>NG</v>
          </cell>
          <cell r="D177" t="str">
            <v>200408</v>
          </cell>
          <cell r="E177">
            <v>3.109</v>
          </cell>
        </row>
        <row r="178">
          <cell r="A178" t="str">
            <v>37268200409</v>
          </cell>
          <cell r="B178">
            <v>37268</v>
          </cell>
          <cell r="C178" t="str">
            <v>NG</v>
          </cell>
          <cell r="D178" t="str">
            <v>200409</v>
          </cell>
          <cell r="E178">
            <v>3.09</v>
          </cell>
        </row>
        <row r="179">
          <cell r="A179" t="str">
            <v>37268200410</v>
          </cell>
          <cell r="B179">
            <v>37268</v>
          </cell>
          <cell r="C179" t="str">
            <v>NG</v>
          </cell>
          <cell r="D179" t="str">
            <v>200410</v>
          </cell>
          <cell r="E179">
            <v>3.105</v>
          </cell>
        </row>
        <row r="180">
          <cell r="A180" t="str">
            <v>37268200411</v>
          </cell>
          <cell r="B180">
            <v>37268</v>
          </cell>
          <cell r="C180" t="str">
            <v>NG</v>
          </cell>
          <cell r="D180" t="str">
            <v>200411</v>
          </cell>
          <cell r="E180">
            <v>3.25</v>
          </cell>
        </row>
        <row r="181">
          <cell r="A181" t="str">
            <v>37268200412</v>
          </cell>
          <cell r="B181">
            <v>37268</v>
          </cell>
          <cell r="C181" t="str">
            <v>NG</v>
          </cell>
          <cell r="D181" t="str">
            <v>200412</v>
          </cell>
          <cell r="E181">
            <v>3.3849999999999998</v>
          </cell>
        </row>
        <row r="182">
          <cell r="A182" t="str">
            <v>37269200401</v>
          </cell>
          <cell r="B182">
            <v>37269</v>
          </cell>
          <cell r="C182" t="str">
            <v>NG</v>
          </cell>
          <cell r="D182" t="str">
            <v>200401</v>
          </cell>
          <cell r="E182">
            <v>3.335</v>
          </cell>
        </row>
        <row r="183">
          <cell r="A183" t="str">
            <v>37269200402</v>
          </cell>
          <cell r="B183">
            <v>37269</v>
          </cell>
          <cell r="C183" t="str">
            <v>NG</v>
          </cell>
          <cell r="D183" t="str">
            <v>200402</v>
          </cell>
          <cell r="E183">
            <v>3.24</v>
          </cell>
        </row>
        <row r="184">
          <cell r="A184" t="str">
            <v>37269200403</v>
          </cell>
          <cell r="B184">
            <v>37269</v>
          </cell>
          <cell r="C184" t="str">
            <v>NG</v>
          </cell>
          <cell r="D184" t="str">
            <v>200403</v>
          </cell>
          <cell r="E184">
            <v>3.14</v>
          </cell>
        </row>
        <row r="185">
          <cell r="A185" t="str">
            <v>37269200404</v>
          </cell>
          <cell r="B185">
            <v>37269</v>
          </cell>
          <cell r="C185" t="str">
            <v>NG</v>
          </cell>
          <cell r="D185" t="str">
            <v>200404</v>
          </cell>
          <cell r="E185">
            <v>2.97</v>
          </cell>
        </row>
        <row r="186">
          <cell r="A186" t="str">
            <v>37269200405</v>
          </cell>
          <cell r="B186">
            <v>37269</v>
          </cell>
          <cell r="C186" t="str">
            <v>NG</v>
          </cell>
          <cell r="D186" t="str">
            <v>200405</v>
          </cell>
          <cell r="E186">
            <v>2.9750000000000001</v>
          </cell>
        </row>
        <row r="187">
          <cell r="A187" t="str">
            <v>37269200406</v>
          </cell>
          <cell r="B187">
            <v>37269</v>
          </cell>
          <cell r="C187" t="str">
            <v>NG</v>
          </cell>
          <cell r="D187" t="str">
            <v>200406</v>
          </cell>
          <cell r="E187">
            <v>3.0150000000000001</v>
          </cell>
        </row>
        <row r="188">
          <cell r="A188" t="str">
            <v>37269200407</v>
          </cell>
          <cell r="B188">
            <v>37269</v>
          </cell>
          <cell r="C188" t="str">
            <v>NG</v>
          </cell>
          <cell r="D188" t="str">
            <v>200407</v>
          </cell>
          <cell r="E188">
            <v>3.0590000000000002</v>
          </cell>
        </row>
        <row r="189">
          <cell r="A189" t="str">
            <v>37269200408</v>
          </cell>
          <cell r="B189">
            <v>37269</v>
          </cell>
          <cell r="C189" t="str">
            <v>NG</v>
          </cell>
          <cell r="D189" t="str">
            <v>200408</v>
          </cell>
          <cell r="E189">
            <v>3.109</v>
          </cell>
        </row>
        <row r="190">
          <cell r="A190" t="str">
            <v>37269200409</v>
          </cell>
          <cell r="B190">
            <v>37269</v>
          </cell>
          <cell r="C190" t="str">
            <v>NG</v>
          </cell>
          <cell r="D190" t="str">
            <v>200409</v>
          </cell>
          <cell r="E190">
            <v>3.09</v>
          </cell>
        </row>
        <row r="191">
          <cell r="A191" t="str">
            <v>37269200410</v>
          </cell>
          <cell r="B191">
            <v>37269</v>
          </cell>
          <cell r="C191" t="str">
            <v>NG</v>
          </cell>
          <cell r="D191" t="str">
            <v>200410</v>
          </cell>
          <cell r="E191">
            <v>3.105</v>
          </cell>
        </row>
        <row r="192">
          <cell r="A192" t="str">
            <v>37269200411</v>
          </cell>
          <cell r="B192">
            <v>37269</v>
          </cell>
          <cell r="C192" t="str">
            <v>NG</v>
          </cell>
          <cell r="D192" t="str">
            <v>200411</v>
          </cell>
          <cell r="E192">
            <v>3.25</v>
          </cell>
        </row>
        <row r="193">
          <cell r="A193" t="str">
            <v>37269200412</v>
          </cell>
          <cell r="B193">
            <v>37269</v>
          </cell>
          <cell r="C193" t="str">
            <v>NG</v>
          </cell>
          <cell r="D193" t="str">
            <v>200412</v>
          </cell>
          <cell r="E193">
            <v>3.3849999999999998</v>
          </cell>
        </row>
        <row r="194">
          <cell r="A194" t="str">
            <v>37270200401</v>
          </cell>
          <cell r="B194">
            <v>37270</v>
          </cell>
          <cell r="C194" t="str">
            <v>NG</v>
          </cell>
          <cell r="D194" t="str">
            <v>200401</v>
          </cell>
          <cell r="E194">
            <v>3.3519999999999999</v>
          </cell>
        </row>
        <row r="195">
          <cell r="A195" t="str">
            <v>37270200402</v>
          </cell>
          <cell r="B195">
            <v>37270</v>
          </cell>
          <cell r="C195" t="str">
            <v>NG</v>
          </cell>
          <cell r="D195" t="str">
            <v>200402</v>
          </cell>
          <cell r="E195">
            <v>3.2570000000000001</v>
          </cell>
        </row>
        <row r="196">
          <cell r="A196" t="str">
            <v>37270200403</v>
          </cell>
          <cell r="B196">
            <v>37270</v>
          </cell>
          <cell r="C196" t="str">
            <v>NG</v>
          </cell>
          <cell r="D196" t="str">
            <v>200403</v>
          </cell>
          <cell r="E196">
            <v>3.157</v>
          </cell>
        </row>
        <row r="197">
          <cell r="A197" t="str">
            <v>37270200404</v>
          </cell>
          <cell r="B197">
            <v>37270</v>
          </cell>
          <cell r="C197" t="str">
            <v>NG</v>
          </cell>
          <cell r="D197" t="str">
            <v>200404</v>
          </cell>
          <cell r="E197">
            <v>2.9870000000000001</v>
          </cell>
        </row>
        <row r="198">
          <cell r="A198" t="str">
            <v>37270200405</v>
          </cell>
          <cell r="B198">
            <v>37270</v>
          </cell>
          <cell r="C198" t="str">
            <v>NG</v>
          </cell>
          <cell r="D198" t="str">
            <v>200405</v>
          </cell>
          <cell r="E198">
            <v>2.9969999999999999</v>
          </cell>
        </row>
        <row r="199">
          <cell r="A199" t="str">
            <v>37270200406</v>
          </cell>
          <cell r="B199">
            <v>37270</v>
          </cell>
          <cell r="C199" t="str">
            <v>NG</v>
          </cell>
          <cell r="D199" t="str">
            <v>200406</v>
          </cell>
          <cell r="E199">
            <v>3.0430000000000001</v>
          </cell>
        </row>
        <row r="200">
          <cell r="A200" t="str">
            <v>37270200407</v>
          </cell>
          <cell r="B200">
            <v>37270</v>
          </cell>
          <cell r="C200" t="str">
            <v>NG</v>
          </cell>
          <cell r="D200" t="str">
            <v>200407</v>
          </cell>
          <cell r="E200">
            <v>3.0870000000000002</v>
          </cell>
        </row>
        <row r="201">
          <cell r="A201" t="str">
            <v>37270200408</v>
          </cell>
          <cell r="B201">
            <v>37270</v>
          </cell>
          <cell r="C201" t="str">
            <v>NG</v>
          </cell>
          <cell r="D201" t="str">
            <v>200408</v>
          </cell>
          <cell r="E201">
            <v>3.137</v>
          </cell>
        </row>
        <row r="202">
          <cell r="A202" t="str">
            <v>37270200409</v>
          </cell>
          <cell r="B202">
            <v>37270</v>
          </cell>
          <cell r="C202" t="str">
            <v>NG</v>
          </cell>
          <cell r="D202" t="str">
            <v>200409</v>
          </cell>
          <cell r="E202">
            <v>3.1179999999999999</v>
          </cell>
        </row>
        <row r="203">
          <cell r="A203" t="str">
            <v>37270200410</v>
          </cell>
          <cell r="B203">
            <v>37270</v>
          </cell>
          <cell r="C203" t="str">
            <v>NG</v>
          </cell>
          <cell r="D203" t="str">
            <v>200410</v>
          </cell>
          <cell r="E203">
            <v>3.133</v>
          </cell>
        </row>
        <row r="204">
          <cell r="A204" t="str">
            <v>37270200411</v>
          </cell>
          <cell r="B204">
            <v>37270</v>
          </cell>
          <cell r="C204" t="str">
            <v>NG</v>
          </cell>
          <cell r="D204" t="str">
            <v>200411</v>
          </cell>
          <cell r="E204">
            <v>3.278</v>
          </cell>
        </row>
        <row r="205">
          <cell r="A205" t="str">
            <v>37270200412</v>
          </cell>
          <cell r="B205">
            <v>37270</v>
          </cell>
          <cell r="C205" t="str">
            <v>NG</v>
          </cell>
          <cell r="D205" t="str">
            <v>200412</v>
          </cell>
          <cell r="E205">
            <v>3.4129999999999998</v>
          </cell>
        </row>
        <row r="206">
          <cell r="A206" t="str">
            <v>37271200401</v>
          </cell>
          <cell r="B206">
            <v>37271</v>
          </cell>
          <cell r="C206" t="str">
            <v>NG</v>
          </cell>
          <cell r="D206" t="str">
            <v>200401</v>
          </cell>
          <cell r="E206">
            <v>3.31</v>
          </cell>
        </row>
        <row r="207">
          <cell r="A207" t="str">
            <v>37271200402</v>
          </cell>
          <cell r="B207">
            <v>37271</v>
          </cell>
          <cell r="C207" t="str">
            <v>NG</v>
          </cell>
          <cell r="D207" t="str">
            <v>200402</v>
          </cell>
          <cell r="E207">
            <v>3.2149999999999999</v>
          </cell>
        </row>
        <row r="208">
          <cell r="A208" t="str">
            <v>37271200403</v>
          </cell>
          <cell r="B208">
            <v>37271</v>
          </cell>
          <cell r="C208" t="str">
            <v>NG</v>
          </cell>
          <cell r="D208" t="str">
            <v>200403</v>
          </cell>
          <cell r="E208">
            <v>3.1150000000000002</v>
          </cell>
        </row>
        <row r="209">
          <cell r="A209" t="str">
            <v>37271200404</v>
          </cell>
          <cell r="B209">
            <v>37271</v>
          </cell>
          <cell r="C209" t="str">
            <v>NG</v>
          </cell>
          <cell r="D209" t="str">
            <v>200404</v>
          </cell>
          <cell r="E209">
            <v>2.9449999999999998</v>
          </cell>
        </row>
        <row r="210">
          <cell r="A210" t="str">
            <v>37271200405</v>
          </cell>
          <cell r="B210">
            <v>37271</v>
          </cell>
          <cell r="C210" t="str">
            <v>NG</v>
          </cell>
          <cell r="D210" t="str">
            <v>200405</v>
          </cell>
          <cell r="E210">
            <v>2.956</v>
          </cell>
        </row>
        <row r="211">
          <cell r="A211" t="str">
            <v>37271200406</v>
          </cell>
          <cell r="B211">
            <v>37271</v>
          </cell>
          <cell r="C211" t="str">
            <v>NG</v>
          </cell>
          <cell r="D211" t="str">
            <v>200406</v>
          </cell>
          <cell r="E211">
            <v>3.0059999999999998</v>
          </cell>
        </row>
        <row r="212">
          <cell r="A212" t="str">
            <v>37271200407</v>
          </cell>
          <cell r="B212">
            <v>37271</v>
          </cell>
          <cell r="C212" t="str">
            <v>NG</v>
          </cell>
          <cell r="D212" t="str">
            <v>200407</v>
          </cell>
          <cell r="E212">
            <v>3.0550000000000002</v>
          </cell>
        </row>
        <row r="213">
          <cell r="A213" t="str">
            <v>37271200408</v>
          </cell>
          <cell r="B213">
            <v>37271</v>
          </cell>
          <cell r="C213" t="str">
            <v>NG</v>
          </cell>
          <cell r="D213" t="str">
            <v>200408</v>
          </cell>
          <cell r="E213">
            <v>3.11</v>
          </cell>
        </row>
        <row r="214">
          <cell r="A214" t="str">
            <v>37271200409</v>
          </cell>
          <cell r="B214">
            <v>37271</v>
          </cell>
          <cell r="C214" t="str">
            <v>NG</v>
          </cell>
          <cell r="D214" t="str">
            <v>200409</v>
          </cell>
          <cell r="E214">
            <v>3.08</v>
          </cell>
        </row>
        <row r="215">
          <cell r="A215" t="str">
            <v>37271200410</v>
          </cell>
          <cell r="B215">
            <v>37271</v>
          </cell>
          <cell r="C215" t="str">
            <v>NG</v>
          </cell>
          <cell r="D215" t="str">
            <v>200410</v>
          </cell>
          <cell r="E215">
            <v>3.085</v>
          </cell>
        </row>
        <row r="216">
          <cell r="A216" t="str">
            <v>37271200411</v>
          </cell>
          <cell r="B216">
            <v>37271</v>
          </cell>
          <cell r="C216" t="str">
            <v>NG</v>
          </cell>
          <cell r="D216" t="str">
            <v>200411</v>
          </cell>
          <cell r="E216">
            <v>3.23</v>
          </cell>
        </row>
        <row r="217">
          <cell r="A217" t="str">
            <v>37271200412</v>
          </cell>
          <cell r="B217">
            <v>37271</v>
          </cell>
          <cell r="C217" t="str">
            <v>NG</v>
          </cell>
          <cell r="D217" t="str">
            <v>200412</v>
          </cell>
          <cell r="E217">
            <v>3.3650000000000002</v>
          </cell>
        </row>
        <row r="218">
          <cell r="A218" t="str">
            <v>37272200401</v>
          </cell>
          <cell r="B218">
            <v>37272</v>
          </cell>
          <cell r="C218" t="str">
            <v>NG</v>
          </cell>
          <cell r="D218" t="str">
            <v>200401</v>
          </cell>
          <cell r="E218">
            <v>3.3490000000000002</v>
          </cell>
        </row>
        <row r="219">
          <cell r="A219" t="str">
            <v>37272200402</v>
          </cell>
          <cell r="B219">
            <v>37272</v>
          </cell>
          <cell r="C219" t="str">
            <v>NG</v>
          </cell>
          <cell r="D219" t="str">
            <v>200402</v>
          </cell>
          <cell r="E219">
            <v>3.2589999999999999</v>
          </cell>
        </row>
        <row r="220">
          <cell r="A220" t="str">
            <v>37272200403</v>
          </cell>
          <cell r="B220">
            <v>37272</v>
          </cell>
          <cell r="C220" t="str">
            <v>NG</v>
          </cell>
          <cell r="D220" t="str">
            <v>200403</v>
          </cell>
          <cell r="E220">
            <v>3.1589999999999998</v>
          </cell>
        </row>
        <row r="221">
          <cell r="A221" t="str">
            <v>37272200404</v>
          </cell>
          <cell r="B221">
            <v>37272</v>
          </cell>
          <cell r="C221" t="str">
            <v>NG</v>
          </cell>
          <cell r="D221" t="str">
            <v>200404</v>
          </cell>
          <cell r="E221">
            <v>2.9889999999999999</v>
          </cell>
        </row>
        <row r="222">
          <cell r="A222" t="str">
            <v>37272200405</v>
          </cell>
          <cell r="B222">
            <v>37272</v>
          </cell>
          <cell r="C222" t="str">
            <v>NG</v>
          </cell>
          <cell r="D222" t="str">
            <v>200405</v>
          </cell>
          <cell r="E222">
            <v>3</v>
          </cell>
        </row>
        <row r="223">
          <cell r="A223" t="str">
            <v>37272200406</v>
          </cell>
          <cell r="B223">
            <v>37272</v>
          </cell>
          <cell r="C223" t="str">
            <v>NG</v>
          </cell>
          <cell r="D223" t="str">
            <v>200406</v>
          </cell>
          <cell r="E223">
            <v>3.05</v>
          </cell>
        </row>
        <row r="224">
          <cell r="A224" t="str">
            <v>37272200407</v>
          </cell>
          <cell r="B224">
            <v>37272</v>
          </cell>
          <cell r="C224" t="str">
            <v>NG</v>
          </cell>
          <cell r="D224" t="str">
            <v>200407</v>
          </cell>
          <cell r="E224">
            <v>3.0990000000000002</v>
          </cell>
        </row>
        <row r="225">
          <cell r="A225" t="str">
            <v>37272200408</v>
          </cell>
          <cell r="B225">
            <v>37272</v>
          </cell>
          <cell r="C225" t="str">
            <v>NG</v>
          </cell>
          <cell r="D225" t="str">
            <v>200408</v>
          </cell>
          <cell r="E225">
            <v>3.1440000000000001</v>
          </cell>
        </row>
        <row r="226">
          <cell r="A226" t="str">
            <v>37272200409</v>
          </cell>
          <cell r="B226">
            <v>37272</v>
          </cell>
          <cell r="C226" t="str">
            <v>NG</v>
          </cell>
          <cell r="D226" t="str">
            <v>200409</v>
          </cell>
          <cell r="E226">
            <v>3.1190000000000002</v>
          </cell>
        </row>
        <row r="227">
          <cell r="A227" t="str">
            <v>37272200410</v>
          </cell>
          <cell r="B227">
            <v>37272</v>
          </cell>
          <cell r="C227" t="str">
            <v>NG</v>
          </cell>
          <cell r="D227" t="str">
            <v>200410</v>
          </cell>
          <cell r="E227">
            <v>3.1240000000000001</v>
          </cell>
        </row>
        <row r="228">
          <cell r="A228" t="str">
            <v>37272200411</v>
          </cell>
          <cell r="B228">
            <v>37272</v>
          </cell>
          <cell r="C228" t="str">
            <v>NG</v>
          </cell>
          <cell r="D228" t="str">
            <v>200411</v>
          </cell>
          <cell r="E228">
            <v>3.2719999999999998</v>
          </cell>
        </row>
        <row r="229">
          <cell r="A229" t="str">
            <v>37272200412</v>
          </cell>
          <cell r="B229">
            <v>37272</v>
          </cell>
          <cell r="C229" t="str">
            <v>NG</v>
          </cell>
          <cell r="D229" t="str">
            <v>200412</v>
          </cell>
          <cell r="E229">
            <v>3.419</v>
          </cell>
        </row>
        <row r="230">
          <cell r="A230" t="str">
            <v>37273200401</v>
          </cell>
          <cell r="B230">
            <v>37273</v>
          </cell>
          <cell r="C230" t="str">
            <v>NG</v>
          </cell>
          <cell r="D230" t="str">
            <v>200401</v>
          </cell>
          <cell r="E230">
            <v>3.3319999999999999</v>
          </cell>
        </row>
        <row r="231">
          <cell r="A231" t="str">
            <v>37273200402</v>
          </cell>
          <cell r="B231">
            <v>37273</v>
          </cell>
          <cell r="C231" t="str">
            <v>NG</v>
          </cell>
          <cell r="D231" t="str">
            <v>200402</v>
          </cell>
          <cell r="E231">
            <v>3.242</v>
          </cell>
        </row>
        <row r="232">
          <cell r="A232" t="str">
            <v>37273200403</v>
          </cell>
          <cell r="B232">
            <v>37273</v>
          </cell>
          <cell r="C232" t="str">
            <v>NG</v>
          </cell>
          <cell r="D232" t="str">
            <v>200403</v>
          </cell>
          <cell r="E232">
            <v>3.1419999999999999</v>
          </cell>
        </row>
        <row r="233">
          <cell r="A233" t="str">
            <v>37273200404</v>
          </cell>
          <cell r="B233">
            <v>37273</v>
          </cell>
          <cell r="C233" t="str">
            <v>NG</v>
          </cell>
          <cell r="D233" t="str">
            <v>200404</v>
          </cell>
          <cell r="E233">
            <v>2.9769999999999999</v>
          </cell>
        </row>
        <row r="234">
          <cell r="A234" t="str">
            <v>37273200405</v>
          </cell>
          <cell r="B234">
            <v>37273</v>
          </cell>
          <cell r="C234" t="str">
            <v>NG</v>
          </cell>
          <cell r="D234" t="str">
            <v>200405</v>
          </cell>
          <cell r="E234">
            <v>2.988</v>
          </cell>
        </row>
        <row r="235">
          <cell r="A235" t="str">
            <v>37273200406</v>
          </cell>
          <cell r="B235">
            <v>37273</v>
          </cell>
          <cell r="C235" t="str">
            <v>NG</v>
          </cell>
          <cell r="D235" t="str">
            <v>200406</v>
          </cell>
          <cell r="E235">
            <v>3.0390000000000001</v>
          </cell>
        </row>
        <row r="236">
          <cell r="A236" t="str">
            <v>37273200407</v>
          </cell>
          <cell r="B236">
            <v>37273</v>
          </cell>
          <cell r="C236" t="str">
            <v>NG</v>
          </cell>
          <cell r="D236" t="str">
            <v>200407</v>
          </cell>
          <cell r="E236">
            <v>3.09</v>
          </cell>
        </row>
        <row r="237">
          <cell r="A237" t="str">
            <v>37273200408</v>
          </cell>
          <cell r="B237">
            <v>37273</v>
          </cell>
          <cell r="C237" t="str">
            <v>NG</v>
          </cell>
          <cell r="D237" t="str">
            <v>200408</v>
          </cell>
          <cell r="E237">
            <v>3.137</v>
          </cell>
        </row>
        <row r="238">
          <cell r="A238" t="str">
            <v>37273200409</v>
          </cell>
          <cell r="B238">
            <v>37273</v>
          </cell>
          <cell r="C238" t="str">
            <v>NG</v>
          </cell>
          <cell r="D238" t="str">
            <v>200409</v>
          </cell>
          <cell r="E238">
            <v>3.117</v>
          </cell>
        </row>
        <row r="239">
          <cell r="A239" t="str">
            <v>37273200410</v>
          </cell>
          <cell r="B239">
            <v>37273</v>
          </cell>
          <cell r="C239" t="str">
            <v>NG</v>
          </cell>
          <cell r="D239" t="str">
            <v>200410</v>
          </cell>
          <cell r="E239">
            <v>3.1219999999999999</v>
          </cell>
        </row>
        <row r="240">
          <cell r="A240" t="str">
            <v>37273200411</v>
          </cell>
          <cell r="B240">
            <v>37273</v>
          </cell>
          <cell r="C240" t="str">
            <v>NG</v>
          </cell>
          <cell r="D240" t="str">
            <v>200411</v>
          </cell>
          <cell r="E240">
            <v>3.27</v>
          </cell>
        </row>
        <row r="241">
          <cell r="A241" t="str">
            <v>37273200412</v>
          </cell>
          <cell r="B241">
            <v>37273</v>
          </cell>
          <cell r="C241" t="str">
            <v>NG</v>
          </cell>
          <cell r="D241" t="str">
            <v>200412</v>
          </cell>
          <cell r="E241">
            <v>3.4169999999999998</v>
          </cell>
        </row>
        <row r="242">
          <cell r="A242" t="str">
            <v>37274200401</v>
          </cell>
          <cell r="B242">
            <v>37274</v>
          </cell>
          <cell r="C242" t="str">
            <v>NG</v>
          </cell>
          <cell r="D242" t="str">
            <v>200401</v>
          </cell>
          <cell r="E242">
            <v>3.3580000000000001</v>
          </cell>
        </row>
        <row r="243">
          <cell r="A243" t="str">
            <v>37274200402</v>
          </cell>
          <cell r="B243">
            <v>37274</v>
          </cell>
          <cell r="C243" t="str">
            <v>NG</v>
          </cell>
          <cell r="D243" t="str">
            <v>200402</v>
          </cell>
          <cell r="E243">
            <v>3.2719999999999998</v>
          </cell>
        </row>
        <row r="244">
          <cell r="A244" t="str">
            <v>37274200403</v>
          </cell>
          <cell r="B244">
            <v>37274</v>
          </cell>
          <cell r="C244" t="str">
            <v>NG</v>
          </cell>
          <cell r="D244" t="str">
            <v>200403</v>
          </cell>
          <cell r="E244">
            <v>3.1720000000000002</v>
          </cell>
        </row>
        <row r="245">
          <cell r="A245" t="str">
            <v>37274200404</v>
          </cell>
          <cell r="B245">
            <v>37274</v>
          </cell>
          <cell r="C245" t="str">
            <v>NG</v>
          </cell>
          <cell r="D245" t="str">
            <v>200404</v>
          </cell>
          <cell r="E245">
            <v>3.0070000000000001</v>
          </cell>
        </row>
        <row r="246">
          <cell r="A246" t="str">
            <v>37274200405</v>
          </cell>
          <cell r="B246">
            <v>37274</v>
          </cell>
          <cell r="C246" t="str">
            <v>NG</v>
          </cell>
          <cell r="D246" t="str">
            <v>200405</v>
          </cell>
          <cell r="E246">
            <v>3.0179999999999998</v>
          </cell>
        </row>
        <row r="247">
          <cell r="A247" t="str">
            <v>37274200406</v>
          </cell>
          <cell r="B247">
            <v>37274</v>
          </cell>
          <cell r="C247" t="str">
            <v>NG</v>
          </cell>
          <cell r="D247" t="str">
            <v>200406</v>
          </cell>
          <cell r="E247">
            <v>3.069</v>
          </cell>
        </row>
        <row r="248">
          <cell r="A248" t="str">
            <v>37274200407</v>
          </cell>
          <cell r="B248">
            <v>37274</v>
          </cell>
          <cell r="C248" t="str">
            <v>NG</v>
          </cell>
          <cell r="D248" t="str">
            <v>200407</v>
          </cell>
          <cell r="E248">
            <v>3.12</v>
          </cell>
        </row>
        <row r="249">
          <cell r="A249" t="str">
            <v>37274200408</v>
          </cell>
          <cell r="B249">
            <v>37274</v>
          </cell>
          <cell r="C249" t="str">
            <v>NG</v>
          </cell>
          <cell r="D249" t="str">
            <v>200408</v>
          </cell>
          <cell r="E249">
            <v>3.1669999999999998</v>
          </cell>
        </row>
        <row r="250">
          <cell r="A250" t="str">
            <v>37274200409</v>
          </cell>
          <cell r="B250">
            <v>37274</v>
          </cell>
          <cell r="C250" t="str">
            <v>NG</v>
          </cell>
          <cell r="D250" t="str">
            <v>200409</v>
          </cell>
          <cell r="E250">
            <v>3.1469999999999998</v>
          </cell>
        </row>
        <row r="251">
          <cell r="A251" t="str">
            <v>37274200410</v>
          </cell>
          <cell r="B251">
            <v>37274</v>
          </cell>
          <cell r="C251" t="str">
            <v>NG</v>
          </cell>
          <cell r="D251" t="str">
            <v>200410</v>
          </cell>
          <cell r="E251">
            <v>3.1520000000000001</v>
          </cell>
        </row>
        <row r="252">
          <cell r="A252" t="str">
            <v>37274200411</v>
          </cell>
          <cell r="B252">
            <v>37274</v>
          </cell>
          <cell r="C252" t="str">
            <v>NG</v>
          </cell>
          <cell r="D252" t="str">
            <v>200411</v>
          </cell>
          <cell r="E252">
            <v>3.3</v>
          </cell>
        </row>
        <row r="253">
          <cell r="A253" t="str">
            <v>37274200412</v>
          </cell>
          <cell r="B253">
            <v>37274</v>
          </cell>
          <cell r="C253" t="str">
            <v>NG</v>
          </cell>
          <cell r="D253" t="str">
            <v>200412</v>
          </cell>
          <cell r="E253">
            <v>3.4470000000000001</v>
          </cell>
        </row>
        <row r="254">
          <cell r="A254" t="str">
            <v>37275200401</v>
          </cell>
          <cell r="B254">
            <v>37275</v>
          </cell>
          <cell r="C254" t="str">
            <v>NG</v>
          </cell>
          <cell r="D254" t="str">
            <v>200401</v>
          </cell>
          <cell r="E254">
            <v>3.3580000000000001</v>
          </cell>
        </row>
        <row r="255">
          <cell r="A255" t="str">
            <v>37275200402</v>
          </cell>
          <cell r="B255">
            <v>37275</v>
          </cell>
          <cell r="C255" t="str">
            <v>NG</v>
          </cell>
          <cell r="D255" t="str">
            <v>200402</v>
          </cell>
          <cell r="E255">
            <v>3.2719999999999998</v>
          </cell>
        </row>
        <row r="256">
          <cell r="A256" t="str">
            <v>37275200403</v>
          </cell>
          <cell r="B256">
            <v>37275</v>
          </cell>
          <cell r="C256" t="str">
            <v>NG</v>
          </cell>
          <cell r="D256" t="str">
            <v>200403</v>
          </cell>
          <cell r="E256">
            <v>3.1720000000000002</v>
          </cell>
        </row>
        <row r="257">
          <cell r="A257" t="str">
            <v>37275200404</v>
          </cell>
          <cell r="B257">
            <v>37275</v>
          </cell>
          <cell r="C257" t="str">
            <v>NG</v>
          </cell>
          <cell r="D257" t="str">
            <v>200404</v>
          </cell>
          <cell r="E257">
            <v>3.0070000000000001</v>
          </cell>
        </row>
        <row r="258">
          <cell r="A258" t="str">
            <v>37275200405</v>
          </cell>
          <cell r="B258">
            <v>37275</v>
          </cell>
          <cell r="C258" t="str">
            <v>NG</v>
          </cell>
          <cell r="D258" t="str">
            <v>200405</v>
          </cell>
          <cell r="E258">
            <v>3.0179999999999998</v>
          </cell>
        </row>
        <row r="259">
          <cell r="A259" t="str">
            <v>37275200406</v>
          </cell>
          <cell r="B259">
            <v>37275</v>
          </cell>
          <cell r="C259" t="str">
            <v>NG</v>
          </cell>
          <cell r="D259" t="str">
            <v>200406</v>
          </cell>
          <cell r="E259">
            <v>3.069</v>
          </cell>
        </row>
        <row r="260">
          <cell r="A260" t="str">
            <v>37275200407</v>
          </cell>
          <cell r="B260">
            <v>37275</v>
          </cell>
          <cell r="C260" t="str">
            <v>NG</v>
          </cell>
          <cell r="D260" t="str">
            <v>200407</v>
          </cell>
          <cell r="E260">
            <v>3.12</v>
          </cell>
        </row>
        <row r="261">
          <cell r="A261" t="str">
            <v>37275200408</v>
          </cell>
          <cell r="B261">
            <v>37275</v>
          </cell>
          <cell r="C261" t="str">
            <v>NG</v>
          </cell>
          <cell r="D261" t="str">
            <v>200408</v>
          </cell>
          <cell r="E261">
            <v>3.1669999999999998</v>
          </cell>
        </row>
        <row r="262">
          <cell r="A262" t="str">
            <v>37275200409</v>
          </cell>
          <cell r="B262">
            <v>37275</v>
          </cell>
          <cell r="C262" t="str">
            <v>NG</v>
          </cell>
          <cell r="D262" t="str">
            <v>200409</v>
          </cell>
          <cell r="E262">
            <v>3.1469999999999998</v>
          </cell>
        </row>
        <row r="263">
          <cell r="A263" t="str">
            <v>37275200410</v>
          </cell>
          <cell r="B263">
            <v>37275</v>
          </cell>
          <cell r="C263" t="str">
            <v>NG</v>
          </cell>
          <cell r="D263" t="str">
            <v>200410</v>
          </cell>
          <cell r="E263">
            <v>3.1520000000000001</v>
          </cell>
        </row>
        <row r="264">
          <cell r="A264" t="str">
            <v>37275200411</v>
          </cell>
          <cell r="B264">
            <v>37275</v>
          </cell>
          <cell r="C264" t="str">
            <v>NG</v>
          </cell>
          <cell r="D264" t="str">
            <v>200411</v>
          </cell>
          <cell r="E264">
            <v>3.3</v>
          </cell>
        </row>
        <row r="265">
          <cell r="A265" t="str">
            <v>37275200412</v>
          </cell>
          <cell r="B265">
            <v>37275</v>
          </cell>
          <cell r="C265" t="str">
            <v>NG</v>
          </cell>
          <cell r="D265" t="str">
            <v>200412</v>
          </cell>
          <cell r="E265">
            <v>3.4470000000000001</v>
          </cell>
        </row>
        <row r="266">
          <cell r="A266" t="str">
            <v>37276200401</v>
          </cell>
          <cell r="B266">
            <v>37276</v>
          </cell>
          <cell r="C266" t="str">
            <v>NG</v>
          </cell>
          <cell r="D266" t="str">
            <v>200401</v>
          </cell>
          <cell r="E266">
            <v>3.3580000000000001</v>
          </cell>
        </row>
        <row r="267">
          <cell r="A267" t="str">
            <v>37276200402</v>
          </cell>
          <cell r="B267">
            <v>37276</v>
          </cell>
          <cell r="C267" t="str">
            <v>NG</v>
          </cell>
          <cell r="D267" t="str">
            <v>200402</v>
          </cell>
          <cell r="E267">
            <v>3.2719999999999998</v>
          </cell>
        </row>
        <row r="268">
          <cell r="A268" t="str">
            <v>37276200403</v>
          </cell>
          <cell r="B268">
            <v>37276</v>
          </cell>
          <cell r="C268" t="str">
            <v>NG</v>
          </cell>
          <cell r="D268" t="str">
            <v>200403</v>
          </cell>
          <cell r="E268">
            <v>3.1720000000000002</v>
          </cell>
        </row>
        <row r="269">
          <cell r="A269" t="str">
            <v>37276200404</v>
          </cell>
          <cell r="B269">
            <v>37276</v>
          </cell>
          <cell r="C269" t="str">
            <v>NG</v>
          </cell>
          <cell r="D269" t="str">
            <v>200404</v>
          </cell>
          <cell r="E269">
            <v>3.0070000000000001</v>
          </cell>
        </row>
        <row r="270">
          <cell r="A270" t="str">
            <v>37276200405</v>
          </cell>
          <cell r="B270">
            <v>37276</v>
          </cell>
          <cell r="C270" t="str">
            <v>NG</v>
          </cell>
          <cell r="D270" t="str">
            <v>200405</v>
          </cell>
          <cell r="E270">
            <v>3.0179999999999998</v>
          </cell>
        </row>
        <row r="271">
          <cell r="A271" t="str">
            <v>37276200406</v>
          </cell>
          <cell r="B271">
            <v>37276</v>
          </cell>
          <cell r="C271" t="str">
            <v>NG</v>
          </cell>
          <cell r="D271" t="str">
            <v>200406</v>
          </cell>
          <cell r="E271">
            <v>3.069</v>
          </cell>
        </row>
        <row r="272">
          <cell r="A272" t="str">
            <v>37276200407</v>
          </cell>
          <cell r="B272">
            <v>37276</v>
          </cell>
          <cell r="C272" t="str">
            <v>NG</v>
          </cell>
          <cell r="D272" t="str">
            <v>200407</v>
          </cell>
          <cell r="E272">
            <v>3.12</v>
          </cell>
        </row>
        <row r="273">
          <cell r="A273" t="str">
            <v>37276200408</v>
          </cell>
          <cell r="B273">
            <v>37276</v>
          </cell>
          <cell r="C273" t="str">
            <v>NG</v>
          </cell>
          <cell r="D273" t="str">
            <v>200408</v>
          </cell>
          <cell r="E273">
            <v>3.1669999999999998</v>
          </cell>
        </row>
        <row r="274">
          <cell r="A274" t="str">
            <v>37276200409</v>
          </cell>
          <cell r="B274">
            <v>37276</v>
          </cell>
          <cell r="C274" t="str">
            <v>NG</v>
          </cell>
          <cell r="D274" t="str">
            <v>200409</v>
          </cell>
          <cell r="E274">
            <v>3.1469999999999998</v>
          </cell>
        </row>
        <row r="275">
          <cell r="A275" t="str">
            <v>37276200410</v>
          </cell>
          <cell r="B275">
            <v>37276</v>
          </cell>
          <cell r="C275" t="str">
            <v>NG</v>
          </cell>
          <cell r="D275" t="str">
            <v>200410</v>
          </cell>
          <cell r="E275">
            <v>3.1520000000000001</v>
          </cell>
        </row>
        <row r="276">
          <cell r="A276" t="str">
            <v>37276200411</v>
          </cell>
          <cell r="B276">
            <v>37276</v>
          </cell>
          <cell r="C276" t="str">
            <v>NG</v>
          </cell>
          <cell r="D276" t="str">
            <v>200411</v>
          </cell>
          <cell r="E276">
            <v>3.3</v>
          </cell>
        </row>
        <row r="277">
          <cell r="A277" t="str">
            <v>37276200412</v>
          </cell>
          <cell r="B277">
            <v>37276</v>
          </cell>
          <cell r="C277" t="str">
            <v>NG</v>
          </cell>
          <cell r="D277" t="str">
            <v>200412</v>
          </cell>
          <cell r="E277">
            <v>3.4470000000000001</v>
          </cell>
        </row>
        <row r="278">
          <cell r="A278" t="str">
            <v>37277200401</v>
          </cell>
          <cell r="B278">
            <v>37277</v>
          </cell>
          <cell r="C278" t="str">
            <v>NG</v>
          </cell>
          <cell r="D278" t="str">
            <v>200401</v>
          </cell>
          <cell r="E278">
            <v>3.3580000000000001</v>
          </cell>
        </row>
        <row r="279">
          <cell r="A279" t="str">
            <v>37277200402</v>
          </cell>
          <cell r="B279">
            <v>37277</v>
          </cell>
          <cell r="C279" t="str">
            <v>NG</v>
          </cell>
          <cell r="D279" t="str">
            <v>200402</v>
          </cell>
          <cell r="E279">
            <v>3.2719999999999998</v>
          </cell>
        </row>
        <row r="280">
          <cell r="A280" t="str">
            <v>37277200403</v>
          </cell>
          <cell r="B280">
            <v>37277</v>
          </cell>
          <cell r="C280" t="str">
            <v>NG</v>
          </cell>
          <cell r="D280" t="str">
            <v>200403</v>
          </cell>
          <cell r="E280">
            <v>3.1720000000000002</v>
          </cell>
        </row>
        <row r="281">
          <cell r="A281" t="str">
            <v>37277200404</v>
          </cell>
          <cell r="B281">
            <v>37277</v>
          </cell>
          <cell r="C281" t="str">
            <v>NG</v>
          </cell>
          <cell r="D281" t="str">
            <v>200404</v>
          </cell>
          <cell r="E281">
            <v>3.0070000000000001</v>
          </cell>
        </row>
        <row r="282">
          <cell r="A282" t="str">
            <v>37277200405</v>
          </cell>
          <cell r="B282">
            <v>37277</v>
          </cell>
          <cell r="C282" t="str">
            <v>NG</v>
          </cell>
          <cell r="D282" t="str">
            <v>200405</v>
          </cell>
          <cell r="E282">
            <v>3.0179999999999998</v>
          </cell>
        </row>
        <row r="283">
          <cell r="A283" t="str">
            <v>37277200406</v>
          </cell>
          <cell r="B283">
            <v>37277</v>
          </cell>
          <cell r="C283" t="str">
            <v>NG</v>
          </cell>
          <cell r="D283" t="str">
            <v>200406</v>
          </cell>
          <cell r="E283">
            <v>3.069</v>
          </cell>
        </row>
        <row r="284">
          <cell r="A284" t="str">
            <v>37277200407</v>
          </cell>
          <cell r="B284">
            <v>37277</v>
          </cell>
          <cell r="C284" t="str">
            <v>NG</v>
          </cell>
          <cell r="D284" t="str">
            <v>200407</v>
          </cell>
          <cell r="E284">
            <v>3.12</v>
          </cell>
        </row>
        <row r="285">
          <cell r="A285" t="str">
            <v>37277200408</v>
          </cell>
          <cell r="B285">
            <v>37277</v>
          </cell>
          <cell r="C285" t="str">
            <v>NG</v>
          </cell>
          <cell r="D285" t="str">
            <v>200408</v>
          </cell>
          <cell r="E285">
            <v>3.1669999999999998</v>
          </cell>
        </row>
        <row r="286">
          <cell r="A286" t="str">
            <v>37277200409</v>
          </cell>
          <cell r="B286">
            <v>37277</v>
          </cell>
          <cell r="C286" t="str">
            <v>NG</v>
          </cell>
          <cell r="D286" t="str">
            <v>200409</v>
          </cell>
          <cell r="E286">
            <v>3.1469999999999998</v>
          </cell>
        </row>
        <row r="287">
          <cell r="A287" t="str">
            <v>37277200410</v>
          </cell>
          <cell r="B287">
            <v>37277</v>
          </cell>
          <cell r="C287" t="str">
            <v>NG</v>
          </cell>
          <cell r="D287" t="str">
            <v>200410</v>
          </cell>
          <cell r="E287">
            <v>3.1520000000000001</v>
          </cell>
        </row>
        <row r="288">
          <cell r="A288" t="str">
            <v>37277200411</v>
          </cell>
          <cell r="B288">
            <v>37277</v>
          </cell>
          <cell r="C288" t="str">
            <v>NG</v>
          </cell>
          <cell r="D288" t="str">
            <v>200411</v>
          </cell>
          <cell r="E288">
            <v>3.3</v>
          </cell>
        </row>
        <row r="289">
          <cell r="A289" t="str">
            <v>37277200412</v>
          </cell>
          <cell r="B289">
            <v>37277</v>
          </cell>
          <cell r="C289" t="str">
            <v>NG</v>
          </cell>
          <cell r="D289" t="str">
            <v>200412</v>
          </cell>
          <cell r="E289">
            <v>3.4470000000000001</v>
          </cell>
        </row>
        <row r="290">
          <cell r="A290" t="str">
            <v>37278200401</v>
          </cell>
          <cell r="B290">
            <v>37278</v>
          </cell>
          <cell r="C290" t="str">
            <v>NG</v>
          </cell>
          <cell r="D290" t="str">
            <v>200401</v>
          </cell>
          <cell r="E290">
            <v>3.3690000000000002</v>
          </cell>
        </row>
        <row r="291">
          <cell r="A291" t="str">
            <v>37278200402</v>
          </cell>
          <cell r="B291">
            <v>37278</v>
          </cell>
          <cell r="C291" t="str">
            <v>NG</v>
          </cell>
          <cell r="D291" t="str">
            <v>200402</v>
          </cell>
          <cell r="E291">
            <v>3.2829999999999999</v>
          </cell>
        </row>
        <row r="292">
          <cell r="A292" t="str">
            <v>37278200403</v>
          </cell>
          <cell r="B292">
            <v>37278</v>
          </cell>
          <cell r="C292" t="str">
            <v>NG</v>
          </cell>
          <cell r="D292" t="str">
            <v>200403</v>
          </cell>
          <cell r="E292">
            <v>3.1680000000000001</v>
          </cell>
        </row>
        <row r="293">
          <cell r="A293" t="str">
            <v>37278200404</v>
          </cell>
          <cell r="B293">
            <v>37278</v>
          </cell>
          <cell r="C293" t="str">
            <v>NG</v>
          </cell>
          <cell r="D293" t="str">
            <v>200404</v>
          </cell>
          <cell r="E293">
            <v>3.0030000000000001</v>
          </cell>
        </row>
        <row r="294">
          <cell r="A294" t="str">
            <v>37278200405</v>
          </cell>
          <cell r="B294">
            <v>37278</v>
          </cell>
          <cell r="C294" t="str">
            <v>NG</v>
          </cell>
          <cell r="D294" t="str">
            <v>200405</v>
          </cell>
          <cell r="E294">
            <v>3.0169999999999999</v>
          </cell>
        </row>
        <row r="295">
          <cell r="A295" t="str">
            <v>37278200406</v>
          </cell>
          <cell r="B295">
            <v>37278</v>
          </cell>
          <cell r="C295" t="str">
            <v>NG</v>
          </cell>
          <cell r="D295" t="str">
            <v>200406</v>
          </cell>
          <cell r="E295">
            <v>3.0640000000000001</v>
          </cell>
        </row>
        <row r="296">
          <cell r="A296" t="str">
            <v>37278200407</v>
          </cell>
          <cell r="B296">
            <v>37278</v>
          </cell>
          <cell r="C296" t="str">
            <v>NG</v>
          </cell>
          <cell r="D296" t="str">
            <v>200407</v>
          </cell>
          <cell r="E296">
            <v>3.1110000000000002</v>
          </cell>
        </row>
        <row r="297">
          <cell r="A297" t="str">
            <v>37278200408</v>
          </cell>
          <cell r="B297">
            <v>37278</v>
          </cell>
          <cell r="C297" t="str">
            <v>NG</v>
          </cell>
          <cell r="D297" t="str">
            <v>200408</v>
          </cell>
          <cell r="E297">
            <v>3.1579999999999999</v>
          </cell>
        </row>
        <row r="298">
          <cell r="A298" t="str">
            <v>37278200409</v>
          </cell>
          <cell r="B298">
            <v>37278</v>
          </cell>
          <cell r="C298" t="str">
            <v>NG</v>
          </cell>
          <cell r="D298" t="str">
            <v>200409</v>
          </cell>
          <cell r="E298">
            <v>3.1379999999999999</v>
          </cell>
        </row>
        <row r="299">
          <cell r="A299" t="str">
            <v>37278200410</v>
          </cell>
          <cell r="B299">
            <v>37278</v>
          </cell>
          <cell r="C299" t="str">
            <v>NG</v>
          </cell>
          <cell r="D299" t="str">
            <v>200410</v>
          </cell>
          <cell r="E299">
            <v>3.1429999999999998</v>
          </cell>
        </row>
        <row r="300">
          <cell r="A300" t="str">
            <v>37278200411</v>
          </cell>
          <cell r="B300">
            <v>37278</v>
          </cell>
          <cell r="C300" t="str">
            <v>NG</v>
          </cell>
          <cell r="D300" t="str">
            <v>200411</v>
          </cell>
          <cell r="E300">
            <v>3.306</v>
          </cell>
        </row>
        <row r="301">
          <cell r="A301" t="str">
            <v>37278200412</v>
          </cell>
          <cell r="B301">
            <v>37278</v>
          </cell>
          <cell r="C301" t="str">
            <v>NG</v>
          </cell>
          <cell r="D301" t="str">
            <v>200412</v>
          </cell>
          <cell r="E301">
            <v>3.468</v>
          </cell>
        </row>
        <row r="302">
          <cell r="A302" t="str">
            <v>37279200401</v>
          </cell>
          <cell r="B302">
            <v>37279</v>
          </cell>
          <cell r="C302" t="str">
            <v>NG</v>
          </cell>
          <cell r="D302" t="str">
            <v>200401</v>
          </cell>
          <cell r="E302">
            <v>3.4</v>
          </cell>
        </row>
        <row r="303">
          <cell r="A303" t="str">
            <v>37279200402</v>
          </cell>
          <cell r="B303">
            <v>37279</v>
          </cell>
          <cell r="C303" t="str">
            <v>NG</v>
          </cell>
          <cell r="D303" t="str">
            <v>200402</v>
          </cell>
          <cell r="E303">
            <v>3.3140000000000001</v>
          </cell>
        </row>
        <row r="304">
          <cell r="A304" t="str">
            <v>37279200403</v>
          </cell>
          <cell r="B304">
            <v>37279</v>
          </cell>
          <cell r="C304" t="str">
            <v>NG</v>
          </cell>
          <cell r="D304" t="str">
            <v>200403</v>
          </cell>
          <cell r="E304">
            <v>3.1989999999999998</v>
          </cell>
        </row>
        <row r="305">
          <cell r="A305" t="str">
            <v>37279200404</v>
          </cell>
          <cell r="B305">
            <v>37279</v>
          </cell>
          <cell r="C305" t="str">
            <v>NG</v>
          </cell>
          <cell r="D305" t="str">
            <v>200404</v>
          </cell>
          <cell r="E305">
            <v>3.0390000000000001</v>
          </cell>
        </row>
        <row r="306">
          <cell r="A306" t="str">
            <v>37279200405</v>
          </cell>
          <cell r="B306">
            <v>37279</v>
          </cell>
          <cell r="C306" t="str">
            <v>NG</v>
          </cell>
          <cell r="D306" t="str">
            <v>200405</v>
          </cell>
          <cell r="E306">
            <v>3.0529999999999999</v>
          </cell>
        </row>
        <row r="307">
          <cell r="A307" t="str">
            <v>37279200406</v>
          </cell>
          <cell r="B307">
            <v>37279</v>
          </cell>
          <cell r="C307" t="str">
            <v>NG</v>
          </cell>
          <cell r="D307" t="str">
            <v>200406</v>
          </cell>
          <cell r="E307">
            <v>3.0950000000000002</v>
          </cell>
        </row>
        <row r="308">
          <cell r="A308" t="str">
            <v>37279200407</v>
          </cell>
          <cell r="B308">
            <v>37279</v>
          </cell>
          <cell r="C308" t="str">
            <v>NG</v>
          </cell>
          <cell r="D308" t="str">
            <v>200407</v>
          </cell>
          <cell r="E308">
            <v>3.1419999999999999</v>
          </cell>
        </row>
        <row r="309">
          <cell r="A309" t="str">
            <v>37279200408</v>
          </cell>
          <cell r="B309">
            <v>37279</v>
          </cell>
          <cell r="C309" t="str">
            <v>NG</v>
          </cell>
          <cell r="D309" t="str">
            <v>200408</v>
          </cell>
          <cell r="E309">
            <v>3.1890000000000001</v>
          </cell>
        </row>
        <row r="310">
          <cell r="A310" t="str">
            <v>37279200409</v>
          </cell>
          <cell r="B310">
            <v>37279</v>
          </cell>
          <cell r="C310" t="str">
            <v>NG</v>
          </cell>
          <cell r="D310" t="str">
            <v>200409</v>
          </cell>
          <cell r="E310">
            <v>3.169</v>
          </cell>
        </row>
        <row r="311">
          <cell r="A311" t="str">
            <v>37279200410</v>
          </cell>
          <cell r="B311">
            <v>37279</v>
          </cell>
          <cell r="C311" t="str">
            <v>NG</v>
          </cell>
          <cell r="D311" t="str">
            <v>200410</v>
          </cell>
          <cell r="E311">
            <v>3.1739999999999999</v>
          </cell>
        </row>
        <row r="312">
          <cell r="A312" t="str">
            <v>37279200411</v>
          </cell>
          <cell r="B312">
            <v>37279</v>
          </cell>
          <cell r="C312" t="str">
            <v>NG</v>
          </cell>
          <cell r="D312" t="str">
            <v>200411</v>
          </cell>
          <cell r="E312">
            <v>3.3370000000000002</v>
          </cell>
        </row>
        <row r="313">
          <cell r="A313" t="str">
            <v>37279200412</v>
          </cell>
          <cell r="B313">
            <v>37279</v>
          </cell>
          <cell r="C313" t="str">
            <v>NG</v>
          </cell>
          <cell r="D313" t="str">
            <v>200412</v>
          </cell>
          <cell r="E313">
            <v>3.4990000000000001</v>
          </cell>
        </row>
        <row r="314">
          <cell r="A314" t="str">
            <v>37280200401</v>
          </cell>
          <cell r="B314">
            <v>37280</v>
          </cell>
          <cell r="C314" t="str">
            <v>NG</v>
          </cell>
          <cell r="D314" t="str">
            <v>200401</v>
          </cell>
          <cell r="E314">
            <v>3.4359999999999999</v>
          </cell>
        </row>
        <row r="315">
          <cell r="A315" t="str">
            <v>37280200402</v>
          </cell>
          <cell r="B315">
            <v>37280</v>
          </cell>
          <cell r="C315" t="str">
            <v>NG</v>
          </cell>
          <cell r="D315" t="str">
            <v>200402</v>
          </cell>
          <cell r="E315">
            <v>3.35</v>
          </cell>
        </row>
        <row r="316">
          <cell r="A316" t="str">
            <v>37280200403</v>
          </cell>
          <cell r="B316">
            <v>37280</v>
          </cell>
          <cell r="C316" t="str">
            <v>NG</v>
          </cell>
          <cell r="D316" t="str">
            <v>200403</v>
          </cell>
          <cell r="E316">
            <v>3.2250000000000001</v>
          </cell>
        </row>
        <row r="317">
          <cell r="A317" t="str">
            <v>37280200404</v>
          </cell>
          <cell r="B317">
            <v>37280</v>
          </cell>
          <cell r="C317" t="str">
            <v>NG</v>
          </cell>
          <cell r="D317" t="str">
            <v>200404</v>
          </cell>
          <cell r="E317">
            <v>3.0649999999999999</v>
          </cell>
        </row>
        <row r="318">
          <cell r="A318" t="str">
            <v>37280200405</v>
          </cell>
          <cell r="B318">
            <v>37280</v>
          </cell>
          <cell r="C318" t="str">
            <v>NG</v>
          </cell>
          <cell r="D318" t="str">
            <v>200405</v>
          </cell>
          <cell r="E318">
            <v>3.0790000000000002</v>
          </cell>
        </row>
        <row r="319">
          <cell r="A319" t="str">
            <v>37280200406</v>
          </cell>
          <cell r="B319">
            <v>37280</v>
          </cell>
          <cell r="C319" t="str">
            <v>NG</v>
          </cell>
          <cell r="D319" t="str">
            <v>200406</v>
          </cell>
          <cell r="E319">
            <v>3.121</v>
          </cell>
        </row>
        <row r="320">
          <cell r="A320" t="str">
            <v>37280200407</v>
          </cell>
          <cell r="B320">
            <v>37280</v>
          </cell>
          <cell r="C320" t="str">
            <v>NG</v>
          </cell>
          <cell r="D320" t="str">
            <v>200407</v>
          </cell>
          <cell r="E320">
            <v>3.1680000000000001</v>
          </cell>
        </row>
        <row r="321">
          <cell r="A321" t="str">
            <v>37280200408</v>
          </cell>
          <cell r="B321">
            <v>37280</v>
          </cell>
          <cell r="C321" t="str">
            <v>NG</v>
          </cell>
          <cell r="D321" t="str">
            <v>200408</v>
          </cell>
          <cell r="E321">
            <v>3.2149999999999999</v>
          </cell>
        </row>
        <row r="322">
          <cell r="A322" t="str">
            <v>37280200409</v>
          </cell>
          <cell r="B322">
            <v>37280</v>
          </cell>
          <cell r="C322" t="str">
            <v>NG</v>
          </cell>
          <cell r="D322" t="str">
            <v>200409</v>
          </cell>
          <cell r="E322">
            <v>3.1949999999999998</v>
          </cell>
        </row>
        <row r="323">
          <cell r="A323" t="str">
            <v>37280200410</v>
          </cell>
          <cell r="B323">
            <v>37280</v>
          </cell>
          <cell r="C323" t="str">
            <v>NG</v>
          </cell>
          <cell r="D323" t="str">
            <v>200410</v>
          </cell>
          <cell r="E323">
            <v>3.2</v>
          </cell>
        </row>
        <row r="324">
          <cell r="A324" t="str">
            <v>37280200411</v>
          </cell>
          <cell r="B324">
            <v>37280</v>
          </cell>
          <cell r="C324" t="str">
            <v>NG</v>
          </cell>
          <cell r="D324" t="str">
            <v>200411</v>
          </cell>
          <cell r="E324">
            <v>3.363</v>
          </cell>
        </row>
        <row r="325">
          <cell r="A325" t="str">
            <v>37280200412</v>
          </cell>
          <cell r="B325">
            <v>37280</v>
          </cell>
          <cell r="C325" t="str">
            <v>NG</v>
          </cell>
          <cell r="D325" t="str">
            <v>200412</v>
          </cell>
          <cell r="E325">
            <v>3.5249999999999999</v>
          </cell>
        </row>
        <row r="326">
          <cell r="A326" t="str">
            <v>37281200401</v>
          </cell>
          <cell r="B326">
            <v>37281</v>
          </cell>
          <cell r="C326" t="str">
            <v>NG</v>
          </cell>
          <cell r="D326" t="str">
            <v>200401</v>
          </cell>
          <cell r="E326">
            <v>3.415</v>
          </cell>
        </row>
        <row r="327">
          <cell r="A327" t="str">
            <v>37281200402</v>
          </cell>
          <cell r="B327">
            <v>37281</v>
          </cell>
          <cell r="C327" t="str">
            <v>NG</v>
          </cell>
          <cell r="D327" t="str">
            <v>200402</v>
          </cell>
          <cell r="E327">
            <v>3.3290000000000002</v>
          </cell>
        </row>
        <row r="328">
          <cell r="A328" t="str">
            <v>37281200403</v>
          </cell>
          <cell r="B328">
            <v>37281</v>
          </cell>
          <cell r="C328" t="str">
            <v>NG</v>
          </cell>
          <cell r="D328" t="str">
            <v>200403</v>
          </cell>
          <cell r="E328">
            <v>3.2069999999999999</v>
          </cell>
        </row>
        <row r="329">
          <cell r="A329" t="str">
            <v>37281200404</v>
          </cell>
          <cell r="B329">
            <v>37281</v>
          </cell>
          <cell r="C329" t="str">
            <v>NG</v>
          </cell>
          <cell r="D329" t="str">
            <v>200404</v>
          </cell>
          <cell r="E329">
            <v>3.0470000000000002</v>
          </cell>
        </row>
        <row r="330">
          <cell r="A330" t="str">
            <v>37281200405</v>
          </cell>
          <cell r="B330">
            <v>37281</v>
          </cell>
          <cell r="C330" t="str">
            <v>NG</v>
          </cell>
          <cell r="D330" t="str">
            <v>200405</v>
          </cell>
          <cell r="E330">
            <v>3.0630000000000002</v>
          </cell>
        </row>
        <row r="331">
          <cell r="A331" t="str">
            <v>37281200406</v>
          </cell>
          <cell r="B331">
            <v>37281</v>
          </cell>
          <cell r="C331" t="str">
            <v>NG</v>
          </cell>
          <cell r="D331" t="str">
            <v>200406</v>
          </cell>
          <cell r="E331">
            <v>3.105</v>
          </cell>
        </row>
        <row r="332">
          <cell r="A332" t="str">
            <v>37281200407</v>
          </cell>
          <cell r="B332">
            <v>37281</v>
          </cell>
          <cell r="C332" t="str">
            <v>NG</v>
          </cell>
          <cell r="D332" t="str">
            <v>200407</v>
          </cell>
          <cell r="E332">
            <v>3.1520000000000001</v>
          </cell>
        </row>
        <row r="333">
          <cell r="A333" t="str">
            <v>37281200408</v>
          </cell>
          <cell r="B333">
            <v>37281</v>
          </cell>
          <cell r="C333" t="str">
            <v>NG</v>
          </cell>
          <cell r="D333" t="str">
            <v>200408</v>
          </cell>
          <cell r="E333">
            <v>3.1989999999999998</v>
          </cell>
        </row>
        <row r="334">
          <cell r="A334" t="str">
            <v>37281200409</v>
          </cell>
          <cell r="B334">
            <v>37281</v>
          </cell>
          <cell r="C334" t="str">
            <v>NG</v>
          </cell>
          <cell r="D334" t="str">
            <v>200409</v>
          </cell>
          <cell r="E334">
            <v>3.1789999999999998</v>
          </cell>
        </row>
        <row r="335">
          <cell r="A335" t="str">
            <v>37281200410</v>
          </cell>
          <cell r="B335">
            <v>37281</v>
          </cell>
          <cell r="C335" t="str">
            <v>NG</v>
          </cell>
          <cell r="D335" t="str">
            <v>200410</v>
          </cell>
          <cell r="E335">
            <v>3.1840000000000002</v>
          </cell>
        </row>
        <row r="336">
          <cell r="A336" t="str">
            <v>37281200411</v>
          </cell>
          <cell r="B336">
            <v>37281</v>
          </cell>
          <cell r="C336" t="str">
            <v>NG</v>
          </cell>
          <cell r="D336" t="str">
            <v>200411</v>
          </cell>
          <cell r="E336">
            <v>3.3540000000000001</v>
          </cell>
        </row>
        <row r="337">
          <cell r="A337" t="str">
            <v>37281200412</v>
          </cell>
          <cell r="B337">
            <v>37281</v>
          </cell>
          <cell r="C337" t="str">
            <v>NG</v>
          </cell>
          <cell r="D337" t="str">
            <v>200412</v>
          </cell>
          <cell r="E337">
            <v>3.524</v>
          </cell>
        </row>
        <row r="338">
          <cell r="A338" t="str">
            <v>37282200401</v>
          </cell>
          <cell r="B338">
            <v>37282</v>
          </cell>
          <cell r="C338" t="str">
            <v>NG</v>
          </cell>
          <cell r="D338" t="str">
            <v>200401</v>
          </cell>
          <cell r="E338">
            <v>3.415</v>
          </cell>
        </row>
        <row r="339">
          <cell r="A339" t="str">
            <v>37282200402</v>
          </cell>
          <cell r="B339">
            <v>37282</v>
          </cell>
          <cell r="C339" t="str">
            <v>NG</v>
          </cell>
          <cell r="D339" t="str">
            <v>200402</v>
          </cell>
          <cell r="E339">
            <v>3.3290000000000002</v>
          </cell>
        </row>
        <row r="340">
          <cell r="A340" t="str">
            <v>37282200403</v>
          </cell>
          <cell r="B340">
            <v>37282</v>
          </cell>
          <cell r="C340" t="str">
            <v>NG</v>
          </cell>
          <cell r="D340" t="str">
            <v>200403</v>
          </cell>
          <cell r="E340">
            <v>3.2069999999999999</v>
          </cell>
        </row>
        <row r="341">
          <cell r="A341" t="str">
            <v>37282200404</v>
          </cell>
          <cell r="B341">
            <v>37282</v>
          </cell>
          <cell r="C341" t="str">
            <v>NG</v>
          </cell>
          <cell r="D341" t="str">
            <v>200404</v>
          </cell>
          <cell r="E341">
            <v>3.0470000000000002</v>
          </cell>
        </row>
        <row r="342">
          <cell r="A342" t="str">
            <v>37282200405</v>
          </cell>
          <cell r="B342">
            <v>37282</v>
          </cell>
          <cell r="C342" t="str">
            <v>NG</v>
          </cell>
          <cell r="D342" t="str">
            <v>200405</v>
          </cell>
          <cell r="E342">
            <v>3.0630000000000002</v>
          </cell>
        </row>
        <row r="343">
          <cell r="A343" t="str">
            <v>37282200406</v>
          </cell>
          <cell r="B343">
            <v>37282</v>
          </cell>
          <cell r="C343" t="str">
            <v>NG</v>
          </cell>
          <cell r="D343" t="str">
            <v>200406</v>
          </cell>
          <cell r="E343">
            <v>3.105</v>
          </cell>
        </row>
        <row r="344">
          <cell r="A344" t="str">
            <v>37282200407</v>
          </cell>
          <cell r="B344">
            <v>37282</v>
          </cell>
          <cell r="C344" t="str">
            <v>NG</v>
          </cell>
          <cell r="D344" t="str">
            <v>200407</v>
          </cell>
          <cell r="E344">
            <v>3.1520000000000001</v>
          </cell>
        </row>
        <row r="345">
          <cell r="A345" t="str">
            <v>37282200408</v>
          </cell>
          <cell r="B345">
            <v>37282</v>
          </cell>
          <cell r="C345" t="str">
            <v>NG</v>
          </cell>
          <cell r="D345" t="str">
            <v>200408</v>
          </cell>
          <cell r="E345">
            <v>3.1989999999999998</v>
          </cell>
        </row>
        <row r="346">
          <cell r="A346" t="str">
            <v>37282200409</v>
          </cell>
          <cell r="B346">
            <v>37282</v>
          </cell>
          <cell r="C346" t="str">
            <v>NG</v>
          </cell>
          <cell r="D346" t="str">
            <v>200409</v>
          </cell>
          <cell r="E346">
            <v>3.1789999999999998</v>
          </cell>
        </row>
        <row r="347">
          <cell r="A347" t="str">
            <v>37282200410</v>
          </cell>
          <cell r="B347">
            <v>37282</v>
          </cell>
          <cell r="C347" t="str">
            <v>NG</v>
          </cell>
          <cell r="D347" t="str">
            <v>200410</v>
          </cell>
          <cell r="E347">
            <v>3.1840000000000002</v>
          </cell>
        </row>
        <row r="348">
          <cell r="A348" t="str">
            <v>37282200411</v>
          </cell>
          <cell r="B348">
            <v>37282</v>
          </cell>
          <cell r="C348" t="str">
            <v>NG</v>
          </cell>
          <cell r="D348" t="str">
            <v>200411</v>
          </cell>
          <cell r="E348">
            <v>3.3540000000000001</v>
          </cell>
        </row>
        <row r="349">
          <cell r="A349" t="str">
            <v>37282200412</v>
          </cell>
          <cell r="B349">
            <v>37282</v>
          </cell>
          <cell r="C349" t="str">
            <v>NG</v>
          </cell>
          <cell r="D349" t="str">
            <v>200412</v>
          </cell>
          <cell r="E349">
            <v>3.524</v>
          </cell>
        </row>
        <row r="350">
          <cell r="A350" t="str">
            <v>37283200401</v>
          </cell>
          <cell r="B350">
            <v>37283</v>
          </cell>
          <cell r="C350" t="str">
            <v>NG</v>
          </cell>
          <cell r="D350" t="str">
            <v>200401</v>
          </cell>
          <cell r="E350">
            <v>3.415</v>
          </cell>
        </row>
        <row r="351">
          <cell r="A351" t="str">
            <v>37283200402</v>
          </cell>
          <cell r="B351">
            <v>37283</v>
          </cell>
          <cell r="C351" t="str">
            <v>NG</v>
          </cell>
          <cell r="D351" t="str">
            <v>200402</v>
          </cell>
          <cell r="E351">
            <v>3.3290000000000002</v>
          </cell>
        </row>
        <row r="352">
          <cell r="A352" t="str">
            <v>37283200403</v>
          </cell>
          <cell r="B352">
            <v>37283</v>
          </cell>
          <cell r="C352" t="str">
            <v>NG</v>
          </cell>
          <cell r="D352" t="str">
            <v>200403</v>
          </cell>
          <cell r="E352">
            <v>3.2069999999999999</v>
          </cell>
        </row>
        <row r="353">
          <cell r="A353" t="str">
            <v>37283200404</v>
          </cell>
          <cell r="B353">
            <v>37283</v>
          </cell>
          <cell r="C353" t="str">
            <v>NG</v>
          </cell>
          <cell r="D353" t="str">
            <v>200404</v>
          </cell>
          <cell r="E353">
            <v>3.0470000000000002</v>
          </cell>
        </row>
        <row r="354">
          <cell r="A354" t="str">
            <v>37283200405</v>
          </cell>
          <cell r="B354">
            <v>37283</v>
          </cell>
          <cell r="C354" t="str">
            <v>NG</v>
          </cell>
          <cell r="D354" t="str">
            <v>200405</v>
          </cell>
          <cell r="E354">
            <v>3.0630000000000002</v>
          </cell>
        </row>
        <row r="355">
          <cell r="A355" t="str">
            <v>37283200406</v>
          </cell>
          <cell r="B355">
            <v>37283</v>
          </cell>
          <cell r="C355" t="str">
            <v>NG</v>
          </cell>
          <cell r="D355" t="str">
            <v>200406</v>
          </cell>
          <cell r="E355">
            <v>3.105</v>
          </cell>
        </row>
        <row r="356">
          <cell r="A356" t="str">
            <v>37283200407</v>
          </cell>
          <cell r="B356">
            <v>37283</v>
          </cell>
          <cell r="C356" t="str">
            <v>NG</v>
          </cell>
          <cell r="D356" t="str">
            <v>200407</v>
          </cell>
          <cell r="E356">
            <v>3.1520000000000001</v>
          </cell>
        </row>
        <row r="357">
          <cell r="A357" t="str">
            <v>37283200408</v>
          </cell>
          <cell r="B357">
            <v>37283</v>
          </cell>
          <cell r="C357" t="str">
            <v>NG</v>
          </cell>
          <cell r="D357" t="str">
            <v>200408</v>
          </cell>
          <cell r="E357">
            <v>3.1989999999999998</v>
          </cell>
        </row>
        <row r="358">
          <cell r="A358" t="str">
            <v>37283200409</v>
          </cell>
          <cell r="B358">
            <v>37283</v>
          </cell>
          <cell r="C358" t="str">
            <v>NG</v>
          </cell>
          <cell r="D358" t="str">
            <v>200409</v>
          </cell>
          <cell r="E358">
            <v>3.1789999999999998</v>
          </cell>
        </row>
        <row r="359">
          <cell r="A359" t="str">
            <v>37283200410</v>
          </cell>
          <cell r="B359">
            <v>37283</v>
          </cell>
          <cell r="C359" t="str">
            <v>NG</v>
          </cell>
          <cell r="D359" t="str">
            <v>200410</v>
          </cell>
          <cell r="E359">
            <v>3.1840000000000002</v>
          </cell>
        </row>
        <row r="360">
          <cell r="A360" t="str">
            <v>37283200411</v>
          </cell>
          <cell r="B360">
            <v>37283</v>
          </cell>
          <cell r="C360" t="str">
            <v>NG</v>
          </cell>
          <cell r="D360" t="str">
            <v>200411</v>
          </cell>
          <cell r="E360">
            <v>3.3540000000000001</v>
          </cell>
        </row>
        <row r="361">
          <cell r="A361" t="str">
            <v>37283200412</v>
          </cell>
          <cell r="B361">
            <v>37283</v>
          </cell>
          <cell r="C361" t="str">
            <v>NG</v>
          </cell>
          <cell r="D361" t="str">
            <v>200412</v>
          </cell>
          <cell r="E361">
            <v>3.524</v>
          </cell>
        </row>
        <row r="362">
          <cell r="A362" t="str">
            <v>37284200401</v>
          </cell>
          <cell r="B362">
            <v>37284</v>
          </cell>
          <cell r="C362" t="str">
            <v>NG</v>
          </cell>
          <cell r="D362" t="str">
            <v>200401</v>
          </cell>
          <cell r="E362">
            <v>3.34</v>
          </cell>
        </row>
        <row r="363">
          <cell r="A363" t="str">
            <v>37284200402</v>
          </cell>
          <cell r="B363">
            <v>37284</v>
          </cell>
          <cell r="C363" t="str">
            <v>NG</v>
          </cell>
          <cell r="D363" t="str">
            <v>200402</v>
          </cell>
          <cell r="E363">
            <v>3.254</v>
          </cell>
        </row>
        <row r="364">
          <cell r="A364" t="str">
            <v>37284200403</v>
          </cell>
          <cell r="B364">
            <v>37284</v>
          </cell>
          <cell r="C364" t="str">
            <v>NG</v>
          </cell>
          <cell r="D364" t="str">
            <v>200403</v>
          </cell>
          <cell r="E364">
            <v>3.1320000000000001</v>
          </cell>
        </row>
        <row r="365">
          <cell r="A365" t="str">
            <v>37284200404</v>
          </cell>
          <cell r="B365">
            <v>37284</v>
          </cell>
          <cell r="C365" t="str">
            <v>NG</v>
          </cell>
          <cell r="D365" t="str">
            <v>200404</v>
          </cell>
          <cell r="E365">
            <v>2.972</v>
          </cell>
        </row>
        <row r="366">
          <cell r="A366" t="str">
            <v>37284200405</v>
          </cell>
          <cell r="B366">
            <v>37284</v>
          </cell>
          <cell r="C366" t="str">
            <v>NG</v>
          </cell>
          <cell r="D366" t="str">
            <v>200405</v>
          </cell>
          <cell r="E366">
            <v>2.988</v>
          </cell>
        </row>
        <row r="367">
          <cell r="A367" t="str">
            <v>37284200406</v>
          </cell>
          <cell r="B367">
            <v>37284</v>
          </cell>
          <cell r="C367" t="str">
            <v>NG</v>
          </cell>
          <cell r="D367" t="str">
            <v>200406</v>
          </cell>
          <cell r="E367">
            <v>3.03</v>
          </cell>
        </row>
        <row r="368">
          <cell r="A368" t="str">
            <v>37284200407</v>
          </cell>
          <cell r="B368">
            <v>37284</v>
          </cell>
          <cell r="C368" t="str">
            <v>NG</v>
          </cell>
          <cell r="D368" t="str">
            <v>200407</v>
          </cell>
          <cell r="E368">
            <v>3.077</v>
          </cell>
        </row>
        <row r="369">
          <cell r="A369" t="str">
            <v>37284200408</v>
          </cell>
          <cell r="B369">
            <v>37284</v>
          </cell>
          <cell r="C369" t="str">
            <v>NG</v>
          </cell>
          <cell r="D369" t="str">
            <v>200408</v>
          </cell>
          <cell r="E369">
            <v>3.1240000000000001</v>
          </cell>
        </row>
        <row r="370">
          <cell r="A370" t="str">
            <v>37284200409</v>
          </cell>
          <cell r="B370">
            <v>37284</v>
          </cell>
          <cell r="C370" t="str">
            <v>NG</v>
          </cell>
          <cell r="D370" t="str">
            <v>200409</v>
          </cell>
          <cell r="E370">
            <v>3.1040000000000001</v>
          </cell>
        </row>
        <row r="371">
          <cell r="A371" t="str">
            <v>37284200410</v>
          </cell>
          <cell r="B371">
            <v>37284</v>
          </cell>
          <cell r="C371" t="str">
            <v>NG</v>
          </cell>
          <cell r="D371" t="str">
            <v>200410</v>
          </cell>
          <cell r="E371">
            <v>3.12</v>
          </cell>
        </row>
        <row r="372">
          <cell r="A372" t="str">
            <v>37284200411</v>
          </cell>
          <cell r="B372">
            <v>37284</v>
          </cell>
          <cell r="C372" t="str">
            <v>NG</v>
          </cell>
          <cell r="D372" t="str">
            <v>200411</v>
          </cell>
          <cell r="E372">
            <v>3.29</v>
          </cell>
        </row>
        <row r="373">
          <cell r="A373" t="str">
            <v>37284200412</v>
          </cell>
          <cell r="B373">
            <v>37284</v>
          </cell>
          <cell r="C373" t="str">
            <v>NG</v>
          </cell>
          <cell r="D373" t="str">
            <v>200412</v>
          </cell>
          <cell r="E373">
            <v>3.46</v>
          </cell>
        </row>
        <row r="374">
          <cell r="A374" t="str">
            <v>37285200401</v>
          </cell>
          <cell r="B374">
            <v>37285</v>
          </cell>
          <cell r="C374" t="str">
            <v>NG</v>
          </cell>
          <cell r="D374" t="str">
            <v>200401</v>
          </cell>
          <cell r="E374">
            <v>3.4159999999999999</v>
          </cell>
        </row>
        <row r="375">
          <cell r="A375" t="str">
            <v>37285200402</v>
          </cell>
          <cell r="B375">
            <v>37285</v>
          </cell>
          <cell r="C375" t="str">
            <v>NG</v>
          </cell>
          <cell r="D375" t="str">
            <v>200402</v>
          </cell>
          <cell r="E375">
            <v>3.33</v>
          </cell>
        </row>
        <row r="376">
          <cell r="A376" t="str">
            <v>37285200403</v>
          </cell>
          <cell r="B376">
            <v>37285</v>
          </cell>
          <cell r="C376" t="str">
            <v>NG</v>
          </cell>
          <cell r="D376" t="str">
            <v>200403</v>
          </cell>
          <cell r="E376">
            <v>3.2010000000000001</v>
          </cell>
        </row>
        <row r="377">
          <cell r="A377" t="str">
            <v>37285200404</v>
          </cell>
          <cell r="B377">
            <v>37285</v>
          </cell>
          <cell r="C377" t="str">
            <v>NG</v>
          </cell>
          <cell r="D377" t="str">
            <v>200404</v>
          </cell>
          <cell r="E377">
            <v>3.0409999999999999</v>
          </cell>
        </row>
        <row r="378">
          <cell r="A378" t="str">
            <v>37285200405</v>
          </cell>
          <cell r="B378">
            <v>37285</v>
          </cell>
          <cell r="C378" t="str">
            <v>NG</v>
          </cell>
          <cell r="D378" t="str">
            <v>200405</v>
          </cell>
          <cell r="E378">
            <v>3.0569999999999999</v>
          </cell>
        </row>
        <row r="379">
          <cell r="A379" t="str">
            <v>37285200406</v>
          </cell>
          <cell r="B379">
            <v>37285</v>
          </cell>
          <cell r="C379" t="str">
            <v>NG</v>
          </cell>
          <cell r="D379" t="str">
            <v>200406</v>
          </cell>
          <cell r="E379">
            <v>3.0990000000000002</v>
          </cell>
        </row>
        <row r="380">
          <cell r="A380" t="str">
            <v>37285200407</v>
          </cell>
          <cell r="B380">
            <v>37285</v>
          </cell>
          <cell r="C380" t="str">
            <v>NG</v>
          </cell>
          <cell r="D380" t="str">
            <v>200407</v>
          </cell>
          <cell r="E380">
            <v>3.1459999999999999</v>
          </cell>
        </row>
        <row r="381">
          <cell r="A381" t="str">
            <v>37285200408</v>
          </cell>
          <cell r="B381">
            <v>37285</v>
          </cell>
          <cell r="C381" t="str">
            <v>NG</v>
          </cell>
          <cell r="D381" t="str">
            <v>200408</v>
          </cell>
          <cell r="E381">
            <v>3.1930000000000001</v>
          </cell>
        </row>
        <row r="382">
          <cell r="A382" t="str">
            <v>37285200409</v>
          </cell>
          <cell r="B382">
            <v>37285</v>
          </cell>
          <cell r="C382" t="str">
            <v>NG</v>
          </cell>
          <cell r="D382" t="str">
            <v>200409</v>
          </cell>
          <cell r="E382">
            <v>3.173</v>
          </cell>
        </row>
        <row r="383">
          <cell r="A383" t="str">
            <v>37285200410</v>
          </cell>
          <cell r="B383">
            <v>37285</v>
          </cell>
          <cell r="C383" t="str">
            <v>NG</v>
          </cell>
          <cell r="D383" t="str">
            <v>200410</v>
          </cell>
          <cell r="E383">
            <v>3.1989999999999998</v>
          </cell>
        </row>
        <row r="384">
          <cell r="A384" t="str">
            <v>37285200411</v>
          </cell>
          <cell r="B384">
            <v>37285</v>
          </cell>
          <cell r="C384" t="str">
            <v>NG</v>
          </cell>
          <cell r="D384" t="str">
            <v>200411</v>
          </cell>
          <cell r="E384">
            <v>3.3690000000000002</v>
          </cell>
        </row>
        <row r="385">
          <cell r="A385" t="str">
            <v>37285200412</v>
          </cell>
          <cell r="B385">
            <v>37285</v>
          </cell>
          <cell r="C385" t="str">
            <v>NG</v>
          </cell>
          <cell r="D385" t="str">
            <v>200412</v>
          </cell>
          <cell r="E385">
            <v>3.5470000000000002</v>
          </cell>
        </row>
        <row r="386">
          <cell r="A386" t="str">
            <v>37286200401</v>
          </cell>
          <cell r="B386">
            <v>37286</v>
          </cell>
          <cell r="C386" t="str">
            <v>NG</v>
          </cell>
          <cell r="D386" t="str">
            <v>200401</v>
          </cell>
          <cell r="E386">
            <v>3.3769999999999998</v>
          </cell>
        </row>
        <row r="387">
          <cell r="A387" t="str">
            <v>37286200402</v>
          </cell>
          <cell r="B387">
            <v>37286</v>
          </cell>
          <cell r="C387" t="str">
            <v>NG</v>
          </cell>
          <cell r="D387" t="str">
            <v>200402</v>
          </cell>
          <cell r="E387">
            <v>3.3010000000000002</v>
          </cell>
        </row>
        <row r="388">
          <cell r="A388" t="str">
            <v>37286200403</v>
          </cell>
          <cell r="B388">
            <v>37286</v>
          </cell>
          <cell r="C388" t="str">
            <v>NG</v>
          </cell>
          <cell r="D388" t="str">
            <v>200403</v>
          </cell>
          <cell r="E388">
            <v>3.1720000000000002</v>
          </cell>
        </row>
        <row r="389">
          <cell r="A389" t="str">
            <v>37286200404</v>
          </cell>
          <cell r="B389">
            <v>37286</v>
          </cell>
          <cell r="C389" t="str">
            <v>NG</v>
          </cell>
          <cell r="D389" t="str">
            <v>200404</v>
          </cell>
          <cell r="E389">
            <v>3.004</v>
          </cell>
        </row>
        <row r="390">
          <cell r="A390" t="str">
            <v>37286200405</v>
          </cell>
          <cell r="B390">
            <v>37286</v>
          </cell>
          <cell r="C390" t="str">
            <v>NG</v>
          </cell>
          <cell r="D390" t="str">
            <v>200405</v>
          </cell>
          <cell r="E390">
            <v>3.02</v>
          </cell>
        </row>
        <row r="391">
          <cell r="A391" t="str">
            <v>37286200406</v>
          </cell>
          <cell r="B391">
            <v>37286</v>
          </cell>
          <cell r="C391" t="str">
            <v>NG</v>
          </cell>
          <cell r="D391" t="str">
            <v>200406</v>
          </cell>
          <cell r="E391">
            <v>3.06</v>
          </cell>
        </row>
        <row r="392">
          <cell r="A392" t="str">
            <v>37286200407</v>
          </cell>
          <cell r="B392">
            <v>37286</v>
          </cell>
          <cell r="C392" t="str">
            <v>NG</v>
          </cell>
          <cell r="D392" t="str">
            <v>200407</v>
          </cell>
          <cell r="E392">
            <v>3.1070000000000002</v>
          </cell>
        </row>
        <row r="393">
          <cell r="A393" t="str">
            <v>37286200408</v>
          </cell>
          <cell r="B393">
            <v>37286</v>
          </cell>
          <cell r="C393" t="str">
            <v>NG</v>
          </cell>
          <cell r="D393" t="str">
            <v>200408</v>
          </cell>
          <cell r="E393">
            <v>3.1589999999999998</v>
          </cell>
        </row>
        <row r="394">
          <cell r="A394" t="str">
            <v>37286200409</v>
          </cell>
          <cell r="B394">
            <v>37286</v>
          </cell>
          <cell r="C394" t="str">
            <v>NG</v>
          </cell>
          <cell r="D394" t="str">
            <v>200409</v>
          </cell>
          <cell r="E394">
            <v>3.1389999999999998</v>
          </cell>
        </row>
        <row r="395">
          <cell r="A395" t="str">
            <v>37286200410</v>
          </cell>
          <cell r="B395">
            <v>37286</v>
          </cell>
          <cell r="C395" t="str">
            <v>NG</v>
          </cell>
          <cell r="D395" t="str">
            <v>200410</v>
          </cell>
          <cell r="E395">
            <v>3.165</v>
          </cell>
        </row>
        <row r="396">
          <cell r="A396" t="str">
            <v>37286200411</v>
          </cell>
          <cell r="B396">
            <v>37286</v>
          </cell>
          <cell r="C396" t="str">
            <v>NG</v>
          </cell>
          <cell r="D396" t="str">
            <v>200411</v>
          </cell>
          <cell r="E396">
            <v>3.335</v>
          </cell>
        </row>
        <row r="397">
          <cell r="A397" t="str">
            <v>37286200412</v>
          </cell>
          <cell r="B397">
            <v>37286</v>
          </cell>
          <cell r="C397" t="str">
            <v>NG</v>
          </cell>
          <cell r="D397" t="str">
            <v>200412</v>
          </cell>
          <cell r="E397">
            <v>3.5129999999999999</v>
          </cell>
        </row>
        <row r="398">
          <cell r="A398" t="str">
            <v>37287200401</v>
          </cell>
          <cell r="B398">
            <v>37287</v>
          </cell>
          <cell r="C398" t="str">
            <v>NG</v>
          </cell>
          <cell r="D398" t="str">
            <v>200401</v>
          </cell>
          <cell r="E398">
            <v>3.335</v>
          </cell>
        </row>
        <row r="399">
          <cell r="A399" t="str">
            <v>37287200402</v>
          </cell>
          <cell r="B399">
            <v>37287</v>
          </cell>
          <cell r="C399" t="str">
            <v>NG</v>
          </cell>
          <cell r="D399" t="str">
            <v>200402</v>
          </cell>
          <cell r="E399">
            <v>3.2589999999999999</v>
          </cell>
        </row>
        <row r="400">
          <cell r="A400" t="str">
            <v>37287200403</v>
          </cell>
          <cell r="B400">
            <v>37287</v>
          </cell>
          <cell r="C400" t="str">
            <v>NG</v>
          </cell>
          <cell r="D400" t="str">
            <v>200403</v>
          </cell>
          <cell r="E400">
            <v>3.125</v>
          </cell>
        </row>
        <row r="401">
          <cell r="A401" t="str">
            <v>37287200404</v>
          </cell>
          <cell r="B401">
            <v>37287</v>
          </cell>
          <cell r="C401" t="str">
            <v>NG</v>
          </cell>
          <cell r="D401" t="str">
            <v>200404</v>
          </cell>
          <cell r="E401">
            <v>2.952</v>
          </cell>
        </row>
        <row r="402">
          <cell r="A402" t="str">
            <v>37287200405</v>
          </cell>
          <cell r="B402">
            <v>37287</v>
          </cell>
          <cell r="C402" t="str">
            <v>NG</v>
          </cell>
          <cell r="D402" t="str">
            <v>200405</v>
          </cell>
          <cell r="E402">
            <v>2.9630000000000001</v>
          </cell>
        </row>
        <row r="403">
          <cell r="A403" t="str">
            <v>37287200406</v>
          </cell>
          <cell r="B403">
            <v>37287</v>
          </cell>
          <cell r="C403" t="str">
            <v>NG</v>
          </cell>
          <cell r="D403" t="str">
            <v>200406</v>
          </cell>
          <cell r="E403">
            <v>2.9980000000000002</v>
          </cell>
        </row>
        <row r="404">
          <cell r="A404" t="str">
            <v>37287200407</v>
          </cell>
          <cell r="B404">
            <v>37287</v>
          </cell>
          <cell r="C404" t="str">
            <v>NG</v>
          </cell>
          <cell r="D404" t="str">
            <v>200407</v>
          </cell>
          <cell r="E404">
            <v>3.0449999999999999</v>
          </cell>
        </row>
        <row r="405">
          <cell r="A405" t="str">
            <v>37287200408</v>
          </cell>
          <cell r="B405">
            <v>37287</v>
          </cell>
          <cell r="C405" t="str">
            <v>NG</v>
          </cell>
          <cell r="D405" t="str">
            <v>200408</v>
          </cell>
          <cell r="E405">
            <v>3.0950000000000002</v>
          </cell>
        </row>
        <row r="406">
          <cell r="A406" t="str">
            <v>37287200409</v>
          </cell>
          <cell r="B406">
            <v>37287</v>
          </cell>
          <cell r="C406" t="str">
            <v>NG</v>
          </cell>
          <cell r="D406" t="str">
            <v>200409</v>
          </cell>
          <cell r="E406">
            <v>3.0750000000000002</v>
          </cell>
        </row>
        <row r="407">
          <cell r="A407" t="str">
            <v>37287200410</v>
          </cell>
          <cell r="B407">
            <v>37287</v>
          </cell>
          <cell r="C407" t="str">
            <v>NG</v>
          </cell>
          <cell r="D407" t="str">
            <v>200410</v>
          </cell>
          <cell r="E407">
            <v>3.0950000000000002</v>
          </cell>
        </row>
        <row r="408">
          <cell r="A408" t="str">
            <v>37287200411</v>
          </cell>
          <cell r="B408">
            <v>37287</v>
          </cell>
          <cell r="C408" t="str">
            <v>NG</v>
          </cell>
          <cell r="D408" t="str">
            <v>200411</v>
          </cell>
          <cell r="E408">
            <v>3.2650000000000001</v>
          </cell>
        </row>
        <row r="409">
          <cell r="A409" t="str">
            <v>37287200412</v>
          </cell>
          <cell r="B409">
            <v>37287</v>
          </cell>
          <cell r="C409" t="str">
            <v>NG</v>
          </cell>
          <cell r="D409" t="str">
            <v>200412</v>
          </cell>
          <cell r="E409">
            <v>3.4430000000000001</v>
          </cell>
        </row>
        <row r="410">
          <cell r="A410" t="str">
            <v>37288200401</v>
          </cell>
          <cell r="B410">
            <v>37288</v>
          </cell>
          <cell r="C410" t="str">
            <v>NG</v>
          </cell>
          <cell r="D410" t="str">
            <v>200401</v>
          </cell>
          <cell r="E410">
            <v>3.3210000000000002</v>
          </cell>
        </row>
        <row r="411">
          <cell r="A411" t="str">
            <v>37288200402</v>
          </cell>
          <cell r="B411">
            <v>37288</v>
          </cell>
          <cell r="C411" t="str">
            <v>NG</v>
          </cell>
          <cell r="D411" t="str">
            <v>200402</v>
          </cell>
          <cell r="E411">
            <v>3.2450000000000001</v>
          </cell>
        </row>
        <row r="412">
          <cell r="A412" t="str">
            <v>37288200403</v>
          </cell>
          <cell r="B412">
            <v>37288</v>
          </cell>
          <cell r="C412" t="str">
            <v>NG</v>
          </cell>
          <cell r="D412" t="str">
            <v>200403</v>
          </cell>
          <cell r="E412">
            <v>3.1110000000000002</v>
          </cell>
        </row>
        <row r="413">
          <cell r="A413" t="str">
            <v>37288200404</v>
          </cell>
          <cell r="B413">
            <v>37288</v>
          </cell>
          <cell r="C413" t="str">
            <v>NG</v>
          </cell>
          <cell r="D413" t="str">
            <v>200404</v>
          </cell>
          <cell r="E413">
            <v>2.9380000000000002</v>
          </cell>
        </row>
        <row r="414">
          <cell r="A414" t="str">
            <v>37288200405</v>
          </cell>
          <cell r="B414">
            <v>37288</v>
          </cell>
          <cell r="C414" t="str">
            <v>NG</v>
          </cell>
          <cell r="D414" t="str">
            <v>200405</v>
          </cell>
          <cell r="E414">
            <v>2.9489999999999998</v>
          </cell>
        </row>
        <row r="415">
          <cell r="A415" t="str">
            <v>37288200406</v>
          </cell>
          <cell r="B415">
            <v>37288</v>
          </cell>
          <cell r="C415" t="str">
            <v>NG</v>
          </cell>
          <cell r="D415" t="str">
            <v>200406</v>
          </cell>
          <cell r="E415">
            <v>2.984</v>
          </cell>
        </row>
        <row r="416">
          <cell r="A416" t="str">
            <v>37288200407</v>
          </cell>
          <cell r="B416">
            <v>37288</v>
          </cell>
          <cell r="C416" t="str">
            <v>NG</v>
          </cell>
          <cell r="D416" t="str">
            <v>200407</v>
          </cell>
          <cell r="E416">
            <v>3.0310000000000001</v>
          </cell>
        </row>
        <row r="417">
          <cell r="A417" t="str">
            <v>37288200408</v>
          </cell>
          <cell r="B417">
            <v>37288</v>
          </cell>
          <cell r="C417" t="str">
            <v>NG</v>
          </cell>
          <cell r="D417" t="str">
            <v>200408</v>
          </cell>
          <cell r="E417">
            <v>3.081</v>
          </cell>
        </row>
        <row r="418">
          <cell r="A418" t="str">
            <v>37288200409</v>
          </cell>
          <cell r="B418">
            <v>37288</v>
          </cell>
          <cell r="C418" t="str">
            <v>NG</v>
          </cell>
          <cell r="D418" t="str">
            <v>200409</v>
          </cell>
          <cell r="E418">
            <v>3.0609999999999999</v>
          </cell>
        </row>
        <row r="419">
          <cell r="A419" t="str">
            <v>37288200410</v>
          </cell>
          <cell r="B419">
            <v>37288</v>
          </cell>
          <cell r="C419" t="str">
            <v>NG</v>
          </cell>
          <cell r="D419" t="str">
            <v>200410</v>
          </cell>
          <cell r="E419">
            <v>3.081</v>
          </cell>
        </row>
        <row r="420">
          <cell r="A420" t="str">
            <v>37288200411</v>
          </cell>
          <cell r="B420">
            <v>37288</v>
          </cell>
          <cell r="C420" t="str">
            <v>NG</v>
          </cell>
          <cell r="D420" t="str">
            <v>200411</v>
          </cell>
          <cell r="E420">
            <v>3.2509999999999999</v>
          </cell>
        </row>
        <row r="421">
          <cell r="A421" t="str">
            <v>37288200412</v>
          </cell>
          <cell r="B421">
            <v>37288</v>
          </cell>
          <cell r="C421" t="str">
            <v>NG</v>
          </cell>
          <cell r="D421" t="str">
            <v>200412</v>
          </cell>
          <cell r="E421">
            <v>3.4289999999999998</v>
          </cell>
        </row>
        <row r="422">
          <cell r="A422" t="str">
            <v>37289200401</v>
          </cell>
          <cell r="B422">
            <v>37289</v>
          </cell>
          <cell r="C422" t="str">
            <v>NG</v>
          </cell>
          <cell r="D422" t="str">
            <v>200401</v>
          </cell>
          <cell r="E422">
            <v>3.3210000000000002</v>
          </cell>
        </row>
        <row r="423">
          <cell r="A423" t="str">
            <v>37289200402</v>
          </cell>
          <cell r="B423">
            <v>37289</v>
          </cell>
          <cell r="C423" t="str">
            <v>NG</v>
          </cell>
          <cell r="D423" t="str">
            <v>200402</v>
          </cell>
          <cell r="E423">
            <v>3.2450000000000001</v>
          </cell>
        </row>
        <row r="424">
          <cell r="A424" t="str">
            <v>37289200403</v>
          </cell>
          <cell r="B424">
            <v>37289</v>
          </cell>
          <cell r="C424" t="str">
            <v>NG</v>
          </cell>
          <cell r="D424" t="str">
            <v>200403</v>
          </cell>
          <cell r="E424">
            <v>3.1110000000000002</v>
          </cell>
        </row>
        <row r="425">
          <cell r="A425" t="str">
            <v>37289200404</v>
          </cell>
          <cell r="B425">
            <v>37289</v>
          </cell>
          <cell r="C425" t="str">
            <v>NG</v>
          </cell>
          <cell r="D425" t="str">
            <v>200404</v>
          </cell>
          <cell r="E425">
            <v>2.9380000000000002</v>
          </cell>
        </row>
        <row r="426">
          <cell r="A426" t="str">
            <v>37289200405</v>
          </cell>
          <cell r="B426">
            <v>37289</v>
          </cell>
          <cell r="C426" t="str">
            <v>NG</v>
          </cell>
          <cell r="D426" t="str">
            <v>200405</v>
          </cell>
          <cell r="E426">
            <v>2.9489999999999998</v>
          </cell>
        </row>
        <row r="427">
          <cell r="A427" t="str">
            <v>37289200406</v>
          </cell>
          <cell r="B427">
            <v>37289</v>
          </cell>
          <cell r="C427" t="str">
            <v>NG</v>
          </cell>
          <cell r="D427" t="str">
            <v>200406</v>
          </cell>
          <cell r="E427">
            <v>2.984</v>
          </cell>
        </row>
        <row r="428">
          <cell r="A428" t="str">
            <v>37289200407</v>
          </cell>
          <cell r="B428">
            <v>37289</v>
          </cell>
          <cell r="C428" t="str">
            <v>NG</v>
          </cell>
          <cell r="D428" t="str">
            <v>200407</v>
          </cell>
          <cell r="E428">
            <v>3.0310000000000001</v>
          </cell>
        </row>
        <row r="429">
          <cell r="A429" t="str">
            <v>37289200408</v>
          </cell>
          <cell r="B429">
            <v>37289</v>
          </cell>
          <cell r="C429" t="str">
            <v>NG</v>
          </cell>
          <cell r="D429" t="str">
            <v>200408</v>
          </cell>
          <cell r="E429">
            <v>3.081</v>
          </cell>
        </row>
        <row r="430">
          <cell r="A430" t="str">
            <v>37289200409</v>
          </cell>
          <cell r="B430">
            <v>37289</v>
          </cell>
          <cell r="C430" t="str">
            <v>NG</v>
          </cell>
          <cell r="D430" t="str">
            <v>200409</v>
          </cell>
          <cell r="E430">
            <v>3.0609999999999999</v>
          </cell>
        </row>
        <row r="431">
          <cell r="A431" t="str">
            <v>37289200410</v>
          </cell>
          <cell r="B431">
            <v>37289</v>
          </cell>
          <cell r="C431" t="str">
            <v>NG</v>
          </cell>
          <cell r="D431" t="str">
            <v>200410</v>
          </cell>
          <cell r="E431">
            <v>3.081</v>
          </cell>
        </row>
        <row r="432">
          <cell r="A432" t="str">
            <v>37289200411</v>
          </cell>
          <cell r="B432">
            <v>37289</v>
          </cell>
          <cell r="C432" t="str">
            <v>NG</v>
          </cell>
          <cell r="D432" t="str">
            <v>200411</v>
          </cell>
          <cell r="E432">
            <v>3.2509999999999999</v>
          </cell>
        </row>
        <row r="433">
          <cell r="A433" t="str">
            <v>37289200412</v>
          </cell>
          <cell r="B433">
            <v>37289</v>
          </cell>
          <cell r="C433" t="str">
            <v>NG</v>
          </cell>
          <cell r="D433" t="str">
            <v>200412</v>
          </cell>
          <cell r="E433">
            <v>3.4289999999999998</v>
          </cell>
        </row>
        <row r="434">
          <cell r="A434" t="str">
            <v>37291200401</v>
          </cell>
          <cell r="B434">
            <v>37291</v>
          </cell>
          <cell r="C434" t="str">
            <v>NG</v>
          </cell>
          <cell r="D434" t="str">
            <v>200401</v>
          </cell>
          <cell r="E434">
            <v>3.3260000000000001</v>
          </cell>
        </row>
        <row r="435">
          <cell r="A435" t="str">
            <v>37291200402</v>
          </cell>
          <cell r="B435">
            <v>37291</v>
          </cell>
          <cell r="C435" t="str">
            <v>NG</v>
          </cell>
          <cell r="D435" t="str">
            <v>200402</v>
          </cell>
          <cell r="E435">
            <v>3.2559999999999998</v>
          </cell>
        </row>
        <row r="436">
          <cell r="A436" t="str">
            <v>37291200403</v>
          </cell>
          <cell r="B436">
            <v>37291</v>
          </cell>
          <cell r="C436" t="str">
            <v>NG</v>
          </cell>
          <cell r="D436" t="str">
            <v>200403</v>
          </cell>
          <cell r="E436">
            <v>3.1219999999999999</v>
          </cell>
        </row>
        <row r="437">
          <cell r="A437" t="str">
            <v>37291200404</v>
          </cell>
          <cell r="B437">
            <v>37291</v>
          </cell>
          <cell r="C437" t="str">
            <v>NG</v>
          </cell>
          <cell r="D437" t="str">
            <v>200404</v>
          </cell>
          <cell r="E437">
            <v>2.9529999999999998</v>
          </cell>
        </row>
        <row r="438">
          <cell r="A438" t="str">
            <v>37291200405</v>
          </cell>
          <cell r="B438">
            <v>37291</v>
          </cell>
          <cell r="C438" t="str">
            <v>NG</v>
          </cell>
          <cell r="D438" t="str">
            <v>200405</v>
          </cell>
          <cell r="E438">
            <v>2.964</v>
          </cell>
        </row>
        <row r="439">
          <cell r="A439" t="str">
            <v>37291200406</v>
          </cell>
          <cell r="B439">
            <v>37291</v>
          </cell>
          <cell r="C439" t="str">
            <v>NG</v>
          </cell>
          <cell r="D439" t="str">
            <v>200406</v>
          </cell>
          <cell r="E439">
            <v>2.9990000000000001</v>
          </cell>
        </row>
        <row r="440">
          <cell r="A440" t="str">
            <v>37291200407</v>
          </cell>
          <cell r="B440">
            <v>37291</v>
          </cell>
          <cell r="C440" t="str">
            <v>NG</v>
          </cell>
          <cell r="D440" t="str">
            <v>200407</v>
          </cell>
          <cell r="E440">
            <v>3.044</v>
          </cell>
        </row>
        <row r="441">
          <cell r="A441" t="str">
            <v>37291200408</v>
          </cell>
          <cell r="B441">
            <v>37291</v>
          </cell>
          <cell r="C441" t="str">
            <v>NG</v>
          </cell>
          <cell r="D441" t="str">
            <v>200408</v>
          </cell>
          <cell r="E441">
            <v>3.089</v>
          </cell>
        </row>
        <row r="442">
          <cell r="A442" t="str">
            <v>37291200409</v>
          </cell>
          <cell r="B442">
            <v>37291</v>
          </cell>
          <cell r="C442" t="str">
            <v>NG</v>
          </cell>
          <cell r="D442" t="str">
            <v>200409</v>
          </cell>
          <cell r="E442">
            <v>3.0710000000000002</v>
          </cell>
        </row>
        <row r="443">
          <cell r="A443" t="str">
            <v>37291200410</v>
          </cell>
          <cell r="B443">
            <v>37291</v>
          </cell>
          <cell r="C443" t="str">
            <v>NG</v>
          </cell>
          <cell r="D443" t="str">
            <v>200410</v>
          </cell>
          <cell r="E443">
            <v>3.089</v>
          </cell>
        </row>
        <row r="444">
          <cell r="A444" t="str">
            <v>37291200411</v>
          </cell>
          <cell r="B444">
            <v>37291</v>
          </cell>
          <cell r="C444" t="str">
            <v>NG</v>
          </cell>
          <cell r="D444" t="str">
            <v>200411</v>
          </cell>
          <cell r="E444">
            <v>3.258</v>
          </cell>
        </row>
        <row r="445">
          <cell r="A445" t="str">
            <v>37291200412</v>
          </cell>
          <cell r="B445">
            <v>37291</v>
          </cell>
          <cell r="C445" t="str">
            <v>NG</v>
          </cell>
          <cell r="D445" t="str">
            <v>200412</v>
          </cell>
          <cell r="E445">
            <v>3.4359999999999999</v>
          </cell>
        </row>
        <row r="446">
          <cell r="A446" t="str">
            <v>37292200401</v>
          </cell>
          <cell r="B446">
            <v>37292</v>
          </cell>
          <cell r="C446" t="str">
            <v>NG</v>
          </cell>
          <cell r="D446" t="str">
            <v>200401</v>
          </cell>
          <cell r="E446">
            <v>3.3450000000000002</v>
          </cell>
        </row>
        <row r="447">
          <cell r="A447" t="str">
            <v>37292200402</v>
          </cell>
          <cell r="B447">
            <v>37292</v>
          </cell>
          <cell r="C447" t="str">
            <v>NG</v>
          </cell>
          <cell r="D447" t="str">
            <v>200402</v>
          </cell>
          <cell r="E447">
            <v>3.27</v>
          </cell>
        </row>
        <row r="448">
          <cell r="A448" t="str">
            <v>37292200403</v>
          </cell>
          <cell r="B448">
            <v>37292</v>
          </cell>
          <cell r="C448" t="str">
            <v>NG</v>
          </cell>
          <cell r="D448" t="str">
            <v>200403</v>
          </cell>
          <cell r="E448">
            <v>3.1360000000000001</v>
          </cell>
        </row>
        <row r="449">
          <cell r="A449" t="str">
            <v>37292200404</v>
          </cell>
          <cell r="B449">
            <v>37292</v>
          </cell>
          <cell r="C449" t="str">
            <v>NG</v>
          </cell>
          <cell r="D449" t="str">
            <v>200404</v>
          </cell>
          <cell r="E449">
            <v>2.9670000000000001</v>
          </cell>
        </row>
        <row r="450">
          <cell r="A450" t="str">
            <v>37292200405</v>
          </cell>
          <cell r="B450">
            <v>37292</v>
          </cell>
          <cell r="C450" t="str">
            <v>NG</v>
          </cell>
          <cell r="D450" t="str">
            <v>200405</v>
          </cell>
          <cell r="E450">
            <v>2.9780000000000002</v>
          </cell>
        </row>
        <row r="451">
          <cell r="A451" t="str">
            <v>37292200406</v>
          </cell>
          <cell r="B451">
            <v>37292</v>
          </cell>
          <cell r="C451" t="str">
            <v>NG</v>
          </cell>
          <cell r="D451" t="str">
            <v>200406</v>
          </cell>
          <cell r="E451">
            <v>3.008</v>
          </cell>
        </row>
        <row r="452">
          <cell r="A452" t="str">
            <v>37292200407</v>
          </cell>
          <cell r="B452">
            <v>37292</v>
          </cell>
          <cell r="C452" t="str">
            <v>NG</v>
          </cell>
          <cell r="D452" t="str">
            <v>200407</v>
          </cell>
          <cell r="E452">
            <v>3.0529999999999999</v>
          </cell>
        </row>
        <row r="453">
          <cell r="A453" t="str">
            <v>37292200408</v>
          </cell>
          <cell r="B453">
            <v>37292</v>
          </cell>
          <cell r="C453" t="str">
            <v>NG</v>
          </cell>
          <cell r="D453" t="str">
            <v>200408</v>
          </cell>
          <cell r="E453">
            <v>3.0979999999999999</v>
          </cell>
        </row>
        <row r="454">
          <cell r="A454" t="str">
            <v>37292200409</v>
          </cell>
          <cell r="B454">
            <v>37292</v>
          </cell>
          <cell r="C454" t="str">
            <v>NG</v>
          </cell>
          <cell r="D454" t="str">
            <v>200409</v>
          </cell>
          <cell r="E454">
            <v>3.0939999999999999</v>
          </cell>
        </row>
        <row r="455">
          <cell r="A455" t="str">
            <v>37292200410</v>
          </cell>
          <cell r="B455">
            <v>37292</v>
          </cell>
          <cell r="C455" t="str">
            <v>NG</v>
          </cell>
          <cell r="D455" t="str">
            <v>200410</v>
          </cell>
          <cell r="E455">
            <v>3.1120000000000001</v>
          </cell>
        </row>
        <row r="456">
          <cell r="A456" t="str">
            <v>37292200411</v>
          </cell>
          <cell r="B456">
            <v>37292</v>
          </cell>
          <cell r="C456" t="str">
            <v>NG</v>
          </cell>
          <cell r="D456" t="str">
            <v>200411</v>
          </cell>
          <cell r="E456">
            <v>3.2759999999999998</v>
          </cell>
        </row>
        <row r="457">
          <cell r="A457" t="str">
            <v>37292200412</v>
          </cell>
          <cell r="B457">
            <v>37292</v>
          </cell>
          <cell r="C457" t="str">
            <v>NG</v>
          </cell>
          <cell r="D457" t="str">
            <v>200412</v>
          </cell>
          <cell r="E457">
            <v>3.4540000000000002</v>
          </cell>
        </row>
        <row r="458">
          <cell r="A458" t="str">
            <v>37293200401</v>
          </cell>
          <cell r="B458">
            <v>37293</v>
          </cell>
          <cell r="C458" t="str">
            <v>NG</v>
          </cell>
          <cell r="D458" t="str">
            <v>200401</v>
          </cell>
          <cell r="E458">
            <v>3.3340000000000001</v>
          </cell>
        </row>
        <row r="459">
          <cell r="A459" t="str">
            <v>37293200402</v>
          </cell>
          <cell r="B459">
            <v>37293</v>
          </cell>
          <cell r="C459" t="str">
            <v>NG</v>
          </cell>
          <cell r="D459" t="str">
            <v>200402</v>
          </cell>
          <cell r="E459">
            <v>3.258</v>
          </cell>
        </row>
        <row r="460">
          <cell r="A460" t="str">
            <v>37293200403</v>
          </cell>
          <cell r="B460">
            <v>37293</v>
          </cell>
          <cell r="C460" t="str">
            <v>NG</v>
          </cell>
          <cell r="D460" t="str">
            <v>200403</v>
          </cell>
          <cell r="E460">
            <v>3.1179999999999999</v>
          </cell>
        </row>
        <row r="461">
          <cell r="A461" t="str">
            <v>37293200404</v>
          </cell>
          <cell r="B461">
            <v>37293</v>
          </cell>
          <cell r="C461" t="str">
            <v>NG</v>
          </cell>
          <cell r="D461" t="str">
            <v>200404</v>
          </cell>
          <cell r="E461">
            <v>2.9470000000000001</v>
          </cell>
        </row>
        <row r="462">
          <cell r="A462" t="str">
            <v>37293200405</v>
          </cell>
          <cell r="B462">
            <v>37293</v>
          </cell>
          <cell r="C462" t="str">
            <v>NG</v>
          </cell>
          <cell r="D462" t="str">
            <v>200405</v>
          </cell>
          <cell r="E462">
            <v>2.96</v>
          </cell>
        </row>
        <row r="463">
          <cell r="A463" t="str">
            <v>37293200406</v>
          </cell>
          <cell r="B463">
            <v>37293</v>
          </cell>
          <cell r="C463" t="str">
            <v>NG</v>
          </cell>
          <cell r="D463" t="str">
            <v>200406</v>
          </cell>
          <cell r="E463">
            <v>2.988</v>
          </cell>
        </row>
        <row r="464">
          <cell r="A464" t="str">
            <v>37293200407</v>
          </cell>
          <cell r="B464">
            <v>37293</v>
          </cell>
          <cell r="C464" t="str">
            <v>NG</v>
          </cell>
          <cell r="D464" t="str">
            <v>200407</v>
          </cell>
          <cell r="E464">
            <v>3.0310000000000001</v>
          </cell>
        </row>
        <row r="465">
          <cell r="A465" t="str">
            <v>37293200408</v>
          </cell>
          <cell r="B465">
            <v>37293</v>
          </cell>
          <cell r="C465" t="str">
            <v>NG</v>
          </cell>
          <cell r="D465" t="str">
            <v>200408</v>
          </cell>
          <cell r="E465">
            <v>3.0739999999999998</v>
          </cell>
        </row>
        <row r="466">
          <cell r="A466" t="str">
            <v>37293200409</v>
          </cell>
          <cell r="B466">
            <v>37293</v>
          </cell>
          <cell r="C466" t="str">
            <v>NG</v>
          </cell>
          <cell r="D466" t="str">
            <v>200409</v>
          </cell>
          <cell r="E466">
            <v>3.0739999999999998</v>
          </cell>
        </row>
        <row r="467">
          <cell r="A467" t="str">
            <v>37293200410</v>
          </cell>
          <cell r="B467">
            <v>37293</v>
          </cell>
          <cell r="C467" t="str">
            <v>NG</v>
          </cell>
          <cell r="D467" t="str">
            <v>200410</v>
          </cell>
          <cell r="E467">
            <v>3.0920000000000001</v>
          </cell>
        </row>
        <row r="468">
          <cell r="A468" t="str">
            <v>37293200411</v>
          </cell>
          <cell r="B468">
            <v>37293</v>
          </cell>
          <cell r="C468" t="str">
            <v>NG</v>
          </cell>
          <cell r="D468" t="str">
            <v>200411</v>
          </cell>
          <cell r="E468">
            <v>3.2519999999999998</v>
          </cell>
        </row>
        <row r="469">
          <cell r="A469" t="str">
            <v>37293200412</v>
          </cell>
          <cell r="B469">
            <v>37293</v>
          </cell>
          <cell r="C469" t="str">
            <v>NG</v>
          </cell>
          <cell r="D469" t="str">
            <v>200412</v>
          </cell>
          <cell r="E469">
            <v>3.43</v>
          </cell>
        </row>
        <row r="470">
          <cell r="A470" t="str">
            <v>37294200401</v>
          </cell>
          <cell r="B470">
            <v>37294</v>
          </cell>
          <cell r="C470" t="str">
            <v>NG</v>
          </cell>
          <cell r="D470" t="str">
            <v>200401</v>
          </cell>
          <cell r="E470">
            <v>3.3650000000000002</v>
          </cell>
        </row>
        <row r="471">
          <cell r="A471" t="str">
            <v>37294200402</v>
          </cell>
          <cell r="B471">
            <v>37294</v>
          </cell>
          <cell r="C471" t="str">
            <v>NG</v>
          </cell>
          <cell r="D471" t="str">
            <v>200402</v>
          </cell>
          <cell r="E471">
            <v>3.2850000000000001</v>
          </cell>
        </row>
        <row r="472">
          <cell r="A472" t="str">
            <v>37294200403</v>
          </cell>
          <cell r="B472">
            <v>37294</v>
          </cell>
          <cell r="C472" t="str">
            <v>NG</v>
          </cell>
          <cell r="D472" t="str">
            <v>200403</v>
          </cell>
          <cell r="E472">
            <v>3.17</v>
          </cell>
        </row>
        <row r="473">
          <cell r="A473" t="str">
            <v>37294200404</v>
          </cell>
          <cell r="B473">
            <v>37294</v>
          </cell>
          <cell r="C473" t="str">
            <v>NG</v>
          </cell>
          <cell r="D473" t="str">
            <v>200404</v>
          </cell>
          <cell r="E473">
            <v>2.99</v>
          </cell>
        </row>
        <row r="474">
          <cell r="A474" t="str">
            <v>37294200405</v>
          </cell>
          <cell r="B474">
            <v>37294</v>
          </cell>
          <cell r="C474" t="str">
            <v>NG</v>
          </cell>
          <cell r="D474" t="str">
            <v>200405</v>
          </cell>
          <cell r="E474">
            <v>2.9969999999999999</v>
          </cell>
        </row>
        <row r="475">
          <cell r="A475" t="str">
            <v>37294200406</v>
          </cell>
          <cell r="B475">
            <v>37294</v>
          </cell>
          <cell r="C475" t="str">
            <v>NG</v>
          </cell>
          <cell r="D475" t="str">
            <v>200406</v>
          </cell>
          <cell r="E475">
            <v>3.012</v>
          </cell>
        </row>
        <row r="476">
          <cell r="A476" t="str">
            <v>37294200407</v>
          </cell>
          <cell r="B476">
            <v>37294</v>
          </cell>
          <cell r="C476" t="str">
            <v>NG</v>
          </cell>
          <cell r="D476" t="str">
            <v>200407</v>
          </cell>
          <cell r="E476">
            <v>3.052</v>
          </cell>
        </row>
        <row r="477">
          <cell r="A477" t="str">
            <v>37294200408</v>
          </cell>
          <cell r="B477">
            <v>37294</v>
          </cell>
          <cell r="C477" t="str">
            <v>NG</v>
          </cell>
          <cell r="D477" t="str">
            <v>200408</v>
          </cell>
          <cell r="E477">
            <v>3.0920000000000001</v>
          </cell>
        </row>
        <row r="478">
          <cell r="A478" t="str">
            <v>37294200409</v>
          </cell>
          <cell r="B478">
            <v>37294</v>
          </cell>
          <cell r="C478" t="str">
            <v>NG</v>
          </cell>
          <cell r="D478" t="str">
            <v>200409</v>
          </cell>
          <cell r="E478">
            <v>3.0939999999999999</v>
          </cell>
        </row>
        <row r="479">
          <cell r="A479" t="str">
            <v>37294200410</v>
          </cell>
          <cell r="B479">
            <v>37294</v>
          </cell>
          <cell r="C479" t="str">
            <v>NG</v>
          </cell>
          <cell r="D479" t="str">
            <v>200410</v>
          </cell>
          <cell r="E479">
            <v>3.1019999999999999</v>
          </cell>
        </row>
        <row r="480">
          <cell r="A480" t="str">
            <v>37294200411</v>
          </cell>
          <cell r="B480">
            <v>37294</v>
          </cell>
          <cell r="C480" t="str">
            <v>NG</v>
          </cell>
          <cell r="D480" t="str">
            <v>200411</v>
          </cell>
          <cell r="E480">
            <v>3.262</v>
          </cell>
        </row>
        <row r="481">
          <cell r="A481" t="str">
            <v>37294200412</v>
          </cell>
          <cell r="B481">
            <v>37294</v>
          </cell>
          <cell r="C481" t="str">
            <v>NG</v>
          </cell>
          <cell r="D481" t="str">
            <v>200412</v>
          </cell>
          <cell r="E481">
            <v>3.44</v>
          </cell>
        </row>
        <row r="482">
          <cell r="A482" t="str">
            <v>37295200401</v>
          </cell>
          <cell r="B482">
            <v>37295</v>
          </cell>
          <cell r="C482" t="str">
            <v>NG</v>
          </cell>
          <cell r="D482" t="str">
            <v>200401</v>
          </cell>
          <cell r="E482">
            <v>3.3839999999999999</v>
          </cell>
        </row>
        <row r="483">
          <cell r="A483" t="str">
            <v>37295200402</v>
          </cell>
          <cell r="B483">
            <v>37295</v>
          </cell>
          <cell r="C483" t="str">
            <v>NG</v>
          </cell>
          <cell r="D483" t="str">
            <v>200402</v>
          </cell>
          <cell r="E483">
            <v>3.3010000000000002</v>
          </cell>
        </row>
        <row r="484">
          <cell r="A484" t="str">
            <v>37295200403</v>
          </cell>
          <cell r="B484">
            <v>37295</v>
          </cell>
          <cell r="C484" t="str">
            <v>NG</v>
          </cell>
          <cell r="D484" t="str">
            <v>200403</v>
          </cell>
          <cell r="E484">
            <v>3.1819999999999999</v>
          </cell>
        </row>
        <row r="485">
          <cell r="A485" t="str">
            <v>37295200404</v>
          </cell>
          <cell r="B485">
            <v>37295</v>
          </cell>
          <cell r="C485" t="str">
            <v>NG</v>
          </cell>
          <cell r="D485" t="str">
            <v>200404</v>
          </cell>
          <cell r="E485">
            <v>3.0019999999999998</v>
          </cell>
        </row>
        <row r="486">
          <cell r="A486" t="str">
            <v>37295200405</v>
          </cell>
          <cell r="B486">
            <v>37295</v>
          </cell>
          <cell r="C486" t="str">
            <v>NG</v>
          </cell>
          <cell r="D486" t="str">
            <v>200405</v>
          </cell>
          <cell r="E486">
            <v>3.0089999999999999</v>
          </cell>
        </row>
        <row r="487">
          <cell r="A487" t="str">
            <v>37295200406</v>
          </cell>
          <cell r="B487">
            <v>37295</v>
          </cell>
          <cell r="C487" t="str">
            <v>NG</v>
          </cell>
          <cell r="D487" t="str">
            <v>200406</v>
          </cell>
          <cell r="E487">
            <v>3.024</v>
          </cell>
        </row>
        <row r="488">
          <cell r="A488" t="str">
            <v>37295200407</v>
          </cell>
          <cell r="B488">
            <v>37295</v>
          </cell>
          <cell r="C488" t="str">
            <v>NG</v>
          </cell>
          <cell r="D488" t="str">
            <v>200407</v>
          </cell>
          <cell r="E488">
            <v>3.0640000000000001</v>
          </cell>
        </row>
        <row r="489">
          <cell r="A489" t="str">
            <v>37295200408</v>
          </cell>
          <cell r="B489">
            <v>37295</v>
          </cell>
          <cell r="C489" t="str">
            <v>NG</v>
          </cell>
          <cell r="D489" t="str">
            <v>200408</v>
          </cell>
          <cell r="E489">
            <v>3.1120000000000001</v>
          </cell>
        </row>
        <row r="490">
          <cell r="A490" t="str">
            <v>37295200409</v>
          </cell>
          <cell r="B490">
            <v>37295</v>
          </cell>
          <cell r="C490" t="str">
            <v>NG</v>
          </cell>
          <cell r="D490" t="str">
            <v>200409</v>
          </cell>
          <cell r="E490">
            <v>3.1120000000000001</v>
          </cell>
        </row>
        <row r="491">
          <cell r="A491" t="str">
            <v>37295200410</v>
          </cell>
          <cell r="B491">
            <v>37295</v>
          </cell>
          <cell r="C491" t="str">
            <v>NG</v>
          </cell>
          <cell r="D491" t="str">
            <v>200410</v>
          </cell>
          <cell r="E491">
            <v>3.12</v>
          </cell>
        </row>
        <row r="492">
          <cell r="A492" t="str">
            <v>37295200411</v>
          </cell>
          <cell r="B492">
            <v>37295</v>
          </cell>
          <cell r="C492" t="str">
            <v>NG</v>
          </cell>
          <cell r="D492" t="str">
            <v>200411</v>
          </cell>
          <cell r="E492">
            <v>3.28</v>
          </cell>
        </row>
        <row r="493">
          <cell r="A493" t="str">
            <v>37295200412</v>
          </cell>
          <cell r="B493">
            <v>37295</v>
          </cell>
          <cell r="C493" t="str">
            <v>NG</v>
          </cell>
          <cell r="D493" t="str">
            <v>200412</v>
          </cell>
          <cell r="E493">
            <v>3.4580000000000002</v>
          </cell>
        </row>
        <row r="494">
          <cell r="A494" t="str">
            <v>37296200401</v>
          </cell>
          <cell r="B494">
            <v>37296</v>
          </cell>
          <cell r="C494" t="str">
            <v>NG</v>
          </cell>
          <cell r="D494" t="str">
            <v>200401</v>
          </cell>
          <cell r="E494">
            <v>3.3839999999999999</v>
          </cell>
        </row>
        <row r="495">
          <cell r="A495" t="str">
            <v>37296200402</v>
          </cell>
          <cell r="B495">
            <v>37296</v>
          </cell>
          <cell r="C495" t="str">
            <v>NG</v>
          </cell>
          <cell r="D495" t="str">
            <v>200402</v>
          </cell>
          <cell r="E495">
            <v>3.3010000000000002</v>
          </cell>
        </row>
        <row r="496">
          <cell r="A496" t="str">
            <v>37296200403</v>
          </cell>
          <cell r="B496">
            <v>37296</v>
          </cell>
          <cell r="C496" t="str">
            <v>NG</v>
          </cell>
          <cell r="D496" t="str">
            <v>200403</v>
          </cell>
          <cell r="E496">
            <v>3.1819999999999999</v>
          </cell>
        </row>
        <row r="497">
          <cell r="A497" t="str">
            <v>37296200404</v>
          </cell>
          <cell r="B497">
            <v>37296</v>
          </cell>
          <cell r="C497" t="str">
            <v>NG</v>
          </cell>
          <cell r="D497" t="str">
            <v>200404</v>
          </cell>
          <cell r="E497">
            <v>3.0019999999999998</v>
          </cell>
        </row>
        <row r="498">
          <cell r="A498" t="str">
            <v>37296200405</v>
          </cell>
          <cell r="B498">
            <v>37296</v>
          </cell>
          <cell r="C498" t="str">
            <v>NG</v>
          </cell>
          <cell r="D498" t="str">
            <v>200405</v>
          </cell>
          <cell r="E498">
            <v>3.0089999999999999</v>
          </cell>
        </row>
        <row r="499">
          <cell r="A499" t="str">
            <v>37296200406</v>
          </cell>
          <cell r="B499">
            <v>37296</v>
          </cell>
          <cell r="C499" t="str">
            <v>NG</v>
          </cell>
          <cell r="D499" t="str">
            <v>200406</v>
          </cell>
          <cell r="E499">
            <v>3.024</v>
          </cell>
        </row>
        <row r="500">
          <cell r="A500" t="str">
            <v>37296200407</v>
          </cell>
          <cell r="B500">
            <v>37296</v>
          </cell>
          <cell r="C500" t="str">
            <v>NG</v>
          </cell>
          <cell r="D500" t="str">
            <v>200407</v>
          </cell>
          <cell r="E500">
            <v>3.0640000000000001</v>
          </cell>
        </row>
        <row r="501">
          <cell r="A501" t="str">
            <v>37296200408</v>
          </cell>
          <cell r="B501">
            <v>37296</v>
          </cell>
          <cell r="C501" t="str">
            <v>NG</v>
          </cell>
          <cell r="D501" t="str">
            <v>200408</v>
          </cell>
          <cell r="E501">
            <v>3.1120000000000001</v>
          </cell>
        </row>
        <row r="502">
          <cell r="A502" t="str">
            <v>37296200409</v>
          </cell>
          <cell r="B502">
            <v>37296</v>
          </cell>
          <cell r="C502" t="str">
            <v>NG</v>
          </cell>
          <cell r="D502" t="str">
            <v>200409</v>
          </cell>
          <cell r="E502">
            <v>3.1120000000000001</v>
          </cell>
        </row>
        <row r="503">
          <cell r="A503" t="str">
            <v>37296200410</v>
          </cell>
          <cell r="B503">
            <v>37296</v>
          </cell>
          <cell r="C503" t="str">
            <v>NG</v>
          </cell>
          <cell r="D503" t="str">
            <v>200410</v>
          </cell>
          <cell r="E503">
            <v>3.12</v>
          </cell>
        </row>
        <row r="504">
          <cell r="A504" t="str">
            <v>37296200411</v>
          </cell>
          <cell r="B504">
            <v>37296</v>
          </cell>
          <cell r="C504" t="str">
            <v>NG</v>
          </cell>
          <cell r="D504" t="str">
            <v>200411</v>
          </cell>
          <cell r="E504">
            <v>3.28</v>
          </cell>
        </row>
        <row r="505">
          <cell r="A505" t="str">
            <v>37296200412</v>
          </cell>
          <cell r="B505">
            <v>37296</v>
          </cell>
          <cell r="C505" t="str">
            <v>NG</v>
          </cell>
          <cell r="D505" t="str">
            <v>200412</v>
          </cell>
          <cell r="E505">
            <v>3.4580000000000002</v>
          </cell>
        </row>
        <row r="506">
          <cell r="A506" t="str">
            <v>37297200401</v>
          </cell>
          <cell r="B506">
            <v>37297</v>
          </cell>
          <cell r="C506" t="str">
            <v>NG</v>
          </cell>
          <cell r="D506" t="str">
            <v>200401</v>
          </cell>
          <cell r="E506">
            <v>3.3839999999999999</v>
          </cell>
        </row>
        <row r="507">
          <cell r="A507" t="str">
            <v>37297200402</v>
          </cell>
          <cell r="B507">
            <v>37297</v>
          </cell>
          <cell r="C507" t="str">
            <v>NG</v>
          </cell>
          <cell r="D507" t="str">
            <v>200402</v>
          </cell>
          <cell r="E507">
            <v>3.3010000000000002</v>
          </cell>
        </row>
        <row r="508">
          <cell r="A508" t="str">
            <v>37297200403</v>
          </cell>
          <cell r="B508">
            <v>37297</v>
          </cell>
          <cell r="C508" t="str">
            <v>NG</v>
          </cell>
          <cell r="D508" t="str">
            <v>200403</v>
          </cell>
          <cell r="E508">
            <v>3.1819999999999999</v>
          </cell>
        </row>
        <row r="509">
          <cell r="A509" t="str">
            <v>37297200404</v>
          </cell>
          <cell r="B509">
            <v>37297</v>
          </cell>
          <cell r="C509" t="str">
            <v>NG</v>
          </cell>
          <cell r="D509" t="str">
            <v>200404</v>
          </cell>
          <cell r="E509">
            <v>3.0019999999999998</v>
          </cell>
        </row>
        <row r="510">
          <cell r="A510" t="str">
            <v>37297200405</v>
          </cell>
          <cell r="B510">
            <v>37297</v>
          </cell>
          <cell r="C510" t="str">
            <v>NG</v>
          </cell>
          <cell r="D510" t="str">
            <v>200405</v>
          </cell>
          <cell r="E510">
            <v>3.0089999999999999</v>
          </cell>
        </row>
        <row r="511">
          <cell r="A511" t="str">
            <v>37297200406</v>
          </cell>
          <cell r="B511">
            <v>37297</v>
          </cell>
          <cell r="C511" t="str">
            <v>NG</v>
          </cell>
          <cell r="D511" t="str">
            <v>200406</v>
          </cell>
          <cell r="E511">
            <v>3.024</v>
          </cell>
        </row>
        <row r="512">
          <cell r="A512" t="str">
            <v>37297200407</v>
          </cell>
          <cell r="B512">
            <v>37297</v>
          </cell>
          <cell r="C512" t="str">
            <v>NG</v>
          </cell>
          <cell r="D512" t="str">
            <v>200407</v>
          </cell>
          <cell r="E512">
            <v>3.0640000000000001</v>
          </cell>
        </row>
        <row r="513">
          <cell r="A513" t="str">
            <v>37297200408</v>
          </cell>
          <cell r="B513">
            <v>37297</v>
          </cell>
          <cell r="C513" t="str">
            <v>NG</v>
          </cell>
          <cell r="D513" t="str">
            <v>200408</v>
          </cell>
          <cell r="E513">
            <v>3.1120000000000001</v>
          </cell>
        </row>
        <row r="514">
          <cell r="A514" t="str">
            <v>37297200409</v>
          </cell>
          <cell r="B514">
            <v>37297</v>
          </cell>
          <cell r="C514" t="str">
            <v>NG</v>
          </cell>
          <cell r="D514" t="str">
            <v>200409</v>
          </cell>
          <cell r="E514">
            <v>3.1120000000000001</v>
          </cell>
        </row>
        <row r="515">
          <cell r="A515" t="str">
            <v>37297200410</v>
          </cell>
          <cell r="B515">
            <v>37297</v>
          </cell>
          <cell r="C515" t="str">
            <v>NG</v>
          </cell>
          <cell r="D515" t="str">
            <v>200410</v>
          </cell>
          <cell r="E515">
            <v>3.12</v>
          </cell>
        </row>
        <row r="516">
          <cell r="A516" t="str">
            <v>37297200411</v>
          </cell>
          <cell r="B516">
            <v>37297</v>
          </cell>
          <cell r="C516" t="str">
            <v>NG</v>
          </cell>
          <cell r="D516" t="str">
            <v>200411</v>
          </cell>
          <cell r="E516">
            <v>3.28</v>
          </cell>
        </row>
        <row r="517">
          <cell r="A517" t="str">
            <v>37297200412</v>
          </cell>
          <cell r="B517">
            <v>37297</v>
          </cell>
          <cell r="C517" t="str">
            <v>NG</v>
          </cell>
          <cell r="D517" t="str">
            <v>200412</v>
          </cell>
          <cell r="E517">
            <v>3.4580000000000002</v>
          </cell>
        </row>
        <row r="518">
          <cell r="A518" t="str">
            <v>37298200401</v>
          </cell>
          <cell r="B518">
            <v>37298</v>
          </cell>
          <cell r="C518" t="str">
            <v>NG</v>
          </cell>
          <cell r="D518" t="str">
            <v>200401</v>
          </cell>
          <cell r="E518">
            <v>3.403</v>
          </cell>
        </row>
        <row r="519">
          <cell r="A519" t="str">
            <v>37298200402</v>
          </cell>
          <cell r="B519">
            <v>37298</v>
          </cell>
          <cell r="C519" t="str">
            <v>NG</v>
          </cell>
          <cell r="D519" t="str">
            <v>200402</v>
          </cell>
          <cell r="E519">
            <v>3.3149999999999999</v>
          </cell>
        </row>
        <row r="520">
          <cell r="A520" t="str">
            <v>37298200403</v>
          </cell>
          <cell r="B520">
            <v>37298</v>
          </cell>
          <cell r="C520" t="str">
            <v>NG</v>
          </cell>
          <cell r="D520" t="str">
            <v>200403</v>
          </cell>
          <cell r="E520">
            <v>3.1960000000000002</v>
          </cell>
        </row>
        <row r="521">
          <cell r="A521" t="str">
            <v>37298200404</v>
          </cell>
          <cell r="B521">
            <v>37298</v>
          </cell>
          <cell r="C521" t="str">
            <v>NG</v>
          </cell>
          <cell r="D521" t="str">
            <v>200404</v>
          </cell>
          <cell r="E521">
            <v>3.016</v>
          </cell>
        </row>
        <row r="522">
          <cell r="A522" t="str">
            <v>37298200405</v>
          </cell>
          <cell r="B522">
            <v>37298</v>
          </cell>
          <cell r="C522" t="str">
            <v>NG</v>
          </cell>
          <cell r="D522" t="str">
            <v>200405</v>
          </cell>
          <cell r="E522">
            <v>3.0230000000000001</v>
          </cell>
        </row>
        <row r="523">
          <cell r="A523" t="str">
            <v>37298200406</v>
          </cell>
          <cell r="B523">
            <v>37298</v>
          </cell>
          <cell r="C523" t="str">
            <v>NG</v>
          </cell>
          <cell r="D523" t="str">
            <v>200406</v>
          </cell>
          <cell r="E523">
            <v>3.0379999999999998</v>
          </cell>
        </row>
        <row r="524">
          <cell r="A524" t="str">
            <v>37298200407</v>
          </cell>
          <cell r="B524">
            <v>37298</v>
          </cell>
          <cell r="C524" t="str">
            <v>NG</v>
          </cell>
          <cell r="D524" t="str">
            <v>200407</v>
          </cell>
          <cell r="E524">
            <v>3.0779999999999998</v>
          </cell>
        </row>
        <row r="525">
          <cell r="A525" t="str">
            <v>37298200408</v>
          </cell>
          <cell r="B525">
            <v>37298</v>
          </cell>
          <cell r="C525" t="str">
            <v>NG</v>
          </cell>
          <cell r="D525" t="str">
            <v>200408</v>
          </cell>
          <cell r="E525">
            <v>3.113</v>
          </cell>
        </row>
        <row r="526">
          <cell r="A526" t="str">
            <v>37298200409</v>
          </cell>
          <cell r="B526">
            <v>37298</v>
          </cell>
          <cell r="C526" t="str">
            <v>NG</v>
          </cell>
          <cell r="D526" t="str">
            <v>200409</v>
          </cell>
          <cell r="E526">
            <v>3.1110000000000002</v>
          </cell>
        </row>
        <row r="527">
          <cell r="A527" t="str">
            <v>37298200410</v>
          </cell>
          <cell r="B527">
            <v>37298</v>
          </cell>
          <cell r="C527" t="str">
            <v>NG</v>
          </cell>
          <cell r="D527" t="str">
            <v>200410</v>
          </cell>
          <cell r="E527">
            <v>3.1179999999999999</v>
          </cell>
        </row>
        <row r="528">
          <cell r="A528" t="str">
            <v>37298200411</v>
          </cell>
          <cell r="B528">
            <v>37298</v>
          </cell>
          <cell r="C528" t="str">
            <v>NG</v>
          </cell>
          <cell r="D528" t="str">
            <v>200411</v>
          </cell>
          <cell r="E528">
            <v>3.278</v>
          </cell>
        </row>
        <row r="529">
          <cell r="A529" t="str">
            <v>37298200412</v>
          </cell>
          <cell r="B529">
            <v>37298</v>
          </cell>
          <cell r="C529" t="str">
            <v>NG</v>
          </cell>
          <cell r="D529" t="str">
            <v>200412</v>
          </cell>
          <cell r="E529">
            <v>3.456</v>
          </cell>
        </row>
        <row r="530">
          <cell r="A530" t="str">
            <v>37299200401</v>
          </cell>
          <cell r="B530">
            <v>37299</v>
          </cell>
          <cell r="C530" t="str">
            <v>NG</v>
          </cell>
          <cell r="D530" t="str">
            <v>200401</v>
          </cell>
          <cell r="E530">
            <v>3.4409999999999998</v>
          </cell>
        </row>
        <row r="531">
          <cell r="A531" t="str">
            <v>37299200402</v>
          </cell>
          <cell r="B531">
            <v>37299</v>
          </cell>
          <cell r="C531" t="str">
            <v>NG</v>
          </cell>
          <cell r="D531" t="str">
            <v>200402</v>
          </cell>
          <cell r="E531">
            <v>3.3530000000000002</v>
          </cell>
        </row>
        <row r="532">
          <cell r="A532" t="str">
            <v>37299200403</v>
          </cell>
          <cell r="B532">
            <v>37299</v>
          </cell>
          <cell r="C532" t="str">
            <v>NG</v>
          </cell>
          <cell r="D532" t="str">
            <v>200403</v>
          </cell>
          <cell r="E532">
            <v>3.2240000000000002</v>
          </cell>
        </row>
        <row r="533">
          <cell r="A533" t="str">
            <v>37299200404</v>
          </cell>
          <cell r="B533">
            <v>37299</v>
          </cell>
          <cell r="C533" t="str">
            <v>NG</v>
          </cell>
          <cell r="D533" t="str">
            <v>200404</v>
          </cell>
          <cell r="E533">
            <v>3.044</v>
          </cell>
        </row>
        <row r="534">
          <cell r="A534" t="str">
            <v>37299200405</v>
          </cell>
          <cell r="B534">
            <v>37299</v>
          </cell>
          <cell r="C534" t="str">
            <v>NG</v>
          </cell>
          <cell r="D534" t="str">
            <v>200405</v>
          </cell>
          <cell r="E534">
            <v>3.0510000000000002</v>
          </cell>
        </row>
        <row r="535">
          <cell r="A535" t="str">
            <v>37299200406</v>
          </cell>
          <cell r="B535">
            <v>37299</v>
          </cell>
          <cell r="C535" t="str">
            <v>NG</v>
          </cell>
          <cell r="D535" t="str">
            <v>200406</v>
          </cell>
          <cell r="E535">
            <v>3.0760000000000001</v>
          </cell>
        </row>
        <row r="536">
          <cell r="A536" t="str">
            <v>37299200407</v>
          </cell>
          <cell r="B536">
            <v>37299</v>
          </cell>
          <cell r="C536" t="str">
            <v>NG</v>
          </cell>
          <cell r="D536" t="str">
            <v>200407</v>
          </cell>
          <cell r="E536">
            <v>3.1160000000000001</v>
          </cell>
        </row>
        <row r="537">
          <cell r="A537" t="str">
            <v>37299200408</v>
          </cell>
          <cell r="B537">
            <v>37299</v>
          </cell>
          <cell r="C537" t="str">
            <v>NG</v>
          </cell>
          <cell r="D537" t="str">
            <v>200408</v>
          </cell>
          <cell r="E537">
            <v>3.1509999999999998</v>
          </cell>
        </row>
        <row r="538">
          <cell r="A538" t="str">
            <v>37299200409</v>
          </cell>
          <cell r="B538">
            <v>37299</v>
          </cell>
          <cell r="C538" t="str">
            <v>NG</v>
          </cell>
          <cell r="D538" t="str">
            <v>200409</v>
          </cell>
          <cell r="E538">
            <v>3.149</v>
          </cell>
        </row>
        <row r="539">
          <cell r="A539" t="str">
            <v>37299200410</v>
          </cell>
          <cell r="B539">
            <v>37299</v>
          </cell>
          <cell r="C539" t="str">
            <v>NG</v>
          </cell>
          <cell r="D539" t="str">
            <v>200410</v>
          </cell>
          <cell r="E539">
            <v>3.1560000000000001</v>
          </cell>
        </row>
        <row r="540">
          <cell r="A540" t="str">
            <v>37299200411</v>
          </cell>
          <cell r="B540">
            <v>37299</v>
          </cell>
          <cell r="C540" t="str">
            <v>NG</v>
          </cell>
          <cell r="D540" t="str">
            <v>200411</v>
          </cell>
          <cell r="E540">
            <v>3.3159999999999998</v>
          </cell>
        </row>
        <row r="541">
          <cell r="A541" t="str">
            <v>37299200412</v>
          </cell>
          <cell r="B541">
            <v>37299</v>
          </cell>
          <cell r="C541" t="str">
            <v>NG</v>
          </cell>
          <cell r="D541" t="str">
            <v>200412</v>
          </cell>
          <cell r="E541">
            <v>3.4940000000000002</v>
          </cell>
        </row>
        <row r="542">
          <cell r="A542" t="str">
            <v>37300200401</v>
          </cell>
          <cell r="B542">
            <v>37300</v>
          </cell>
          <cell r="C542" t="str">
            <v>NG</v>
          </cell>
          <cell r="D542" t="str">
            <v>200401</v>
          </cell>
          <cell r="E542">
            <v>3.41</v>
          </cell>
        </row>
        <row r="543">
          <cell r="A543" t="str">
            <v>37300200402</v>
          </cell>
          <cell r="B543">
            <v>37300</v>
          </cell>
          <cell r="C543" t="str">
            <v>NG</v>
          </cell>
          <cell r="D543" t="str">
            <v>200402</v>
          </cell>
          <cell r="E543">
            <v>3.3220000000000001</v>
          </cell>
        </row>
        <row r="544">
          <cell r="A544" t="str">
            <v>37300200403</v>
          </cell>
          <cell r="B544">
            <v>37300</v>
          </cell>
          <cell r="C544" t="str">
            <v>NG</v>
          </cell>
          <cell r="D544" t="str">
            <v>200403</v>
          </cell>
          <cell r="E544">
            <v>3.1930000000000001</v>
          </cell>
        </row>
        <row r="545">
          <cell r="A545" t="str">
            <v>37300200404</v>
          </cell>
          <cell r="B545">
            <v>37300</v>
          </cell>
          <cell r="C545" t="str">
            <v>NG</v>
          </cell>
          <cell r="D545" t="str">
            <v>200404</v>
          </cell>
          <cell r="E545">
            <v>3.0129999999999999</v>
          </cell>
        </row>
        <row r="546">
          <cell r="A546" t="str">
            <v>37300200405</v>
          </cell>
          <cell r="B546">
            <v>37300</v>
          </cell>
          <cell r="C546" t="str">
            <v>NG</v>
          </cell>
          <cell r="D546" t="str">
            <v>200405</v>
          </cell>
          <cell r="E546">
            <v>3.02</v>
          </cell>
        </row>
        <row r="547">
          <cell r="A547" t="str">
            <v>37300200406</v>
          </cell>
          <cell r="B547">
            <v>37300</v>
          </cell>
          <cell r="C547" t="str">
            <v>NG</v>
          </cell>
          <cell r="D547" t="str">
            <v>200406</v>
          </cell>
          <cell r="E547">
            <v>3.0449999999999999</v>
          </cell>
        </row>
        <row r="548">
          <cell r="A548" t="str">
            <v>37300200407</v>
          </cell>
          <cell r="B548">
            <v>37300</v>
          </cell>
          <cell r="C548" t="str">
            <v>NG</v>
          </cell>
          <cell r="D548" t="str">
            <v>200407</v>
          </cell>
          <cell r="E548">
            <v>3.085</v>
          </cell>
        </row>
        <row r="549">
          <cell r="A549" t="str">
            <v>37300200408</v>
          </cell>
          <cell r="B549">
            <v>37300</v>
          </cell>
          <cell r="C549" t="str">
            <v>NG</v>
          </cell>
          <cell r="D549" t="str">
            <v>200408</v>
          </cell>
          <cell r="E549">
            <v>3.12</v>
          </cell>
        </row>
        <row r="550">
          <cell r="A550" t="str">
            <v>37300200409</v>
          </cell>
          <cell r="B550">
            <v>37300</v>
          </cell>
          <cell r="C550" t="str">
            <v>NG</v>
          </cell>
          <cell r="D550" t="str">
            <v>200409</v>
          </cell>
          <cell r="E550">
            <v>3.1179999999999999</v>
          </cell>
        </row>
        <row r="551">
          <cell r="A551" t="str">
            <v>37300200410</v>
          </cell>
          <cell r="B551">
            <v>37300</v>
          </cell>
          <cell r="C551" t="str">
            <v>NG</v>
          </cell>
          <cell r="D551" t="str">
            <v>200410</v>
          </cell>
          <cell r="E551">
            <v>3.125</v>
          </cell>
        </row>
        <row r="552">
          <cell r="A552" t="str">
            <v>37300200411</v>
          </cell>
          <cell r="B552">
            <v>37300</v>
          </cell>
          <cell r="C552" t="str">
            <v>NG</v>
          </cell>
          <cell r="D552" t="str">
            <v>200411</v>
          </cell>
          <cell r="E552">
            <v>3.2850000000000001</v>
          </cell>
        </row>
        <row r="553">
          <cell r="A553" t="str">
            <v>37300200412</v>
          </cell>
          <cell r="B553">
            <v>37300</v>
          </cell>
          <cell r="C553" t="str">
            <v>NG</v>
          </cell>
          <cell r="D553" t="str">
            <v>200412</v>
          </cell>
          <cell r="E553">
            <v>3.4630000000000001</v>
          </cell>
        </row>
        <row r="554">
          <cell r="A554" t="str">
            <v>37301200401</v>
          </cell>
          <cell r="B554">
            <v>37301</v>
          </cell>
          <cell r="C554" t="str">
            <v>NG</v>
          </cell>
          <cell r="D554" t="str">
            <v>200401</v>
          </cell>
          <cell r="E554">
            <v>3.3929999999999998</v>
          </cell>
        </row>
        <row r="555">
          <cell r="A555" t="str">
            <v>37301200402</v>
          </cell>
          <cell r="B555">
            <v>37301</v>
          </cell>
          <cell r="C555" t="str">
            <v>NG</v>
          </cell>
          <cell r="D555" t="str">
            <v>200402</v>
          </cell>
          <cell r="E555">
            <v>3.3069999999999999</v>
          </cell>
        </row>
        <row r="556">
          <cell r="A556" t="str">
            <v>37301200403</v>
          </cell>
          <cell r="B556">
            <v>37301</v>
          </cell>
          <cell r="C556" t="str">
            <v>NG</v>
          </cell>
          <cell r="D556" t="str">
            <v>200403</v>
          </cell>
          <cell r="E556">
            <v>3.1789999999999998</v>
          </cell>
        </row>
        <row r="557">
          <cell r="A557" t="str">
            <v>37301200404</v>
          </cell>
          <cell r="B557">
            <v>37301</v>
          </cell>
          <cell r="C557" t="str">
            <v>NG</v>
          </cell>
          <cell r="D557" t="str">
            <v>200404</v>
          </cell>
          <cell r="E557">
            <v>3.0019999999999998</v>
          </cell>
        </row>
        <row r="558">
          <cell r="A558" t="str">
            <v>37301200405</v>
          </cell>
          <cell r="B558">
            <v>37301</v>
          </cell>
          <cell r="C558" t="str">
            <v>NG</v>
          </cell>
          <cell r="D558" t="str">
            <v>200405</v>
          </cell>
          <cell r="E558">
            <v>2.9980000000000002</v>
          </cell>
        </row>
        <row r="559">
          <cell r="A559" t="str">
            <v>37301200406</v>
          </cell>
          <cell r="B559">
            <v>37301</v>
          </cell>
          <cell r="C559" t="str">
            <v>NG</v>
          </cell>
          <cell r="D559" t="str">
            <v>200406</v>
          </cell>
          <cell r="E559">
            <v>3.028</v>
          </cell>
        </row>
        <row r="560">
          <cell r="A560" t="str">
            <v>37301200407</v>
          </cell>
          <cell r="B560">
            <v>37301</v>
          </cell>
          <cell r="C560" t="str">
            <v>NG</v>
          </cell>
          <cell r="D560" t="str">
            <v>200407</v>
          </cell>
          <cell r="E560">
            <v>3.0680000000000001</v>
          </cell>
        </row>
        <row r="561">
          <cell r="A561" t="str">
            <v>37301200408</v>
          </cell>
          <cell r="B561">
            <v>37301</v>
          </cell>
          <cell r="C561" t="str">
            <v>NG</v>
          </cell>
          <cell r="D561" t="str">
            <v>200408</v>
          </cell>
          <cell r="E561">
            <v>3.1080000000000001</v>
          </cell>
        </row>
        <row r="562">
          <cell r="A562" t="str">
            <v>37301200409</v>
          </cell>
          <cell r="B562">
            <v>37301</v>
          </cell>
          <cell r="C562" t="str">
            <v>NG</v>
          </cell>
          <cell r="D562" t="str">
            <v>200409</v>
          </cell>
          <cell r="E562">
            <v>3.1059999999999999</v>
          </cell>
        </row>
        <row r="563">
          <cell r="A563" t="str">
            <v>37301200410</v>
          </cell>
          <cell r="B563">
            <v>37301</v>
          </cell>
          <cell r="C563" t="str">
            <v>NG</v>
          </cell>
          <cell r="D563" t="str">
            <v>200410</v>
          </cell>
          <cell r="E563">
            <v>3.113</v>
          </cell>
        </row>
        <row r="564">
          <cell r="A564" t="str">
            <v>37301200411</v>
          </cell>
          <cell r="B564">
            <v>37301</v>
          </cell>
          <cell r="C564" t="str">
            <v>NG</v>
          </cell>
          <cell r="D564" t="str">
            <v>200411</v>
          </cell>
          <cell r="E564">
            <v>3.2730000000000001</v>
          </cell>
        </row>
        <row r="565">
          <cell r="A565" t="str">
            <v>37301200412</v>
          </cell>
          <cell r="B565">
            <v>37301</v>
          </cell>
          <cell r="C565" t="str">
            <v>NG</v>
          </cell>
          <cell r="D565" t="str">
            <v>200412</v>
          </cell>
          <cell r="E565">
            <v>3.4510000000000001</v>
          </cell>
        </row>
        <row r="566">
          <cell r="A566" t="str">
            <v>37302200401</v>
          </cell>
          <cell r="B566">
            <v>37302</v>
          </cell>
          <cell r="C566" t="str">
            <v>NG</v>
          </cell>
          <cell r="D566" t="str">
            <v>200401</v>
          </cell>
          <cell r="E566">
            <v>3.4329999999999998</v>
          </cell>
        </row>
        <row r="567">
          <cell r="A567" t="str">
            <v>37302200402</v>
          </cell>
          <cell r="B567">
            <v>37302</v>
          </cell>
          <cell r="C567" t="str">
            <v>NG</v>
          </cell>
          <cell r="D567" t="str">
            <v>200402</v>
          </cell>
          <cell r="E567">
            <v>3.3450000000000002</v>
          </cell>
        </row>
        <row r="568">
          <cell r="A568" t="str">
            <v>37302200403</v>
          </cell>
          <cell r="B568">
            <v>37302</v>
          </cell>
          <cell r="C568" t="str">
            <v>NG</v>
          </cell>
          <cell r="D568" t="str">
            <v>200403</v>
          </cell>
          <cell r="E568">
            <v>3.2170000000000001</v>
          </cell>
        </row>
        <row r="569">
          <cell r="A569" t="str">
            <v>37302200404</v>
          </cell>
          <cell r="B569">
            <v>37302</v>
          </cell>
          <cell r="C569" t="str">
            <v>NG</v>
          </cell>
          <cell r="D569" t="str">
            <v>200404</v>
          </cell>
          <cell r="E569">
            <v>3.04</v>
          </cell>
        </row>
        <row r="570">
          <cell r="A570" t="str">
            <v>37302200405</v>
          </cell>
          <cell r="B570">
            <v>37302</v>
          </cell>
          <cell r="C570" t="str">
            <v>NG</v>
          </cell>
          <cell r="D570" t="str">
            <v>200405</v>
          </cell>
          <cell r="E570">
            <v>3.036</v>
          </cell>
        </row>
        <row r="571">
          <cell r="A571" t="str">
            <v>37302200406</v>
          </cell>
          <cell r="B571">
            <v>37302</v>
          </cell>
          <cell r="C571" t="str">
            <v>NG</v>
          </cell>
          <cell r="D571" t="str">
            <v>200406</v>
          </cell>
          <cell r="E571">
            <v>3.0630000000000002</v>
          </cell>
        </row>
        <row r="572">
          <cell r="A572" t="str">
            <v>37302200407</v>
          </cell>
          <cell r="B572">
            <v>37302</v>
          </cell>
          <cell r="C572" t="str">
            <v>NG</v>
          </cell>
          <cell r="D572" t="str">
            <v>200407</v>
          </cell>
          <cell r="E572">
            <v>3.1030000000000002</v>
          </cell>
        </row>
        <row r="573">
          <cell r="A573" t="str">
            <v>37302200408</v>
          </cell>
          <cell r="B573">
            <v>37302</v>
          </cell>
          <cell r="C573" t="str">
            <v>NG</v>
          </cell>
          <cell r="D573" t="str">
            <v>200408</v>
          </cell>
          <cell r="E573">
            <v>3.1480000000000001</v>
          </cell>
        </row>
        <row r="574">
          <cell r="A574" t="str">
            <v>37302200409</v>
          </cell>
          <cell r="B574">
            <v>37302</v>
          </cell>
          <cell r="C574" t="str">
            <v>NG</v>
          </cell>
          <cell r="D574" t="str">
            <v>200409</v>
          </cell>
          <cell r="E574">
            <v>3.1459999999999999</v>
          </cell>
        </row>
        <row r="575">
          <cell r="A575" t="str">
            <v>37302200410</v>
          </cell>
          <cell r="B575">
            <v>37302</v>
          </cell>
          <cell r="C575" t="str">
            <v>NG</v>
          </cell>
          <cell r="D575" t="str">
            <v>200410</v>
          </cell>
          <cell r="E575">
            <v>3.1589999999999998</v>
          </cell>
        </row>
        <row r="576">
          <cell r="A576" t="str">
            <v>37302200411</v>
          </cell>
          <cell r="B576">
            <v>37302</v>
          </cell>
          <cell r="C576" t="str">
            <v>NG</v>
          </cell>
          <cell r="D576" t="str">
            <v>200411</v>
          </cell>
          <cell r="E576">
            <v>3.319</v>
          </cell>
        </row>
        <row r="577">
          <cell r="A577" t="str">
            <v>37302200412</v>
          </cell>
          <cell r="B577">
            <v>37302</v>
          </cell>
          <cell r="C577" t="str">
            <v>NG</v>
          </cell>
          <cell r="D577" t="str">
            <v>200412</v>
          </cell>
          <cell r="E577">
            <v>3.4969999999999999</v>
          </cell>
        </row>
        <row r="578">
          <cell r="A578" t="str">
            <v>37303200401</v>
          </cell>
          <cell r="B578">
            <v>37303</v>
          </cell>
          <cell r="C578" t="str">
            <v>NG</v>
          </cell>
          <cell r="D578" t="str">
            <v>200401</v>
          </cell>
          <cell r="E578">
            <v>3.4329999999999998</v>
          </cell>
        </row>
        <row r="579">
          <cell r="A579" t="str">
            <v>37303200402</v>
          </cell>
          <cell r="B579">
            <v>37303</v>
          </cell>
          <cell r="C579" t="str">
            <v>NG</v>
          </cell>
          <cell r="D579" t="str">
            <v>200402</v>
          </cell>
          <cell r="E579">
            <v>3.3450000000000002</v>
          </cell>
        </row>
        <row r="580">
          <cell r="A580" t="str">
            <v>37303200403</v>
          </cell>
          <cell r="B580">
            <v>37303</v>
          </cell>
          <cell r="C580" t="str">
            <v>NG</v>
          </cell>
          <cell r="D580" t="str">
            <v>200403</v>
          </cell>
          <cell r="E580">
            <v>3.2170000000000001</v>
          </cell>
        </row>
        <row r="581">
          <cell r="A581" t="str">
            <v>37303200404</v>
          </cell>
          <cell r="B581">
            <v>37303</v>
          </cell>
          <cell r="C581" t="str">
            <v>NG</v>
          </cell>
          <cell r="D581" t="str">
            <v>200404</v>
          </cell>
          <cell r="E581">
            <v>3.04</v>
          </cell>
        </row>
        <row r="582">
          <cell r="A582" t="str">
            <v>37303200405</v>
          </cell>
          <cell r="B582">
            <v>37303</v>
          </cell>
          <cell r="C582" t="str">
            <v>NG</v>
          </cell>
          <cell r="D582" t="str">
            <v>200405</v>
          </cell>
          <cell r="E582">
            <v>3.036</v>
          </cell>
        </row>
        <row r="583">
          <cell r="A583" t="str">
            <v>37303200406</v>
          </cell>
          <cell r="B583">
            <v>37303</v>
          </cell>
          <cell r="C583" t="str">
            <v>NG</v>
          </cell>
          <cell r="D583" t="str">
            <v>200406</v>
          </cell>
          <cell r="E583">
            <v>3.0630000000000002</v>
          </cell>
        </row>
        <row r="584">
          <cell r="A584" t="str">
            <v>37303200407</v>
          </cell>
          <cell r="B584">
            <v>37303</v>
          </cell>
          <cell r="C584" t="str">
            <v>NG</v>
          </cell>
          <cell r="D584" t="str">
            <v>200407</v>
          </cell>
          <cell r="E584">
            <v>3.1030000000000002</v>
          </cell>
        </row>
        <row r="585">
          <cell r="A585" t="str">
            <v>37303200408</v>
          </cell>
          <cell r="B585">
            <v>37303</v>
          </cell>
          <cell r="C585" t="str">
            <v>NG</v>
          </cell>
          <cell r="D585" t="str">
            <v>200408</v>
          </cell>
          <cell r="E585">
            <v>3.1480000000000001</v>
          </cell>
        </row>
        <row r="586">
          <cell r="A586" t="str">
            <v>37303200409</v>
          </cell>
          <cell r="B586">
            <v>37303</v>
          </cell>
          <cell r="C586" t="str">
            <v>NG</v>
          </cell>
          <cell r="D586" t="str">
            <v>200409</v>
          </cell>
          <cell r="E586">
            <v>3.1459999999999999</v>
          </cell>
        </row>
        <row r="587">
          <cell r="A587" t="str">
            <v>37303200410</v>
          </cell>
          <cell r="B587">
            <v>37303</v>
          </cell>
          <cell r="C587" t="str">
            <v>NG</v>
          </cell>
          <cell r="D587" t="str">
            <v>200410</v>
          </cell>
          <cell r="E587">
            <v>3.1589999999999998</v>
          </cell>
        </row>
        <row r="588">
          <cell r="A588" t="str">
            <v>37303200411</v>
          </cell>
          <cell r="B588">
            <v>37303</v>
          </cell>
          <cell r="C588" t="str">
            <v>NG</v>
          </cell>
          <cell r="D588" t="str">
            <v>200411</v>
          </cell>
          <cell r="E588">
            <v>3.319</v>
          </cell>
        </row>
        <row r="589">
          <cell r="A589" t="str">
            <v>37303200412</v>
          </cell>
          <cell r="B589">
            <v>37303</v>
          </cell>
          <cell r="C589" t="str">
            <v>NG</v>
          </cell>
          <cell r="D589" t="str">
            <v>200412</v>
          </cell>
          <cell r="E589">
            <v>3.4969999999999999</v>
          </cell>
        </row>
        <row r="590">
          <cell r="A590" t="str">
            <v>37304200401</v>
          </cell>
          <cell r="B590">
            <v>37304</v>
          </cell>
          <cell r="C590" t="str">
            <v>NG</v>
          </cell>
          <cell r="D590" t="str">
            <v>200401</v>
          </cell>
          <cell r="E590">
            <v>3.4329999999999998</v>
          </cell>
        </row>
        <row r="591">
          <cell r="A591" t="str">
            <v>37304200402</v>
          </cell>
          <cell r="B591">
            <v>37304</v>
          </cell>
          <cell r="C591" t="str">
            <v>NG</v>
          </cell>
          <cell r="D591" t="str">
            <v>200402</v>
          </cell>
          <cell r="E591">
            <v>3.3450000000000002</v>
          </cell>
        </row>
        <row r="592">
          <cell r="A592" t="str">
            <v>37304200403</v>
          </cell>
          <cell r="B592">
            <v>37304</v>
          </cell>
          <cell r="C592" t="str">
            <v>NG</v>
          </cell>
          <cell r="D592" t="str">
            <v>200403</v>
          </cell>
          <cell r="E592">
            <v>3.2170000000000001</v>
          </cell>
        </row>
        <row r="593">
          <cell r="A593" t="str">
            <v>37304200404</v>
          </cell>
          <cell r="B593">
            <v>37304</v>
          </cell>
          <cell r="C593" t="str">
            <v>NG</v>
          </cell>
          <cell r="D593" t="str">
            <v>200404</v>
          </cell>
          <cell r="E593">
            <v>3.04</v>
          </cell>
        </row>
        <row r="594">
          <cell r="A594" t="str">
            <v>37304200405</v>
          </cell>
          <cell r="B594">
            <v>37304</v>
          </cell>
          <cell r="C594" t="str">
            <v>NG</v>
          </cell>
          <cell r="D594" t="str">
            <v>200405</v>
          </cell>
          <cell r="E594">
            <v>3.036</v>
          </cell>
        </row>
        <row r="595">
          <cell r="A595" t="str">
            <v>37304200406</v>
          </cell>
          <cell r="B595">
            <v>37304</v>
          </cell>
          <cell r="C595" t="str">
            <v>NG</v>
          </cell>
          <cell r="D595" t="str">
            <v>200406</v>
          </cell>
          <cell r="E595">
            <v>3.0630000000000002</v>
          </cell>
        </row>
        <row r="596">
          <cell r="A596" t="str">
            <v>37304200407</v>
          </cell>
          <cell r="B596">
            <v>37304</v>
          </cell>
          <cell r="C596" t="str">
            <v>NG</v>
          </cell>
          <cell r="D596" t="str">
            <v>200407</v>
          </cell>
          <cell r="E596">
            <v>3.1030000000000002</v>
          </cell>
        </row>
        <row r="597">
          <cell r="A597" t="str">
            <v>37304200408</v>
          </cell>
          <cell r="B597">
            <v>37304</v>
          </cell>
          <cell r="C597" t="str">
            <v>NG</v>
          </cell>
          <cell r="D597" t="str">
            <v>200408</v>
          </cell>
          <cell r="E597">
            <v>3.1480000000000001</v>
          </cell>
        </row>
        <row r="598">
          <cell r="A598" t="str">
            <v>37304200409</v>
          </cell>
          <cell r="B598">
            <v>37304</v>
          </cell>
          <cell r="C598" t="str">
            <v>NG</v>
          </cell>
          <cell r="D598" t="str">
            <v>200409</v>
          </cell>
          <cell r="E598">
            <v>3.1459999999999999</v>
          </cell>
        </row>
        <row r="599">
          <cell r="A599" t="str">
            <v>37304200410</v>
          </cell>
          <cell r="B599">
            <v>37304</v>
          </cell>
          <cell r="C599" t="str">
            <v>NG</v>
          </cell>
          <cell r="D599" t="str">
            <v>200410</v>
          </cell>
          <cell r="E599">
            <v>3.1589999999999998</v>
          </cell>
        </row>
        <row r="600">
          <cell r="A600" t="str">
            <v>37304200411</v>
          </cell>
          <cell r="B600">
            <v>37304</v>
          </cell>
          <cell r="C600" t="str">
            <v>NG</v>
          </cell>
          <cell r="D600" t="str">
            <v>200411</v>
          </cell>
          <cell r="E600">
            <v>3.319</v>
          </cell>
        </row>
        <row r="601">
          <cell r="A601" t="str">
            <v>37304200412</v>
          </cell>
          <cell r="B601">
            <v>37304</v>
          </cell>
          <cell r="C601" t="str">
            <v>NG</v>
          </cell>
          <cell r="D601" t="str">
            <v>200412</v>
          </cell>
          <cell r="E601">
            <v>3.4969999999999999</v>
          </cell>
        </row>
        <row r="602">
          <cell r="A602" t="str">
            <v>37305200401</v>
          </cell>
          <cell r="B602">
            <v>37305</v>
          </cell>
          <cell r="C602" t="str">
            <v>NG</v>
          </cell>
          <cell r="D602" t="str">
            <v>200401</v>
          </cell>
          <cell r="E602">
            <v>3.4329999999999998</v>
          </cell>
        </row>
        <row r="603">
          <cell r="A603" t="str">
            <v>37305200402</v>
          </cell>
          <cell r="B603">
            <v>37305</v>
          </cell>
          <cell r="C603" t="str">
            <v>NG</v>
          </cell>
          <cell r="D603" t="str">
            <v>200402</v>
          </cell>
          <cell r="E603">
            <v>3.3450000000000002</v>
          </cell>
        </row>
        <row r="604">
          <cell r="A604" t="str">
            <v>37305200403</v>
          </cell>
          <cell r="B604">
            <v>37305</v>
          </cell>
          <cell r="C604" t="str">
            <v>NG</v>
          </cell>
          <cell r="D604" t="str">
            <v>200403</v>
          </cell>
          <cell r="E604">
            <v>3.2170000000000001</v>
          </cell>
        </row>
        <row r="605">
          <cell r="A605" t="str">
            <v>37305200404</v>
          </cell>
          <cell r="B605">
            <v>37305</v>
          </cell>
          <cell r="C605" t="str">
            <v>NG</v>
          </cell>
          <cell r="D605" t="str">
            <v>200404</v>
          </cell>
          <cell r="E605">
            <v>3.04</v>
          </cell>
        </row>
        <row r="606">
          <cell r="A606" t="str">
            <v>37305200405</v>
          </cell>
          <cell r="B606">
            <v>37305</v>
          </cell>
          <cell r="C606" t="str">
            <v>NG</v>
          </cell>
          <cell r="D606" t="str">
            <v>200405</v>
          </cell>
          <cell r="E606">
            <v>3.036</v>
          </cell>
        </row>
        <row r="607">
          <cell r="A607" t="str">
            <v>37305200406</v>
          </cell>
          <cell r="B607">
            <v>37305</v>
          </cell>
          <cell r="C607" t="str">
            <v>NG</v>
          </cell>
          <cell r="D607" t="str">
            <v>200406</v>
          </cell>
          <cell r="E607">
            <v>3.0630000000000002</v>
          </cell>
        </row>
        <row r="608">
          <cell r="A608" t="str">
            <v>37305200407</v>
          </cell>
          <cell r="B608">
            <v>37305</v>
          </cell>
          <cell r="C608" t="str">
            <v>NG</v>
          </cell>
          <cell r="D608" t="str">
            <v>200407</v>
          </cell>
          <cell r="E608">
            <v>3.1030000000000002</v>
          </cell>
        </row>
        <row r="609">
          <cell r="A609" t="str">
            <v>37305200408</v>
          </cell>
          <cell r="B609">
            <v>37305</v>
          </cell>
          <cell r="C609" t="str">
            <v>NG</v>
          </cell>
          <cell r="D609" t="str">
            <v>200408</v>
          </cell>
          <cell r="E609">
            <v>3.1480000000000001</v>
          </cell>
        </row>
        <row r="610">
          <cell r="A610" t="str">
            <v>37305200409</v>
          </cell>
          <cell r="B610">
            <v>37305</v>
          </cell>
          <cell r="C610" t="str">
            <v>NG</v>
          </cell>
          <cell r="D610" t="str">
            <v>200409</v>
          </cell>
          <cell r="E610">
            <v>3.1459999999999999</v>
          </cell>
        </row>
        <row r="611">
          <cell r="A611" t="str">
            <v>37305200410</v>
          </cell>
          <cell r="B611">
            <v>37305</v>
          </cell>
          <cell r="C611" t="str">
            <v>NG</v>
          </cell>
          <cell r="D611" t="str">
            <v>200410</v>
          </cell>
          <cell r="E611">
            <v>3.1589999999999998</v>
          </cell>
        </row>
        <row r="612">
          <cell r="A612" t="str">
            <v>37305200411</v>
          </cell>
          <cell r="B612">
            <v>37305</v>
          </cell>
          <cell r="C612" t="str">
            <v>NG</v>
          </cell>
          <cell r="D612" t="str">
            <v>200411</v>
          </cell>
          <cell r="E612">
            <v>3.319</v>
          </cell>
        </row>
        <row r="613">
          <cell r="A613" t="str">
            <v>37305200412</v>
          </cell>
          <cell r="B613">
            <v>37305</v>
          </cell>
          <cell r="C613" t="str">
            <v>NG</v>
          </cell>
          <cell r="D613" t="str">
            <v>200412</v>
          </cell>
          <cell r="E613">
            <v>3.4969999999999999</v>
          </cell>
        </row>
        <row r="614">
          <cell r="A614" t="str">
            <v>37306200401</v>
          </cell>
          <cell r="B614">
            <v>37306</v>
          </cell>
          <cell r="C614" t="str">
            <v>NG</v>
          </cell>
          <cell r="D614" t="str">
            <v>200401</v>
          </cell>
          <cell r="E614">
            <v>3.5310000000000001</v>
          </cell>
        </row>
        <row r="615">
          <cell r="A615" t="str">
            <v>37306200402</v>
          </cell>
          <cell r="B615">
            <v>37306</v>
          </cell>
          <cell r="C615" t="str">
            <v>NG</v>
          </cell>
          <cell r="D615" t="str">
            <v>200402</v>
          </cell>
          <cell r="E615">
            <v>3.431</v>
          </cell>
        </row>
        <row r="616">
          <cell r="A616" t="str">
            <v>37306200403</v>
          </cell>
          <cell r="B616">
            <v>37306</v>
          </cell>
          <cell r="C616" t="str">
            <v>NG</v>
          </cell>
          <cell r="D616" t="str">
            <v>200403</v>
          </cell>
          <cell r="E616">
            <v>3.302</v>
          </cell>
        </row>
        <row r="617">
          <cell r="A617" t="str">
            <v>37306200404</v>
          </cell>
          <cell r="B617">
            <v>37306</v>
          </cell>
          <cell r="C617" t="str">
            <v>NG</v>
          </cell>
          <cell r="D617" t="str">
            <v>200404</v>
          </cell>
          <cell r="E617">
            <v>3.1219999999999999</v>
          </cell>
        </row>
        <row r="618">
          <cell r="A618" t="str">
            <v>37306200405</v>
          </cell>
          <cell r="B618">
            <v>37306</v>
          </cell>
          <cell r="C618" t="str">
            <v>NG</v>
          </cell>
          <cell r="D618" t="str">
            <v>200405</v>
          </cell>
          <cell r="E618">
            <v>3.1179999999999999</v>
          </cell>
        </row>
        <row r="619">
          <cell r="A619" t="str">
            <v>37306200406</v>
          </cell>
          <cell r="B619">
            <v>37306</v>
          </cell>
          <cell r="C619" t="str">
            <v>NG</v>
          </cell>
          <cell r="D619" t="str">
            <v>200406</v>
          </cell>
          <cell r="E619">
            <v>3.1459999999999999</v>
          </cell>
        </row>
        <row r="620">
          <cell r="A620" t="str">
            <v>37306200407</v>
          </cell>
          <cell r="B620">
            <v>37306</v>
          </cell>
          <cell r="C620" t="str">
            <v>NG</v>
          </cell>
          <cell r="D620" t="str">
            <v>200407</v>
          </cell>
          <cell r="E620">
            <v>3.1859999999999999</v>
          </cell>
        </row>
        <row r="621">
          <cell r="A621" t="str">
            <v>37306200408</v>
          </cell>
          <cell r="B621">
            <v>37306</v>
          </cell>
          <cell r="C621" t="str">
            <v>NG</v>
          </cell>
          <cell r="D621" t="str">
            <v>200408</v>
          </cell>
          <cell r="E621">
            <v>3.2309999999999999</v>
          </cell>
        </row>
        <row r="622">
          <cell r="A622" t="str">
            <v>37306200409</v>
          </cell>
          <cell r="B622">
            <v>37306</v>
          </cell>
          <cell r="C622" t="str">
            <v>NG</v>
          </cell>
          <cell r="D622" t="str">
            <v>200409</v>
          </cell>
          <cell r="E622">
            <v>3.2290000000000001</v>
          </cell>
        </row>
        <row r="623">
          <cell r="A623" t="str">
            <v>37306200410</v>
          </cell>
          <cell r="B623">
            <v>37306</v>
          </cell>
          <cell r="C623" t="str">
            <v>NG</v>
          </cell>
          <cell r="D623" t="str">
            <v>200410</v>
          </cell>
          <cell r="E623">
            <v>3.242</v>
          </cell>
        </row>
        <row r="624">
          <cell r="A624" t="str">
            <v>37306200411</v>
          </cell>
          <cell r="B624">
            <v>37306</v>
          </cell>
          <cell r="C624" t="str">
            <v>NG</v>
          </cell>
          <cell r="D624" t="str">
            <v>200411</v>
          </cell>
          <cell r="E624">
            <v>3.4020000000000001</v>
          </cell>
        </row>
        <row r="625">
          <cell r="A625" t="str">
            <v>37306200412</v>
          </cell>
          <cell r="B625">
            <v>37306</v>
          </cell>
          <cell r="C625" t="str">
            <v>NG</v>
          </cell>
          <cell r="D625" t="str">
            <v>200412</v>
          </cell>
          <cell r="E625">
            <v>3.58</v>
          </cell>
        </row>
        <row r="626">
          <cell r="A626" t="str">
            <v>37307200401</v>
          </cell>
          <cell r="B626">
            <v>37307</v>
          </cell>
          <cell r="C626" t="str">
            <v>NG</v>
          </cell>
          <cell r="D626" t="str">
            <v>200401</v>
          </cell>
          <cell r="E626">
            <v>3.55</v>
          </cell>
        </row>
        <row r="627">
          <cell r="A627" t="str">
            <v>37307200402</v>
          </cell>
          <cell r="B627">
            <v>37307</v>
          </cell>
          <cell r="C627" t="str">
            <v>NG</v>
          </cell>
          <cell r="D627" t="str">
            <v>200402</v>
          </cell>
          <cell r="E627">
            <v>3.45</v>
          </cell>
        </row>
        <row r="628">
          <cell r="A628" t="str">
            <v>37307200403</v>
          </cell>
          <cell r="B628">
            <v>37307</v>
          </cell>
          <cell r="C628" t="str">
            <v>NG</v>
          </cell>
          <cell r="D628" t="str">
            <v>200403</v>
          </cell>
          <cell r="E628">
            <v>3.3260000000000001</v>
          </cell>
        </row>
        <row r="629">
          <cell r="A629" t="str">
            <v>37307200404</v>
          </cell>
          <cell r="B629">
            <v>37307</v>
          </cell>
          <cell r="C629" t="str">
            <v>NG</v>
          </cell>
          <cell r="D629" t="str">
            <v>200404</v>
          </cell>
          <cell r="E629">
            <v>3.1509999999999998</v>
          </cell>
        </row>
        <row r="630">
          <cell r="A630" t="str">
            <v>37307200405</v>
          </cell>
          <cell r="B630">
            <v>37307</v>
          </cell>
          <cell r="C630" t="str">
            <v>NG</v>
          </cell>
          <cell r="D630" t="str">
            <v>200405</v>
          </cell>
          <cell r="E630">
            <v>3.1469999999999998</v>
          </cell>
        </row>
        <row r="631">
          <cell r="A631" t="str">
            <v>37307200406</v>
          </cell>
          <cell r="B631">
            <v>37307</v>
          </cell>
          <cell r="C631" t="str">
            <v>NG</v>
          </cell>
          <cell r="D631" t="str">
            <v>200406</v>
          </cell>
          <cell r="E631">
            <v>3.1749999999999998</v>
          </cell>
        </row>
        <row r="632">
          <cell r="A632" t="str">
            <v>37307200407</v>
          </cell>
          <cell r="B632">
            <v>37307</v>
          </cell>
          <cell r="C632" t="str">
            <v>NG</v>
          </cell>
          <cell r="D632" t="str">
            <v>200407</v>
          </cell>
          <cell r="E632">
            <v>3.2149999999999999</v>
          </cell>
        </row>
        <row r="633">
          <cell r="A633" t="str">
            <v>37307200408</v>
          </cell>
          <cell r="B633">
            <v>37307</v>
          </cell>
          <cell r="C633" t="str">
            <v>NG</v>
          </cell>
          <cell r="D633" t="str">
            <v>200408</v>
          </cell>
          <cell r="E633">
            <v>3.26</v>
          </cell>
        </row>
        <row r="634">
          <cell r="A634" t="str">
            <v>37307200409</v>
          </cell>
          <cell r="B634">
            <v>37307</v>
          </cell>
          <cell r="C634" t="str">
            <v>NG</v>
          </cell>
          <cell r="D634" t="str">
            <v>200409</v>
          </cell>
          <cell r="E634">
            <v>3.258</v>
          </cell>
        </row>
        <row r="635">
          <cell r="A635" t="str">
            <v>37307200410</v>
          </cell>
          <cell r="B635">
            <v>37307</v>
          </cell>
          <cell r="C635" t="str">
            <v>NG</v>
          </cell>
          <cell r="D635" t="str">
            <v>200410</v>
          </cell>
          <cell r="E635">
            <v>3.2709999999999999</v>
          </cell>
        </row>
        <row r="636">
          <cell r="A636" t="str">
            <v>37307200411</v>
          </cell>
          <cell r="B636">
            <v>37307</v>
          </cell>
          <cell r="C636" t="str">
            <v>NG</v>
          </cell>
          <cell r="D636" t="str">
            <v>200411</v>
          </cell>
          <cell r="E636">
            <v>3.4209999999999998</v>
          </cell>
        </row>
        <row r="637">
          <cell r="A637" t="str">
            <v>37307200412</v>
          </cell>
          <cell r="B637">
            <v>37307</v>
          </cell>
          <cell r="C637" t="str">
            <v>NG</v>
          </cell>
          <cell r="D637" t="str">
            <v>200412</v>
          </cell>
          <cell r="E637">
            <v>3.5960000000000001</v>
          </cell>
        </row>
        <row r="638">
          <cell r="A638" t="str">
            <v>37308200401</v>
          </cell>
          <cell r="B638">
            <v>37308</v>
          </cell>
          <cell r="C638" t="str">
            <v>NG</v>
          </cell>
          <cell r="D638" t="str">
            <v>200401</v>
          </cell>
          <cell r="E638">
            <v>3.5779999999999998</v>
          </cell>
        </row>
        <row r="639">
          <cell r="A639" t="str">
            <v>37308200402</v>
          </cell>
          <cell r="B639">
            <v>37308</v>
          </cell>
          <cell r="C639" t="str">
            <v>NG</v>
          </cell>
          <cell r="D639" t="str">
            <v>200402</v>
          </cell>
          <cell r="E639">
            <v>3.4780000000000002</v>
          </cell>
        </row>
        <row r="640">
          <cell r="A640" t="str">
            <v>37308200403</v>
          </cell>
          <cell r="B640">
            <v>37308</v>
          </cell>
          <cell r="C640" t="str">
            <v>NG</v>
          </cell>
          <cell r="D640" t="str">
            <v>200403</v>
          </cell>
          <cell r="E640">
            <v>3.3540000000000001</v>
          </cell>
        </row>
        <row r="641">
          <cell r="A641" t="str">
            <v>37308200404</v>
          </cell>
          <cell r="B641">
            <v>37308</v>
          </cell>
          <cell r="C641" t="str">
            <v>NG</v>
          </cell>
          <cell r="D641" t="str">
            <v>200404</v>
          </cell>
          <cell r="E641">
            <v>3.1739999999999999</v>
          </cell>
        </row>
        <row r="642">
          <cell r="A642" t="str">
            <v>37308200405</v>
          </cell>
          <cell r="B642">
            <v>37308</v>
          </cell>
          <cell r="C642" t="str">
            <v>NG</v>
          </cell>
          <cell r="D642" t="str">
            <v>200405</v>
          </cell>
          <cell r="E642">
            <v>3.1739999999999999</v>
          </cell>
        </row>
        <row r="643">
          <cell r="A643" t="str">
            <v>37308200406</v>
          </cell>
          <cell r="B643">
            <v>37308</v>
          </cell>
          <cell r="C643" t="str">
            <v>NG</v>
          </cell>
          <cell r="D643" t="str">
            <v>200406</v>
          </cell>
          <cell r="E643">
            <v>3.202</v>
          </cell>
        </row>
        <row r="644">
          <cell r="A644" t="str">
            <v>37308200407</v>
          </cell>
          <cell r="B644">
            <v>37308</v>
          </cell>
          <cell r="C644" t="str">
            <v>NG</v>
          </cell>
          <cell r="D644" t="str">
            <v>200407</v>
          </cell>
          <cell r="E644">
            <v>3.242</v>
          </cell>
        </row>
        <row r="645">
          <cell r="A645" t="str">
            <v>37308200408</v>
          </cell>
          <cell r="B645">
            <v>37308</v>
          </cell>
          <cell r="C645" t="str">
            <v>NG</v>
          </cell>
          <cell r="D645" t="str">
            <v>200408</v>
          </cell>
          <cell r="E645">
            <v>3.2869999999999999</v>
          </cell>
        </row>
        <row r="646">
          <cell r="A646" t="str">
            <v>37308200409</v>
          </cell>
          <cell r="B646">
            <v>37308</v>
          </cell>
          <cell r="C646" t="str">
            <v>NG</v>
          </cell>
          <cell r="D646" t="str">
            <v>200409</v>
          </cell>
          <cell r="E646">
            <v>3.286</v>
          </cell>
        </row>
        <row r="647">
          <cell r="A647" t="str">
            <v>37308200410</v>
          </cell>
          <cell r="B647">
            <v>37308</v>
          </cell>
          <cell r="C647" t="str">
            <v>NG</v>
          </cell>
          <cell r="D647" t="str">
            <v>200410</v>
          </cell>
          <cell r="E647">
            <v>3.2989999999999999</v>
          </cell>
        </row>
        <row r="648">
          <cell r="A648" t="str">
            <v>37308200411</v>
          </cell>
          <cell r="B648">
            <v>37308</v>
          </cell>
          <cell r="C648" t="str">
            <v>NG</v>
          </cell>
          <cell r="D648" t="str">
            <v>200411</v>
          </cell>
          <cell r="E648">
            <v>3.4449999999999998</v>
          </cell>
        </row>
        <row r="649">
          <cell r="A649" t="str">
            <v>37308200412</v>
          </cell>
          <cell r="B649">
            <v>37308</v>
          </cell>
          <cell r="C649" t="str">
            <v>NG</v>
          </cell>
          <cell r="D649" t="str">
            <v>200412</v>
          </cell>
          <cell r="E649">
            <v>3.62</v>
          </cell>
        </row>
        <row r="650">
          <cell r="A650" t="str">
            <v>37309200401</v>
          </cell>
          <cell r="B650">
            <v>37309</v>
          </cell>
          <cell r="C650" t="str">
            <v>NG</v>
          </cell>
          <cell r="D650" t="str">
            <v>200401</v>
          </cell>
          <cell r="E650">
            <v>3.625</v>
          </cell>
        </row>
        <row r="651">
          <cell r="A651" t="str">
            <v>37309200402</v>
          </cell>
          <cell r="B651">
            <v>37309</v>
          </cell>
          <cell r="C651" t="str">
            <v>NG</v>
          </cell>
          <cell r="D651" t="str">
            <v>200402</v>
          </cell>
          <cell r="E651">
            <v>3.5259999999999998</v>
          </cell>
        </row>
        <row r="652">
          <cell r="A652" t="str">
            <v>37309200403</v>
          </cell>
          <cell r="B652">
            <v>37309</v>
          </cell>
          <cell r="C652" t="str">
            <v>NG</v>
          </cell>
          <cell r="D652" t="str">
            <v>200403</v>
          </cell>
          <cell r="E652">
            <v>3.4039999999999999</v>
          </cell>
        </row>
        <row r="653">
          <cell r="A653" t="str">
            <v>37309200404</v>
          </cell>
          <cell r="B653">
            <v>37309</v>
          </cell>
          <cell r="C653" t="str">
            <v>NG</v>
          </cell>
          <cell r="D653" t="str">
            <v>200404</v>
          </cell>
          <cell r="E653">
            <v>3.2189999999999999</v>
          </cell>
        </row>
        <row r="654">
          <cell r="A654" t="str">
            <v>37309200405</v>
          </cell>
          <cell r="B654">
            <v>37309</v>
          </cell>
          <cell r="C654" t="str">
            <v>NG</v>
          </cell>
          <cell r="D654" t="str">
            <v>200405</v>
          </cell>
          <cell r="E654">
            <v>3.2189999999999999</v>
          </cell>
        </row>
        <row r="655">
          <cell r="A655" t="str">
            <v>37309200406</v>
          </cell>
          <cell r="B655">
            <v>37309</v>
          </cell>
          <cell r="C655" t="str">
            <v>NG</v>
          </cell>
          <cell r="D655" t="str">
            <v>200406</v>
          </cell>
          <cell r="E655">
            <v>3.2469999999999999</v>
          </cell>
        </row>
        <row r="656">
          <cell r="A656" t="str">
            <v>37309200407</v>
          </cell>
          <cell r="B656">
            <v>37309</v>
          </cell>
          <cell r="C656" t="str">
            <v>NG</v>
          </cell>
          <cell r="D656" t="str">
            <v>200407</v>
          </cell>
          <cell r="E656">
            <v>3.2869999999999999</v>
          </cell>
        </row>
        <row r="657">
          <cell r="A657" t="str">
            <v>37309200408</v>
          </cell>
          <cell r="B657">
            <v>37309</v>
          </cell>
          <cell r="C657" t="str">
            <v>NG</v>
          </cell>
          <cell r="D657" t="str">
            <v>200408</v>
          </cell>
          <cell r="E657">
            <v>3.331</v>
          </cell>
        </row>
        <row r="658">
          <cell r="A658" t="str">
            <v>37309200409</v>
          </cell>
          <cell r="B658">
            <v>37309</v>
          </cell>
          <cell r="C658" t="str">
            <v>NG</v>
          </cell>
          <cell r="D658" t="str">
            <v>200409</v>
          </cell>
          <cell r="E658">
            <v>3.33</v>
          </cell>
        </row>
        <row r="659">
          <cell r="A659" t="str">
            <v>37309200410</v>
          </cell>
          <cell r="B659">
            <v>37309</v>
          </cell>
          <cell r="C659" t="str">
            <v>NG</v>
          </cell>
          <cell r="D659" t="str">
            <v>200410</v>
          </cell>
          <cell r="E659">
            <v>3.3439999999999999</v>
          </cell>
        </row>
        <row r="660">
          <cell r="A660" t="str">
            <v>37309200411</v>
          </cell>
          <cell r="B660">
            <v>37309</v>
          </cell>
          <cell r="C660" t="str">
            <v>NG</v>
          </cell>
          <cell r="D660" t="str">
            <v>200411</v>
          </cell>
          <cell r="E660">
            <v>3.49</v>
          </cell>
        </row>
        <row r="661">
          <cell r="A661" t="str">
            <v>37309200412</v>
          </cell>
          <cell r="B661">
            <v>37309</v>
          </cell>
          <cell r="C661" t="str">
            <v>NG</v>
          </cell>
          <cell r="D661" t="str">
            <v>200412</v>
          </cell>
          <cell r="E661">
            <v>3.665</v>
          </cell>
        </row>
        <row r="662">
          <cell r="A662" t="str">
            <v>37310200401</v>
          </cell>
          <cell r="B662">
            <v>37310</v>
          </cell>
          <cell r="C662" t="str">
            <v>NG</v>
          </cell>
          <cell r="D662" t="str">
            <v>200401</v>
          </cell>
          <cell r="E662">
            <v>3.625</v>
          </cell>
        </row>
        <row r="663">
          <cell r="A663" t="str">
            <v>37310200402</v>
          </cell>
          <cell r="B663">
            <v>37310</v>
          </cell>
          <cell r="C663" t="str">
            <v>NG</v>
          </cell>
          <cell r="D663" t="str">
            <v>200402</v>
          </cell>
          <cell r="E663">
            <v>3.5259999999999998</v>
          </cell>
        </row>
        <row r="664">
          <cell r="A664" t="str">
            <v>37310200403</v>
          </cell>
          <cell r="B664">
            <v>37310</v>
          </cell>
          <cell r="C664" t="str">
            <v>NG</v>
          </cell>
          <cell r="D664" t="str">
            <v>200403</v>
          </cell>
          <cell r="E664">
            <v>3.4039999999999999</v>
          </cell>
        </row>
        <row r="665">
          <cell r="A665" t="str">
            <v>37310200404</v>
          </cell>
          <cell r="B665">
            <v>37310</v>
          </cell>
          <cell r="C665" t="str">
            <v>NG</v>
          </cell>
          <cell r="D665" t="str">
            <v>200404</v>
          </cell>
          <cell r="E665">
            <v>3.2189999999999999</v>
          </cell>
        </row>
        <row r="666">
          <cell r="A666" t="str">
            <v>37310200405</v>
          </cell>
          <cell r="B666">
            <v>37310</v>
          </cell>
          <cell r="C666" t="str">
            <v>NG</v>
          </cell>
          <cell r="D666" t="str">
            <v>200405</v>
          </cell>
          <cell r="E666">
            <v>3.2189999999999999</v>
          </cell>
        </row>
        <row r="667">
          <cell r="A667" t="str">
            <v>37310200406</v>
          </cell>
          <cell r="B667">
            <v>37310</v>
          </cell>
          <cell r="C667" t="str">
            <v>NG</v>
          </cell>
          <cell r="D667" t="str">
            <v>200406</v>
          </cell>
          <cell r="E667">
            <v>3.2469999999999999</v>
          </cell>
        </row>
        <row r="668">
          <cell r="A668" t="str">
            <v>37310200407</v>
          </cell>
          <cell r="B668">
            <v>37310</v>
          </cell>
          <cell r="C668" t="str">
            <v>NG</v>
          </cell>
          <cell r="D668" t="str">
            <v>200407</v>
          </cell>
          <cell r="E668">
            <v>3.2869999999999999</v>
          </cell>
        </row>
        <row r="669">
          <cell r="A669" t="str">
            <v>37310200408</v>
          </cell>
          <cell r="B669">
            <v>37310</v>
          </cell>
          <cell r="C669" t="str">
            <v>NG</v>
          </cell>
          <cell r="D669" t="str">
            <v>200408</v>
          </cell>
          <cell r="E669">
            <v>3.331</v>
          </cell>
        </row>
        <row r="670">
          <cell r="A670" t="str">
            <v>37310200409</v>
          </cell>
          <cell r="B670">
            <v>37310</v>
          </cell>
          <cell r="C670" t="str">
            <v>NG</v>
          </cell>
          <cell r="D670" t="str">
            <v>200409</v>
          </cell>
          <cell r="E670">
            <v>3.33</v>
          </cell>
        </row>
        <row r="671">
          <cell r="A671" t="str">
            <v>37310200410</v>
          </cell>
          <cell r="B671">
            <v>37310</v>
          </cell>
          <cell r="C671" t="str">
            <v>NG</v>
          </cell>
          <cell r="D671" t="str">
            <v>200410</v>
          </cell>
          <cell r="E671">
            <v>3.3439999999999999</v>
          </cell>
        </row>
        <row r="672">
          <cell r="A672" t="str">
            <v>37310200411</v>
          </cell>
          <cell r="B672">
            <v>37310</v>
          </cell>
          <cell r="C672" t="str">
            <v>NG</v>
          </cell>
          <cell r="D672" t="str">
            <v>200411</v>
          </cell>
          <cell r="E672">
            <v>3.49</v>
          </cell>
        </row>
        <row r="673">
          <cell r="A673" t="str">
            <v>37310200412</v>
          </cell>
          <cell r="B673">
            <v>37310</v>
          </cell>
          <cell r="C673" t="str">
            <v>NG</v>
          </cell>
          <cell r="D673" t="str">
            <v>200412</v>
          </cell>
          <cell r="E673">
            <v>3.665</v>
          </cell>
        </row>
        <row r="674">
          <cell r="A674" t="str">
            <v>37311200401</v>
          </cell>
          <cell r="B674">
            <v>37311</v>
          </cell>
          <cell r="C674" t="str">
            <v>NG</v>
          </cell>
          <cell r="D674" t="str">
            <v>200401</v>
          </cell>
          <cell r="E674">
            <v>3.625</v>
          </cell>
        </row>
        <row r="675">
          <cell r="A675" t="str">
            <v>37311200402</v>
          </cell>
          <cell r="B675">
            <v>37311</v>
          </cell>
          <cell r="C675" t="str">
            <v>NG</v>
          </cell>
          <cell r="D675" t="str">
            <v>200402</v>
          </cell>
          <cell r="E675">
            <v>3.5259999999999998</v>
          </cell>
        </row>
        <row r="676">
          <cell r="A676" t="str">
            <v>37311200403</v>
          </cell>
          <cell r="B676">
            <v>37311</v>
          </cell>
          <cell r="C676" t="str">
            <v>NG</v>
          </cell>
          <cell r="D676" t="str">
            <v>200403</v>
          </cell>
          <cell r="E676">
            <v>3.4039999999999999</v>
          </cell>
        </row>
        <row r="677">
          <cell r="A677" t="str">
            <v>37311200404</v>
          </cell>
          <cell r="B677">
            <v>37311</v>
          </cell>
          <cell r="C677" t="str">
            <v>NG</v>
          </cell>
          <cell r="D677" t="str">
            <v>200404</v>
          </cell>
          <cell r="E677">
            <v>3.2189999999999999</v>
          </cell>
        </row>
        <row r="678">
          <cell r="A678" t="str">
            <v>37311200405</v>
          </cell>
          <cell r="B678">
            <v>37311</v>
          </cell>
          <cell r="C678" t="str">
            <v>NG</v>
          </cell>
          <cell r="D678" t="str">
            <v>200405</v>
          </cell>
          <cell r="E678">
            <v>3.2189999999999999</v>
          </cell>
        </row>
        <row r="679">
          <cell r="A679" t="str">
            <v>37311200406</v>
          </cell>
          <cell r="B679">
            <v>37311</v>
          </cell>
          <cell r="C679" t="str">
            <v>NG</v>
          </cell>
          <cell r="D679" t="str">
            <v>200406</v>
          </cell>
          <cell r="E679">
            <v>3.2469999999999999</v>
          </cell>
        </row>
        <row r="680">
          <cell r="A680" t="str">
            <v>37311200407</v>
          </cell>
          <cell r="B680">
            <v>37311</v>
          </cell>
          <cell r="C680" t="str">
            <v>NG</v>
          </cell>
          <cell r="D680" t="str">
            <v>200407</v>
          </cell>
          <cell r="E680">
            <v>3.2869999999999999</v>
          </cell>
        </row>
        <row r="681">
          <cell r="A681" t="str">
            <v>37311200408</v>
          </cell>
          <cell r="B681">
            <v>37311</v>
          </cell>
          <cell r="C681" t="str">
            <v>NG</v>
          </cell>
          <cell r="D681" t="str">
            <v>200408</v>
          </cell>
          <cell r="E681">
            <v>3.331</v>
          </cell>
        </row>
        <row r="682">
          <cell r="A682" t="str">
            <v>37311200409</v>
          </cell>
          <cell r="B682">
            <v>37311</v>
          </cell>
          <cell r="C682" t="str">
            <v>NG</v>
          </cell>
          <cell r="D682" t="str">
            <v>200409</v>
          </cell>
          <cell r="E682">
            <v>3.33</v>
          </cell>
        </row>
        <row r="683">
          <cell r="A683" t="str">
            <v>37311200410</v>
          </cell>
          <cell r="B683">
            <v>37311</v>
          </cell>
          <cell r="C683" t="str">
            <v>NG</v>
          </cell>
          <cell r="D683" t="str">
            <v>200410</v>
          </cell>
          <cell r="E683">
            <v>3.3439999999999999</v>
          </cell>
        </row>
        <row r="684">
          <cell r="A684" t="str">
            <v>37311200411</v>
          </cell>
          <cell r="B684">
            <v>37311</v>
          </cell>
          <cell r="C684" t="str">
            <v>NG</v>
          </cell>
          <cell r="D684" t="str">
            <v>200411</v>
          </cell>
          <cell r="E684">
            <v>3.49</v>
          </cell>
        </row>
        <row r="685">
          <cell r="A685" t="str">
            <v>37311200412</v>
          </cell>
          <cell r="B685">
            <v>37311</v>
          </cell>
          <cell r="C685" t="str">
            <v>NG</v>
          </cell>
          <cell r="D685" t="str">
            <v>200412</v>
          </cell>
          <cell r="E685">
            <v>3.665</v>
          </cell>
        </row>
        <row r="686">
          <cell r="A686" t="str">
            <v>37312200401</v>
          </cell>
          <cell r="B686">
            <v>37312</v>
          </cell>
          <cell r="C686" t="str">
            <v>NG</v>
          </cell>
          <cell r="D686" t="str">
            <v>200401</v>
          </cell>
          <cell r="E686">
            <v>3.5720000000000001</v>
          </cell>
        </row>
        <row r="687">
          <cell r="A687" t="str">
            <v>37312200402</v>
          </cell>
          <cell r="B687">
            <v>37312</v>
          </cell>
          <cell r="C687" t="str">
            <v>NG</v>
          </cell>
          <cell r="D687" t="str">
            <v>200402</v>
          </cell>
          <cell r="E687">
            <v>3.4820000000000002</v>
          </cell>
        </row>
        <row r="688">
          <cell r="A688" t="str">
            <v>37312200403</v>
          </cell>
          <cell r="B688">
            <v>37312</v>
          </cell>
          <cell r="C688" t="str">
            <v>NG</v>
          </cell>
          <cell r="D688" t="str">
            <v>200403</v>
          </cell>
          <cell r="E688">
            <v>3.36</v>
          </cell>
        </row>
        <row r="689">
          <cell r="A689" t="str">
            <v>37312200404</v>
          </cell>
          <cell r="B689">
            <v>37312</v>
          </cell>
          <cell r="C689" t="str">
            <v>NG</v>
          </cell>
          <cell r="D689" t="str">
            <v>200404</v>
          </cell>
          <cell r="E689">
            <v>3.1749999999999998</v>
          </cell>
        </row>
        <row r="690">
          <cell r="A690" t="str">
            <v>37312200405</v>
          </cell>
          <cell r="B690">
            <v>37312</v>
          </cell>
          <cell r="C690" t="str">
            <v>NG</v>
          </cell>
          <cell r="D690" t="str">
            <v>200405</v>
          </cell>
          <cell r="E690">
            <v>3.1760000000000002</v>
          </cell>
        </row>
        <row r="691">
          <cell r="A691" t="str">
            <v>37312200406</v>
          </cell>
          <cell r="B691">
            <v>37312</v>
          </cell>
          <cell r="C691" t="str">
            <v>NG</v>
          </cell>
          <cell r="D691" t="str">
            <v>200406</v>
          </cell>
          <cell r="E691">
            <v>3.2109999999999999</v>
          </cell>
        </row>
        <row r="692">
          <cell r="A692" t="str">
            <v>37312200407</v>
          </cell>
          <cell r="B692">
            <v>37312</v>
          </cell>
          <cell r="C692" t="str">
            <v>NG</v>
          </cell>
          <cell r="D692" t="str">
            <v>200407</v>
          </cell>
          <cell r="E692">
            <v>3.2509999999999999</v>
          </cell>
        </row>
        <row r="693">
          <cell r="A693" t="str">
            <v>37312200408</v>
          </cell>
          <cell r="B693">
            <v>37312</v>
          </cell>
          <cell r="C693" t="str">
            <v>NG</v>
          </cell>
          <cell r="D693" t="str">
            <v>200408</v>
          </cell>
          <cell r="E693">
            <v>3.2949999999999999</v>
          </cell>
        </row>
        <row r="694">
          <cell r="A694" t="str">
            <v>37312200409</v>
          </cell>
          <cell r="B694">
            <v>37312</v>
          </cell>
          <cell r="C694" t="str">
            <v>NG</v>
          </cell>
          <cell r="D694" t="str">
            <v>200409</v>
          </cell>
          <cell r="E694">
            <v>3.29</v>
          </cell>
        </row>
        <row r="695">
          <cell r="A695" t="str">
            <v>37312200410</v>
          </cell>
          <cell r="B695">
            <v>37312</v>
          </cell>
          <cell r="C695" t="str">
            <v>NG</v>
          </cell>
          <cell r="D695" t="str">
            <v>200410</v>
          </cell>
          <cell r="E695">
            <v>3.3039999999999998</v>
          </cell>
        </row>
        <row r="696">
          <cell r="A696" t="str">
            <v>37312200411</v>
          </cell>
          <cell r="B696">
            <v>37312</v>
          </cell>
          <cell r="C696" t="str">
            <v>NG</v>
          </cell>
          <cell r="D696" t="str">
            <v>200411</v>
          </cell>
          <cell r="E696">
            <v>3.4540000000000002</v>
          </cell>
        </row>
        <row r="697">
          <cell r="A697" t="str">
            <v>37312200412</v>
          </cell>
          <cell r="B697">
            <v>37312</v>
          </cell>
          <cell r="C697" t="str">
            <v>NG</v>
          </cell>
          <cell r="D697" t="str">
            <v>200412</v>
          </cell>
          <cell r="E697">
            <v>3.6240000000000001</v>
          </cell>
        </row>
        <row r="698">
          <cell r="A698" t="str">
            <v>37313200401</v>
          </cell>
          <cell r="B698">
            <v>37313</v>
          </cell>
          <cell r="C698" t="str">
            <v>NG</v>
          </cell>
          <cell r="D698" t="str">
            <v>200401</v>
          </cell>
          <cell r="E698">
            <v>3.6040000000000001</v>
          </cell>
        </row>
        <row r="699">
          <cell r="A699" t="str">
            <v>37313200402</v>
          </cell>
          <cell r="B699">
            <v>37313</v>
          </cell>
          <cell r="C699" t="str">
            <v>NG</v>
          </cell>
          <cell r="D699" t="str">
            <v>200402</v>
          </cell>
          <cell r="E699">
            <v>3.5139999999999998</v>
          </cell>
        </row>
        <row r="700">
          <cell r="A700" t="str">
            <v>37313200403</v>
          </cell>
          <cell r="B700">
            <v>37313</v>
          </cell>
          <cell r="C700" t="str">
            <v>NG</v>
          </cell>
          <cell r="D700" t="str">
            <v>200403</v>
          </cell>
          <cell r="E700">
            <v>3.3889999999999998</v>
          </cell>
        </row>
        <row r="701">
          <cell r="A701" t="str">
            <v>37313200404</v>
          </cell>
          <cell r="B701">
            <v>37313</v>
          </cell>
          <cell r="C701" t="str">
            <v>NG</v>
          </cell>
          <cell r="D701" t="str">
            <v>200404</v>
          </cell>
          <cell r="E701">
            <v>3.1960000000000002</v>
          </cell>
        </row>
        <row r="702">
          <cell r="A702" t="str">
            <v>37313200405</v>
          </cell>
          <cell r="B702">
            <v>37313</v>
          </cell>
          <cell r="C702" t="str">
            <v>NG</v>
          </cell>
          <cell r="D702" t="str">
            <v>200405</v>
          </cell>
          <cell r="E702">
            <v>3.194</v>
          </cell>
        </row>
        <row r="703">
          <cell r="A703" t="str">
            <v>37313200406</v>
          </cell>
          <cell r="B703">
            <v>37313</v>
          </cell>
          <cell r="C703" t="str">
            <v>NG</v>
          </cell>
          <cell r="D703" t="str">
            <v>200406</v>
          </cell>
          <cell r="E703">
            <v>3.2290000000000001</v>
          </cell>
        </row>
        <row r="704">
          <cell r="A704" t="str">
            <v>37313200407</v>
          </cell>
          <cell r="B704">
            <v>37313</v>
          </cell>
          <cell r="C704" t="str">
            <v>NG</v>
          </cell>
          <cell r="D704" t="str">
            <v>200407</v>
          </cell>
          <cell r="E704">
            <v>3.2690000000000001</v>
          </cell>
        </row>
        <row r="705">
          <cell r="A705" t="str">
            <v>37313200408</v>
          </cell>
          <cell r="B705">
            <v>37313</v>
          </cell>
          <cell r="C705" t="str">
            <v>NG</v>
          </cell>
          <cell r="D705" t="str">
            <v>200408</v>
          </cell>
          <cell r="E705">
            <v>3.3130000000000002</v>
          </cell>
        </row>
        <row r="706">
          <cell r="A706" t="str">
            <v>37313200409</v>
          </cell>
          <cell r="B706">
            <v>37313</v>
          </cell>
          <cell r="C706" t="str">
            <v>NG</v>
          </cell>
          <cell r="D706" t="str">
            <v>200409</v>
          </cell>
          <cell r="E706">
            <v>3.3079999999999998</v>
          </cell>
        </row>
        <row r="707">
          <cell r="A707" t="str">
            <v>37313200410</v>
          </cell>
          <cell r="B707">
            <v>37313</v>
          </cell>
          <cell r="C707" t="str">
            <v>NG</v>
          </cell>
          <cell r="D707" t="str">
            <v>200410</v>
          </cell>
          <cell r="E707">
            <v>3.3220000000000001</v>
          </cell>
        </row>
        <row r="708">
          <cell r="A708" t="str">
            <v>37313200411</v>
          </cell>
          <cell r="B708">
            <v>37313</v>
          </cell>
          <cell r="C708" t="str">
            <v>NG</v>
          </cell>
          <cell r="D708" t="str">
            <v>200411</v>
          </cell>
          <cell r="E708">
            <v>3.472</v>
          </cell>
        </row>
        <row r="709">
          <cell r="A709" t="str">
            <v>37313200412</v>
          </cell>
          <cell r="B709">
            <v>37313</v>
          </cell>
          <cell r="C709" t="str">
            <v>NG</v>
          </cell>
          <cell r="D709" t="str">
            <v>200412</v>
          </cell>
          <cell r="E709">
            <v>3.6419999999999999</v>
          </cell>
        </row>
        <row r="710">
          <cell r="A710" t="str">
            <v>37314200401</v>
          </cell>
          <cell r="B710">
            <v>37314</v>
          </cell>
          <cell r="C710" t="str">
            <v>NG</v>
          </cell>
          <cell r="D710" t="str">
            <v>200401</v>
          </cell>
          <cell r="E710">
            <v>3.6779999999999999</v>
          </cell>
        </row>
        <row r="711">
          <cell r="A711" t="str">
            <v>37314200402</v>
          </cell>
          <cell r="B711">
            <v>37314</v>
          </cell>
          <cell r="C711" t="str">
            <v>NG</v>
          </cell>
          <cell r="D711" t="str">
            <v>200402</v>
          </cell>
          <cell r="E711">
            <v>3.5880000000000001</v>
          </cell>
        </row>
        <row r="712">
          <cell r="A712" t="str">
            <v>37314200403</v>
          </cell>
          <cell r="B712">
            <v>37314</v>
          </cell>
          <cell r="C712" t="str">
            <v>NG</v>
          </cell>
          <cell r="D712" t="str">
            <v>200403</v>
          </cell>
          <cell r="E712">
            <v>3.4630000000000001</v>
          </cell>
        </row>
        <row r="713">
          <cell r="A713" t="str">
            <v>37314200404</v>
          </cell>
          <cell r="B713">
            <v>37314</v>
          </cell>
          <cell r="C713" t="str">
            <v>NG</v>
          </cell>
          <cell r="D713" t="str">
            <v>200404</v>
          </cell>
          <cell r="E713">
            <v>3.2669999999999999</v>
          </cell>
        </row>
        <row r="714">
          <cell r="A714" t="str">
            <v>37314200405</v>
          </cell>
          <cell r="B714">
            <v>37314</v>
          </cell>
          <cell r="C714" t="str">
            <v>NG</v>
          </cell>
          <cell r="D714" t="str">
            <v>200405</v>
          </cell>
          <cell r="E714">
            <v>3.2650000000000001</v>
          </cell>
        </row>
        <row r="715">
          <cell r="A715" t="str">
            <v>37314200406</v>
          </cell>
          <cell r="B715">
            <v>37314</v>
          </cell>
          <cell r="C715" t="str">
            <v>NG</v>
          </cell>
          <cell r="D715" t="str">
            <v>200406</v>
          </cell>
          <cell r="E715">
            <v>3.3</v>
          </cell>
        </row>
        <row r="716">
          <cell r="A716" t="str">
            <v>37314200407</v>
          </cell>
          <cell r="B716">
            <v>37314</v>
          </cell>
          <cell r="C716" t="str">
            <v>NG</v>
          </cell>
          <cell r="D716" t="str">
            <v>200407</v>
          </cell>
          <cell r="E716">
            <v>3.335</v>
          </cell>
        </row>
        <row r="717">
          <cell r="A717" t="str">
            <v>37314200408</v>
          </cell>
          <cell r="B717">
            <v>37314</v>
          </cell>
          <cell r="C717" t="str">
            <v>NG</v>
          </cell>
          <cell r="D717" t="str">
            <v>200408</v>
          </cell>
          <cell r="E717">
            <v>3.3740000000000001</v>
          </cell>
        </row>
        <row r="718">
          <cell r="A718" t="str">
            <v>37314200409</v>
          </cell>
          <cell r="B718">
            <v>37314</v>
          </cell>
          <cell r="C718" t="str">
            <v>NG</v>
          </cell>
          <cell r="D718" t="str">
            <v>200409</v>
          </cell>
          <cell r="E718">
            <v>3.371</v>
          </cell>
        </row>
        <row r="719">
          <cell r="A719" t="str">
            <v>37314200410</v>
          </cell>
          <cell r="B719">
            <v>37314</v>
          </cell>
          <cell r="C719" t="str">
            <v>NG</v>
          </cell>
          <cell r="D719" t="str">
            <v>200410</v>
          </cell>
          <cell r="E719">
            <v>3.383</v>
          </cell>
        </row>
        <row r="720">
          <cell r="A720" t="str">
            <v>37314200411</v>
          </cell>
          <cell r="B720">
            <v>37314</v>
          </cell>
          <cell r="C720" t="str">
            <v>NG</v>
          </cell>
          <cell r="D720" t="str">
            <v>200411</v>
          </cell>
          <cell r="E720">
            <v>3.54</v>
          </cell>
        </row>
        <row r="721">
          <cell r="A721" t="str">
            <v>37314200412</v>
          </cell>
          <cell r="B721">
            <v>37314</v>
          </cell>
          <cell r="C721" t="str">
            <v>NG</v>
          </cell>
          <cell r="D721" t="str">
            <v>200412</v>
          </cell>
          <cell r="E721">
            <v>3.7149999999999999</v>
          </cell>
        </row>
        <row r="722">
          <cell r="A722" t="str">
            <v>37315200401</v>
          </cell>
          <cell r="B722">
            <v>37315</v>
          </cell>
          <cell r="C722" t="str">
            <v>NG</v>
          </cell>
          <cell r="D722" t="str">
            <v>200401</v>
          </cell>
          <cell r="E722">
            <v>3.6619999999999999</v>
          </cell>
        </row>
        <row r="723">
          <cell r="A723" t="str">
            <v>37315200402</v>
          </cell>
          <cell r="B723">
            <v>37315</v>
          </cell>
          <cell r="C723" t="str">
            <v>NG</v>
          </cell>
          <cell r="D723" t="str">
            <v>200402</v>
          </cell>
          <cell r="E723">
            <v>3.5720000000000001</v>
          </cell>
        </row>
        <row r="724">
          <cell r="A724" t="str">
            <v>37315200403</v>
          </cell>
          <cell r="B724">
            <v>37315</v>
          </cell>
          <cell r="C724" t="str">
            <v>NG</v>
          </cell>
          <cell r="D724" t="str">
            <v>200403</v>
          </cell>
          <cell r="E724">
            <v>3.4470000000000001</v>
          </cell>
        </row>
        <row r="725">
          <cell r="A725" t="str">
            <v>37315200404</v>
          </cell>
          <cell r="B725">
            <v>37315</v>
          </cell>
          <cell r="C725" t="str">
            <v>NG</v>
          </cell>
          <cell r="D725" t="str">
            <v>200404</v>
          </cell>
          <cell r="E725">
            <v>3.2509999999999999</v>
          </cell>
        </row>
        <row r="726">
          <cell r="A726" t="str">
            <v>37315200405</v>
          </cell>
          <cell r="B726">
            <v>37315</v>
          </cell>
          <cell r="C726" t="str">
            <v>NG</v>
          </cell>
          <cell r="D726" t="str">
            <v>200405</v>
          </cell>
          <cell r="E726">
            <v>3.2490000000000001</v>
          </cell>
        </row>
        <row r="727">
          <cell r="A727" t="str">
            <v>37315200406</v>
          </cell>
          <cell r="B727">
            <v>37315</v>
          </cell>
          <cell r="C727" t="str">
            <v>NG</v>
          </cell>
          <cell r="D727" t="str">
            <v>200406</v>
          </cell>
          <cell r="E727">
            <v>3.2839999999999998</v>
          </cell>
        </row>
        <row r="728">
          <cell r="A728" t="str">
            <v>37315200407</v>
          </cell>
          <cell r="B728">
            <v>37315</v>
          </cell>
          <cell r="C728" t="str">
            <v>NG</v>
          </cell>
          <cell r="D728" t="str">
            <v>200407</v>
          </cell>
          <cell r="E728">
            <v>3.3090000000000002</v>
          </cell>
        </row>
        <row r="729">
          <cell r="A729" t="str">
            <v>37315200408</v>
          </cell>
          <cell r="B729">
            <v>37315</v>
          </cell>
          <cell r="C729" t="str">
            <v>NG</v>
          </cell>
          <cell r="D729" t="str">
            <v>200408</v>
          </cell>
          <cell r="E729">
            <v>3.3439999999999999</v>
          </cell>
        </row>
        <row r="730">
          <cell r="A730" t="str">
            <v>37315200409</v>
          </cell>
          <cell r="B730">
            <v>37315</v>
          </cell>
          <cell r="C730" t="str">
            <v>NG</v>
          </cell>
          <cell r="D730" t="str">
            <v>200409</v>
          </cell>
          <cell r="E730">
            <v>3.3410000000000002</v>
          </cell>
        </row>
        <row r="731">
          <cell r="A731" t="str">
            <v>37315200410</v>
          </cell>
          <cell r="B731">
            <v>37315</v>
          </cell>
          <cell r="C731" t="str">
            <v>NG</v>
          </cell>
          <cell r="D731" t="str">
            <v>200410</v>
          </cell>
          <cell r="E731">
            <v>3.3530000000000002</v>
          </cell>
        </row>
        <row r="732">
          <cell r="A732" t="str">
            <v>37315200411</v>
          </cell>
          <cell r="B732">
            <v>37315</v>
          </cell>
          <cell r="C732" t="str">
            <v>NG</v>
          </cell>
          <cell r="D732" t="str">
            <v>200411</v>
          </cell>
          <cell r="E732">
            <v>3.512</v>
          </cell>
        </row>
        <row r="733">
          <cell r="A733" t="str">
            <v>37315200412</v>
          </cell>
          <cell r="B733">
            <v>37315</v>
          </cell>
          <cell r="C733" t="str">
            <v>NG</v>
          </cell>
          <cell r="D733" t="str">
            <v>200412</v>
          </cell>
          <cell r="E733">
            <v>3.6920000000000002</v>
          </cell>
        </row>
        <row r="734">
          <cell r="A734" t="str">
            <v>37316200401</v>
          </cell>
          <cell r="B734">
            <v>37316</v>
          </cell>
          <cell r="C734" t="str">
            <v>NG</v>
          </cell>
          <cell r="D734" t="str">
            <v>200401</v>
          </cell>
          <cell r="E734">
            <v>3.6539999999999999</v>
          </cell>
        </row>
        <row r="735">
          <cell r="A735" t="str">
            <v>37316200402</v>
          </cell>
          <cell r="B735">
            <v>37316</v>
          </cell>
          <cell r="C735" t="str">
            <v>NG</v>
          </cell>
          <cell r="D735" t="str">
            <v>200402</v>
          </cell>
          <cell r="E735">
            <v>3.5640000000000001</v>
          </cell>
        </row>
        <row r="736">
          <cell r="A736" t="str">
            <v>37316200403</v>
          </cell>
          <cell r="B736">
            <v>37316</v>
          </cell>
          <cell r="C736" t="str">
            <v>NG</v>
          </cell>
          <cell r="D736" t="str">
            <v>200403</v>
          </cell>
          <cell r="E736">
            <v>3.4390000000000001</v>
          </cell>
        </row>
        <row r="737">
          <cell r="A737" t="str">
            <v>37316200404</v>
          </cell>
          <cell r="B737">
            <v>37316</v>
          </cell>
          <cell r="C737" t="str">
            <v>NG</v>
          </cell>
          <cell r="D737" t="str">
            <v>200404</v>
          </cell>
          <cell r="E737">
            <v>3.246</v>
          </cell>
        </row>
        <row r="738">
          <cell r="A738" t="str">
            <v>37316200405</v>
          </cell>
          <cell r="B738">
            <v>37316</v>
          </cell>
          <cell r="C738" t="str">
            <v>NG</v>
          </cell>
          <cell r="D738" t="str">
            <v>200405</v>
          </cell>
          <cell r="E738">
            <v>3.2490000000000001</v>
          </cell>
        </row>
        <row r="739">
          <cell r="A739" t="str">
            <v>37316200406</v>
          </cell>
          <cell r="B739">
            <v>37316</v>
          </cell>
          <cell r="C739" t="str">
            <v>NG</v>
          </cell>
          <cell r="D739" t="str">
            <v>200406</v>
          </cell>
          <cell r="E739">
            <v>3.2839999999999998</v>
          </cell>
        </row>
        <row r="740">
          <cell r="A740" t="str">
            <v>37316200407</v>
          </cell>
          <cell r="B740">
            <v>37316</v>
          </cell>
          <cell r="C740" t="str">
            <v>NG</v>
          </cell>
          <cell r="D740" t="str">
            <v>200407</v>
          </cell>
          <cell r="E740">
            <v>3.3039999999999998</v>
          </cell>
        </row>
        <row r="741">
          <cell r="A741" t="str">
            <v>37316200408</v>
          </cell>
          <cell r="B741">
            <v>37316</v>
          </cell>
          <cell r="C741" t="str">
            <v>NG</v>
          </cell>
          <cell r="D741" t="str">
            <v>200408</v>
          </cell>
          <cell r="E741">
            <v>3.335</v>
          </cell>
        </row>
        <row r="742">
          <cell r="A742" t="str">
            <v>37316200409</v>
          </cell>
          <cell r="B742">
            <v>37316</v>
          </cell>
          <cell r="C742" t="str">
            <v>NG</v>
          </cell>
          <cell r="D742" t="str">
            <v>200409</v>
          </cell>
          <cell r="E742">
            <v>3.3319999999999999</v>
          </cell>
        </row>
        <row r="743">
          <cell r="A743" t="str">
            <v>37316200410</v>
          </cell>
          <cell r="B743">
            <v>37316</v>
          </cell>
          <cell r="C743" t="str">
            <v>NG</v>
          </cell>
          <cell r="D743" t="str">
            <v>200410</v>
          </cell>
          <cell r="E743">
            <v>3.3439999999999999</v>
          </cell>
        </row>
        <row r="744">
          <cell r="A744" t="str">
            <v>37316200411</v>
          </cell>
          <cell r="B744">
            <v>37316</v>
          </cell>
          <cell r="C744" t="str">
            <v>NG</v>
          </cell>
          <cell r="D744" t="str">
            <v>200411</v>
          </cell>
          <cell r="E744">
            <v>3.5030000000000001</v>
          </cell>
        </row>
        <row r="745">
          <cell r="A745" t="str">
            <v>37316200412</v>
          </cell>
          <cell r="B745">
            <v>37316</v>
          </cell>
          <cell r="C745" t="str">
            <v>NG</v>
          </cell>
          <cell r="D745" t="str">
            <v>200412</v>
          </cell>
          <cell r="E745">
            <v>3.6829999999999998</v>
          </cell>
        </row>
        <row r="746">
          <cell r="A746" t="str">
            <v>37317200401</v>
          </cell>
          <cell r="B746">
            <v>37317</v>
          </cell>
          <cell r="C746" t="str">
            <v>NG</v>
          </cell>
          <cell r="D746" t="str">
            <v>200401</v>
          </cell>
          <cell r="E746">
            <v>3.6539999999999999</v>
          </cell>
        </row>
        <row r="747">
          <cell r="A747" t="str">
            <v>37317200402</v>
          </cell>
          <cell r="B747">
            <v>37317</v>
          </cell>
          <cell r="C747" t="str">
            <v>NG</v>
          </cell>
          <cell r="D747" t="str">
            <v>200402</v>
          </cell>
          <cell r="E747">
            <v>3.5640000000000001</v>
          </cell>
        </row>
        <row r="748">
          <cell r="A748" t="str">
            <v>37317200403</v>
          </cell>
          <cell r="B748">
            <v>37317</v>
          </cell>
          <cell r="C748" t="str">
            <v>NG</v>
          </cell>
          <cell r="D748" t="str">
            <v>200403</v>
          </cell>
          <cell r="E748">
            <v>3.4390000000000001</v>
          </cell>
        </row>
        <row r="749">
          <cell r="A749" t="str">
            <v>37317200404</v>
          </cell>
          <cell r="B749">
            <v>37317</v>
          </cell>
          <cell r="C749" t="str">
            <v>NG</v>
          </cell>
          <cell r="D749" t="str">
            <v>200404</v>
          </cell>
          <cell r="E749">
            <v>3.246</v>
          </cell>
        </row>
        <row r="750">
          <cell r="A750" t="str">
            <v>37317200405</v>
          </cell>
          <cell r="B750">
            <v>37317</v>
          </cell>
          <cell r="C750" t="str">
            <v>NG</v>
          </cell>
          <cell r="D750" t="str">
            <v>200405</v>
          </cell>
          <cell r="E750">
            <v>3.2490000000000001</v>
          </cell>
        </row>
        <row r="751">
          <cell r="A751" t="str">
            <v>37317200406</v>
          </cell>
          <cell r="B751">
            <v>37317</v>
          </cell>
          <cell r="C751" t="str">
            <v>NG</v>
          </cell>
          <cell r="D751" t="str">
            <v>200406</v>
          </cell>
          <cell r="E751">
            <v>3.2839999999999998</v>
          </cell>
        </row>
        <row r="752">
          <cell r="A752" t="str">
            <v>37317200407</v>
          </cell>
          <cell r="B752">
            <v>37317</v>
          </cell>
          <cell r="C752" t="str">
            <v>NG</v>
          </cell>
          <cell r="D752" t="str">
            <v>200407</v>
          </cell>
          <cell r="E752">
            <v>3.3039999999999998</v>
          </cell>
        </row>
        <row r="753">
          <cell r="A753" t="str">
            <v>37317200408</v>
          </cell>
          <cell r="B753">
            <v>37317</v>
          </cell>
          <cell r="C753" t="str">
            <v>NG</v>
          </cell>
          <cell r="D753" t="str">
            <v>200408</v>
          </cell>
          <cell r="E753">
            <v>3.335</v>
          </cell>
        </row>
        <row r="754">
          <cell r="A754" t="str">
            <v>37317200409</v>
          </cell>
          <cell r="B754">
            <v>37317</v>
          </cell>
          <cell r="C754" t="str">
            <v>NG</v>
          </cell>
          <cell r="D754" t="str">
            <v>200409</v>
          </cell>
          <cell r="E754">
            <v>3.3319999999999999</v>
          </cell>
        </row>
        <row r="755">
          <cell r="A755" t="str">
            <v>37317200410</v>
          </cell>
          <cell r="B755">
            <v>37317</v>
          </cell>
          <cell r="C755" t="str">
            <v>NG</v>
          </cell>
          <cell r="D755" t="str">
            <v>200410</v>
          </cell>
          <cell r="E755">
            <v>3.3439999999999999</v>
          </cell>
        </row>
        <row r="756">
          <cell r="A756" t="str">
            <v>37317200411</v>
          </cell>
          <cell r="B756">
            <v>37317</v>
          </cell>
          <cell r="C756" t="str">
            <v>NG</v>
          </cell>
          <cell r="D756" t="str">
            <v>200411</v>
          </cell>
          <cell r="E756">
            <v>3.5030000000000001</v>
          </cell>
        </row>
        <row r="757">
          <cell r="A757" t="str">
            <v>37317200412</v>
          </cell>
          <cell r="B757">
            <v>37317</v>
          </cell>
          <cell r="C757" t="str">
            <v>NG</v>
          </cell>
          <cell r="D757" t="str">
            <v>200412</v>
          </cell>
          <cell r="E757">
            <v>3.6829999999999998</v>
          </cell>
        </row>
        <row r="758">
          <cell r="A758" t="str">
            <v>37318200401</v>
          </cell>
          <cell r="B758">
            <v>37318</v>
          </cell>
          <cell r="C758" t="str">
            <v>NG</v>
          </cell>
          <cell r="D758" t="str">
            <v>200401</v>
          </cell>
          <cell r="E758">
            <v>3.6539999999999999</v>
          </cell>
        </row>
        <row r="759">
          <cell r="A759" t="str">
            <v>37318200402</v>
          </cell>
          <cell r="B759">
            <v>37318</v>
          </cell>
          <cell r="C759" t="str">
            <v>NG</v>
          </cell>
          <cell r="D759" t="str">
            <v>200402</v>
          </cell>
          <cell r="E759">
            <v>3.5640000000000001</v>
          </cell>
        </row>
        <row r="760">
          <cell r="A760" t="str">
            <v>37318200403</v>
          </cell>
          <cell r="B760">
            <v>37318</v>
          </cell>
          <cell r="C760" t="str">
            <v>NG</v>
          </cell>
          <cell r="D760" t="str">
            <v>200403</v>
          </cell>
          <cell r="E760">
            <v>3.4390000000000001</v>
          </cell>
        </row>
        <row r="761">
          <cell r="A761" t="str">
            <v>37318200404</v>
          </cell>
          <cell r="B761">
            <v>37318</v>
          </cell>
          <cell r="C761" t="str">
            <v>NG</v>
          </cell>
          <cell r="D761" t="str">
            <v>200404</v>
          </cell>
          <cell r="E761">
            <v>3.246</v>
          </cell>
        </row>
        <row r="762">
          <cell r="A762" t="str">
            <v>37318200405</v>
          </cell>
          <cell r="B762">
            <v>37318</v>
          </cell>
          <cell r="C762" t="str">
            <v>NG</v>
          </cell>
          <cell r="D762" t="str">
            <v>200405</v>
          </cell>
          <cell r="E762">
            <v>3.2490000000000001</v>
          </cell>
        </row>
        <row r="763">
          <cell r="A763" t="str">
            <v>37318200406</v>
          </cell>
          <cell r="B763">
            <v>37318</v>
          </cell>
          <cell r="C763" t="str">
            <v>NG</v>
          </cell>
          <cell r="D763" t="str">
            <v>200406</v>
          </cell>
          <cell r="E763">
            <v>3.2839999999999998</v>
          </cell>
        </row>
        <row r="764">
          <cell r="A764" t="str">
            <v>37318200407</v>
          </cell>
          <cell r="B764">
            <v>37318</v>
          </cell>
          <cell r="C764" t="str">
            <v>NG</v>
          </cell>
          <cell r="D764" t="str">
            <v>200407</v>
          </cell>
          <cell r="E764">
            <v>3.3039999999999998</v>
          </cell>
        </row>
        <row r="765">
          <cell r="A765" t="str">
            <v>37318200408</v>
          </cell>
          <cell r="B765">
            <v>37318</v>
          </cell>
          <cell r="C765" t="str">
            <v>NG</v>
          </cell>
          <cell r="D765" t="str">
            <v>200408</v>
          </cell>
          <cell r="E765">
            <v>3.335</v>
          </cell>
        </row>
        <row r="766">
          <cell r="A766" t="str">
            <v>37318200409</v>
          </cell>
          <cell r="B766">
            <v>37318</v>
          </cell>
          <cell r="C766" t="str">
            <v>NG</v>
          </cell>
          <cell r="D766" t="str">
            <v>200409</v>
          </cell>
          <cell r="E766">
            <v>3.3319999999999999</v>
          </cell>
        </row>
        <row r="767">
          <cell r="A767" t="str">
            <v>37318200410</v>
          </cell>
          <cell r="B767">
            <v>37318</v>
          </cell>
          <cell r="C767" t="str">
            <v>NG</v>
          </cell>
          <cell r="D767" t="str">
            <v>200410</v>
          </cell>
          <cell r="E767">
            <v>3.3439999999999999</v>
          </cell>
        </row>
        <row r="768">
          <cell r="A768" t="str">
            <v>37318200411</v>
          </cell>
          <cell r="B768">
            <v>37318</v>
          </cell>
          <cell r="C768" t="str">
            <v>NG</v>
          </cell>
          <cell r="D768" t="str">
            <v>200411</v>
          </cell>
          <cell r="E768">
            <v>3.5030000000000001</v>
          </cell>
        </row>
        <row r="769">
          <cell r="A769" t="str">
            <v>37318200412</v>
          </cell>
          <cell r="B769">
            <v>37318</v>
          </cell>
          <cell r="C769" t="str">
            <v>NG</v>
          </cell>
          <cell r="D769" t="str">
            <v>200412</v>
          </cell>
          <cell r="E769">
            <v>3.6829999999999998</v>
          </cell>
        </row>
        <row r="770">
          <cell r="A770" t="str">
            <v>37319200401</v>
          </cell>
          <cell r="B770">
            <v>37319</v>
          </cell>
          <cell r="C770" t="str">
            <v>NG</v>
          </cell>
          <cell r="D770" t="str">
            <v>200401</v>
          </cell>
          <cell r="E770">
            <v>3.6840000000000002</v>
          </cell>
        </row>
        <row r="771">
          <cell r="A771" t="str">
            <v>37319200402</v>
          </cell>
          <cell r="B771">
            <v>37319</v>
          </cell>
          <cell r="C771" t="str">
            <v>NG</v>
          </cell>
          <cell r="D771" t="str">
            <v>200402</v>
          </cell>
          <cell r="E771">
            <v>3.589</v>
          </cell>
        </row>
        <row r="772">
          <cell r="A772" t="str">
            <v>37319200403</v>
          </cell>
          <cell r="B772">
            <v>37319</v>
          </cell>
          <cell r="C772" t="str">
            <v>NG</v>
          </cell>
          <cell r="D772" t="str">
            <v>200403</v>
          </cell>
          <cell r="E772">
            <v>3.464</v>
          </cell>
        </row>
        <row r="773">
          <cell r="A773" t="str">
            <v>37319200404</v>
          </cell>
          <cell r="B773">
            <v>37319</v>
          </cell>
          <cell r="C773" t="str">
            <v>NG</v>
          </cell>
          <cell r="D773" t="str">
            <v>200404</v>
          </cell>
          <cell r="E773">
            <v>3.2709999999999999</v>
          </cell>
        </row>
        <row r="774">
          <cell r="A774" t="str">
            <v>37319200405</v>
          </cell>
          <cell r="B774">
            <v>37319</v>
          </cell>
          <cell r="C774" t="str">
            <v>NG</v>
          </cell>
          <cell r="D774" t="str">
            <v>200405</v>
          </cell>
          <cell r="E774">
            <v>3.274</v>
          </cell>
        </row>
        <row r="775">
          <cell r="A775" t="str">
            <v>37319200406</v>
          </cell>
          <cell r="B775">
            <v>37319</v>
          </cell>
          <cell r="C775" t="str">
            <v>NG</v>
          </cell>
          <cell r="D775" t="str">
            <v>200406</v>
          </cell>
          <cell r="E775">
            <v>3.3090000000000002</v>
          </cell>
        </row>
        <row r="776">
          <cell r="A776" t="str">
            <v>37319200407</v>
          </cell>
          <cell r="B776">
            <v>37319</v>
          </cell>
          <cell r="C776" t="str">
            <v>NG</v>
          </cell>
          <cell r="D776" t="str">
            <v>200407</v>
          </cell>
          <cell r="E776">
            <v>3.3290000000000002</v>
          </cell>
        </row>
        <row r="777">
          <cell r="A777" t="str">
            <v>37319200408</v>
          </cell>
          <cell r="B777">
            <v>37319</v>
          </cell>
          <cell r="C777" t="str">
            <v>NG</v>
          </cell>
          <cell r="D777" t="str">
            <v>200408</v>
          </cell>
          <cell r="E777">
            <v>3.3559999999999999</v>
          </cell>
        </row>
        <row r="778">
          <cell r="A778" t="str">
            <v>37319200409</v>
          </cell>
          <cell r="B778">
            <v>37319</v>
          </cell>
          <cell r="C778" t="str">
            <v>NG</v>
          </cell>
          <cell r="D778" t="str">
            <v>200409</v>
          </cell>
          <cell r="E778">
            <v>3.3530000000000002</v>
          </cell>
        </row>
        <row r="779">
          <cell r="A779" t="str">
            <v>37319200410</v>
          </cell>
          <cell r="B779">
            <v>37319</v>
          </cell>
          <cell r="C779" t="str">
            <v>NG</v>
          </cell>
          <cell r="D779" t="str">
            <v>200410</v>
          </cell>
          <cell r="E779">
            <v>3.3650000000000002</v>
          </cell>
        </row>
        <row r="780">
          <cell r="A780" t="str">
            <v>37319200411</v>
          </cell>
          <cell r="B780">
            <v>37319</v>
          </cell>
          <cell r="C780" t="str">
            <v>NG</v>
          </cell>
          <cell r="D780" t="str">
            <v>200411</v>
          </cell>
          <cell r="E780">
            <v>3.524</v>
          </cell>
        </row>
        <row r="781">
          <cell r="A781" t="str">
            <v>37319200412</v>
          </cell>
          <cell r="B781">
            <v>37319</v>
          </cell>
          <cell r="C781" t="str">
            <v>NG</v>
          </cell>
          <cell r="D781" t="str">
            <v>200412</v>
          </cell>
          <cell r="E781">
            <v>3.7040000000000002</v>
          </cell>
        </row>
        <row r="782">
          <cell r="A782" t="str">
            <v>37320200401</v>
          </cell>
          <cell r="B782">
            <v>37320</v>
          </cell>
          <cell r="C782" t="str">
            <v>NG</v>
          </cell>
          <cell r="D782" t="str">
            <v>200401</v>
          </cell>
          <cell r="E782">
            <v>3.6509999999999998</v>
          </cell>
        </row>
        <row r="783">
          <cell r="A783" t="str">
            <v>37320200402</v>
          </cell>
          <cell r="B783">
            <v>37320</v>
          </cell>
          <cell r="C783" t="str">
            <v>NG</v>
          </cell>
          <cell r="D783" t="str">
            <v>200402</v>
          </cell>
          <cell r="E783">
            <v>3.556</v>
          </cell>
        </row>
        <row r="784">
          <cell r="A784" t="str">
            <v>37320200403</v>
          </cell>
          <cell r="B784">
            <v>37320</v>
          </cell>
          <cell r="C784" t="str">
            <v>NG</v>
          </cell>
          <cell r="D784" t="str">
            <v>200403</v>
          </cell>
          <cell r="E784">
            <v>3.431</v>
          </cell>
        </row>
        <row r="785">
          <cell r="A785" t="str">
            <v>37320200404</v>
          </cell>
          <cell r="B785">
            <v>37320</v>
          </cell>
          <cell r="C785" t="str">
            <v>NG</v>
          </cell>
          <cell r="D785" t="str">
            <v>200404</v>
          </cell>
          <cell r="E785">
            <v>3.238</v>
          </cell>
        </row>
        <row r="786">
          <cell r="A786" t="str">
            <v>37320200405</v>
          </cell>
          <cell r="B786">
            <v>37320</v>
          </cell>
          <cell r="C786" t="str">
            <v>NG</v>
          </cell>
          <cell r="D786" t="str">
            <v>200405</v>
          </cell>
          <cell r="E786">
            <v>3.2410000000000001</v>
          </cell>
        </row>
        <row r="787">
          <cell r="A787" t="str">
            <v>37320200406</v>
          </cell>
          <cell r="B787">
            <v>37320</v>
          </cell>
          <cell r="C787" t="str">
            <v>NG</v>
          </cell>
          <cell r="D787" t="str">
            <v>200406</v>
          </cell>
          <cell r="E787">
            <v>3.2759999999999998</v>
          </cell>
        </row>
        <row r="788">
          <cell r="A788" t="str">
            <v>37320200407</v>
          </cell>
          <cell r="B788">
            <v>37320</v>
          </cell>
          <cell r="C788" t="str">
            <v>NG</v>
          </cell>
          <cell r="D788" t="str">
            <v>200407</v>
          </cell>
          <cell r="E788">
            <v>3.3090000000000002</v>
          </cell>
        </row>
        <row r="789">
          <cell r="A789" t="str">
            <v>37320200408</v>
          </cell>
          <cell r="B789">
            <v>37320</v>
          </cell>
          <cell r="C789" t="str">
            <v>NG</v>
          </cell>
          <cell r="D789" t="str">
            <v>200408</v>
          </cell>
          <cell r="E789">
            <v>3.3359999999999999</v>
          </cell>
        </row>
        <row r="790">
          <cell r="A790" t="str">
            <v>37320200409</v>
          </cell>
          <cell r="B790">
            <v>37320</v>
          </cell>
          <cell r="C790" t="str">
            <v>NG</v>
          </cell>
          <cell r="D790" t="str">
            <v>200409</v>
          </cell>
          <cell r="E790">
            <v>3.3330000000000002</v>
          </cell>
        </row>
        <row r="791">
          <cell r="A791" t="str">
            <v>37320200410</v>
          </cell>
          <cell r="B791">
            <v>37320</v>
          </cell>
          <cell r="C791" t="str">
            <v>NG</v>
          </cell>
          <cell r="D791" t="str">
            <v>200410</v>
          </cell>
          <cell r="E791">
            <v>3.339</v>
          </cell>
        </row>
        <row r="792">
          <cell r="A792" t="str">
            <v>37320200411</v>
          </cell>
          <cell r="B792">
            <v>37320</v>
          </cell>
          <cell r="C792" t="str">
            <v>NG</v>
          </cell>
          <cell r="D792" t="str">
            <v>200411</v>
          </cell>
          <cell r="E792">
            <v>3.4980000000000002</v>
          </cell>
        </row>
        <row r="793">
          <cell r="A793" t="str">
            <v>37320200412</v>
          </cell>
          <cell r="B793">
            <v>37320</v>
          </cell>
          <cell r="C793" t="str">
            <v>NG</v>
          </cell>
          <cell r="D793" t="str">
            <v>200412</v>
          </cell>
          <cell r="E793">
            <v>3.6760000000000002</v>
          </cell>
        </row>
        <row r="794">
          <cell r="A794" t="str">
            <v>37321200401</v>
          </cell>
          <cell r="B794">
            <v>37321</v>
          </cell>
          <cell r="C794" t="str">
            <v>NG</v>
          </cell>
          <cell r="D794" t="str">
            <v>200401</v>
          </cell>
          <cell r="E794">
            <v>3.6970000000000001</v>
          </cell>
        </row>
        <row r="795">
          <cell r="A795" t="str">
            <v>37321200402</v>
          </cell>
          <cell r="B795">
            <v>37321</v>
          </cell>
          <cell r="C795" t="str">
            <v>NG</v>
          </cell>
          <cell r="D795" t="str">
            <v>200402</v>
          </cell>
          <cell r="E795">
            <v>3.597</v>
          </cell>
        </row>
        <row r="796">
          <cell r="A796" t="str">
            <v>37321200403</v>
          </cell>
          <cell r="B796">
            <v>37321</v>
          </cell>
          <cell r="C796" t="str">
            <v>NG</v>
          </cell>
          <cell r="D796" t="str">
            <v>200403</v>
          </cell>
          <cell r="E796">
            <v>3.472</v>
          </cell>
        </row>
        <row r="797">
          <cell r="A797" t="str">
            <v>37321200404</v>
          </cell>
          <cell r="B797">
            <v>37321</v>
          </cell>
          <cell r="C797" t="str">
            <v>NG</v>
          </cell>
          <cell r="D797" t="str">
            <v>200404</v>
          </cell>
          <cell r="E797">
            <v>3.2690000000000001</v>
          </cell>
        </row>
        <row r="798">
          <cell r="A798" t="str">
            <v>37321200405</v>
          </cell>
          <cell r="B798">
            <v>37321</v>
          </cell>
          <cell r="C798" t="str">
            <v>NG</v>
          </cell>
          <cell r="D798" t="str">
            <v>200405</v>
          </cell>
          <cell r="E798">
            <v>3.2719999999999998</v>
          </cell>
        </row>
        <row r="799">
          <cell r="A799" t="str">
            <v>37321200406</v>
          </cell>
          <cell r="B799">
            <v>37321</v>
          </cell>
          <cell r="C799" t="str">
            <v>NG</v>
          </cell>
          <cell r="D799" t="str">
            <v>200406</v>
          </cell>
          <cell r="E799">
            <v>3.3069999999999999</v>
          </cell>
        </row>
        <row r="800">
          <cell r="A800" t="str">
            <v>37321200407</v>
          </cell>
          <cell r="B800">
            <v>37321</v>
          </cell>
          <cell r="C800" t="str">
            <v>NG</v>
          </cell>
          <cell r="D800" t="str">
            <v>200407</v>
          </cell>
          <cell r="E800">
            <v>3.3319999999999999</v>
          </cell>
        </row>
        <row r="801">
          <cell r="A801" t="str">
            <v>37321200408</v>
          </cell>
          <cell r="B801">
            <v>37321</v>
          </cell>
          <cell r="C801" t="str">
            <v>NG</v>
          </cell>
          <cell r="D801" t="str">
            <v>200408</v>
          </cell>
          <cell r="E801">
            <v>3.359</v>
          </cell>
        </row>
        <row r="802">
          <cell r="A802" t="str">
            <v>37321200409</v>
          </cell>
          <cell r="B802">
            <v>37321</v>
          </cell>
          <cell r="C802" t="str">
            <v>NG</v>
          </cell>
          <cell r="D802" t="str">
            <v>200409</v>
          </cell>
          <cell r="E802">
            <v>3.3559999999999999</v>
          </cell>
        </row>
        <row r="803">
          <cell r="A803" t="str">
            <v>37321200410</v>
          </cell>
          <cell r="B803">
            <v>37321</v>
          </cell>
          <cell r="C803" t="str">
            <v>NG</v>
          </cell>
          <cell r="D803" t="str">
            <v>200410</v>
          </cell>
          <cell r="E803">
            <v>3.3759999999999999</v>
          </cell>
        </row>
        <row r="804">
          <cell r="A804" t="str">
            <v>37321200411</v>
          </cell>
          <cell r="B804">
            <v>37321</v>
          </cell>
          <cell r="C804" t="str">
            <v>NG</v>
          </cell>
          <cell r="D804" t="str">
            <v>200411</v>
          </cell>
          <cell r="E804">
            <v>3.5409999999999999</v>
          </cell>
        </row>
        <row r="805">
          <cell r="A805" t="str">
            <v>37321200412</v>
          </cell>
          <cell r="B805">
            <v>37321</v>
          </cell>
          <cell r="C805" t="str">
            <v>NG</v>
          </cell>
          <cell r="D805" t="str">
            <v>200412</v>
          </cell>
          <cell r="E805">
            <v>3.7189999999999999</v>
          </cell>
        </row>
        <row r="806">
          <cell r="A806" t="str">
            <v>37322200401</v>
          </cell>
          <cell r="B806">
            <v>37322</v>
          </cell>
          <cell r="C806" t="str">
            <v>NG</v>
          </cell>
          <cell r="D806" t="str">
            <v>200401</v>
          </cell>
          <cell r="E806">
            <v>3.8010000000000002</v>
          </cell>
        </row>
        <row r="807">
          <cell r="A807" t="str">
            <v>37322200402</v>
          </cell>
          <cell r="B807">
            <v>37322</v>
          </cell>
          <cell r="C807" t="str">
            <v>NG</v>
          </cell>
          <cell r="D807" t="str">
            <v>200402</v>
          </cell>
          <cell r="E807">
            <v>3.6960000000000002</v>
          </cell>
        </row>
        <row r="808">
          <cell r="A808" t="str">
            <v>37322200403</v>
          </cell>
          <cell r="B808">
            <v>37322</v>
          </cell>
          <cell r="C808" t="str">
            <v>NG</v>
          </cell>
          <cell r="D808" t="str">
            <v>200403</v>
          </cell>
          <cell r="E808">
            <v>3.5710000000000002</v>
          </cell>
        </row>
        <row r="809">
          <cell r="A809" t="str">
            <v>37322200404</v>
          </cell>
          <cell r="B809">
            <v>37322</v>
          </cell>
          <cell r="C809" t="str">
            <v>NG</v>
          </cell>
          <cell r="D809" t="str">
            <v>200404</v>
          </cell>
          <cell r="E809">
            <v>3.3679999999999999</v>
          </cell>
        </row>
        <row r="810">
          <cell r="A810" t="str">
            <v>37322200405</v>
          </cell>
          <cell r="B810">
            <v>37322</v>
          </cell>
          <cell r="C810" t="str">
            <v>NG</v>
          </cell>
          <cell r="D810" t="str">
            <v>200405</v>
          </cell>
          <cell r="E810">
            <v>3.371</v>
          </cell>
        </row>
        <row r="811">
          <cell r="A811" t="str">
            <v>37322200406</v>
          </cell>
          <cell r="B811">
            <v>37322</v>
          </cell>
          <cell r="C811" t="str">
            <v>NG</v>
          </cell>
          <cell r="D811" t="str">
            <v>200406</v>
          </cell>
          <cell r="E811">
            <v>3.411</v>
          </cell>
        </row>
        <row r="812">
          <cell r="A812" t="str">
            <v>37322200407</v>
          </cell>
          <cell r="B812">
            <v>37322</v>
          </cell>
          <cell r="C812" t="str">
            <v>NG</v>
          </cell>
          <cell r="D812" t="str">
            <v>200407</v>
          </cell>
          <cell r="E812">
            <v>3.4359999999999999</v>
          </cell>
        </row>
        <row r="813">
          <cell r="A813" t="str">
            <v>37322200408</v>
          </cell>
          <cell r="B813">
            <v>37322</v>
          </cell>
          <cell r="C813" t="str">
            <v>NG</v>
          </cell>
          <cell r="D813" t="str">
            <v>200408</v>
          </cell>
          <cell r="E813">
            <v>3.4359999999999999</v>
          </cell>
        </row>
        <row r="814">
          <cell r="A814" t="str">
            <v>37322200409</v>
          </cell>
          <cell r="B814">
            <v>37322</v>
          </cell>
          <cell r="C814" t="str">
            <v>NG</v>
          </cell>
          <cell r="D814" t="str">
            <v>200409</v>
          </cell>
          <cell r="E814">
            <v>3.4630000000000001</v>
          </cell>
        </row>
        <row r="815">
          <cell r="A815" t="str">
            <v>37322200410</v>
          </cell>
          <cell r="B815">
            <v>37322</v>
          </cell>
          <cell r="C815" t="str">
            <v>NG</v>
          </cell>
          <cell r="D815" t="str">
            <v>200410</v>
          </cell>
          <cell r="E815">
            <v>3.4860000000000002</v>
          </cell>
        </row>
        <row r="816">
          <cell r="A816" t="str">
            <v>37322200411</v>
          </cell>
          <cell r="B816">
            <v>37322</v>
          </cell>
          <cell r="C816" t="str">
            <v>NG</v>
          </cell>
          <cell r="D816" t="str">
            <v>200411</v>
          </cell>
          <cell r="E816">
            <v>3.6509999999999998</v>
          </cell>
        </row>
        <row r="817">
          <cell r="A817" t="str">
            <v>37322200412</v>
          </cell>
          <cell r="B817">
            <v>37322</v>
          </cell>
          <cell r="C817" t="str">
            <v>NG</v>
          </cell>
          <cell r="D817" t="str">
            <v>200412</v>
          </cell>
          <cell r="E817">
            <v>3.8290000000000002</v>
          </cell>
        </row>
        <row r="818">
          <cell r="A818" t="str">
            <v>37323200401</v>
          </cell>
          <cell r="B818">
            <v>37323</v>
          </cell>
          <cell r="C818" t="str">
            <v>NG</v>
          </cell>
          <cell r="D818" t="str">
            <v>200401</v>
          </cell>
          <cell r="E818">
            <v>3.8820000000000001</v>
          </cell>
        </row>
        <row r="819">
          <cell r="A819" t="str">
            <v>37323200402</v>
          </cell>
          <cell r="B819">
            <v>37323</v>
          </cell>
          <cell r="C819" t="str">
            <v>NG</v>
          </cell>
          <cell r="D819" t="str">
            <v>200402</v>
          </cell>
          <cell r="E819">
            <v>3.7770000000000001</v>
          </cell>
        </row>
        <row r="820">
          <cell r="A820" t="str">
            <v>37323200403</v>
          </cell>
          <cell r="B820">
            <v>37323</v>
          </cell>
          <cell r="C820" t="str">
            <v>NG</v>
          </cell>
          <cell r="D820" t="str">
            <v>200403</v>
          </cell>
          <cell r="E820">
            <v>3.6469999999999998</v>
          </cell>
        </row>
        <row r="821">
          <cell r="A821" t="str">
            <v>37323200404</v>
          </cell>
          <cell r="B821">
            <v>37323</v>
          </cell>
          <cell r="C821" t="str">
            <v>NG</v>
          </cell>
          <cell r="D821" t="str">
            <v>200404</v>
          </cell>
          <cell r="E821">
            <v>3.444</v>
          </cell>
        </row>
        <row r="822">
          <cell r="A822" t="str">
            <v>37323200405</v>
          </cell>
          <cell r="B822">
            <v>37323</v>
          </cell>
          <cell r="C822" t="str">
            <v>NG</v>
          </cell>
          <cell r="D822" t="str">
            <v>200405</v>
          </cell>
          <cell r="E822">
            <v>3.4470000000000001</v>
          </cell>
        </row>
        <row r="823">
          <cell r="A823" t="str">
            <v>37323200406</v>
          </cell>
          <cell r="B823">
            <v>37323</v>
          </cell>
          <cell r="C823" t="str">
            <v>NG</v>
          </cell>
          <cell r="D823" t="str">
            <v>200406</v>
          </cell>
          <cell r="E823">
            <v>3.4870000000000001</v>
          </cell>
        </row>
        <row r="824">
          <cell r="A824" t="str">
            <v>37323200407</v>
          </cell>
          <cell r="B824">
            <v>37323</v>
          </cell>
          <cell r="C824" t="str">
            <v>NG</v>
          </cell>
          <cell r="D824" t="str">
            <v>200407</v>
          </cell>
          <cell r="E824">
            <v>3.51</v>
          </cell>
        </row>
        <row r="825">
          <cell r="A825" t="str">
            <v>37323200408</v>
          </cell>
          <cell r="B825">
            <v>37323</v>
          </cell>
          <cell r="C825" t="str">
            <v>NG</v>
          </cell>
          <cell r="D825" t="str">
            <v>200408</v>
          </cell>
          <cell r="E825">
            <v>3.5369999999999999</v>
          </cell>
        </row>
        <row r="826">
          <cell r="A826" t="str">
            <v>37323200409</v>
          </cell>
          <cell r="B826">
            <v>37323</v>
          </cell>
          <cell r="C826" t="str">
            <v>NG</v>
          </cell>
          <cell r="D826" t="str">
            <v>200409</v>
          </cell>
          <cell r="E826">
            <v>3.532</v>
          </cell>
        </row>
        <row r="827">
          <cell r="A827" t="str">
            <v>37323200410</v>
          </cell>
          <cell r="B827">
            <v>37323</v>
          </cell>
          <cell r="C827" t="str">
            <v>NG</v>
          </cell>
          <cell r="D827" t="str">
            <v>200410</v>
          </cell>
          <cell r="E827">
            <v>3.5550000000000002</v>
          </cell>
        </row>
        <row r="828">
          <cell r="A828" t="str">
            <v>37323200411</v>
          </cell>
          <cell r="B828">
            <v>37323</v>
          </cell>
          <cell r="C828" t="str">
            <v>NG</v>
          </cell>
          <cell r="D828" t="str">
            <v>200411</v>
          </cell>
          <cell r="E828">
            <v>3.7269999999999999</v>
          </cell>
        </row>
        <row r="829">
          <cell r="A829" t="str">
            <v>37323200412</v>
          </cell>
          <cell r="B829">
            <v>37323</v>
          </cell>
          <cell r="C829" t="str">
            <v>NG</v>
          </cell>
          <cell r="D829" t="str">
            <v>200412</v>
          </cell>
          <cell r="E829">
            <v>3.9049999999999998</v>
          </cell>
        </row>
        <row r="830">
          <cell r="A830" t="str">
            <v>37324200401</v>
          </cell>
          <cell r="B830">
            <v>37324</v>
          </cell>
          <cell r="C830" t="str">
            <v>NG</v>
          </cell>
          <cell r="D830" t="str">
            <v>200401</v>
          </cell>
          <cell r="E830">
            <v>3.8820000000000001</v>
          </cell>
        </row>
        <row r="831">
          <cell r="A831" t="str">
            <v>37324200402</v>
          </cell>
          <cell r="B831">
            <v>37324</v>
          </cell>
          <cell r="C831" t="str">
            <v>NG</v>
          </cell>
          <cell r="D831" t="str">
            <v>200402</v>
          </cell>
          <cell r="E831">
            <v>3.7770000000000001</v>
          </cell>
        </row>
        <row r="832">
          <cell r="A832" t="str">
            <v>37324200403</v>
          </cell>
          <cell r="B832">
            <v>37324</v>
          </cell>
          <cell r="C832" t="str">
            <v>NG</v>
          </cell>
          <cell r="D832" t="str">
            <v>200403</v>
          </cell>
          <cell r="E832">
            <v>3.6469999999999998</v>
          </cell>
        </row>
        <row r="833">
          <cell r="A833" t="str">
            <v>37324200404</v>
          </cell>
          <cell r="B833">
            <v>37324</v>
          </cell>
          <cell r="C833" t="str">
            <v>NG</v>
          </cell>
          <cell r="D833" t="str">
            <v>200404</v>
          </cell>
          <cell r="E833">
            <v>3.444</v>
          </cell>
        </row>
        <row r="834">
          <cell r="A834" t="str">
            <v>37324200405</v>
          </cell>
          <cell r="B834">
            <v>37324</v>
          </cell>
          <cell r="C834" t="str">
            <v>NG</v>
          </cell>
          <cell r="D834" t="str">
            <v>200405</v>
          </cell>
          <cell r="E834">
            <v>3.4470000000000001</v>
          </cell>
        </row>
        <row r="835">
          <cell r="A835" t="str">
            <v>37324200406</v>
          </cell>
          <cell r="B835">
            <v>37324</v>
          </cell>
          <cell r="C835" t="str">
            <v>NG</v>
          </cell>
          <cell r="D835" t="str">
            <v>200406</v>
          </cell>
          <cell r="E835">
            <v>3.4870000000000001</v>
          </cell>
        </row>
        <row r="836">
          <cell r="A836" t="str">
            <v>37324200407</v>
          </cell>
          <cell r="B836">
            <v>37324</v>
          </cell>
          <cell r="C836" t="str">
            <v>NG</v>
          </cell>
          <cell r="D836" t="str">
            <v>200407</v>
          </cell>
          <cell r="E836">
            <v>3.51</v>
          </cell>
        </row>
        <row r="837">
          <cell r="A837" t="str">
            <v>37324200408</v>
          </cell>
          <cell r="B837">
            <v>37324</v>
          </cell>
          <cell r="C837" t="str">
            <v>NG</v>
          </cell>
          <cell r="D837" t="str">
            <v>200408</v>
          </cell>
          <cell r="E837">
            <v>3.5369999999999999</v>
          </cell>
        </row>
        <row r="838">
          <cell r="A838" t="str">
            <v>37324200409</v>
          </cell>
          <cell r="B838">
            <v>37324</v>
          </cell>
          <cell r="C838" t="str">
            <v>NG</v>
          </cell>
          <cell r="D838" t="str">
            <v>200409</v>
          </cell>
          <cell r="E838">
            <v>3.532</v>
          </cell>
        </row>
        <row r="839">
          <cell r="A839" t="str">
            <v>37324200410</v>
          </cell>
          <cell r="B839">
            <v>37324</v>
          </cell>
          <cell r="C839" t="str">
            <v>NG</v>
          </cell>
          <cell r="D839" t="str">
            <v>200410</v>
          </cell>
          <cell r="E839">
            <v>3.5550000000000002</v>
          </cell>
        </row>
        <row r="840">
          <cell r="A840" t="str">
            <v>37324200411</v>
          </cell>
          <cell r="B840">
            <v>37324</v>
          </cell>
          <cell r="C840" t="str">
            <v>NG</v>
          </cell>
          <cell r="D840" t="str">
            <v>200411</v>
          </cell>
          <cell r="E840">
            <v>3.7269999999999999</v>
          </cell>
        </row>
        <row r="841">
          <cell r="A841" t="str">
            <v>37324200412</v>
          </cell>
          <cell r="B841">
            <v>37324</v>
          </cell>
          <cell r="C841" t="str">
            <v>NG</v>
          </cell>
          <cell r="D841" t="str">
            <v>200412</v>
          </cell>
          <cell r="E841">
            <v>3.9049999999999998</v>
          </cell>
        </row>
        <row r="842">
          <cell r="A842" t="str">
            <v>37325200401</v>
          </cell>
          <cell r="B842">
            <v>37325</v>
          </cell>
          <cell r="C842" t="str">
            <v>NG</v>
          </cell>
          <cell r="D842" t="str">
            <v>200401</v>
          </cell>
          <cell r="E842">
            <v>3.8820000000000001</v>
          </cell>
        </row>
        <row r="843">
          <cell r="A843" t="str">
            <v>37325200402</v>
          </cell>
          <cell r="B843">
            <v>37325</v>
          </cell>
          <cell r="C843" t="str">
            <v>NG</v>
          </cell>
          <cell r="D843" t="str">
            <v>200402</v>
          </cell>
          <cell r="E843">
            <v>3.7770000000000001</v>
          </cell>
        </row>
        <row r="844">
          <cell r="A844" t="str">
            <v>37325200403</v>
          </cell>
          <cell r="B844">
            <v>37325</v>
          </cell>
          <cell r="C844" t="str">
            <v>NG</v>
          </cell>
          <cell r="D844" t="str">
            <v>200403</v>
          </cell>
          <cell r="E844">
            <v>3.6469999999999998</v>
          </cell>
        </row>
        <row r="845">
          <cell r="A845" t="str">
            <v>37325200404</v>
          </cell>
          <cell r="B845">
            <v>37325</v>
          </cell>
          <cell r="C845" t="str">
            <v>NG</v>
          </cell>
          <cell r="D845" t="str">
            <v>200404</v>
          </cell>
          <cell r="E845">
            <v>3.444</v>
          </cell>
        </row>
        <row r="846">
          <cell r="A846" t="str">
            <v>37325200405</v>
          </cell>
          <cell r="B846">
            <v>37325</v>
          </cell>
          <cell r="C846" t="str">
            <v>NG</v>
          </cell>
          <cell r="D846" t="str">
            <v>200405</v>
          </cell>
          <cell r="E846">
            <v>3.4470000000000001</v>
          </cell>
        </row>
        <row r="847">
          <cell r="A847" t="str">
            <v>37325200406</v>
          </cell>
          <cell r="B847">
            <v>37325</v>
          </cell>
          <cell r="C847" t="str">
            <v>NG</v>
          </cell>
          <cell r="D847" t="str">
            <v>200406</v>
          </cell>
          <cell r="E847">
            <v>3.4870000000000001</v>
          </cell>
        </row>
        <row r="848">
          <cell r="A848" t="str">
            <v>37325200407</v>
          </cell>
          <cell r="B848">
            <v>37325</v>
          </cell>
          <cell r="C848" t="str">
            <v>NG</v>
          </cell>
          <cell r="D848" t="str">
            <v>200407</v>
          </cell>
          <cell r="E848">
            <v>3.51</v>
          </cell>
        </row>
        <row r="849">
          <cell r="A849" t="str">
            <v>37325200408</v>
          </cell>
          <cell r="B849">
            <v>37325</v>
          </cell>
          <cell r="C849" t="str">
            <v>NG</v>
          </cell>
          <cell r="D849" t="str">
            <v>200408</v>
          </cell>
          <cell r="E849">
            <v>3.5369999999999999</v>
          </cell>
        </row>
        <row r="850">
          <cell r="A850" t="str">
            <v>37325200409</v>
          </cell>
          <cell r="B850">
            <v>37325</v>
          </cell>
          <cell r="C850" t="str">
            <v>NG</v>
          </cell>
          <cell r="D850" t="str">
            <v>200409</v>
          </cell>
          <cell r="E850">
            <v>3.532</v>
          </cell>
        </row>
        <row r="851">
          <cell r="A851" t="str">
            <v>37325200410</v>
          </cell>
          <cell r="B851">
            <v>37325</v>
          </cell>
          <cell r="C851" t="str">
            <v>NG</v>
          </cell>
          <cell r="D851" t="str">
            <v>200410</v>
          </cell>
          <cell r="E851">
            <v>3.5550000000000002</v>
          </cell>
        </row>
        <row r="852">
          <cell r="A852" t="str">
            <v>37325200411</v>
          </cell>
          <cell r="B852">
            <v>37325</v>
          </cell>
          <cell r="C852" t="str">
            <v>NG</v>
          </cell>
          <cell r="D852" t="str">
            <v>200411</v>
          </cell>
          <cell r="E852">
            <v>3.7269999999999999</v>
          </cell>
        </row>
        <row r="853">
          <cell r="A853" t="str">
            <v>37325200412</v>
          </cell>
          <cell r="B853">
            <v>37325</v>
          </cell>
          <cell r="C853" t="str">
            <v>NG</v>
          </cell>
          <cell r="D853" t="str">
            <v>200412</v>
          </cell>
          <cell r="E853">
            <v>3.9049999999999998</v>
          </cell>
        </row>
        <row r="854">
          <cell r="A854" t="str">
            <v>37326200401</v>
          </cell>
          <cell r="B854">
            <v>37326</v>
          </cell>
          <cell r="C854" t="str">
            <v>NG</v>
          </cell>
          <cell r="D854" t="str">
            <v>200401</v>
          </cell>
          <cell r="E854">
            <v>3.9950000000000001</v>
          </cell>
        </row>
        <row r="855">
          <cell r="A855" t="str">
            <v>37326200402</v>
          </cell>
          <cell r="B855">
            <v>37326</v>
          </cell>
          <cell r="C855" t="str">
            <v>NG</v>
          </cell>
          <cell r="D855" t="str">
            <v>200402</v>
          </cell>
          <cell r="E855">
            <v>3.88</v>
          </cell>
        </row>
        <row r="856">
          <cell r="A856" t="str">
            <v>37326200403</v>
          </cell>
          <cell r="B856">
            <v>37326</v>
          </cell>
          <cell r="C856" t="str">
            <v>NG</v>
          </cell>
          <cell r="D856" t="str">
            <v>200403</v>
          </cell>
          <cell r="E856">
            <v>3.75</v>
          </cell>
        </row>
        <row r="857">
          <cell r="A857" t="str">
            <v>37326200404</v>
          </cell>
          <cell r="B857">
            <v>37326</v>
          </cell>
          <cell r="C857" t="str">
            <v>NG</v>
          </cell>
          <cell r="D857" t="str">
            <v>200404</v>
          </cell>
          <cell r="E857">
            <v>3.5470000000000002</v>
          </cell>
        </row>
        <row r="858">
          <cell r="A858" t="str">
            <v>37326200405</v>
          </cell>
          <cell r="B858">
            <v>37326</v>
          </cell>
          <cell r="C858" t="str">
            <v>NG</v>
          </cell>
          <cell r="D858" t="str">
            <v>200405</v>
          </cell>
          <cell r="E858">
            <v>3.54</v>
          </cell>
        </row>
        <row r="859">
          <cell r="A859" t="str">
            <v>37326200406</v>
          </cell>
          <cell r="B859">
            <v>37326</v>
          </cell>
          <cell r="C859" t="str">
            <v>NG</v>
          </cell>
          <cell r="D859" t="str">
            <v>200406</v>
          </cell>
          <cell r="E859">
            <v>3.57</v>
          </cell>
        </row>
        <row r="860">
          <cell r="A860" t="str">
            <v>37326200407</v>
          </cell>
          <cell r="B860">
            <v>37326</v>
          </cell>
          <cell r="C860" t="str">
            <v>NG</v>
          </cell>
          <cell r="D860" t="str">
            <v>200407</v>
          </cell>
          <cell r="E860">
            <v>3.59</v>
          </cell>
        </row>
        <row r="861">
          <cell r="A861" t="str">
            <v>37326200408</v>
          </cell>
          <cell r="B861">
            <v>37326</v>
          </cell>
          <cell r="C861" t="str">
            <v>NG</v>
          </cell>
          <cell r="D861" t="str">
            <v>200408</v>
          </cell>
          <cell r="E861">
            <v>3.617</v>
          </cell>
        </row>
        <row r="862">
          <cell r="A862" t="str">
            <v>37326200409</v>
          </cell>
          <cell r="B862">
            <v>37326</v>
          </cell>
          <cell r="C862" t="str">
            <v>NG</v>
          </cell>
          <cell r="D862" t="str">
            <v>200409</v>
          </cell>
          <cell r="E862">
            <v>3.6120000000000001</v>
          </cell>
        </row>
        <row r="863">
          <cell r="A863" t="str">
            <v>37326200410</v>
          </cell>
          <cell r="B863">
            <v>37326</v>
          </cell>
          <cell r="C863" t="str">
            <v>NG</v>
          </cell>
          <cell r="D863" t="str">
            <v>200410</v>
          </cell>
          <cell r="E863">
            <v>3.6349999999999998</v>
          </cell>
        </row>
        <row r="864">
          <cell r="A864" t="str">
            <v>37326200411</v>
          </cell>
          <cell r="B864">
            <v>37326</v>
          </cell>
          <cell r="C864" t="str">
            <v>NG</v>
          </cell>
          <cell r="D864" t="str">
            <v>200411</v>
          </cell>
          <cell r="E864">
            <v>3.8069999999999999</v>
          </cell>
        </row>
        <row r="865">
          <cell r="A865" t="str">
            <v>37326200412</v>
          </cell>
          <cell r="B865">
            <v>37326</v>
          </cell>
          <cell r="C865" t="str">
            <v>NG</v>
          </cell>
          <cell r="D865" t="str">
            <v>200412</v>
          </cell>
          <cell r="E865">
            <v>3.99</v>
          </cell>
        </row>
        <row r="866">
          <cell r="A866" t="str">
            <v>37327200401</v>
          </cell>
          <cell r="B866">
            <v>37327</v>
          </cell>
          <cell r="C866" t="str">
            <v>NG</v>
          </cell>
          <cell r="D866" t="str">
            <v>200401</v>
          </cell>
          <cell r="E866">
            <v>4.0220000000000002</v>
          </cell>
        </row>
        <row r="867">
          <cell r="A867" t="str">
            <v>37327200402</v>
          </cell>
          <cell r="B867">
            <v>37327</v>
          </cell>
          <cell r="C867" t="str">
            <v>NG</v>
          </cell>
          <cell r="D867" t="str">
            <v>200402</v>
          </cell>
          <cell r="E867">
            <v>3.907</v>
          </cell>
        </row>
        <row r="868">
          <cell r="A868" t="str">
            <v>37327200403</v>
          </cell>
          <cell r="B868">
            <v>37327</v>
          </cell>
          <cell r="C868" t="str">
            <v>NG</v>
          </cell>
          <cell r="D868" t="str">
            <v>200403</v>
          </cell>
          <cell r="E868">
            <v>3.7770000000000001</v>
          </cell>
        </row>
        <row r="869">
          <cell r="A869" t="str">
            <v>37327200404</v>
          </cell>
          <cell r="B869">
            <v>37327</v>
          </cell>
          <cell r="C869" t="str">
            <v>NG</v>
          </cell>
          <cell r="D869" t="str">
            <v>200404</v>
          </cell>
          <cell r="E869">
            <v>3.5739999999999998</v>
          </cell>
        </row>
        <row r="870">
          <cell r="A870" t="str">
            <v>37327200405</v>
          </cell>
          <cell r="B870">
            <v>37327</v>
          </cell>
          <cell r="C870" t="str">
            <v>NG</v>
          </cell>
          <cell r="D870" t="str">
            <v>200405</v>
          </cell>
          <cell r="E870">
            <v>3.5670000000000002</v>
          </cell>
        </row>
        <row r="871">
          <cell r="A871" t="str">
            <v>37327200406</v>
          </cell>
          <cell r="B871">
            <v>37327</v>
          </cell>
          <cell r="C871" t="str">
            <v>NG</v>
          </cell>
          <cell r="D871" t="str">
            <v>200406</v>
          </cell>
          <cell r="E871">
            <v>3.597</v>
          </cell>
        </row>
        <row r="872">
          <cell r="A872" t="str">
            <v>37327200407</v>
          </cell>
          <cell r="B872">
            <v>37327</v>
          </cell>
          <cell r="C872" t="str">
            <v>NG</v>
          </cell>
          <cell r="D872" t="str">
            <v>200407</v>
          </cell>
          <cell r="E872">
            <v>3.6219999999999999</v>
          </cell>
        </row>
        <row r="873">
          <cell r="A873" t="str">
            <v>37327200408</v>
          </cell>
          <cell r="B873">
            <v>37327</v>
          </cell>
          <cell r="C873" t="str">
            <v>NG</v>
          </cell>
          <cell r="D873" t="str">
            <v>200408</v>
          </cell>
          <cell r="E873">
            <v>3.6459999999999999</v>
          </cell>
        </row>
        <row r="874">
          <cell r="A874" t="str">
            <v>37327200409</v>
          </cell>
          <cell r="B874">
            <v>37327</v>
          </cell>
          <cell r="C874" t="str">
            <v>NG</v>
          </cell>
          <cell r="D874" t="str">
            <v>200409</v>
          </cell>
          <cell r="E874">
            <v>3.64</v>
          </cell>
        </row>
        <row r="875">
          <cell r="A875" t="str">
            <v>37327200410</v>
          </cell>
          <cell r="B875">
            <v>37327</v>
          </cell>
          <cell r="C875" t="str">
            <v>NG</v>
          </cell>
          <cell r="D875" t="str">
            <v>200410</v>
          </cell>
          <cell r="E875">
            <v>3.67</v>
          </cell>
        </row>
        <row r="876">
          <cell r="A876" t="str">
            <v>37327200411</v>
          </cell>
          <cell r="B876">
            <v>37327</v>
          </cell>
          <cell r="C876" t="str">
            <v>NG</v>
          </cell>
          <cell r="D876" t="str">
            <v>200411</v>
          </cell>
          <cell r="E876">
            <v>3.8420000000000001</v>
          </cell>
        </row>
        <row r="877">
          <cell r="A877" t="str">
            <v>37327200412</v>
          </cell>
          <cell r="B877">
            <v>37327</v>
          </cell>
          <cell r="C877" t="str">
            <v>NG</v>
          </cell>
          <cell r="D877" t="str">
            <v>200412</v>
          </cell>
          <cell r="E877">
            <v>4.0170000000000003</v>
          </cell>
        </row>
        <row r="878">
          <cell r="A878" t="str">
            <v>37328200401</v>
          </cell>
          <cell r="B878">
            <v>37328</v>
          </cell>
          <cell r="C878" t="str">
            <v>NG</v>
          </cell>
          <cell r="D878" t="str">
            <v>200401</v>
          </cell>
          <cell r="E878">
            <v>3.8679999999999999</v>
          </cell>
        </row>
        <row r="879">
          <cell r="A879" t="str">
            <v>37328200402</v>
          </cell>
          <cell r="B879">
            <v>37328</v>
          </cell>
          <cell r="C879" t="str">
            <v>NG</v>
          </cell>
          <cell r="D879" t="str">
            <v>200402</v>
          </cell>
          <cell r="E879">
            <v>3.7509999999999999</v>
          </cell>
        </row>
        <row r="880">
          <cell r="A880" t="str">
            <v>37328200403</v>
          </cell>
          <cell r="B880">
            <v>37328</v>
          </cell>
          <cell r="C880" t="str">
            <v>NG</v>
          </cell>
          <cell r="D880" t="str">
            <v>200403</v>
          </cell>
          <cell r="E880">
            <v>3.621</v>
          </cell>
        </row>
        <row r="881">
          <cell r="A881" t="str">
            <v>37328200404</v>
          </cell>
          <cell r="B881">
            <v>37328</v>
          </cell>
          <cell r="C881" t="str">
            <v>NG</v>
          </cell>
          <cell r="D881" t="str">
            <v>200404</v>
          </cell>
          <cell r="E881">
            <v>3.4180000000000001</v>
          </cell>
        </row>
        <row r="882">
          <cell r="A882" t="str">
            <v>37328200405</v>
          </cell>
          <cell r="B882">
            <v>37328</v>
          </cell>
          <cell r="C882" t="str">
            <v>NG</v>
          </cell>
          <cell r="D882" t="str">
            <v>200405</v>
          </cell>
          <cell r="E882">
            <v>3.411</v>
          </cell>
        </row>
        <row r="883">
          <cell r="A883" t="str">
            <v>37328200406</v>
          </cell>
          <cell r="B883">
            <v>37328</v>
          </cell>
          <cell r="C883" t="str">
            <v>NG</v>
          </cell>
          <cell r="D883" t="str">
            <v>200406</v>
          </cell>
          <cell r="E883">
            <v>3.4409999999999998</v>
          </cell>
        </row>
        <row r="884">
          <cell r="A884" t="str">
            <v>37328200407</v>
          </cell>
          <cell r="B884">
            <v>37328</v>
          </cell>
          <cell r="C884" t="str">
            <v>NG</v>
          </cell>
          <cell r="D884" t="str">
            <v>200407</v>
          </cell>
          <cell r="E884">
            <v>3.4660000000000002</v>
          </cell>
        </row>
        <row r="885">
          <cell r="A885" t="str">
            <v>37328200408</v>
          </cell>
          <cell r="B885">
            <v>37328</v>
          </cell>
          <cell r="C885" t="str">
            <v>NG</v>
          </cell>
          <cell r="D885" t="str">
            <v>200408</v>
          </cell>
          <cell r="E885">
            <v>3.4860000000000002</v>
          </cell>
        </row>
        <row r="886">
          <cell r="A886" t="str">
            <v>37328200409</v>
          </cell>
          <cell r="B886">
            <v>37328</v>
          </cell>
          <cell r="C886" t="str">
            <v>NG</v>
          </cell>
          <cell r="D886" t="str">
            <v>200409</v>
          </cell>
          <cell r="E886">
            <v>3.4780000000000002</v>
          </cell>
        </row>
        <row r="887">
          <cell r="A887" t="str">
            <v>37328200410</v>
          </cell>
          <cell r="B887">
            <v>37328</v>
          </cell>
          <cell r="C887" t="str">
            <v>NG</v>
          </cell>
          <cell r="D887" t="str">
            <v>200410</v>
          </cell>
          <cell r="E887">
            <v>3.508</v>
          </cell>
        </row>
        <row r="888">
          <cell r="A888" t="str">
            <v>37328200411</v>
          </cell>
          <cell r="B888">
            <v>37328</v>
          </cell>
          <cell r="C888" t="str">
            <v>NG</v>
          </cell>
          <cell r="D888" t="str">
            <v>200411</v>
          </cell>
          <cell r="E888">
            <v>3.6880000000000002</v>
          </cell>
        </row>
        <row r="889">
          <cell r="A889" t="str">
            <v>37328200412</v>
          </cell>
          <cell r="B889">
            <v>37328</v>
          </cell>
          <cell r="C889" t="str">
            <v>NG</v>
          </cell>
          <cell r="D889" t="str">
            <v>200412</v>
          </cell>
          <cell r="E889">
            <v>3.8679999999999999</v>
          </cell>
        </row>
        <row r="890">
          <cell r="A890" t="str">
            <v>37329200401</v>
          </cell>
          <cell r="B890">
            <v>37329</v>
          </cell>
          <cell r="C890" t="str">
            <v>NG</v>
          </cell>
          <cell r="D890" t="str">
            <v>200401</v>
          </cell>
          <cell r="E890">
            <v>3.9169999999999998</v>
          </cell>
        </row>
        <row r="891">
          <cell r="A891" t="str">
            <v>37329200402</v>
          </cell>
          <cell r="B891">
            <v>37329</v>
          </cell>
          <cell r="C891" t="str">
            <v>NG</v>
          </cell>
          <cell r="D891" t="str">
            <v>200402</v>
          </cell>
          <cell r="E891">
            <v>3.8</v>
          </cell>
        </row>
        <row r="892">
          <cell r="A892" t="str">
            <v>37329200403</v>
          </cell>
          <cell r="B892">
            <v>37329</v>
          </cell>
          <cell r="C892" t="str">
            <v>NG</v>
          </cell>
          <cell r="D892" t="str">
            <v>200403</v>
          </cell>
          <cell r="E892">
            <v>3.6709999999999998</v>
          </cell>
        </row>
        <row r="893">
          <cell r="A893" t="str">
            <v>37329200404</v>
          </cell>
          <cell r="B893">
            <v>37329</v>
          </cell>
          <cell r="C893" t="str">
            <v>NG</v>
          </cell>
          <cell r="D893" t="str">
            <v>200404</v>
          </cell>
          <cell r="E893">
            <v>3.468</v>
          </cell>
        </row>
        <row r="894">
          <cell r="A894" t="str">
            <v>37329200405</v>
          </cell>
          <cell r="B894">
            <v>37329</v>
          </cell>
          <cell r="C894" t="str">
            <v>NG</v>
          </cell>
          <cell r="D894" t="str">
            <v>200405</v>
          </cell>
          <cell r="E894">
            <v>3.4609999999999999</v>
          </cell>
        </row>
        <row r="895">
          <cell r="A895" t="str">
            <v>37329200406</v>
          </cell>
          <cell r="B895">
            <v>37329</v>
          </cell>
          <cell r="C895" t="str">
            <v>NG</v>
          </cell>
          <cell r="D895" t="str">
            <v>200406</v>
          </cell>
          <cell r="E895">
            <v>3.4950000000000001</v>
          </cell>
        </row>
        <row r="896">
          <cell r="A896" t="str">
            <v>37329200407</v>
          </cell>
          <cell r="B896">
            <v>37329</v>
          </cell>
          <cell r="C896" t="str">
            <v>NG</v>
          </cell>
          <cell r="D896" t="str">
            <v>200407</v>
          </cell>
          <cell r="E896">
            <v>3.52</v>
          </cell>
        </row>
        <row r="897">
          <cell r="A897" t="str">
            <v>37329200408</v>
          </cell>
          <cell r="B897">
            <v>37329</v>
          </cell>
          <cell r="C897" t="str">
            <v>NG</v>
          </cell>
          <cell r="D897" t="str">
            <v>200408</v>
          </cell>
          <cell r="E897">
            <v>3.54</v>
          </cell>
        </row>
        <row r="898">
          <cell r="A898" t="str">
            <v>37329200409</v>
          </cell>
          <cell r="B898">
            <v>37329</v>
          </cell>
          <cell r="C898" t="str">
            <v>NG</v>
          </cell>
          <cell r="D898" t="str">
            <v>200409</v>
          </cell>
          <cell r="E898">
            <v>3.5419999999999998</v>
          </cell>
        </row>
        <row r="899">
          <cell r="A899" t="str">
            <v>37329200410</v>
          </cell>
          <cell r="B899">
            <v>37329</v>
          </cell>
          <cell r="C899" t="str">
            <v>NG</v>
          </cell>
          <cell r="D899" t="str">
            <v>200410</v>
          </cell>
          <cell r="E899">
            <v>3.5619999999999998</v>
          </cell>
        </row>
        <row r="900">
          <cell r="A900" t="str">
            <v>37329200411</v>
          </cell>
          <cell r="B900">
            <v>37329</v>
          </cell>
          <cell r="C900" t="str">
            <v>NG</v>
          </cell>
          <cell r="D900" t="str">
            <v>200411</v>
          </cell>
          <cell r="E900">
            <v>3.742</v>
          </cell>
        </row>
        <row r="901">
          <cell r="A901" t="str">
            <v>37329200412</v>
          </cell>
          <cell r="B901">
            <v>37329</v>
          </cell>
          <cell r="C901" t="str">
            <v>NG</v>
          </cell>
          <cell r="D901" t="str">
            <v>200412</v>
          </cell>
          <cell r="E901">
            <v>3.9220000000000002</v>
          </cell>
        </row>
        <row r="902">
          <cell r="A902" t="str">
            <v>37330200401</v>
          </cell>
          <cell r="B902">
            <v>37330</v>
          </cell>
          <cell r="C902" t="str">
            <v>NG</v>
          </cell>
          <cell r="D902" t="str">
            <v>200401</v>
          </cell>
          <cell r="E902">
            <v>3.9390000000000001</v>
          </cell>
        </row>
        <row r="903">
          <cell r="A903" t="str">
            <v>37330200402</v>
          </cell>
          <cell r="B903">
            <v>37330</v>
          </cell>
          <cell r="C903" t="str">
            <v>NG</v>
          </cell>
          <cell r="D903" t="str">
            <v>200402</v>
          </cell>
          <cell r="E903">
            <v>3.8140000000000001</v>
          </cell>
        </row>
        <row r="904">
          <cell r="A904" t="str">
            <v>37330200403</v>
          </cell>
          <cell r="B904">
            <v>37330</v>
          </cell>
          <cell r="C904" t="str">
            <v>NG</v>
          </cell>
          <cell r="D904" t="str">
            <v>200403</v>
          </cell>
          <cell r="E904">
            <v>3.6739999999999999</v>
          </cell>
        </row>
        <row r="905">
          <cell r="A905" t="str">
            <v>37330200404</v>
          </cell>
          <cell r="B905">
            <v>37330</v>
          </cell>
          <cell r="C905" t="str">
            <v>NG</v>
          </cell>
          <cell r="D905" t="str">
            <v>200404</v>
          </cell>
          <cell r="E905">
            <v>3.4710000000000001</v>
          </cell>
        </row>
        <row r="906">
          <cell r="A906" t="str">
            <v>37330200405</v>
          </cell>
          <cell r="B906">
            <v>37330</v>
          </cell>
          <cell r="C906" t="str">
            <v>NG</v>
          </cell>
          <cell r="D906" t="str">
            <v>200405</v>
          </cell>
          <cell r="E906">
            <v>3.464</v>
          </cell>
        </row>
        <row r="907">
          <cell r="A907" t="str">
            <v>37330200406</v>
          </cell>
          <cell r="B907">
            <v>37330</v>
          </cell>
          <cell r="C907" t="str">
            <v>NG</v>
          </cell>
          <cell r="D907" t="str">
            <v>200406</v>
          </cell>
          <cell r="E907">
            <v>3.4980000000000002</v>
          </cell>
        </row>
        <row r="908">
          <cell r="A908" t="str">
            <v>37330200407</v>
          </cell>
          <cell r="B908">
            <v>37330</v>
          </cell>
          <cell r="C908" t="str">
            <v>NG</v>
          </cell>
          <cell r="D908" t="str">
            <v>200407</v>
          </cell>
          <cell r="E908">
            <v>3.5230000000000001</v>
          </cell>
        </row>
        <row r="909">
          <cell r="A909" t="str">
            <v>37330200408</v>
          </cell>
          <cell r="B909">
            <v>37330</v>
          </cell>
          <cell r="C909" t="str">
            <v>NG</v>
          </cell>
          <cell r="D909" t="str">
            <v>200408</v>
          </cell>
          <cell r="E909">
            <v>3.5430000000000001</v>
          </cell>
        </row>
        <row r="910">
          <cell r="A910" t="str">
            <v>37330200409</v>
          </cell>
          <cell r="B910">
            <v>37330</v>
          </cell>
          <cell r="C910" t="str">
            <v>NG</v>
          </cell>
          <cell r="D910" t="str">
            <v>200409</v>
          </cell>
          <cell r="E910">
            <v>3.5329999999999999</v>
          </cell>
        </row>
        <row r="911">
          <cell r="A911" t="str">
            <v>37330200410</v>
          </cell>
          <cell r="B911">
            <v>37330</v>
          </cell>
          <cell r="C911" t="str">
            <v>NG</v>
          </cell>
          <cell r="D911" t="str">
            <v>200410</v>
          </cell>
          <cell r="E911">
            <v>3.5529999999999999</v>
          </cell>
        </row>
        <row r="912">
          <cell r="A912" t="str">
            <v>37330200411</v>
          </cell>
          <cell r="B912">
            <v>37330</v>
          </cell>
          <cell r="C912" t="str">
            <v>NG</v>
          </cell>
          <cell r="D912" t="str">
            <v>200411</v>
          </cell>
          <cell r="E912">
            <v>3.7330000000000001</v>
          </cell>
        </row>
        <row r="913">
          <cell r="A913" t="str">
            <v>37330200412</v>
          </cell>
          <cell r="B913">
            <v>37330</v>
          </cell>
          <cell r="C913" t="str">
            <v>NG</v>
          </cell>
          <cell r="D913" t="str">
            <v>200412</v>
          </cell>
          <cell r="E913">
            <v>3.9129999999999998</v>
          </cell>
        </row>
        <row r="914">
          <cell r="A914" t="str">
            <v>37331200401</v>
          </cell>
          <cell r="B914">
            <v>37331</v>
          </cell>
          <cell r="C914" t="str">
            <v>NG</v>
          </cell>
          <cell r="D914" t="str">
            <v>200401</v>
          </cell>
          <cell r="E914">
            <v>3.9390000000000001</v>
          </cell>
        </row>
        <row r="915">
          <cell r="A915" t="str">
            <v>37331200402</v>
          </cell>
          <cell r="B915">
            <v>37331</v>
          </cell>
          <cell r="C915" t="str">
            <v>NG</v>
          </cell>
          <cell r="D915" t="str">
            <v>200402</v>
          </cell>
          <cell r="E915">
            <v>3.8140000000000001</v>
          </cell>
        </row>
        <row r="916">
          <cell r="A916" t="str">
            <v>37331200403</v>
          </cell>
          <cell r="B916">
            <v>37331</v>
          </cell>
          <cell r="C916" t="str">
            <v>NG</v>
          </cell>
          <cell r="D916" t="str">
            <v>200403</v>
          </cell>
          <cell r="E916">
            <v>3.6739999999999999</v>
          </cell>
        </row>
        <row r="917">
          <cell r="A917" t="str">
            <v>37331200404</v>
          </cell>
          <cell r="B917">
            <v>37331</v>
          </cell>
          <cell r="C917" t="str">
            <v>NG</v>
          </cell>
          <cell r="D917" t="str">
            <v>200404</v>
          </cell>
          <cell r="E917">
            <v>3.4710000000000001</v>
          </cell>
        </row>
        <row r="918">
          <cell r="A918" t="str">
            <v>37331200405</v>
          </cell>
          <cell r="B918">
            <v>37331</v>
          </cell>
          <cell r="C918" t="str">
            <v>NG</v>
          </cell>
          <cell r="D918" t="str">
            <v>200405</v>
          </cell>
          <cell r="E918">
            <v>3.464</v>
          </cell>
        </row>
        <row r="919">
          <cell r="A919" t="str">
            <v>37331200406</v>
          </cell>
          <cell r="B919">
            <v>37331</v>
          </cell>
          <cell r="C919" t="str">
            <v>NG</v>
          </cell>
          <cell r="D919" t="str">
            <v>200406</v>
          </cell>
          <cell r="E919">
            <v>3.4980000000000002</v>
          </cell>
        </row>
        <row r="920">
          <cell r="A920" t="str">
            <v>37331200407</v>
          </cell>
          <cell r="B920">
            <v>37331</v>
          </cell>
          <cell r="C920" t="str">
            <v>NG</v>
          </cell>
          <cell r="D920" t="str">
            <v>200407</v>
          </cell>
          <cell r="E920">
            <v>3.5230000000000001</v>
          </cell>
        </row>
        <row r="921">
          <cell r="A921" t="str">
            <v>37331200408</v>
          </cell>
          <cell r="B921">
            <v>37331</v>
          </cell>
          <cell r="C921" t="str">
            <v>NG</v>
          </cell>
          <cell r="D921" t="str">
            <v>200408</v>
          </cell>
          <cell r="E921">
            <v>3.5430000000000001</v>
          </cell>
        </row>
        <row r="922">
          <cell r="A922" t="str">
            <v>37331200409</v>
          </cell>
          <cell r="B922">
            <v>37331</v>
          </cell>
          <cell r="C922" t="str">
            <v>NG</v>
          </cell>
          <cell r="D922" t="str">
            <v>200409</v>
          </cell>
          <cell r="E922">
            <v>3.5329999999999999</v>
          </cell>
        </row>
        <row r="923">
          <cell r="A923" t="str">
            <v>37331200410</v>
          </cell>
          <cell r="B923">
            <v>37331</v>
          </cell>
          <cell r="C923" t="str">
            <v>NG</v>
          </cell>
          <cell r="D923" t="str">
            <v>200410</v>
          </cell>
          <cell r="E923">
            <v>3.5529999999999999</v>
          </cell>
        </row>
        <row r="924">
          <cell r="A924" t="str">
            <v>37331200411</v>
          </cell>
          <cell r="B924">
            <v>37331</v>
          </cell>
          <cell r="C924" t="str">
            <v>NG</v>
          </cell>
          <cell r="D924" t="str">
            <v>200411</v>
          </cell>
          <cell r="E924">
            <v>3.7330000000000001</v>
          </cell>
        </row>
        <row r="925">
          <cell r="A925" t="str">
            <v>37331200412</v>
          </cell>
          <cell r="B925">
            <v>37331</v>
          </cell>
          <cell r="C925" t="str">
            <v>NG</v>
          </cell>
          <cell r="D925" t="str">
            <v>200412</v>
          </cell>
          <cell r="E925">
            <v>3.9129999999999998</v>
          </cell>
        </row>
        <row r="926">
          <cell r="A926" t="str">
            <v>37332200401</v>
          </cell>
          <cell r="B926">
            <v>37332</v>
          </cell>
          <cell r="C926" t="str">
            <v>NG</v>
          </cell>
          <cell r="D926" t="str">
            <v>200401</v>
          </cell>
          <cell r="E926">
            <v>3.9390000000000001</v>
          </cell>
        </row>
        <row r="927">
          <cell r="A927" t="str">
            <v>37332200402</v>
          </cell>
          <cell r="B927">
            <v>37332</v>
          </cell>
          <cell r="C927" t="str">
            <v>NG</v>
          </cell>
          <cell r="D927" t="str">
            <v>200402</v>
          </cell>
          <cell r="E927">
            <v>3.8140000000000001</v>
          </cell>
        </row>
        <row r="928">
          <cell r="A928" t="str">
            <v>37332200403</v>
          </cell>
          <cell r="B928">
            <v>37332</v>
          </cell>
          <cell r="C928" t="str">
            <v>NG</v>
          </cell>
          <cell r="D928" t="str">
            <v>200403</v>
          </cell>
          <cell r="E928">
            <v>3.6739999999999999</v>
          </cell>
        </row>
        <row r="929">
          <cell r="A929" t="str">
            <v>37332200404</v>
          </cell>
          <cell r="B929">
            <v>37332</v>
          </cell>
          <cell r="C929" t="str">
            <v>NG</v>
          </cell>
          <cell r="D929" t="str">
            <v>200404</v>
          </cell>
          <cell r="E929">
            <v>3.4710000000000001</v>
          </cell>
        </row>
        <row r="930">
          <cell r="A930" t="str">
            <v>37332200405</v>
          </cell>
          <cell r="B930">
            <v>37332</v>
          </cell>
          <cell r="C930" t="str">
            <v>NG</v>
          </cell>
          <cell r="D930" t="str">
            <v>200405</v>
          </cell>
          <cell r="E930">
            <v>3.464</v>
          </cell>
        </row>
        <row r="931">
          <cell r="A931" t="str">
            <v>37332200406</v>
          </cell>
          <cell r="B931">
            <v>37332</v>
          </cell>
          <cell r="C931" t="str">
            <v>NG</v>
          </cell>
          <cell r="D931" t="str">
            <v>200406</v>
          </cell>
          <cell r="E931">
            <v>3.4980000000000002</v>
          </cell>
        </row>
        <row r="932">
          <cell r="A932" t="str">
            <v>37332200407</v>
          </cell>
          <cell r="B932">
            <v>37332</v>
          </cell>
          <cell r="C932" t="str">
            <v>NG</v>
          </cell>
          <cell r="D932" t="str">
            <v>200407</v>
          </cell>
          <cell r="E932">
            <v>3.5230000000000001</v>
          </cell>
        </row>
        <row r="933">
          <cell r="A933" t="str">
            <v>37332200408</v>
          </cell>
          <cell r="B933">
            <v>37332</v>
          </cell>
          <cell r="C933" t="str">
            <v>NG</v>
          </cell>
          <cell r="D933" t="str">
            <v>200408</v>
          </cell>
          <cell r="E933">
            <v>3.5430000000000001</v>
          </cell>
        </row>
        <row r="934">
          <cell r="A934" t="str">
            <v>37332200409</v>
          </cell>
          <cell r="B934">
            <v>37332</v>
          </cell>
          <cell r="C934" t="str">
            <v>NG</v>
          </cell>
          <cell r="D934" t="str">
            <v>200409</v>
          </cell>
          <cell r="E934">
            <v>3.5329999999999999</v>
          </cell>
        </row>
        <row r="935">
          <cell r="A935" t="str">
            <v>37332200410</v>
          </cell>
          <cell r="B935">
            <v>37332</v>
          </cell>
          <cell r="C935" t="str">
            <v>NG</v>
          </cell>
          <cell r="D935" t="str">
            <v>200410</v>
          </cell>
          <cell r="E935">
            <v>3.5529999999999999</v>
          </cell>
        </row>
        <row r="936">
          <cell r="A936" t="str">
            <v>37332200411</v>
          </cell>
          <cell r="B936">
            <v>37332</v>
          </cell>
          <cell r="C936" t="str">
            <v>NG</v>
          </cell>
          <cell r="D936" t="str">
            <v>200411</v>
          </cell>
          <cell r="E936">
            <v>3.7330000000000001</v>
          </cell>
        </row>
        <row r="937">
          <cell r="A937" t="str">
            <v>37332200412</v>
          </cell>
          <cell r="B937">
            <v>37332</v>
          </cell>
          <cell r="C937" t="str">
            <v>NG</v>
          </cell>
          <cell r="D937" t="str">
            <v>200412</v>
          </cell>
          <cell r="E937">
            <v>3.9129999999999998</v>
          </cell>
        </row>
        <row r="938">
          <cell r="A938" t="str">
            <v>37333200401</v>
          </cell>
          <cell r="B938">
            <v>37333</v>
          </cell>
          <cell r="C938" t="str">
            <v>NG</v>
          </cell>
          <cell r="D938" t="str">
            <v>200401</v>
          </cell>
          <cell r="E938">
            <v>4.0810000000000004</v>
          </cell>
        </row>
        <row r="939">
          <cell r="A939" t="str">
            <v>37333200402</v>
          </cell>
          <cell r="B939">
            <v>37333</v>
          </cell>
          <cell r="C939" t="str">
            <v>NG</v>
          </cell>
          <cell r="D939" t="str">
            <v>200402</v>
          </cell>
          <cell r="E939">
            <v>3.956</v>
          </cell>
        </row>
        <row r="940">
          <cell r="A940" t="str">
            <v>37333200403</v>
          </cell>
          <cell r="B940">
            <v>37333</v>
          </cell>
          <cell r="C940" t="str">
            <v>NG</v>
          </cell>
          <cell r="D940" t="str">
            <v>200403</v>
          </cell>
          <cell r="E940">
            <v>3.8159999999999998</v>
          </cell>
        </row>
        <row r="941">
          <cell r="A941" t="str">
            <v>37333200404</v>
          </cell>
          <cell r="B941">
            <v>37333</v>
          </cell>
          <cell r="C941" t="str">
            <v>NG</v>
          </cell>
          <cell r="D941" t="str">
            <v>200404</v>
          </cell>
          <cell r="E941">
            <v>3.6059999999999999</v>
          </cell>
        </row>
        <row r="942">
          <cell r="A942" t="str">
            <v>37333200405</v>
          </cell>
          <cell r="B942">
            <v>37333</v>
          </cell>
          <cell r="C942" t="str">
            <v>NG</v>
          </cell>
          <cell r="D942" t="str">
            <v>200405</v>
          </cell>
          <cell r="E942">
            <v>3.5920000000000001</v>
          </cell>
        </row>
        <row r="943">
          <cell r="A943" t="str">
            <v>37333200406</v>
          </cell>
          <cell r="B943">
            <v>37333</v>
          </cell>
          <cell r="C943" t="str">
            <v>NG</v>
          </cell>
          <cell r="D943" t="str">
            <v>200406</v>
          </cell>
          <cell r="E943">
            <v>3.6259999999999999</v>
          </cell>
        </row>
        <row r="944">
          <cell r="A944" t="str">
            <v>37333200407</v>
          </cell>
          <cell r="B944">
            <v>37333</v>
          </cell>
          <cell r="C944" t="str">
            <v>NG</v>
          </cell>
          <cell r="D944" t="str">
            <v>200407</v>
          </cell>
          <cell r="E944">
            <v>3.6509999999999998</v>
          </cell>
        </row>
        <row r="945">
          <cell r="A945" t="str">
            <v>37333200408</v>
          </cell>
          <cell r="B945">
            <v>37333</v>
          </cell>
          <cell r="C945" t="str">
            <v>NG</v>
          </cell>
          <cell r="D945" t="str">
            <v>200408</v>
          </cell>
          <cell r="E945">
            <v>3.6709999999999998</v>
          </cell>
        </row>
        <row r="946">
          <cell r="A946" t="str">
            <v>37333200409</v>
          </cell>
          <cell r="B946">
            <v>37333</v>
          </cell>
          <cell r="C946" t="str">
            <v>NG</v>
          </cell>
          <cell r="D946" t="str">
            <v>200409</v>
          </cell>
          <cell r="E946">
            <v>3.6560000000000001</v>
          </cell>
        </row>
        <row r="947">
          <cell r="A947" t="str">
            <v>37333200410</v>
          </cell>
          <cell r="B947">
            <v>37333</v>
          </cell>
          <cell r="C947" t="str">
            <v>NG</v>
          </cell>
          <cell r="D947" t="str">
            <v>200410</v>
          </cell>
          <cell r="E947">
            <v>3.6760000000000002</v>
          </cell>
        </row>
        <row r="948">
          <cell r="A948" t="str">
            <v>37333200411</v>
          </cell>
          <cell r="B948">
            <v>37333</v>
          </cell>
          <cell r="C948" t="str">
            <v>NG</v>
          </cell>
          <cell r="D948" t="str">
            <v>200411</v>
          </cell>
          <cell r="E948">
            <v>3.8559999999999999</v>
          </cell>
        </row>
        <row r="949">
          <cell r="A949" t="str">
            <v>37333200412</v>
          </cell>
          <cell r="B949">
            <v>37333</v>
          </cell>
          <cell r="C949" t="str">
            <v>NG</v>
          </cell>
          <cell r="D949" t="str">
            <v>200412</v>
          </cell>
          <cell r="E949">
            <v>4.0359999999999996</v>
          </cell>
        </row>
        <row r="950">
          <cell r="A950" t="str">
            <v>37334200401</v>
          </cell>
          <cell r="B950">
            <v>37334</v>
          </cell>
          <cell r="C950" t="str">
            <v>NG</v>
          </cell>
          <cell r="D950" t="str">
            <v>200401</v>
          </cell>
          <cell r="E950">
            <v>4.0519999999999996</v>
          </cell>
        </row>
        <row r="951">
          <cell r="A951" t="str">
            <v>37334200402</v>
          </cell>
          <cell r="B951">
            <v>37334</v>
          </cell>
          <cell r="C951" t="str">
            <v>NG</v>
          </cell>
          <cell r="D951" t="str">
            <v>200402</v>
          </cell>
          <cell r="E951">
            <v>3.927</v>
          </cell>
        </row>
        <row r="952">
          <cell r="A952" t="str">
            <v>37334200403</v>
          </cell>
          <cell r="B952">
            <v>37334</v>
          </cell>
          <cell r="C952" t="str">
            <v>NG</v>
          </cell>
          <cell r="D952" t="str">
            <v>200403</v>
          </cell>
          <cell r="E952">
            <v>3.7869999999999999</v>
          </cell>
        </row>
        <row r="953">
          <cell r="A953" t="str">
            <v>37334200404</v>
          </cell>
          <cell r="B953">
            <v>37334</v>
          </cell>
          <cell r="C953" t="str">
            <v>NG</v>
          </cell>
          <cell r="D953" t="str">
            <v>200404</v>
          </cell>
          <cell r="E953">
            <v>3.5790000000000002</v>
          </cell>
        </row>
        <row r="954">
          <cell r="A954" t="str">
            <v>37334200405</v>
          </cell>
          <cell r="B954">
            <v>37334</v>
          </cell>
          <cell r="C954" t="str">
            <v>NG</v>
          </cell>
          <cell r="D954" t="str">
            <v>200405</v>
          </cell>
          <cell r="E954">
            <v>3.5649999999999999</v>
          </cell>
        </row>
        <row r="955">
          <cell r="A955" t="str">
            <v>37334200406</v>
          </cell>
          <cell r="B955">
            <v>37334</v>
          </cell>
          <cell r="C955" t="str">
            <v>NG</v>
          </cell>
          <cell r="D955" t="str">
            <v>200406</v>
          </cell>
          <cell r="E955">
            <v>3.6040000000000001</v>
          </cell>
        </row>
        <row r="956">
          <cell r="A956" t="str">
            <v>37334200407</v>
          </cell>
          <cell r="B956">
            <v>37334</v>
          </cell>
          <cell r="C956" t="str">
            <v>NG</v>
          </cell>
          <cell r="D956" t="str">
            <v>200407</v>
          </cell>
          <cell r="E956">
            <v>3.629</v>
          </cell>
        </row>
        <row r="957">
          <cell r="A957" t="str">
            <v>37334200408</v>
          </cell>
          <cell r="B957">
            <v>37334</v>
          </cell>
          <cell r="C957" t="str">
            <v>NG</v>
          </cell>
          <cell r="D957" t="str">
            <v>200408</v>
          </cell>
          <cell r="E957">
            <v>3.649</v>
          </cell>
        </row>
        <row r="958">
          <cell r="A958" t="str">
            <v>37334200409</v>
          </cell>
          <cell r="B958">
            <v>37334</v>
          </cell>
          <cell r="C958" t="str">
            <v>NG</v>
          </cell>
          <cell r="D958" t="str">
            <v>200409</v>
          </cell>
          <cell r="E958">
            <v>3.637</v>
          </cell>
        </row>
        <row r="959">
          <cell r="A959" t="str">
            <v>37334200410</v>
          </cell>
          <cell r="B959">
            <v>37334</v>
          </cell>
          <cell r="C959" t="str">
            <v>NG</v>
          </cell>
          <cell r="D959" t="str">
            <v>200410</v>
          </cell>
          <cell r="E959">
            <v>3.6619999999999999</v>
          </cell>
        </row>
        <row r="960">
          <cell r="A960" t="str">
            <v>37334200411</v>
          </cell>
          <cell r="B960">
            <v>37334</v>
          </cell>
          <cell r="C960" t="str">
            <v>NG</v>
          </cell>
          <cell r="D960" t="str">
            <v>200411</v>
          </cell>
          <cell r="E960">
            <v>3.8420000000000001</v>
          </cell>
        </row>
        <row r="961">
          <cell r="A961" t="str">
            <v>37334200412</v>
          </cell>
          <cell r="B961">
            <v>37334</v>
          </cell>
          <cell r="C961" t="str">
            <v>NG</v>
          </cell>
          <cell r="D961" t="str">
            <v>200412</v>
          </cell>
          <cell r="E961">
            <v>4.0220000000000002</v>
          </cell>
        </row>
        <row r="962">
          <cell r="A962" t="str">
            <v>37335200401</v>
          </cell>
          <cell r="B962">
            <v>37335</v>
          </cell>
          <cell r="C962" t="str">
            <v>NG</v>
          </cell>
          <cell r="D962" t="str">
            <v>200401</v>
          </cell>
          <cell r="E962">
            <v>3.99</v>
          </cell>
        </row>
        <row r="963">
          <cell r="A963" t="str">
            <v>37335200402</v>
          </cell>
          <cell r="B963">
            <v>37335</v>
          </cell>
          <cell r="C963" t="str">
            <v>NG</v>
          </cell>
          <cell r="D963" t="str">
            <v>200402</v>
          </cell>
          <cell r="E963">
            <v>3.8650000000000002</v>
          </cell>
        </row>
        <row r="964">
          <cell r="A964" t="str">
            <v>37335200403</v>
          </cell>
          <cell r="B964">
            <v>37335</v>
          </cell>
          <cell r="C964" t="str">
            <v>NG</v>
          </cell>
          <cell r="D964" t="str">
            <v>200403</v>
          </cell>
          <cell r="E964">
            <v>3.7250000000000001</v>
          </cell>
        </row>
        <row r="965">
          <cell r="A965" t="str">
            <v>37335200404</v>
          </cell>
          <cell r="B965">
            <v>37335</v>
          </cell>
          <cell r="C965" t="str">
            <v>NG</v>
          </cell>
          <cell r="D965" t="str">
            <v>200404</v>
          </cell>
          <cell r="E965">
            <v>3.5169999999999999</v>
          </cell>
        </row>
        <row r="966">
          <cell r="A966" t="str">
            <v>37335200405</v>
          </cell>
          <cell r="B966">
            <v>37335</v>
          </cell>
          <cell r="C966" t="str">
            <v>NG</v>
          </cell>
          <cell r="D966" t="str">
            <v>200405</v>
          </cell>
          <cell r="E966">
            <v>3.5030000000000001</v>
          </cell>
        </row>
        <row r="967">
          <cell r="A967" t="str">
            <v>37335200406</v>
          </cell>
          <cell r="B967">
            <v>37335</v>
          </cell>
          <cell r="C967" t="str">
            <v>NG</v>
          </cell>
          <cell r="D967" t="str">
            <v>200406</v>
          </cell>
          <cell r="E967">
            <v>3.5419999999999998</v>
          </cell>
        </row>
        <row r="968">
          <cell r="A968" t="str">
            <v>37335200407</v>
          </cell>
          <cell r="B968">
            <v>37335</v>
          </cell>
          <cell r="C968" t="str">
            <v>NG</v>
          </cell>
          <cell r="D968" t="str">
            <v>200407</v>
          </cell>
          <cell r="E968">
            <v>3.5670000000000002</v>
          </cell>
        </row>
        <row r="969">
          <cell r="A969" t="str">
            <v>37335200408</v>
          </cell>
          <cell r="B969">
            <v>37335</v>
          </cell>
          <cell r="C969" t="str">
            <v>NG</v>
          </cell>
          <cell r="D969" t="str">
            <v>200408</v>
          </cell>
          <cell r="E969">
            <v>3.5870000000000002</v>
          </cell>
        </row>
        <row r="970">
          <cell r="A970" t="str">
            <v>37335200409</v>
          </cell>
          <cell r="B970">
            <v>37335</v>
          </cell>
          <cell r="C970" t="str">
            <v>NG</v>
          </cell>
          <cell r="D970" t="str">
            <v>200409</v>
          </cell>
          <cell r="E970">
            <v>3.5750000000000002</v>
          </cell>
        </row>
        <row r="971">
          <cell r="A971" t="str">
            <v>37335200410</v>
          </cell>
          <cell r="B971">
            <v>37335</v>
          </cell>
          <cell r="C971" t="str">
            <v>NG</v>
          </cell>
          <cell r="D971" t="str">
            <v>200410</v>
          </cell>
          <cell r="E971">
            <v>3.6</v>
          </cell>
        </row>
        <row r="972">
          <cell r="A972" t="str">
            <v>37335200411</v>
          </cell>
          <cell r="B972">
            <v>37335</v>
          </cell>
          <cell r="C972" t="str">
            <v>NG</v>
          </cell>
          <cell r="D972" t="str">
            <v>200411</v>
          </cell>
          <cell r="E972">
            <v>3.78</v>
          </cell>
        </row>
        <row r="973">
          <cell r="A973" t="str">
            <v>37335200412</v>
          </cell>
          <cell r="B973">
            <v>37335</v>
          </cell>
          <cell r="C973" t="str">
            <v>NG</v>
          </cell>
          <cell r="D973" t="str">
            <v>200412</v>
          </cell>
          <cell r="E973">
            <v>3.96</v>
          </cell>
        </row>
        <row r="974">
          <cell r="A974" t="str">
            <v>37336200401</v>
          </cell>
          <cell r="B974">
            <v>37336</v>
          </cell>
          <cell r="C974" t="str">
            <v>NG</v>
          </cell>
          <cell r="D974" t="str">
            <v>200401</v>
          </cell>
          <cell r="E974">
            <v>4.1760000000000002</v>
          </cell>
        </row>
        <row r="975">
          <cell r="A975" t="str">
            <v>37336200402</v>
          </cell>
          <cell r="B975">
            <v>37336</v>
          </cell>
          <cell r="C975" t="str">
            <v>NG</v>
          </cell>
          <cell r="D975" t="str">
            <v>200402</v>
          </cell>
          <cell r="E975">
            <v>4.0410000000000004</v>
          </cell>
        </row>
        <row r="976">
          <cell r="A976" t="str">
            <v>37336200403</v>
          </cell>
          <cell r="B976">
            <v>37336</v>
          </cell>
          <cell r="C976" t="str">
            <v>NG</v>
          </cell>
          <cell r="D976" t="str">
            <v>200403</v>
          </cell>
          <cell r="E976">
            <v>3.8860000000000001</v>
          </cell>
        </row>
        <row r="977">
          <cell r="A977" t="str">
            <v>37336200404</v>
          </cell>
          <cell r="B977">
            <v>37336</v>
          </cell>
          <cell r="C977" t="str">
            <v>NG</v>
          </cell>
          <cell r="D977" t="str">
            <v>200404</v>
          </cell>
          <cell r="E977">
            <v>3.6560000000000001</v>
          </cell>
        </row>
        <row r="978">
          <cell r="A978" t="str">
            <v>37336200405</v>
          </cell>
          <cell r="B978">
            <v>37336</v>
          </cell>
          <cell r="C978" t="str">
            <v>NG</v>
          </cell>
          <cell r="D978" t="str">
            <v>200405</v>
          </cell>
          <cell r="E978">
            <v>3.6419999999999999</v>
          </cell>
        </row>
        <row r="979">
          <cell r="A979" t="str">
            <v>37336200406</v>
          </cell>
          <cell r="B979">
            <v>37336</v>
          </cell>
          <cell r="C979" t="str">
            <v>NG</v>
          </cell>
          <cell r="D979" t="str">
            <v>200406</v>
          </cell>
          <cell r="E979">
            <v>3.677</v>
          </cell>
        </row>
        <row r="980">
          <cell r="A980" t="str">
            <v>37336200407</v>
          </cell>
          <cell r="B980">
            <v>37336</v>
          </cell>
          <cell r="C980" t="str">
            <v>NG</v>
          </cell>
          <cell r="D980" t="str">
            <v>200407</v>
          </cell>
          <cell r="E980">
            <v>3.6970000000000001</v>
          </cell>
        </row>
        <row r="981">
          <cell r="A981" t="str">
            <v>37336200408</v>
          </cell>
          <cell r="B981">
            <v>37336</v>
          </cell>
          <cell r="C981" t="str">
            <v>NG</v>
          </cell>
          <cell r="D981" t="str">
            <v>200408</v>
          </cell>
          <cell r="E981">
            <v>3.7170000000000001</v>
          </cell>
        </row>
        <row r="982">
          <cell r="A982" t="str">
            <v>37336200409</v>
          </cell>
          <cell r="B982">
            <v>37336</v>
          </cell>
          <cell r="C982" t="str">
            <v>NG</v>
          </cell>
          <cell r="D982" t="str">
            <v>200409</v>
          </cell>
          <cell r="E982">
            <v>3.7050000000000001</v>
          </cell>
        </row>
        <row r="983">
          <cell r="A983" t="str">
            <v>37336200410</v>
          </cell>
          <cell r="B983">
            <v>37336</v>
          </cell>
          <cell r="C983" t="str">
            <v>NG</v>
          </cell>
          <cell r="D983" t="str">
            <v>200410</v>
          </cell>
          <cell r="E983">
            <v>3.73</v>
          </cell>
        </row>
        <row r="984">
          <cell r="A984" t="str">
            <v>37336200411</v>
          </cell>
          <cell r="B984">
            <v>37336</v>
          </cell>
          <cell r="C984" t="str">
            <v>NG</v>
          </cell>
          <cell r="D984" t="str">
            <v>200411</v>
          </cell>
          <cell r="E984">
            <v>3.91</v>
          </cell>
        </row>
        <row r="985">
          <cell r="A985" t="str">
            <v>37336200412</v>
          </cell>
          <cell r="B985">
            <v>37336</v>
          </cell>
          <cell r="C985" t="str">
            <v>NG</v>
          </cell>
          <cell r="D985" t="str">
            <v>200412</v>
          </cell>
          <cell r="E985">
            <v>4.09</v>
          </cell>
        </row>
        <row r="986">
          <cell r="A986" t="str">
            <v>37337200401</v>
          </cell>
          <cell r="B986">
            <v>37337</v>
          </cell>
          <cell r="C986" t="str">
            <v>NG</v>
          </cell>
          <cell r="D986" t="str">
            <v>200401</v>
          </cell>
          <cell r="E986">
            <v>4.1109999999999998</v>
          </cell>
        </row>
        <row r="987">
          <cell r="A987" t="str">
            <v>37337200402</v>
          </cell>
          <cell r="B987">
            <v>37337</v>
          </cell>
          <cell r="C987" t="str">
            <v>NG</v>
          </cell>
          <cell r="D987" t="str">
            <v>200402</v>
          </cell>
          <cell r="E987">
            <v>3.9790000000000001</v>
          </cell>
        </row>
        <row r="988">
          <cell r="A988" t="str">
            <v>37337200403</v>
          </cell>
          <cell r="B988">
            <v>37337</v>
          </cell>
          <cell r="C988" t="str">
            <v>NG</v>
          </cell>
          <cell r="D988" t="str">
            <v>200403</v>
          </cell>
          <cell r="E988">
            <v>3.8290000000000002</v>
          </cell>
        </row>
        <row r="989">
          <cell r="A989" t="str">
            <v>37337200404</v>
          </cell>
          <cell r="B989">
            <v>37337</v>
          </cell>
          <cell r="C989" t="str">
            <v>NG</v>
          </cell>
          <cell r="D989" t="str">
            <v>200404</v>
          </cell>
          <cell r="E989">
            <v>3.6019999999999999</v>
          </cell>
        </row>
        <row r="990">
          <cell r="A990" t="str">
            <v>37337200405</v>
          </cell>
          <cell r="B990">
            <v>37337</v>
          </cell>
          <cell r="C990" t="str">
            <v>NG</v>
          </cell>
          <cell r="D990" t="str">
            <v>200405</v>
          </cell>
          <cell r="E990">
            <v>3.5870000000000002</v>
          </cell>
        </row>
        <row r="991">
          <cell r="A991" t="str">
            <v>37337200406</v>
          </cell>
          <cell r="B991">
            <v>37337</v>
          </cell>
          <cell r="C991" t="str">
            <v>NG</v>
          </cell>
          <cell r="D991" t="str">
            <v>200406</v>
          </cell>
          <cell r="E991">
            <v>3.6309999999999998</v>
          </cell>
        </row>
        <row r="992">
          <cell r="A992" t="str">
            <v>37337200407</v>
          </cell>
          <cell r="B992">
            <v>37337</v>
          </cell>
          <cell r="C992" t="str">
            <v>NG</v>
          </cell>
          <cell r="D992" t="str">
            <v>200407</v>
          </cell>
          <cell r="E992">
            <v>3.6440000000000001</v>
          </cell>
        </row>
        <row r="993">
          <cell r="A993" t="str">
            <v>37337200408</v>
          </cell>
          <cell r="B993">
            <v>37337</v>
          </cell>
          <cell r="C993" t="str">
            <v>NG</v>
          </cell>
          <cell r="D993" t="str">
            <v>200408</v>
          </cell>
          <cell r="E993">
            <v>3.6589999999999998</v>
          </cell>
        </row>
        <row r="994">
          <cell r="A994" t="str">
            <v>37337200409</v>
          </cell>
          <cell r="B994">
            <v>37337</v>
          </cell>
          <cell r="C994" t="str">
            <v>NG</v>
          </cell>
          <cell r="D994" t="str">
            <v>200409</v>
          </cell>
          <cell r="E994">
            <v>3.6469999999999998</v>
          </cell>
        </row>
        <row r="995">
          <cell r="A995" t="str">
            <v>37337200410</v>
          </cell>
          <cell r="B995">
            <v>37337</v>
          </cell>
          <cell r="C995" t="str">
            <v>NG</v>
          </cell>
          <cell r="D995" t="str">
            <v>200410</v>
          </cell>
          <cell r="E995">
            <v>3.6859999999999999</v>
          </cell>
        </row>
        <row r="996">
          <cell r="A996" t="str">
            <v>37337200411</v>
          </cell>
          <cell r="B996">
            <v>37337</v>
          </cell>
          <cell r="C996" t="str">
            <v>NG</v>
          </cell>
          <cell r="D996" t="str">
            <v>200411</v>
          </cell>
          <cell r="E996">
            <v>3.8660000000000001</v>
          </cell>
        </row>
        <row r="997">
          <cell r="A997" t="str">
            <v>37337200412</v>
          </cell>
          <cell r="B997">
            <v>37337</v>
          </cell>
          <cell r="C997" t="str">
            <v>NG</v>
          </cell>
          <cell r="D997" t="str">
            <v>200412</v>
          </cell>
          <cell r="E997">
            <v>4.0460000000000003</v>
          </cell>
        </row>
        <row r="998">
          <cell r="A998" t="str">
            <v>37338200401</v>
          </cell>
          <cell r="B998">
            <v>37338</v>
          </cell>
          <cell r="C998" t="str">
            <v>NG</v>
          </cell>
          <cell r="D998" t="str">
            <v>200401</v>
          </cell>
          <cell r="E998">
            <v>4.1109999999999998</v>
          </cell>
        </row>
        <row r="999">
          <cell r="A999" t="str">
            <v>37338200402</v>
          </cell>
          <cell r="B999">
            <v>37338</v>
          </cell>
          <cell r="C999" t="str">
            <v>NG</v>
          </cell>
          <cell r="D999" t="str">
            <v>200402</v>
          </cell>
          <cell r="E999">
            <v>3.9790000000000001</v>
          </cell>
        </row>
        <row r="1000">
          <cell r="A1000" t="str">
            <v>37338200403</v>
          </cell>
          <cell r="B1000">
            <v>37338</v>
          </cell>
          <cell r="C1000" t="str">
            <v>NG</v>
          </cell>
          <cell r="D1000" t="str">
            <v>200403</v>
          </cell>
          <cell r="E1000">
            <v>3.8290000000000002</v>
          </cell>
        </row>
        <row r="1001">
          <cell r="A1001" t="str">
            <v>37338200404</v>
          </cell>
          <cell r="B1001">
            <v>37338</v>
          </cell>
          <cell r="C1001" t="str">
            <v>NG</v>
          </cell>
          <cell r="D1001" t="str">
            <v>200404</v>
          </cell>
          <cell r="E1001">
            <v>3.6019999999999999</v>
          </cell>
        </row>
        <row r="1002">
          <cell r="A1002" t="str">
            <v>37338200405</v>
          </cell>
          <cell r="B1002">
            <v>37338</v>
          </cell>
          <cell r="C1002" t="str">
            <v>NG</v>
          </cell>
          <cell r="D1002" t="str">
            <v>200405</v>
          </cell>
          <cell r="E1002">
            <v>3.5870000000000002</v>
          </cell>
        </row>
        <row r="1003">
          <cell r="A1003" t="str">
            <v>37338200406</v>
          </cell>
          <cell r="B1003">
            <v>37338</v>
          </cell>
          <cell r="C1003" t="str">
            <v>NG</v>
          </cell>
          <cell r="D1003" t="str">
            <v>200406</v>
          </cell>
          <cell r="E1003">
            <v>3.6309999999999998</v>
          </cell>
        </row>
        <row r="1004">
          <cell r="A1004" t="str">
            <v>37338200407</v>
          </cell>
          <cell r="B1004">
            <v>37338</v>
          </cell>
          <cell r="C1004" t="str">
            <v>NG</v>
          </cell>
          <cell r="D1004" t="str">
            <v>200407</v>
          </cell>
          <cell r="E1004">
            <v>3.6440000000000001</v>
          </cell>
        </row>
        <row r="1005">
          <cell r="A1005" t="str">
            <v>37338200408</v>
          </cell>
          <cell r="B1005">
            <v>37338</v>
          </cell>
          <cell r="C1005" t="str">
            <v>NG</v>
          </cell>
          <cell r="D1005" t="str">
            <v>200408</v>
          </cell>
          <cell r="E1005">
            <v>3.6589999999999998</v>
          </cell>
        </row>
        <row r="1006">
          <cell r="A1006" t="str">
            <v>37338200409</v>
          </cell>
          <cell r="B1006">
            <v>37338</v>
          </cell>
          <cell r="C1006" t="str">
            <v>NG</v>
          </cell>
          <cell r="D1006" t="str">
            <v>200409</v>
          </cell>
          <cell r="E1006">
            <v>3.6469999999999998</v>
          </cell>
        </row>
        <row r="1007">
          <cell r="A1007" t="str">
            <v>37338200410</v>
          </cell>
          <cell r="B1007">
            <v>37338</v>
          </cell>
          <cell r="C1007" t="str">
            <v>NG</v>
          </cell>
          <cell r="D1007" t="str">
            <v>200410</v>
          </cell>
          <cell r="E1007">
            <v>3.6859999999999999</v>
          </cell>
        </row>
        <row r="1008">
          <cell r="A1008" t="str">
            <v>37338200411</v>
          </cell>
          <cell r="B1008">
            <v>37338</v>
          </cell>
          <cell r="C1008" t="str">
            <v>NG</v>
          </cell>
          <cell r="D1008" t="str">
            <v>200411</v>
          </cell>
          <cell r="E1008">
            <v>3.8660000000000001</v>
          </cell>
        </row>
        <row r="1009">
          <cell r="A1009" t="str">
            <v>37338200412</v>
          </cell>
          <cell r="B1009">
            <v>37338</v>
          </cell>
          <cell r="C1009" t="str">
            <v>NG</v>
          </cell>
          <cell r="D1009" t="str">
            <v>200412</v>
          </cell>
          <cell r="E1009">
            <v>4.0460000000000003</v>
          </cell>
        </row>
        <row r="1010">
          <cell r="A1010" t="str">
            <v>37339200401</v>
          </cell>
          <cell r="B1010">
            <v>37339</v>
          </cell>
          <cell r="C1010" t="str">
            <v>NG</v>
          </cell>
          <cell r="D1010" t="str">
            <v>200401</v>
          </cell>
          <cell r="E1010">
            <v>4.1109999999999998</v>
          </cell>
        </row>
        <row r="1011">
          <cell r="A1011" t="str">
            <v>37339200402</v>
          </cell>
          <cell r="B1011">
            <v>37339</v>
          </cell>
          <cell r="C1011" t="str">
            <v>NG</v>
          </cell>
          <cell r="D1011" t="str">
            <v>200402</v>
          </cell>
          <cell r="E1011">
            <v>3.9790000000000001</v>
          </cell>
        </row>
        <row r="1012">
          <cell r="A1012" t="str">
            <v>37339200403</v>
          </cell>
          <cell r="B1012">
            <v>37339</v>
          </cell>
          <cell r="C1012" t="str">
            <v>NG</v>
          </cell>
          <cell r="D1012" t="str">
            <v>200403</v>
          </cell>
          <cell r="E1012">
            <v>3.8290000000000002</v>
          </cell>
        </row>
        <row r="1013">
          <cell r="A1013" t="str">
            <v>37339200404</v>
          </cell>
          <cell r="B1013">
            <v>37339</v>
          </cell>
          <cell r="C1013" t="str">
            <v>NG</v>
          </cell>
          <cell r="D1013" t="str">
            <v>200404</v>
          </cell>
          <cell r="E1013">
            <v>3.6019999999999999</v>
          </cell>
        </row>
        <row r="1014">
          <cell r="A1014" t="str">
            <v>37339200405</v>
          </cell>
          <cell r="B1014">
            <v>37339</v>
          </cell>
          <cell r="C1014" t="str">
            <v>NG</v>
          </cell>
          <cell r="D1014" t="str">
            <v>200405</v>
          </cell>
          <cell r="E1014">
            <v>3.5870000000000002</v>
          </cell>
        </row>
        <row r="1015">
          <cell r="A1015" t="str">
            <v>37339200406</v>
          </cell>
          <cell r="B1015">
            <v>37339</v>
          </cell>
          <cell r="C1015" t="str">
            <v>NG</v>
          </cell>
          <cell r="D1015" t="str">
            <v>200406</v>
          </cell>
          <cell r="E1015">
            <v>3.6309999999999998</v>
          </cell>
        </row>
        <row r="1016">
          <cell r="A1016" t="str">
            <v>37339200407</v>
          </cell>
          <cell r="B1016">
            <v>37339</v>
          </cell>
          <cell r="C1016" t="str">
            <v>NG</v>
          </cell>
          <cell r="D1016" t="str">
            <v>200407</v>
          </cell>
          <cell r="E1016">
            <v>3.6440000000000001</v>
          </cell>
        </row>
        <row r="1017">
          <cell r="A1017" t="str">
            <v>37339200408</v>
          </cell>
          <cell r="B1017">
            <v>37339</v>
          </cell>
          <cell r="C1017" t="str">
            <v>NG</v>
          </cell>
          <cell r="D1017" t="str">
            <v>200408</v>
          </cell>
          <cell r="E1017">
            <v>3.6589999999999998</v>
          </cell>
        </row>
        <row r="1018">
          <cell r="A1018" t="str">
            <v>37339200409</v>
          </cell>
          <cell r="B1018">
            <v>37339</v>
          </cell>
          <cell r="C1018" t="str">
            <v>NG</v>
          </cell>
          <cell r="D1018" t="str">
            <v>200409</v>
          </cell>
          <cell r="E1018">
            <v>3.6469999999999998</v>
          </cell>
        </row>
        <row r="1019">
          <cell r="A1019" t="str">
            <v>37339200410</v>
          </cell>
          <cell r="B1019">
            <v>37339</v>
          </cell>
          <cell r="C1019" t="str">
            <v>NG</v>
          </cell>
          <cell r="D1019" t="str">
            <v>200410</v>
          </cell>
          <cell r="E1019">
            <v>3.6859999999999999</v>
          </cell>
        </row>
        <row r="1020">
          <cell r="A1020" t="str">
            <v>37339200411</v>
          </cell>
          <cell r="B1020">
            <v>37339</v>
          </cell>
          <cell r="C1020" t="str">
            <v>NG</v>
          </cell>
          <cell r="D1020" t="str">
            <v>200411</v>
          </cell>
          <cell r="E1020">
            <v>3.8660000000000001</v>
          </cell>
        </row>
        <row r="1021">
          <cell r="A1021" t="str">
            <v>37339200412</v>
          </cell>
          <cell r="B1021">
            <v>37339</v>
          </cell>
          <cell r="C1021" t="str">
            <v>NG</v>
          </cell>
          <cell r="D1021" t="str">
            <v>200412</v>
          </cell>
          <cell r="E1021">
            <v>4.0460000000000003</v>
          </cell>
        </row>
        <row r="1022">
          <cell r="A1022" t="str">
            <v>37340200401</v>
          </cell>
          <cell r="B1022">
            <v>37340</v>
          </cell>
          <cell r="C1022" t="str">
            <v>NG</v>
          </cell>
          <cell r="D1022" t="str">
            <v>200401</v>
          </cell>
          <cell r="E1022">
            <v>4.1379999999999999</v>
          </cell>
        </row>
        <row r="1023">
          <cell r="A1023" t="str">
            <v>37340200402</v>
          </cell>
          <cell r="B1023">
            <v>37340</v>
          </cell>
          <cell r="C1023" t="str">
            <v>NG</v>
          </cell>
          <cell r="D1023" t="str">
            <v>200402</v>
          </cell>
          <cell r="E1023">
            <v>4.008</v>
          </cell>
        </row>
        <row r="1024">
          <cell r="A1024" t="str">
            <v>37340200403</v>
          </cell>
          <cell r="B1024">
            <v>37340</v>
          </cell>
          <cell r="C1024" t="str">
            <v>NG</v>
          </cell>
          <cell r="D1024" t="str">
            <v>200403</v>
          </cell>
          <cell r="E1024">
            <v>3.8580000000000001</v>
          </cell>
        </row>
        <row r="1025">
          <cell r="A1025" t="str">
            <v>37340200404</v>
          </cell>
          <cell r="B1025">
            <v>37340</v>
          </cell>
          <cell r="C1025" t="str">
            <v>NG</v>
          </cell>
          <cell r="D1025" t="str">
            <v>200404</v>
          </cell>
          <cell r="E1025">
            <v>3.6080000000000001</v>
          </cell>
        </row>
        <row r="1026">
          <cell r="A1026" t="str">
            <v>37340200405</v>
          </cell>
          <cell r="B1026">
            <v>37340</v>
          </cell>
          <cell r="C1026" t="str">
            <v>NG</v>
          </cell>
          <cell r="D1026" t="str">
            <v>200405</v>
          </cell>
          <cell r="E1026">
            <v>3.593</v>
          </cell>
        </row>
        <row r="1027">
          <cell r="A1027" t="str">
            <v>37340200406</v>
          </cell>
          <cell r="B1027">
            <v>37340</v>
          </cell>
          <cell r="C1027" t="str">
            <v>NG</v>
          </cell>
          <cell r="D1027" t="str">
            <v>200406</v>
          </cell>
          <cell r="E1027">
            <v>3.6429999999999998</v>
          </cell>
        </row>
        <row r="1028">
          <cell r="A1028" t="str">
            <v>37340200407</v>
          </cell>
          <cell r="B1028">
            <v>37340</v>
          </cell>
          <cell r="C1028" t="str">
            <v>NG</v>
          </cell>
          <cell r="D1028" t="str">
            <v>200407</v>
          </cell>
          <cell r="E1028">
            <v>3.66</v>
          </cell>
        </row>
        <row r="1029">
          <cell r="A1029" t="str">
            <v>37340200408</v>
          </cell>
          <cell r="B1029">
            <v>37340</v>
          </cell>
          <cell r="C1029" t="str">
            <v>NG</v>
          </cell>
          <cell r="D1029" t="str">
            <v>200408</v>
          </cell>
          <cell r="E1029">
            <v>3.6779999999999999</v>
          </cell>
        </row>
        <row r="1030">
          <cell r="A1030" t="str">
            <v>37340200409</v>
          </cell>
          <cell r="B1030">
            <v>37340</v>
          </cell>
          <cell r="C1030" t="str">
            <v>NG</v>
          </cell>
          <cell r="D1030" t="str">
            <v>200409</v>
          </cell>
          <cell r="E1030">
            <v>3.6629999999999998</v>
          </cell>
        </row>
        <row r="1031">
          <cell r="A1031" t="str">
            <v>37340200410</v>
          </cell>
          <cell r="B1031">
            <v>37340</v>
          </cell>
          <cell r="C1031" t="str">
            <v>NG</v>
          </cell>
          <cell r="D1031" t="str">
            <v>200410</v>
          </cell>
          <cell r="E1031">
            <v>3.6880000000000002</v>
          </cell>
        </row>
        <row r="1032">
          <cell r="A1032" t="str">
            <v>37340200411</v>
          </cell>
          <cell r="B1032">
            <v>37340</v>
          </cell>
          <cell r="C1032" t="str">
            <v>NG</v>
          </cell>
          <cell r="D1032" t="str">
            <v>200411</v>
          </cell>
          <cell r="E1032">
            <v>3.8679999999999999</v>
          </cell>
        </row>
        <row r="1033">
          <cell r="A1033" t="str">
            <v>37340200412</v>
          </cell>
          <cell r="B1033">
            <v>37340</v>
          </cell>
          <cell r="C1033" t="str">
            <v>NG</v>
          </cell>
          <cell r="D1033" t="str">
            <v>200412</v>
          </cell>
          <cell r="E1033">
            <v>4.0430000000000001</v>
          </cell>
        </row>
        <row r="1034">
          <cell r="A1034" t="str">
            <v>37341200401</v>
          </cell>
          <cell r="B1034">
            <v>37341</v>
          </cell>
          <cell r="C1034" t="str">
            <v>NG</v>
          </cell>
          <cell r="D1034" t="str">
            <v>200401</v>
          </cell>
          <cell r="E1034">
            <v>4.1150000000000002</v>
          </cell>
        </row>
        <row r="1035">
          <cell r="A1035" t="str">
            <v>37341200402</v>
          </cell>
          <cell r="B1035">
            <v>37341</v>
          </cell>
          <cell r="C1035" t="str">
            <v>NG</v>
          </cell>
          <cell r="D1035" t="str">
            <v>200402</v>
          </cell>
          <cell r="E1035">
            <v>3.9849999999999999</v>
          </cell>
        </row>
        <row r="1036">
          <cell r="A1036" t="str">
            <v>37341200403</v>
          </cell>
          <cell r="B1036">
            <v>37341</v>
          </cell>
          <cell r="C1036" t="str">
            <v>NG</v>
          </cell>
          <cell r="D1036" t="str">
            <v>200403</v>
          </cell>
          <cell r="E1036">
            <v>3.83</v>
          </cell>
        </row>
        <row r="1037">
          <cell r="A1037" t="str">
            <v>37341200404</v>
          </cell>
          <cell r="B1037">
            <v>37341</v>
          </cell>
          <cell r="C1037" t="str">
            <v>NG</v>
          </cell>
          <cell r="D1037" t="str">
            <v>200404</v>
          </cell>
          <cell r="E1037">
            <v>3.57</v>
          </cell>
        </row>
        <row r="1038">
          <cell r="A1038" t="str">
            <v>37341200405</v>
          </cell>
          <cell r="B1038">
            <v>37341</v>
          </cell>
          <cell r="C1038" t="str">
            <v>NG</v>
          </cell>
          <cell r="D1038" t="str">
            <v>200405</v>
          </cell>
          <cell r="E1038">
            <v>3.5550000000000002</v>
          </cell>
        </row>
        <row r="1039">
          <cell r="A1039" t="str">
            <v>37341200406</v>
          </cell>
          <cell r="B1039">
            <v>37341</v>
          </cell>
          <cell r="C1039" t="str">
            <v>NG</v>
          </cell>
          <cell r="D1039" t="str">
            <v>200406</v>
          </cell>
          <cell r="E1039">
            <v>3.605</v>
          </cell>
        </row>
        <row r="1040">
          <cell r="A1040" t="str">
            <v>37341200407</v>
          </cell>
          <cell r="B1040">
            <v>37341</v>
          </cell>
          <cell r="C1040" t="str">
            <v>NG</v>
          </cell>
          <cell r="D1040" t="str">
            <v>200407</v>
          </cell>
          <cell r="E1040">
            <v>3.6190000000000002</v>
          </cell>
        </row>
        <row r="1041">
          <cell r="A1041" t="str">
            <v>37341200408</v>
          </cell>
          <cell r="B1041">
            <v>37341</v>
          </cell>
          <cell r="C1041" t="str">
            <v>NG</v>
          </cell>
          <cell r="D1041" t="str">
            <v>200408</v>
          </cell>
          <cell r="E1041">
            <v>3.633</v>
          </cell>
        </row>
        <row r="1042">
          <cell r="A1042" t="str">
            <v>37341200409</v>
          </cell>
          <cell r="B1042">
            <v>37341</v>
          </cell>
          <cell r="C1042" t="str">
            <v>NG</v>
          </cell>
          <cell r="D1042" t="str">
            <v>200409</v>
          </cell>
          <cell r="E1042">
            <v>3.613</v>
          </cell>
        </row>
        <row r="1043">
          <cell r="A1043" t="str">
            <v>37341200410</v>
          </cell>
          <cell r="B1043">
            <v>37341</v>
          </cell>
          <cell r="C1043" t="str">
            <v>NG</v>
          </cell>
          <cell r="D1043" t="str">
            <v>200410</v>
          </cell>
          <cell r="E1043">
            <v>3.6349999999999998</v>
          </cell>
        </row>
        <row r="1044">
          <cell r="A1044" t="str">
            <v>37341200411</v>
          </cell>
          <cell r="B1044">
            <v>37341</v>
          </cell>
          <cell r="C1044" t="str">
            <v>NG</v>
          </cell>
          <cell r="D1044" t="str">
            <v>200411</v>
          </cell>
          <cell r="E1044">
            <v>3.8149999999999999</v>
          </cell>
        </row>
        <row r="1045">
          <cell r="A1045" t="str">
            <v>37341200412</v>
          </cell>
          <cell r="B1045">
            <v>37341</v>
          </cell>
          <cell r="C1045" t="str">
            <v>NG</v>
          </cell>
          <cell r="D1045" t="str">
            <v>200412</v>
          </cell>
          <cell r="E1045">
            <v>3.99</v>
          </cell>
        </row>
        <row r="1046">
          <cell r="A1046" t="str">
            <v>37342200401</v>
          </cell>
          <cell r="B1046">
            <v>37342</v>
          </cell>
          <cell r="C1046" t="str">
            <v>NG</v>
          </cell>
          <cell r="D1046" t="str">
            <v>200401</v>
          </cell>
          <cell r="E1046">
            <v>4.048</v>
          </cell>
        </row>
        <row r="1047">
          <cell r="A1047" t="str">
            <v>37342200402</v>
          </cell>
          <cell r="B1047">
            <v>37342</v>
          </cell>
          <cell r="C1047" t="str">
            <v>NG</v>
          </cell>
          <cell r="D1047" t="str">
            <v>200402</v>
          </cell>
          <cell r="E1047">
            <v>3.9180000000000001</v>
          </cell>
        </row>
        <row r="1048">
          <cell r="A1048" t="str">
            <v>37342200403</v>
          </cell>
          <cell r="B1048">
            <v>37342</v>
          </cell>
          <cell r="C1048" t="str">
            <v>NG</v>
          </cell>
          <cell r="D1048" t="str">
            <v>200403</v>
          </cell>
          <cell r="E1048">
            <v>3.7629999999999999</v>
          </cell>
        </row>
        <row r="1049">
          <cell r="A1049" t="str">
            <v>37342200404</v>
          </cell>
          <cell r="B1049">
            <v>37342</v>
          </cell>
          <cell r="C1049" t="str">
            <v>NG</v>
          </cell>
          <cell r="D1049" t="str">
            <v>200404</v>
          </cell>
          <cell r="E1049">
            <v>3.5030000000000001</v>
          </cell>
        </row>
        <row r="1050">
          <cell r="A1050" t="str">
            <v>37342200405</v>
          </cell>
          <cell r="B1050">
            <v>37342</v>
          </cell>
          <cell r="C1050" t="str">
            <v>NG</v>
          </cell>
          <cell r="D1050" t="str">
            <v>200405</v>
          </cell>
          <cell r="E1050">
            <v>3.4910000000000001</v>
          </cell>
        </row>
        <row r="1051">
          <cell r="A1051" t="str">
            <v>37342200406</v>
          </cell>
          <cell r="B1051">
            <v>37342</v>
          </cell>
          <cell r="C1051" t="str">
            <v>NG</v>
          </cell>
          <cell r="D1051" t="str">
            <v>200406</v>
          </cell>
          <cell r="E1051">
            <v>3.5459999999999998</v>
          </cell>
        </row>
        <row r="1052">
          <cell r="A1052" t="str">
            <v>37342200407</v>
          </cell>
          <cell r="B1052">
            <v>37342</v>
          </cell>
          <cell r="C1052" t="str">
            <v>NG</v>
          </cell>
          <cell r="D1052" t="str">
            <v>200407</v>
          </cell>
          <cell r="E1052">
            <v>3.5659999999999998</v>
          </cell>
        </row>
        <row r="1053">
          <cell r="A1053" t="str">
            <v>37342200408</v>
          </cell>
          <cell r="B1053">
            <v>37342</v>
          </cell>
          <cell r="C1053" t="str">
            <v>NG</v>
          </cell>
          <cell r="D1053" t="str">
            <v>200408</v>
          </cell>
          <cell r="E1053">
            <v>3.5859999999999999</v>
          </cell>
        </row>
        <row r="1054">
          <cell r="A1054" t="str">
            <v>37342200409</v>
          </cell>
          <cell r="B1054">
            <v>37342</v>
          </cell>
          <cell r="C1054" t="str">
            <v>NG</v>
          </cell>
          <cell r="D1054" t="str">
            <v>200409</v>
          </cell>
          <cell r="E1054">
            <v>3.5659999999999998</v>
          </cell>
        </row>
        <row r="1055">
          <cell r="A1055" t="str">
            <v>37342200410</v>
          </cell>
          <cell r="B1055">
            <v>37342</v>
          </cell>
          <cell r="C1055" t="str">
            <v>NG</v>
          </cell>
          <cell r="D1055" t="str">
            <v>200410</v>
          </cell>
          <cell r="E1055">
            <v>3.5960000000000001</v>
          </cell>
        </row>
        <row r="1056">
          <cell r="A1056" t="str">
            <v>37342200411</v>
          </cell>
          <cell r="B1056">
            <v>37342</v>
          </cell>
          <cell r="C1056" t="str">
            <v>NG</v>
          </cell>
          <cell r="D1056" t="str">
            <v>200411</v>
          </cell>
          <cell r="E1056">
            <v>3.786</v>
          </cell>
        </row>
        <row r="1057">
          <cell r="A1057" t="str">
            <v>37342200412</v>
          </cell>
          <cell r="B1057">
            <v>37342</v>
          </cell>
          <cell r="C1057" t="str">
            <v>NG</v>
          </cell>
          <cell r="D1057" t="str">
            <v>200412</v>
          </cell>
          <cell r="E1057">
            <v>3.9609999999999999</v>
          </cell>
        </row>
        <row r="1058">
          <cell r="A1058" t="str">
            <v>37343200401</v>
          </cell>
          <cell r="B1058">
            <v>37343</v>
          </cell>
          <cell r="C1058" t="str">
            <v>NG</v>
          </cell>
          <cell r="D1058" t="str">
            <v>200401</v>
          </cell>
          <cell r="E1058">
            <v>4.0380000000000003</v>
          </cell>
        </row>
        <row r="1059">
          <cell r="A1059" t="str">
            <v>37343200402</v>
          </cell>
          <cell r="B1059">
            <v>37343</v>
          </cell>
          <cell r="C1059" t="str">
            <v>NG</v>
          </cell>
          <cell r="D1059" t="str">
            <v>200402</v>
          </cell>
          <cell r="E1059">
            <v>3.903</v>
          </cell>
        </row>
        <row r="1060">
          <cell r="A1060" t="str">
            <v>37343200403</v>
          </cell>
          <cell r="B1060">
            <v>37343</v>
          </cell>
          <cell r="C1060" t="str">
            <v>NG</v>
          </cell>
          <cell r="D1060" t="str">
            <v>200403</v>
          </cell>
          <cell r="E1060">
            <v>3.7429999999999999</v>
          </cell>
        </row>
        <row r="1061">
          <cell r="A1061" t="str">
            <v>37343200404</v>
          </cell>
          <cell r="B1061">
            <v>37343</v>
          </cell>
          <cell r="C1061" t="str">
            <v>NG</v>
          </cell>
          <cell r="D1061" t="str">
            <v>200404</v>
          </cell>
          <cell r="E1061">
            <v>3.4830000000000001</v>
          </cell>
        </row>
        <row r="1062">
          <cell r="A1062" t="str">
            <v>37343200405</v>
          </cell>
          <cell r="B1062">
            <v>37343</v>
          </cell>
          <cell r="C1062" t="str">
            <v>NG</v>
          </cell>
          <cell r="D1062" t="str">
            <v>200405</v>
          </cell>
          <cell r="E1062">
            <v>3.4710000000000001</v>
          </cell>
        </row>
        <row r="1063">
          <cell r="A1063" t="str">
            <v>37343200406</v>
          </cell>
          <cell r="B1063">
            <v>37343</v>
          </cell>
          <cell r="C1063" t="str">
            <v>NG</v>
          </cell>
          <cell r="D1063" t="str">
            <v>200406</v>
          </cell>
          <cell r="E1063">
            <v>3.5259999999999998</v>
          </cell>
        </row>
        <row r="1064">
          <cell r="A1064" t="str">
            <v>37343200407</v>
          </cell>
          <cell r="B1064">
            <v>37343</v>
          </cell>
          <cell r="C1064" t="str">
            <v>NG</v>
          </cell>
          <cell r="D1064" t="str">
            <v>200407</v>
          </cell>
          <cell r="E1064">
            <v>3.5459999999999998</v>
          </cell>
        </row>
        <row r="1065">
          <cell r="A1065" t="str">
            <v>37343200408</v>
          </cell>
          <cell r="B1065">
            <v>37343</v>
          </cell>
          <cell r="C1065" t="str">
            <v>NG</v>
          </cell>
          <cell r="D1065" t="str">
            <v>200408</v>
          </cell>
          <cell r="E1065">
            <v>3.5659999999999998</v>
          </cell>
        </row>
        <row r="1066">
          <cell r="A1066" t="str">
            <v>37343200409</v>
          </cell>
          <cell r="B1066">
            <v>37343</v>
          </cell>
          <cell r="C1066" t="str">
            <v>NG</v>
          </cell>
          <cell r="D1066" t="str">
            <v>200409</v>
          </cell>
          <cell r="E1066">
            <v>3.5459999999999998</v>
          </cell>
        </row>
        <row r="1067">
          <cell r="A1067" t="str">
            <v>37343200410</v>
          </cell>
          <cell r="B1067">
            <v>37343</v>
          </cell>
          <cell r="C1067" t="str">
            <v>NG</v>
          </cell>
          <cell r="D1067" t="str">
            <v>200410</v>
          </cell>
          <cell r="E1067">
            <v>3.5760000000000001</v>
          </cell>
        </row>
        <row r="1068">
          <cell r="A1068" t="str">
            <v>37343200411</v>
          </cell>
          <cell r="B1068">
            <v>37343</v>
          </cell>
          <cell r="C1068" t="str">
            <v>NG</v>
          </cell>
          <cell r="D1068" t="str">
            <v>200411</v>
          </cell>
          <cell r="E1068">
            <v>3.766</v>
          </cell>
        </row>
        <row r="1069">
          <cell r="A1069" t="str">
            <v>37343200412</v>
          </cell>
          <cell r="B1069">
            <v>37343</v>
          </cell>
          <cell r="C1069" t="str">
            <v>NG</v>
          </cell>
          <cell r="D1069" t="str">
            <v>200412</v>
          </cell>
          <cell r="E1069">
            <v>3.9409999999999998</v>
          </cell>
        </row>
        <row r="1070">
          <cell r="A1070" t="str">
            <v>37344200401</v>
          </cell>
          <cell r="B1070">
            <v>37344</v>
          </cell>
          <cell r="C1070" t="str">
            <v>NG</v>
          </cell>
          <cell r="D1070" t="str">
            <v>200401</v>
          </cell>
          <cell r="E1070">
            <v>4.0380000000000003</v>
          </cell>
        </row>
        <row r="1071">
          <cell r="A1071" t="str">
            <v>37344200402</v>
          </cell>
          <cell r="B1071">
            <v>37344</v>
          </cell>
          <cell r="C1071" t="str">
            <v>NG</v>
          </cell>
          <cell r="D1071" t="str">
            <v>200402</v>
          </cell>
          <cell r="E1071">
            <v>3.903</v>
          </cell>
        </row>
        <row r="1072">
          <cell r="A1072" t="str">
            <v>37344200403</v>
          </cell>
          <cell r="B1072">
            <v>37344</v>
          </cell>
          <cell r="C1072" t="str">
            <v>NG</v>
          </cell>
          <cell r="D1072" t="str">
            <v>200403</v>
          </cell>
          <cell r="E1072">
            <v>3.7429999999999999</v>
          </cell>
        </row>
        <row r="1073">
          <cell r="A1073" t="str">
            <v>37344200404</v>
          </cell>
          <cell r="B1073">
            <v>37344</v>
          </cell>
          <cell r="C1073" t="str">
            <v>NG</v>
          </cell>
          <cell r="D1073" t="str">
            <v>200404</v>
          </cell>
          <cell r="E1073">
            <v>3.4830000000000001</v>
          </cell>
        </row>
        <row r="1074">
          <cell r="A1074" t="str">
            <v>37344200405</v>
          </cell>
          <cell r="B1074">
            <v>37344</v>
          </cell>
          <cell r="C1074" t="str">
            <v>NG</v>
          </cell>
          <cell r="D1074" t="str">
            <v>200405</v>
          </cell>
          <cell r="E1074">
            <v>3.4710000000000001</v>
          </cell>
        </row>
        <row r="1075">
          <cell r="A1075" t="str">
            <v>37344200406</v>
          </cell>
          <cell r="B1075">
            <v>37344</v>
          </cell>
          <cell r="C1075" t="str">
            <v>NG</v>
          </cell>
          <cell r="D1075" t="str">
            <v>200406</v>
          </cell>
          <cell r="E1075">
            <v>3.5259999999999998</v>
          </cell>
        </row>
        <row r="1076">
          <cell r="A1076" t="str">
            <v>37344200407</v>
          </cell>
          <cell r="B1076">
            <v>37344</v>
          </cell>
          <cell r="C1076" t="str">
            <v>NG</v>
          </cell>
          <cell r="D1076" t="str">
            <v>200407</v>
          </cell>
          <cell r="E1076">
            <v>3.5459999999999998</v>
          </cell>
        </row>
        <row r="1077">
          <cell r="A1077" t="str">
            <v>37344200408</v>
          </cell>
          <cell r="B1077">
            <v>37344</v>
          </cell>
          <cell r="C1077" t="str">
            <v>NG</v>
          </cell>
          <cell r="D1077" t="str">
            <v>200408</v>
          </cell>
          <cell r="E1077">
            <v>3.5659999999999998</v>
          </cell>
        </row>
        <row r="1078">
          <cell r="A1078" t="str">
            <v>37344200409</v>
          </cell>
          <cell r="B1078">
            <v>37344</v>
          </cell>
          <cell r="C1078" t="str">
            <v>NG</v>
          </cell>
          <cell r="D1078" t="str">
            <v>200409</v>
          </cell>
          <cell r="E1078">
            <v>3.5459999999999998</v>
          </cell>
        </row>
        <row r="1079">
          <cell r="A1079" t="str">
            <v>37344200410</v>
          </cell>
          <cell r="B1079">
            <v>37344</v>
          </cell>
          <cell r="C1079" t="str">
            <v>NG</v>
          </cell>
          <cell r="D1079" t="str">
            <v>200410</v>
          </cell>
          <cell r="E1079">
            <v>3.5760000000000001</v>
          </cell>
        </row>
        <row r="1080">
          <cell r="A1080" t="str">
            <v>37344200411</v>
          </cell>
          <cell r="B1080">
            <v>37344</v>
          </cell>
          <cell r="C1080" t="str">
            <v>NG</v>
          </cell>
          <cell r="D1080" t="str">
            <v>200411</v>
          </cell>
          <cell r="E1080">
            <v>3.766</v>
          </cell>
        </row>
        <row r="1081">
          <cell r="A1081" t="str">
            <v>37344200412</v>
          </cell>
          <cell r="B1081">
            <v>37344</v>
          </cell>
          <cell r="C1081" t="str">
            <v>NG</v>
          </cell>
          <cell r="D1081" t="str">
            <v>200412</v>
          </cell>
          <cell r="E1081">
            <v>3.9409999999999998</v>
          </cell>
        </row>
        <row r="1082">
          <cell r="A1082" t="str">
            <v>37345200401</v>
          </cell>
          <cell r="B1082">
            <v>37345</v>
          </cell>
          <cell r="C1082" t="str">
            <v>NG</v>
          </cell>
          <cell r="D1082" t="str">
            <v>200401</v>
          </cell>
          <cell r="E1082">
            <v>4.0380000000000003</v>
          </cell>
        </row>
        <row r="1083">
          <cell r="A1083" t="str">
            <v>37345200402</v>
          </cell>
          <cell r="B1083">
            <v>37345</v>
          </cell>
          <cell r="C1083" t="str">
            <v>NG</v>
          </cell>
          <cell r="D1083" t="str">
            <v>200402</v>
          </cell>
          <cell r="E1083">
            <v>3.903</v>
          </cell>
        </row>
        <row r="1084">
          <cell r="A1084" t="str">
            <v>37345200403</v>
          </cell>
          <cell r="B1084">
            <v>37345</v>
          </cell>
          <cell r="C1084" t="str">
            <v>NG</v>
          </cell>
          <cell r="D1084" t="str">
            <v>200403</v>
          </cell>
          <cell r="E1084">
            <v>3.7429999999999999</v>
          </cell>
        </row>
        <row r="1085">
          <cell r="A1085" t="str">
            <v>37345200404</v>
          </cell>
          <cell r="B1085">
            <v>37345</v>
          </cell>
          <cell r="C1085" t="str">
            <v>NG</v>
          </cell>
          <cell r="D1085" t="str">
            <v>200404</v>
          </cell>
          <cell r="E1085">
            <v>3.4830000000000001</v>
          </cell>
        </row>
        <row r="1086">
          <cell r="A1086" t="str">
            <v>37345200405</v>
          </cell>
          <cell r="B1086">
            <v>37345</v>
          </cell>
          <cell r="C1086" t="str">
            <v>NG</v>
          </cell>
          <cell r="D1086" t="str">
            <v>200405</v>
          </cell>
          <cell r="E1086">
            <v>3.4710000000000001</v>
          </cell>
        </row>
        <row r="1087">
          <cell r="A1087" t="str">
            <v>37345200406</v>
          </cell>
          <cell r="B1087">
            <v>37345</v>
          </cell>
          <cell r="C1087" t="str">
            <v>NG</v>
          </cell>
          <cell r="D1087" t="str">
            <v>200406</v>
          </cell>
          <cell r="E1087">
            <v>3.5259999999999998</v>
          </cell>
        </row>
        <row r="1088">
          <cell r="A1088" t="str">
            <v>37345200407</v>
          </cell>
          <cell r="B1088">
            <v>37345</v>
          </cell>
          <cell r="C1088" t="str">
            <v>NG</v>
          </cell>
          <cell r="D1088" t="str">
            <v>200407</v>
          </cell>
          <cell r="E1088">
            <v>3.5459999999999998</v>
          </cell>
        </row>
        <row r="1089">
          <cell r="A1089" t="str">
            <v>37345200408</v>
          </cell>
          <cell r="B1089">
            <v>37345</v>
          </cell>
          <cell r="C1089" t="str">
            <v>NG</v>
          </cell>
          <cell r="D1089" t="str">
            <v>200408</v>
          </cell>
          <cell r="E1089">
            <v>3.5659999999999998</v>
          </cell>
        </row>
        <row r="1090">
          <cell r="A1090" t="str">
            <v>37345200409</v>
          </cell>
          <cell r="B1090">
            <v>37345</v>
          </cell>
          <cell r="C1090" t="str">
            <v>NG</v>
          </cell>
          <cell r="D1090" t="str">
            <v>200409</v>
          </cell>
          <cell r="E1090">
            <v>3.5459999999999998</v>
          </cell>
        </row>
        <row r="1091">
          <cell r="A1091" t="str">
            <v>37345200410</v>
          </cell>
          <cell r="B1091">
            <v>37345</v>
          </cell>
          <cell r="C1091" t="str">
            <v>NG</v>
          </cell>
          <cell r="D1091" t="str">
            <v>200410</v>
          </cell>
          <cell r="E1091">
            <v>3.5760000000000001</v>
          </cell>
        </row>
        <row r="1092">
          <cell r="A1092" t="str">
            <v>37345200411</v>
          </cell>
          <cell r="B1092">
            <v>37345</v>
          </cell>
          <cell r="C1092" t="str">
            <v>NG</v>
          </cell>
          <cell r="D1092" t="str">
            <v>200411</v>
          </cell>
          <cell r="E1092">
            <v>3.766</v>
          </cell>
        </row>
        <row r="1093">
          <cell r="A1093" t="str">
            <v>37345200412</v>
          </cell>
          <cell r="B1093">
            <v>37345</v>
          </cell>
          <cell r="C1093" t="str">
            <v>NG</v>
          </cell>
          <cell r="D1093" t="str">
            <v>200412</v>
          </cell>
          <cell r="E1093">
            <v>3.9409999999999998</v>
          </cell>
        </row>
        <row r="1094">
          <cell r="A1094" t="str">
            <v>37346200401</v>
          </cell>
          <cell r="B1094">
            <v>37346</v>
          </cell>
          <cell r="C1094" t="str">
            <v>NG</v>
          </cell>
          <cell r="D1094" t="str">
            <v>200401</v>
          </cell>
          <cell r="E1094">
            <v>4.0380000000000003</v>
          </cell>
        </row>
        <row r="1095">
          <cell r="A1095" t="str">
            <v>37346200402</v>
          </cell>
          <cell r="B1095">
            <v>37346</v>
          </cell>
          <cell r="C1095" t="str">
            <v>NG</v>
          </cell>
          <cell r="D1095" t="str">
            <v>200402</v>
          </cell>
          <cell r="E1095">
            <v>3.903</v>
          </cell>
        </row>
        <row r="1096">
          <cell r="A1096" t="str">
            <v>37346200403</v>
          </cell>
          <cell r="B1096">
            <v>37346</v>
          </cell>
          <cell r="C1096" t="str">
            <v>NG</v>
          </cell>
          <cell r="D1096" t="str">
            <v>200403</v>
          </cell>
          <cell r="E1096">
            <v>3.7429999999999999</v>
          </cell>
        </row>
        <row r="1097">
          <cell r="A1097" t="str">
            <v>37346200404</v>
          </cell>
          <cell r="B1097">
            <v>37346</v>
          </cell>
          <cell r="C1097" t="str">
            <v>NG</v>
          </cell>
          <cell r="D1097" t="str">
            <v>200404</v>
          </cell>
          <cell r="E1097">
            <v>3.4830000000000001</v>
          </cell>
        </row>
        <row r="1098">
          <cell r="A1098" t="str">
            <v>37346200405</v>
          </cell>
          <cell r="B1098">
            <v>37346</v>
          </cell>
          <cell r="C1098" t="str">
            <v>NG</v>
          </cell>
          <cell r="D1098" t="str">
            <v>200405</v>
          </cell>
          <cell r="E1098">
            <v>3.4710000000000001</v>
          </cell>
        </row>
        <row r="1099">
          <cell r="A1099" t="str">
            <v>37346200406</v>
          </cell>
          <cell r="B1099">
            <v>37346</v>
          </cell>
          <cell r="C1099" t="str">
            <v>NG</v>
          </cell>
          <cell r="D1099" t="str">
            <v>200406</v>
          </cell>
          <cell r="E1099">
            <v>3.5259999999999998</v>
          </cell>
        </row>
        <row r="1100">
          <cell r="A1100" t="str">
            <v>37346200407</v>
          </cell>
          <cell r="B1100">
            <v>37346</v>
          </cell>
          <cell r="C1100" t="str">
            <v>NG</v>
          </cell>
          <cell r="D1100" t="str">
            <v>200407</v>
          </cell>
          <cell r="E1100">
            <v>3.5459999999999998</v>
          </cell>
        </row>
        <row r="1101">
          <cell r="A1101" t="str">
            <v>37346200408</v>
          </cell>
          <cell r="B1101">
            <v>37346</v>
          </cell>
          <cell r="C1101" t="str">
            <v>NG</v>
          </cell>
          <cell r="D1101" t="str">
            <v>200408</v>
          </cell>
          <cell r="E1101">
            <v>3.5659999999999998</v>
          </cell>
        </row>
        <row r="1102">
          <cell r="A1102" t="str">
            <v>37346200409</v>
          </cell>
          <cell r="B1102">
            <v>37346</v>
          </cell>
          <cell r="C1102" t="str">
            <v>NG</v>
          </cell>
          <cell r="D1102" t="str">
            <v>200409</v>
          </cell>
          <cell r="E1102">
            <v>3.5459999999999998</v>
          </cell>
        </row>
        <row r="1103">
          <cell r="A1103" t="str">
            <v>37346200410</v>
          </cell>
          <cell r="B1103">
            <v>37346</v>
          </cell>
          <cell r="C1103" t="str">
            <v>NG</v>
          </cell>
          <cell r="D1103" t="str">
            <v>200410</v>
          </cell>
          <cell r="E1103">
            <v>3.5760000000000001</v>
          </cell>
        </row>
        <row r="1104">
          <cell r="A1104" t="str">
            <v>37346200411</v>
          </cell>
          <cell r="B1104">
            <v>37346</v>
          </cell>
          <cell r="C1104" t="str">
            <v>NG</v>
          </cell>
          <cell r="D1104" t="str">
            <v>200411</v>
          </cell>
          <cell r="E1104">
            <v>3.766</v>
          </cell>
        </row>
        <row r="1105">
          <cell r="A1105" t="str">
            <v>37346200412</v>
          </cell>
          <cell r="B1105">
            <v>37346</v>
          </cell>
          <cell r="C1105" t="str">
            <v>NG</v>
          </cell>
          <cell r="D1105" t="str">
            <v>200412</v>
          </cell>
          <cell r="E1105">
            <v>3.9409999999999998</v>
          </cell>
        </row>
        <row r="1106">
          <cell r="A1106" t="str">
            <v>37347200401</v>
          </cell>
          <cell r="B1106">
            <v>37347</v>
          </cell>
          <cell r="C1106" t="str">
            <v>NG</v>
          </cell>
          <cell r="D1106" t="str">
            <v>200401</v>
          </cell>
          <cell r="E1106">
            <v>4.0830000000000002</v>
          </cell>
        </row>
        <row r="1107">
          <cell r="A1107" t="str">
            <v>37347200402</v>
          </cell>
          <cell r="B1107">
            <v>37347</v>
          </cell>
          <cell r="C1107" t="str">
            <v>NG</v>
          </cell>
          <cell r="D1107" t="str">
            <v>200402</v>
          </cell>
          <cell r="E1107">
            <v>3.948</v>
          </cell>
        </row>
        <row r="1108">
          <cell r="A1108" t="str">
            <v>37347200403</v>
          </cell>
          <cell r="B1108">
            <v>37347</v>
          </cell>
          <cell r="C1108" t="str">
            <v>NG</v>
          </cell>
          <cell r="D1108" t="str">
            <v>200403</v>
          </cell>
          <cell r="E1108">
            <v>3.7829999999999999</v>
          </cell>
        </row>
        <row r="1109">
          <cell r="A1109" t="str">
            <v>37347200404</v>
          </cell>
          <cell r="B1109">
            <v>37347</v>
          </cell>
          <cell r="C1109" t="str">
            <v>NG</v>
          </cell>
          <cell r="D1109" t="str">
            <v>200404</v>
          </cell>
          <cell r="E1109">
            <v>3.5179999999999998</v>
          </cell>
        </row>
        <row r="1110">
          <cell r="A1110" t="str">
            <v>37347200405</v>
          </cell>
          <cell r="B1110">
            <v>37347</v>
          </cell>
          <cell r="C1110" t="str">
            <v>NG</v>
          </cell>
          <cell r="D1110" t="str">
            <v>200405</v>
          </cell>
          <cell r="E1110">
            <v>3.4929999999999999</v>
          </cell>
        </row>
        <row r="1111">
          <cell r="A1111" t="str">
            <v>37347200406</v>
          </cell>
          <cell r="B1111">
            <v>37347</v>
          </cell>
          <cell r="C1111" t="str">
            <v>NG</v>
          </cell>
          <cell r="D1111" t="str">
            <v>200406</v>
          </cell>
          <cell r="E1111">
            <v>3.528</v>
          </cell>
        </row>
        <row r="1112">
          <cell r="A1112" t="str">
            <v>37347200407</v>
          </cell>
          <cell r="B1112">
            <v>37347</v>
          </cell>
          <cell r="C1112" t="str">
            <v>NG</v>
          </cell>
          <cell r="D1112" t="str">
            <v>200407</v>
          </cell>
          <cell r="E1112">
            <v>3.548</v>
          </cell>
        </row>
        <row r="1113">
          <cell r="A1113" t="str">
            <v>37347200408</v>
          </cell>
          <cell r="B1113">
            <v>37347</v>
          </cell>
          <cell r="C1113" t="str">
            <v>NG</v>
          </cell>
          <cell r="D1113" t="str">
            <v>200408</v>
          </cell>
          <cell r="E1113">
            <v>3.5680000000000001</v>
          </cell>
        </row>
        <row r="1114">
          <cell r="A1114" t="str">
            <v>37347200409</v>
          </cell>
          <cell r="B1114">
            <v>37347</v>
          </cell>
          <cell r="C1114" t="str">
            <v>NG</v>
          </cell>
          <cell r="D1114" t="str">
            <v>200409</v>
          </cell>
          <cell r="E1114">
            <v>3.5430000000000001</v>
          </cell>
        </row>
        <row r="1115">
          <cell r="A1115" t="str">
            <v>37347200410</v>
          </cell>
          <cell r="B1115">
            <v>37347</v>
          </cell>
          <cell r="C1115" t="str">
            <v>NG</v>
          </cell>
          <cell r="D1115" t="str">
            <v>200410</v>
          </cell>
          <cell r="E1115">
            <v>3.5680000000000001</v>
          </cell>
        </row>
        <row r="1116">
          <cell r="A1116" t="str">
            <v>37347200411</v>
          </cell>
          <cell r="B1116">
            <v>37347</v>
          </cell>
          <cell r="C1116" t="str">
            <v>NG</v>
          </cell>
          <cell r="D1116" t="str">
            <v>200411</v>
          </cell>
          <cell r="E1116">
            <v>3.758</v>
          </cell>
        </row>
        <row r="1117">
          <cell r="A1117" t="str">
            <v>37347200412</v>
          </cell>
          <cell r="B1117">
            <v>37347</v>
          </cell>
          <cell r="C1117" t="str">
            <v>NG</v>
          </cell>
          <cell r="D1117" t="str">
            <v>200412</v>
          </cell>
          <cell r="E1117">
            <v>3.9279999999999999</v>
          </cell>
        </row>
        <row r="1118">
          <cell r="A1118" t="str">
            <v>37348200401</v>
          </cell>
          <cell r="B1118">
            <v>37348</v>
          </cell>
          <cell r="C1118" t="str">
            <v>NG</v>
          </cell>
          <cell r="D1118" t="str">
            <v>200401</v>
          </cell>
          <cell r="E1118">
            <v>4.0990000000000002</v>
          </cell>
        </row>
        <row r="1119">
          <cell r="A1119" t="str">
            <v>37348200402</v>
          </cell>
          <cell r="B1119">
            <v>37348</v>
          </cell>
          <cell r="C1119" t="str">
            <v>NG</v>
          </cell>
          <cell r="D1119" t="str">
            <v>200402</v>
          </cell>
          <cell r="E1119">
            <v>3.9609999999999999</v>
          </cell>
        </row>
        <row r="1120">
          <cell r="A1120" t="str">
            <v>37348200403</v>
          </cell>
          <cell r="B1120">
            <v>37348</v>
          </cell>
          <cell r="C1120" t="str">
            <v>NG</v>
          </cell>
          <cell r="D1120" t="str">
            <v>200403</v>
          </cell>
          <cell r="E1120">
            <v>3.7959999999999998</v>
          </cell>
        </row>
        <row r="1121">
          <cell r="A1121" t="str">
            <v>37348200404</v>
          </cell>
          <cell r="B1121">
            <v>37348</v>
          </cell>
          <cell r="C1121" t="str">
            <v>NG</v>
          </cell>
          <cell r="D1121" t="str">
            <v>200404</v>
          </cell>
          <cell r="E1121">
            <v>3.5259999999999998</v>
          </cell>
        </row>
        <row r="1122">
          <cell r="A1122" t="str">
            <v>37348200405</v>
          </cell>
          <cell r="B1122">
            <v>37348</v>
          </cell>
          <cell r="C1122" t="str">
            <v>NG</v>
          </cell>
          <cell r="D1122" t="str">
            <v>200405</v>
          </cell>
          <cell r="E1122">
            <v>3.4910000000000001</v>
          </cell>
        </row>
        <row r="1123">
          <cell r="A1123" t="str">
            <v>37348200406</v>
          </cell>
          <cell r="B1123">
            <v>37348</v>
          </cell>
          <cell r="C1123" t="str">
            <v>NG</v>
          </cell>
          <cell r="D1123" t="str">
            <v>200406</v>
          </cell>
          <cell r="E1123">
            <v>3.5259999999999998</v>
          </cell>
        </row>
        <row r="1124">
          <cell r="A1124" t="str">
            <v>37348200407</v>
          </cell>
          <cell r="B1124">
            <v>37348</v>
          </cell>
          <cell r="C1124" t="str">
            <v>NG</v>
          </cell>
          <cell r="D1124" t="str">
            <v>200407</v>
          </cell>
          <cell r="E1124">
            <v>3.5459999999999998</v>
          </cell>
        </row>
        <row r="1125">
          <cell r="A1125" t="str">
            <v>37348200408</v>
          </cell>
          <cell r="B1125">
            <v>37348</v>
          </cell>
          <cell r="C1125" t="str">
            <v>NG</v>
          </cell>
          <cell r="D1125" t="str">
            <v>200408</v>
          </cell>
          <cell r="E1125">
            <v>3.5659999999999998</v>
          </cell>
        </row>
        <row r="1126">
          <cell r="A1126" t="str">
            <v>37348200409</v>
          </cell>
          <cell r="B1126">
            <v>37348</v>
          </cell>
          <cell r="C1126" t="str">
            <v>NG</v>
          </cell>
          <cell r="D1126" t="str">
            <v>200409</v>
          </cell>
          <cell r="E1126">
            <v>3.5310000000000001</v>
          </cell>
        </row>
        <row r="1127">
          <cell r="A1127" t="str">
            <v>37348200410</v>
          </cell>
          <cell r="B1127">
            <v>37348</v>
          </cell>
          <cell r="C1127" t="str">
            <v>NG</v>
          </cell>
          <cell r="D1127" t="str">
            <v>200410</v>
          </cell>
          <cell r="E1127">
            <v>3.5459999999999998</v>
          </cell>
        </row>
        <row r="1128">
          <cell r="A1128" t="str">
            <v>37348200411</v>
          </cell>
          <cell r="B1128">
            <v>37348</v>
          </cell>
          <cell r="C1128" t="str">
            <v>NG</v>
          </cell>
          <cell r="D1128" t="str">
            <v>200411</v>
          </cell>
          <cell r="E1128">
            <v>3.7309999999999999</v>
          </cell>
        </row>
        <row r="1129">
          <cell r="A1129" t="str">
            <v>37348200412</v>
          </cell>
          <cell r="B1129">
            <v>37348</v>
          </cell>
          <cell r="C1129" t="str">
            <v>NG</v>
          </cell>
          <cell r="D1129" t="str">
            <v>200412</v>
          </cell>
          <cell r="E1129">
            <v>3.891</v>
          </cell>
        </row>
        <row r="1130">
          <cell r="A1130" t="str">
            <v>37349200401</v>
          </cell>
          <cell r="B1130">
            <v>37349</v>
          </cell>
          <cell r="C1130" t="str">
            <v>NG</v>
          </cell>
          <cell r="D1130" t="str">
            <v>200401</v>
          </cell>
          <cell r="E1130">
            <v>4.0060000000000002</v>
          </cell>
        </row>
        <row r="1131">
          <cell r="A1131" t="str">
            <v>37349200402</v>
          </cell>
          <cell r="B1131">
            <v>37349</v>
          </cell>
          <cell r="C1131" t="str">
            <v>NG</v>
          </cell>
          <cell r="D1131" t="str">
            <v>200402</v>
          </cell>
          <cell r="E1131">
            <v>3.8679999999999999</v>
          </cell>
        </row>
        <row r="1132">
          <cell r="A1132" t="str">
            <v>37349200403</v>
          </cell>
          <cell r="B1132">
            <v>37349</v>
          </cell>
          <cell r="C1132" t="str">
            <v>NG</v>
          </cell>
          <cell r="D1132" t="str">
            <v>200403</v>
          </cell>
          <cell r="E1132">
            <v>3.7029999999999998</v>
          </cell>
        </row>
        <row r="1133">
          <cell r="A1133" t="str">
            <v>37349200404</v>
          </cell>
          <cell r="B1133">
            <v>37349</v>
          </cell>
          <cell r="C1133" t="str">
            <v>NG</v>
          </cell>
          <cell r="D1133" t="str">
            <v>200404</v>
          </cell>
          <cell r="E1133">
            <v>3.4329999999999998</v>
          </cell>
        </row>
        <row r="1134">
          <cell r="A1134" t="str">
            <v>37349200405</v>
          </cell>
          <cell r="B1134">
            <v>37349</v>
          </cell>
          <cell r="C1134" t="str">
            <v>NG</v>
          </cell>
          <cell r="D1134" t="str">
            <v>200405</v>
          </cell>
          <cell r="E1134">
            <v>3.3980000000000001</v>
          </cell>
        </row>
        <row r="1135">
          <cell r="A1135" t="str">
            <v>37349200406</v>
          </cell>
          <cell r="B1135">
            <v>37349</v>
          </cell>
          <cell r="C1135" t="str">
            <v>NG</v>
          </cell>
          <cell r="D1135" t="str">
            <v>200406</v>
          </cell>
          <cell r="E1135">
            <v>3.4329999999999998</v>
          </cell>
        </row>
        <row r="1136">
          <cell r="A1136" t="str">
            <v>37349200407</v>
          </cell>
          <cell r="B1136">
            <v>37349</v>
          </cell>
          <cell r="C1136" t="str">
            <v>NG</v>
          </cell>
          <cell r="D1136" t="str">
            <v>200407</v>
          </cell>
          <cell r="E1136">
            <v>3.4529999999999998</v>
          </cell>
        </row>
        <row r="1137">
          <cell r="A1137" t="str">
            <v>37349200408</v>
          </cell>
          <cell r="B1137">
            <v>37349</v>
          </cell>
          <cell r="C1137" t="str">
            <v>NG</v>
          </cell>
          <cell r="D1137" t="str">
            <v>200408</v>
          </cell>
          <cell r="E1137">
            <v>3.4729999999999999</v>
          </cell>
        </row>
        <row r="1138">
          <cell r="A1138" t="str">
            <v>37349200409</v>
          </cell>
          <cell r="B1138">
            <v>37349</v>
          </cell>
          <cell r="C1138" t="str">
            <v>NG</v>
          </cell>
          <cell r="D1138" t="str">
            <v>200409</v>
          </cell>
          <cell r="E1138">
            <v>3.4380000000000002</v>
          </cell>
        </row>
        <row r="1139">
          <cell r="A1139" t="str">
            <v>37349200410</v>
          </cell>
          <cell r="B1139">
            <v>37349</v>
          </cell>
          <cell r="C1139" t="str">
            <v>NG</v>
          </cell>
          <cell r="D1139" t="str">
            <v>200410</v>
          </cell>
          <cell r="E1139">
            <v>3.4529999999999998</v>
          </cell>
        </row>
        <row r="1140">
          <cell r="A1140" t="str">
            <v>37349200411</v>
          </cell>
          <cell r="B1140">
            <v>37349</v>
          </cell>
          <cell r="C1140" t="str">
            <v>NG</v>
          </cell>
          <cell r="D1140" t="str">
            <v>200411</v>
          </cell>
          <cell r="E1140">
            <v>3.6379999999999999</v>
          </cell>
        </row>
        <row r="1141">
          <cell r="A1141" t="str">
            <v>37349200412</v>
          </cell>
          <cell r="B1141">
            <v>37349</v>
          </cell>
          <cell r="C1141" t="str">
            <v>NG</v>
          </cell>
          <cell r="D1141" t="str">
            <v>200412</v>
          </cell>
          <cell r="E1141">
            <v>3.798</v>
          </cell>
        </row>
        <row r="1142">
          <cell r="A1142" t="str">
            <v>37350200401</v>
          </cell>
          <cell r="B1142">
            <v>37350</v>
          </cell>
          <cell r="C1142" t="str">
            <v>NG</v>
          </cell>
          <cell r="D1142" t="str">
            <v>200401</v>
          </cell>
          <cell r="E1142">
            <v>3.9470000000000001</v>
          </cell>
        </row>
        <row r="1143">
          <cell r="A1143" t="str">
            <v>37350200402</v>
          </cell>
          <cell r="B1143">
            <v>37350</v>
          </cell>
          <cell r="C1143" t="str">
            <v>NG</v>
          </cell>
          <cell r="D1143" t="str">
            <v>200402</v>
          </cell>
          <cell r="E1143">
            <v>3.8170000000000002</v>
          </cell>
        </row>
        <row r="1144">
          <cell r="A1144" t="str">
            <v>37350200403</v>
          </cell>
          <cell r="B1144">
            <v>37350</v>
          </cell>
          <cell r="C1144" t="str">
            <v>NG</v>
          </cell>
          <cell r="D1144" t="str">
            <v>200403</v>
          </cell>
          <cell r="E1144">
            <v>3.67</v>
          </cell>
        </row>
        <row r="1145">
          <cell r="A1145" t="str">
            <v>37350200404</v>
          </cell>
          <cell r="B1145">
            <v>37350</v>
          </cell>
          <cell r="C1145" t="str">
            <v>NG</v>
          </cell>
          <cell r="D1145" t="str">
            <v>200404</v>
          </cell>
          <cell r="E1145">
            <v>3.42</v>
          </cell>
        </row>
        <row r="1146">
          <cell r="A1146" t="str">
            <v>37350200405</v>
          </cell>
          <cell r="B1146">
            <v>37350</v>
          </cell>
          <cell r="C1146" t="str">
            <v>NG</v>
          </cell>
          <cell r="D1146" t="str">
            <v>200405</v>
          </cell>
          <cell r="E1146">
            <v>3.3849999999999998</v>
          </cell>
        </row>
        <row r="1147">
          <cell r="A1147" t="str">
            <v>37350200406</v>
          </cell>
          <cell r="B1147">
            <v>37350</v>
          </cell>
          <cell r="C1147" t="str">
            <v>NG</v>
          </cell>
          <cell r="D1147" t="str">
            <v>200406</v>
          </cell>
          <cell r="E1147">
            <v>3.42</v>
          </cell>
        </row>
        <row r="1148">
          <cell r="A1148" t="str">
            <v>37350200407</v>
          </cell>
          <cell r="B1148">
            <v>37350</v>
          </cell>
          <cell r="C1148" t="str">
            <v>NG</v>
          </cell>
          <cell r="D1148" t="str">
            <v>200407</v>
          </cell>
          <cell r="E1148">
            <v>3.4449999999999998</v>
          </cell>
        </row>
        <row r="1149">
          <cell r="A1149" t="str">
            <v>37350200408</v>
          </cell>
          <cell r="B1149">
            <v>37350</v>
          </cell>
          <cell r="C1149" t="str">
            <v>NG</v>
          </cell>
          <cell r="D1149" t="str">
            <v>200408</v>
          </cell>
          <cell r="E1149">
            <v>3.4670000000000001</v>
          </cell>
        </row>
        <row r="1150">
          <cell r="A1150" t="str">
            <v>37350200409</v>
          </cell>
          <cell r="B1150">
            <v>37350</v>
          </cell>
          <cell r="C1150" t="str">
            <v>NG</v>
          </cell>
          <cell r="D1150" t="str">
            <v>200409</v>
          </cell>
          <cell r="E1150">
            <v>3.4220000000000002</v>
          </cell>
        </row>
        <row r="1151">
          <cell r="A1151" t="str">
            <v>37350200410</v>
          </cell>
          <cell r="B1151">
            <v>37350</v>
          </cell>
          <cell r="C1151" t="str">
            <v>NG</v>
          </cell>
          <cell r="D1151" t="str">
            <v>200410</v>
          </cell>
          <cell r="E1151">
            <v>3.4369999999999998</v>
          </cell>
        </row>
        <row r="1152">
          <cell r="A1152" t="str">
            <v>37350200411</v>
          </cell>
          <cell r="B1152">
            <v>37350</v>
          </cell>
          <cell r="C1152" t="str">
            <v>NG</v>
          </cell>
          <cell r="D1152" t="str">
            <v>200411</v>
          </cell>
          <cell r="E1152">
            <v>3.6219999999999999</v>
          </cell>
        </row>
        <row r="1153">
          <cell r="A1153" t="str">
            <v>37350200412</v>
          </cell>
          <cell r="B1153">
            <v>37350</v>
          </cell>
          <cell r="C1153" t="str">
            <v>NG</v>
          </cell>
          <cell r="D1153" t="str">
            <v>200412</v>
          </cell>
          <cell r="E1153">
            <v>3.782</v>
          </cell>
        </row>
        <row r="1154">
          <cell r="A1154" t="str">
            <v>37351200401</v>
          </cell>
          <cell r="B1154">
            <v>37351</v>
          </cell>
          <cell r="C1154" t="str">
            <v>NG</v>
          </cell>
          <cell r="D1154" t="str">
            <v>200401</v>
          </cell>
          <cell r="E1154">
            <v>3.9460000000000002</v>
          </cell>
        </row>
        <row r="1155">
          <cell r="A1155" t="str">
            <v>37351200402</v>
          </cell>
          <cell r="B1155">
            <v>37351</v>
          </cell>
          <cell r="C1155" t="str">
            <v>NG</v>
          </cell>
          <cell r="D1155" t="str">
            <v>200402</v>
          </cell>
          <cell r="E1155">
            <v>3.8260000000000001</v>
          </cell>
        </row>
        <row r="1156">
          <cell r="A1156" t="str">
            <v>37351200403</v>
          </cell>
          <cell r="B1156">
            <v>37351</v>
          </cell>
          <cell r="C1156" t="str">
            <v>NG</v>
          </cell>
          <cell r="D1156" t="str">
            <v>200403</v>
          </cell>
          <cell r="E1156">
            <v>3.6859999999999999</v>
          </cell>
        </row>
        <row r="1157">
          <cell r="A1157" t="str">
            <v>37351200404</v>
          </cell>
          <cell r="B1157">
            <v>37351</v>
          </cell>
          <cell r="C1157" t="str">
            <v>NG</v>
          </cell>
          <cell r="D1157" t="str">
            <v>200404</v>
          </cell>
          <cell r="E1157">
            <v>3.4359999999999999</v>
          </cell>
        </row>
        <row r="1158">
          <cell r="A1158" t="str">
            <v>37351200405</v>
          </cell>
          <cell r="B1158">
            <v>37351</v>
          </cell>
          <cell r="C1158" t="str">
            <v>NG</v>
          </cell>
          <cell r="D1158" t="str">
            <v>200405</v>
          </cell>
          <cell r="E1158">
            <v>3.4009999999999998</v>
          </cell>
        </row>
        <row r="1159">
          <cell r="A1159" t="str">
            <v>37351200406</v>
          </cell>
          <cell r="B1159">
            <v>37351</v>
          </cell>
          <cell r="C1159" t="str">
            <v>NG</v>
          </cell>
          <cell r="D1159" t="str">
            <v>200406</v>
          </cell>
          <cell r="E1159">
            <v>3.4359999999999999</v>
          </cell>
        </row>
        <row r="1160">
          <cell r="A1160" t="str">
            <v>37351200407</v>
          </cell>
          <cell r="B1160">
            <v>37351</v>
          </cell>
          <cell r="C1160" t="str">
            <v>NG</v>
          </cell>
          <cell r="D1160" t="str">
            <v>200407</v>
          </cell>
          <cell r="E1160">
            <v>3.4660000000000002</v>
          </cell>
        </row>
        <row r="1161">
          <cell r="A1161" t="str">
            <v>37351200408</v>
          </cell>
          <cell r="B1161">
            <v>37351</v>
          </cell>
          <cell r="C1161" t="str">
            <v>NG</v>
          </cell>
          <cell r="D1161" t="str">
            <v>200408</v>
          </cell>
          <cell r="E1161">
            <v>3.4910000000000001</v>
          </cell>
        </row>
        <row r="1162">
          <cell r="A1162" t="str">
            <v>37351200409</v>
          </cell>
          <cell r="B1162">
            <v>37351</v>
          </cell>
          <cell r="C1162" t="str">
            <v>NG</v>
          </cell>
          <cell r="D1162" t="str">
            <v>200409</v>
          </cell>
          <cell r="E1162">
            <v>3.4590000000000001</v>
          </cell>
        </row>
        <row r="1163">
          <cell r="A1163" t="str">
            <v>37351200410</v>
          </cell>
          <cell r="B1163">
            <v>37351</v>
          </cell>
          <cell r="C1163" t="str">
            <v>NG</v>
          </cell>
          <cell r="D1163" t="str">
            <v>200410</v>
          </cell>
          <cell r="E1163">
            <v>3.4660000000000002</v>
          </cell>
        </row>
        <row r="1164">
          <cell r="A1164" t="str">
            <v>37351200411</v>
          </cell>
          <cell r="B1164">
            <v>37351</v>
          </cell>
          <cell r="C1164" t="str">
            <v>NG</v>
          </cell>
          <cell r="D1164" t="str">
            <v>200411</v>
          </cell>
          <cell r="E1164">
            <v>3.6509999999999998</v>
          </cell>
        </row>
        <row r="1165">
          <cell r="A1165" t="str">
            <v>37351200412</v>
          </cell>
          <cell r="B1165">
            <v>37351</v>
          </cell>
          <cell r="C1165" t="str">
            <v>NG</v>
          </cell>
          <cell r="D1165" t="str">
            <v>200412</v>
          </cell>
          <cell r="E1165">
            <v>3.8159999999999998</v>
          </cell>
        </row>
        <row r="1166">
          <cell r="A1166" t="str">
            <v>37354200401</v>
          </cell>
          <cell r="B1166">
            <v>37354</v>
          </cell>
          <cell r="C1166" t="str">
            <v>NG</v>
          </cell>
          <cell r="D1166" t="str">
            <v>200401</v>
          </cell>
          <cell r="E1166">
            <v>3.9990000000000001</v>
          </cell>
        </row>
        <row r="1167">
          <cell r="A1167" t="str">
            <v>37354200402</v>
          </cell>
          <cell r="B1167">
            <v>37354</v>
          </cell>
          <cell r="C1167" t="str">
            <v>NG</v>
          </cell>
          <cell r="D1167" t="str">
            <v>200402</v>
          </cell>
          <cell r="E1167">
            <v>3.8839999999999999</v>
          </cell>
        </row>
        <row r="1168">
          <cell r="A1168" t="str">
            <v>37354200403</v>
          </cell>
          <cell r="B1168">
            <v>37354</v>
          </cell>
          <cell r="C1168" t="str">
            <v>NG</v>
          </cell>
          <cell r="D1168" t="str">
            <v>200403</v>
          </cell>
          <cell r="E1168">
            <v>3.7370000000000001</v>
          </cell>
        </row>
        <row r="1169">
          <cell r="A1169" t="str">
            <v>37354200404</v>
          </cell>
          <cell r="B1169">
            <v>37354</v>
          </cell>
          <cell r="C1169" t="str">
            <v>NG</v>
          </cell>
          <cell r="D1169" t="str">
            <v>200404</v>
          </cell>
          <cell r="E1169">
            <v>3.4790000000000001</v>
          </cell>
        </row>
        <row r="1170">
          <cell r="A1170" t="str">
            <v>37354200405</v>
          </cell>
          <cell r="B1170">
            <v>37354</v>
          </cell>
          <cell r="C1170" t="str">
            <v>NG</v>
          </cell>
          <cell r="D1170" t="str">
            <v>200405</v>
          </cell>
          <cell r="E1170">
            <v>3.4489999999999998</v>
          </cell>
        </row>
        <row r="1171">
          <cell r="A1171" t="str">
            <v>37354200406</v>
          </cell>
          <cell r="B1171">
            <v>37354</v>
          </cell>
          <cell r="C1171" t="str">
            <v>NG</v>
          </cell>
          <cell r="D1171" t="str">
            <v>200406</v>
          </cell>
          <cell r="E1171">
            <v>3.4790000000000001</v>
          </cell>
        </row>
        <row r="1172">
          <cell r="A1172" t="str">
            <v>37354200407</v>
          </cell>
          <cell r="B1172">
            <v>37354</v>
          </cell>
          <cell r="C1172" t="str">
            <v>NG</v>
          </cell>
          <cell r="D1172" t="str">
            <v>200407</v>
          </cell>
          <cell r="E1172">
            <v>3.5089999999999999</v>
          </cell>
        </row>
        <row r="1173">
          <cell r="A1173" t="str">
            <v>37354200408</v>
          </cell>
          <cell r="B1173">
            <v>37354</v>
          </cell>
          <cell r="C1173" t="str">
            <v>NG</v>
          </cell>
          <cell r="D1173" t="str">
            <v>200408</v>
          </cell>
          <cell r="E1173">
            <v>3.5339999999999998</v>
          </cell>
        </row>
        <row r="1174">
          <cell r="A1174" t="str">
            <v>37354200409</v>
          </cell>
          <cell r="B1174">
            <v>37354</v>
          </cell>
          <cell r="C1174" t="str">
            <v>NG</v>
          </cell>
          <cell r="D1174" t="str">
            <v>200409</v>
          </cell>
          <cell r="E1174">
            <v>3.5139999999999998</v>
          </cell>
        </row>
        <row r="1175">
          <cell r="A1175" t="str">
            <v>37354200410</v>
          </cell>
          <cell r="B1175">
            <v>37354</v>
          </cell>
          <cell r="C1175" t="str">
            <v>NG</v>
          </cell>
          <cell r="D1175" t="str">
            <v>200410</v>
          </cell>
          <cell r="E1175">
            <v>3.524</v>
          </cell>
        </row>
        <row r="1176">
          <cell r="A1176" t="str">
            <v>37354200411</v>
          </cell>
          <cell r="B1176">
            <v>37354</v>
          </cell>
          <cell r="C1176" t="str">
            <v>NG</v>
          </cell>
          <cell r="D1176" t="str">
            <v>200411</v>
          </cell>
          <cell r="E1176">
            <v>3.7040000000000002</v>
          </cell>
        </row>
        <row r="1177">
          <cell r="A1177" t="str">
            <v>37354200412</v>
          </cell>
          <cell r="B1177">
            <v>37354</v>
          </cell>
          <cell r="C1177" t="str">
            <v>NG</v>
          </cell>
          <cell r="D1177" t="str">
            <v>200412</v>
          </cell>
          <cell r="E1177">
            <v>3.8540000000000001</v>
          </cell>
        </row>
        <row r="1178">
          <cell r="A1178" t="str">
            <v>37355200401</v>
          </cell>
          <cell r="B1178">
            <v>37355</v>
          </cell>
          <cell r="C1178" t="str">
            <v>NG</v>
          </cell>
          <cell r="D1178" t="str">
            <v>200401</v>
          </cell>
          <cell r="E1178">
            <v>3.9159999999999999</v>
          </cell>
        </row>
        <row r="1179">
          <cell r="A1179" t="str">
            <v>37355200402</v>
          </cell>
          <cell r="B1179">
            <v>37355</v>
          </cell>
          <cell r="C1179" t="str">
            <v>NG</v>
          </cell>
          <cell r="D1179" t="str">
            <v>200402</v>
          </cell>
          <cell r="E1179">
            <v>3.8010000000000002</v>
          </cell>
        </row>
        <row r="1180">
          <cell r="A1180" t="str">
            <v>37355200403</v>
          </cell>
          <cell r="B1180">
            <v>37355</v>
          </cell>
          <cell r="C1180" t="str">
            <v>NG</v>
          </cell>
          <cell r="D1180" t="str">
            <v>200403</v>
          </cell>
          <cell r="E1180">
            <v>3.6509999999999998</v>
          </cell>
        </row>
        <row r="1181">
          <cell r="A1181" t="str">
            <v>37355200404</v>
          </cell>
          <cell r="B1181">
            <v>37355</v>
          </cell>
          <cell r="C1181" t="str">
            <v>NG</v>
          </cell>
          <cell r="D1181" t="str">
            <v>200404</v>
          </cell>
          <cell r="E1181">
            <v>3.4009999999999998</v>
          </cell>
        </row>
        <row r="1182">
          <cell r="A1182" t="str">
            <v>37355200405</v>
          </cell>
          <cell r="B1182">
            <v>37355</v>
          </cell>
          <cell r="C1182" t="str">
            <v>NG</v>
          </cell>
          <cell r="D1182" t="str">
            <v>200405</v>
          </cell>
          <cell r="E1182">
            <v>3.371</v>
          </cell>
        </row>
        <row r="1183">
          <cell r="A1183" t="str">
            <v>37355200406</v>
          </cell>
          <cell r="B1183">
            <v>37355</v>
          </cell>
          <cell r="C1183" t="str">
            <v>NG</v>
          </cell>
          <cell r="D1183" t="str">
            <v>200406</v>
          </cell>
          <cell r="E1183">
            <v>3.3959999999999999</v>
          </cell>
        </row>
        <row r="1184">
          <cell r="A1184" t="str">
            <v>37355200407</v>
          </cell>
          <cell r="B1184">
            <v>37355</v>
          </cell>
          <cell r="C1184" t="str">
            <v>NG</v>
          </cell>
          <cell r="D1184" t="str">
            <v>200407</v>
          </cell>
          <cell r="E1184">
            <v>3.4260000000000002</v>
          </cell>
        </row>
        <row r="1185">
          <cell r="A1185" t="str">
            <v>37355200408</v>
          </cell>
          <cell r="B1185">
            <v>37355</v>
          </cell>
          <cell r="C1185" t="str">
            <v>NG</v>
          </cell>
          <cell r="D1185" t="str">
            <v>200408</v>
          </cell>
          <cell r="E1185">
            <v>3.4510000000000001</v>
          </cell>
        </row>
        <row r="1186">
          <cell r="A1186" t="str">
            <v>37355200409</v>
          </cell>
          <cell r="B1186">
            <v>37355</v>
          </cell>
          <cell r="C1186" t="str">
            <v>NG</v>
          </cell>
          <cell r="D1186" t="str">
            <v>200409</v>
          </cell>
          <cell r="E1186">
            <v>3.431</v>
          </cell>
        </row>
        <row r="1187">
          <cell r="A1187" t="str">
            <v>37355200410</v>
          </cell>
          <cell r="B1187">
            <v>37355</v>
          </cell>
          <cell r="C1187" t="str">
            <v>NG</v>
          </cell>
          <cell r="D1187" t="str">
            <v>200410</v>
          </cell>
          <cell r="E1187">
            <v>3.4409999999999998</v>
          </cell>
        </row>
        <row r="1188">
          <cell r="A1188" t="str">
            <v>37355200411</v>
          </cell>
          <cell r="B1188">
            <v>37355</v>
          </cell>
          <cell r="C1188" t="str">
            <v>NG</v>
          </cell>
          <cell r="D1188" t="str">
            <v>200411</v>
          </cell>
          <cell r="E1188">
            <v>3.629</v>
          </cell>
        </row>
        <row r="1189">
          <cell r="A1189" t="str">
            <v>37355200412</v>
          </cell>
          <cell r="B1189">
            <v>37355</v>
          </cell>
          <cell r="C1189" t="str">
            <v>NG</v>
          </cell>
          <cell r="D1189" t="str">
            <v>200412</v>
          </cell>
          <cell r="E1189">
            <v>3.786</v>
          </cell>
        </row>
        <row r="1190">
          <cell r="A1190" t="str">
            <v>37361200401</v>
          </cell>
          <cell r="B1190">
            <v>37361</v>
          </cell>
          <cell r="C1190" t="str">
            <v>NG</v>
          </cell>
          <cell r="D1190" t="str">
            <v>200401</v>
          </cell>
          <cell r="E1190">
            <v>4.0919999999999996</v>
          </cell>
        </row>
        <row r="1191">
          <cell r="A1191" t="str">
            <v>37361200402</v>
          </cell>
          <cell r="B1191">
            <v>37361</v>
          </cell>
          <cell r="C1191" t="str">
            <v>NG</v>
          </cell>
          <cell r="D1191" t="str">
            <v>200402</v>
          </cell>
          <cell r="E1191">
            <v>3.9820000000000002</v>
          </cell>
        </row>
        <row r="1192">
          <cell r="A1192" t="str">
            <v>37361200403</v>
          </cell>
          <cell r="B1192">
            <v>37361</v>
          </cell>
          <cell r="C1192" t="str">
            <v>NG</v>
          </cell>
          <cell r="D1192" t="str">
            <v>200403</v>
          </cell>
          <cell r="E1192">
            <v>3.827</v>
          </cell>
        </row>
        <row r="1193">
          <cell r="A1193" t="str">
            <v>37361200404</v>
          </cell>
          <cell r="B1193">
            <v>37361</v>
          </cell>
          <cell r="C1193" t="str">
            <v>NG</v>
          </cell>
          <cell r="D1193" t="str">
            <v>200404</v>
          </cell>
          <cell r="E1193">
            <v>3.5670000000000002</v>
          </cell>
        </row>
        <row r="1194">
          <cell r="A1194" t="str">
            <v>37361200405</v>
          </cell>
          <cell r="B1194">
            <v>37361</v>
          </cell>
          <cell r="C1194" t="str">
            <v>NG</v>
          </cell>
          <cell r="D1194" t="str">
            <v>200405</v>
          </cell>
          <cell r="E1194">
            <v>3.532</v>
          </cell>
        </row>
        <row r="1195">
          <cell r="A1195" t="str">
            <v>37361200406</v>
          </cell>
          <cell r="B1195">
            <v>37361</v>
          </cell>
          <cell r="C1195" t="str">
            <v>NG</v>
          </cell>
          <cell r="D1195" t="str">
            <v>200406</v>
          </cell>
          <cell r="E1195">
            <v>3.5419999999999998</v>
          </cell>
        </row>
        <row r="1196">
          <cell r="A1196" t="str">
            <v>37361200407</v>
          </cell>
          <cell r="B1196">
            <v>37361</v>
          </cell>
          <cell r="C1196" t="str">
            <v>NG</v>
          </cell>
          <cell r="D1196" t="str">
            <v>200407</v>
          </cell>
          <cell r="E1196">
            <v>3.5569999999999999</v>
          </cell>
        </row>
        <row r="1197">
          <cell r="A1197" t="str">
            <v>37361200408</v>
          </cell>
          <cell r="B1197">
            <v>37361</v>
          </cell>
          <cell r="C1197" t="str">
            <v>NG</v>
          </cell>
          <cell r="D1197" t="str">
            <v>200408</v>
          </cell>
          <cell r="E1197">
            <v>3.5870000000000002</v>
          </cell>
        </row>
        <row r="1198">
          <cell r="A1198" t="str">
            <v>37361200409</v>
          </cell>
          <cell r="B1198">
            <v>37361</v>
          </cell>
          <cell r="C1198" t="str">
            <v>NG</v>
          </cell>
          <cell r="D1198" t="str">
            <v>200409</v>
          </cell>
          <cell r="E1198">
            <v>3.5720000000000001</v>
          </cell>
        </row>
        <row r="1199">
          <cell r="A1199" t="str">
            <v>37361200410</v>
          </cell>
          <cell r="B1199">
            <v>37361</v>
          </cell>
          <cell r="C1199" t="str">
            <v>NG</v>
          </cell>
          <cell r="D1199" t="str">
            <v>200410</v>
          </cell>
          <cell r="E1199">
            <v>3.5619999999999998</v>
          </cell>
        </row>
        <row r="1200">
          <cell r="A1200" t="str">
            <v>37361200411</v>
          </cell>
          <cell r="B1200">
            <v>37361</v>
          </cell>
          <cell r="C1200" t="str">
            <v>NG</v>
          </cell>
          <cell r="D1200" t="str">
            <v>200411</v>
          </cell>
          <cell r="E1200">
            <v>3.7519999999999998</v>
          </cell>
        </row>
        <row r="1201">
          <cell r="A1201" t="str">
            <v>37361200412</v>
          </cell>
          <cell r="B1201">
            <v>37361</v>
          </cell>
          <cell r="C1201" t="str">
            <v>NG</v>
          </cell>
          <cell r="D1201" t="str">
            <v>200412</v>
          </cell>
          <cell r="E1201">
            <v>3.9220000000000002</v>
          </cell>
        </row>
        <row r="1202">
          <cell r="A1202" t="str">
            <v>37362200401</v>
          </cell>
          <cell r="B1202">
            <v>37362</v>
          </cell>
          <cell r="C1202" t="str">
            <v>NG</v>
          </cell>
          <cell r="D1202" t="str">
            <v>200401</v>
          </cell>
          <cell r="E1202">
            <v>4.0229999999999997</v>
          </cell>
        </row>
        <row r="1203">
          <cell r="A1203" t="str">
            <v>37362200402</v>
          </cell>
          <cell r="B1203">
            <v>37362</v>
          </cell>
          <cell r="C1203" t="str">
            <v>NG</v>
          </cell>
          <cell r="D1203" t="str">
            <v>200402</v>
          </cell>
          <cell r="E1203">
            <v>3.9129999999999998</v>
          </cell>
        </row>
        <row r="1204">
          <cell r="A1204" t="str">
            <v>37362200403</v>
          </cell>
          <cell r="B1204">
            <v>37362</v>
          </cell>
          <cell r="C1204" t="str">
            <v>NG</v>
          </cell>
          <cell r="D1204" t="str">
            <v>200403</v>
          </cell>
          <cell r="E1204">
            <v>3.7629999999999999</v>
          </cell>
        </row>
        <row r="1205">
          <cell r="A1205" t="str">
            <v>37362200404</v>
          </cell>
          <cell r="B1205">
            <v>37362</v>
          </cell>
          <cell r="C1205" t="str">
            <v>NG</v>
          </cell>
          <cell r="D1205" t="str">
            <v>200404</v>
          </cell>
          <cell r="E1205">
            <v>3.5129999999999999</v>
          </cell>
        </row>
        <row r="1206">
          <cell r="A1206" t="str">
            <v>37362200405</v>
          </cell>
          <cell r="B1206">
            <v>37362</v>
          </cell>
          <cell r="C1206" t="str">
            <v>NG</v>
          </cell>
          <cell r="D1206" t="str">
            <v>200405</v>
          </cell>
          <cell r="E1206">
            <v>3.4780000000000002</v>
          </cell>
        </row>
        <row r="1207">
          <cell r="A1207" t="str">
            <v>37362200406</v>
          </cell>
          <cell r="B1207">
            <v>37362</v>
          </cell>
          <cell r="C1207" t="str">
            <v>NG</v>
          </cell>
          <cell r="D1207" t="str">
            <v>200406</v>
          </cell>
          <cell r="E1207">
            <v>3.4830000000000001</v>
          </cell>
        </row>
        <row r="1208">
          <cell r="A1208" t="str">
            <v>37362200407</v>
          </cell>
          <cell r="B1208">
            <v>37362</v>
          </cell>
          <cell r="C1208" t="str">
            <v>NG</v>
          </cell>
          <cell r="D1208" t="str">
            <v>200407</v>
          </cell>
          <cell r="E1208">
            <v>3.5030000000000001</v>
          </cell>
        </row>
        <row r="1209">
          <cell r="A1209" t="str">
            <v>37362200408</v>
          </cell>
          <cell r="B1209">
            <v>37362</v>
          </cell>
          <cell r="C1209" t="str">
            <v>NG</v>
          </cell>
          <cell r="D1209" t="str">
            <v>200408</v>
          </cell>
          <cell r="E1209">
            <v>3.5230000000000001</v>
          </cell>
        </row>
        <row r="1210">
          <cell r="A1210" t="str">
            <v>37362200409</v>
          </cell>
          <cell r="B1210">
            <v>37362</v>
          </cell>
          <cell r="C1210" t="str">
            <v>NG</v>
          </cell>
          <cell r="D1210" t="str">
            <v>200409</v>
          </cell>
          <cell r="E1210">
            <v>3.508</v>
          </cell>
        </row>
        <row r="1211">
          <cell r="A1211" t="str">
            <v>37362200410</v>
          </cell>
          <cell r="B1211">
            <v>37362</v>
          </cell>
          <cell r="C1211" t="str">
            <v>NG</v>
          </cell>
          <cell r="D1211" t="str">
            <v>200410</v>
          </cell>
          <cell r="E1211">
            <v>3.4980000000000002</v>
          </cell>
        </row>
        <row r="1212">
          <cell r="A1212" t="str">
            <v>37362200411</v>
          </cell>
          <cell r="B1212">
            <v>37362</v>
          </cell>
          <cell r="C1212" t="str">
            <v>NG</v>
          </cell>
          <cell r="D1212" t="str">
            <v>200411</v>
          </cell>
          <cell r="E1212">
            <v>3.6880000000000002</v>
          </cell>
        </row>
        <row r="1213">
          <cell r="A1213" t="str">
            <v>37362200412</v>
          </cell>
          <cell r="B1213">
            <v>37362</v>
          </cell>
          <cell r="C1213" t="str">
            <v>NG</v>
          </cell>
          <cell r="D1213" t="str">
            <v>200412</v>
          </cell>
          <cell r="E1213">
            <v>3.8679999999999999</v>
          </cell>
        </row>
        <row r="1214">
          <cell r="A1214" t="str">
            <v>37363200401</v>
          </cell>
          <cell r="B1214">
            <v>37363</v>
          </cell>
          <cell r="C1214" t="str">
            <v>NG</v>
          </cell>
          <cell r="D1214" t="str">
            <v>200401</v>
          </cell>
          <cell r="E1214">
            <v>4.0970000000000004</v>
          </cell>
        </row>
        <row r="1215">
          <cell r="A1215" t="str">
            <v>37363200402</v>
          </cell>
          <cell r="B1215">
            <v>37363</v>
          </cell>
          <cell r="C1215" t="str">
            <v>NG</v>
          </cell>
          <cell r="D1215" t="str">
            <v>200402</v>
          </cell>
          <cell r="E1215">
            <v>3.9820000000000002</v>
          </cell>
        </row>
        <row r="1216">
          <cell r="A1216" t="str">
            <v>37363200403</v>
          </cell>
          <cell r="B1216">
            <v>37363</v>
          </cell>
          <cell r="C1216" t="str">
            <v>NG</v>
          </cell>
          <cell r="D1216" t="str">
            <v>200403</v>
          </cell>
          <cell r="E1216">
            <v>3.827</v>
          </cell>
        </row>
        <row r="1217">
          <cell r="A1217" t="str">
            <v>37363200404</v>
          </cell>
          <cell r="B1217">
            <v>37363</v>
          </cell>
          <cell r="C1217" t="str">
            <v>NG</v>
          </cell>
          <cell r="D1217" t="str">
            <v>200404</v>
          </cell>
          <cell r="E1217">
            <v>3.5619999999999998</v>
          </cell>
        </row>
        <row r="1218">
          <cell r="A1218" t="str">
            <v>37363200405</v>
          </cell>
          <cell r="B1218">
            <v>37363</v>
          </cell>
          <cell r="C1218" t="str">
            <v>NG</v>
          </cell>
          <cell r="D1218" t="str">
            <v>200405</v>
          </cell>
          <cell r="E1218">
            <v>3.5219999999999998</v>
          </cell>
        </row>
        <row r="1219">
          <cell r="A1219" t="str">
            <v>37363200406</v>
          </cell>
          <cell r="B1219">
            <v>37363</v>
          </cell>
          <cell r="C1219" t="str">
            <v>NG</v>
          </cell>
          <cell r="D1219" t="str">
            <v>200406</v>
          </cell>
          <cell r="E1219">
            <v>3.5270000000000001</v>
          </cell>
        </row>
        <row r="1220">
          <cell r="A1220" t="str">
            <v>37363200407</v>
          </cell>
          <cell r="B1220">
            <v>37363</v>
          </cell>
          <cell r="C1220" t="str">
            <v>NG</v>
          </cell>
          <cell r="D1220" t="str">
            <v>200407</v>
          </cell>
          <cell r="E1220">
            <v>3.5470000000000002</v>
          </cell>
        </row>
        <row r="1221">
          <cell r="A1221" t="str">
            <v>37363200408</v>
          </cell>
          <cell r="B1221">
            <v>37363</v>
          </cell>
          <cell r="C1221" t="str">
            <v>NG</v>
          </cell>
          <cell r="D1221" t="str">
            <v>200408</v>
          </cell>
          <cell r="E1221">
            <v>3.5720000000000001</v>
          </cell>
        </row>
        <row r="1222">
          <cell r="A1222" t="str">
            <v>37363200409</v>
          </cell>
          <cell r="B1222">
            <v>37363</v>
          </cell>
          <cell r="C1222" t="str">
            <v>NG</v>
          </cell>
          <cell r="D1222" t="str">
            <v>200409</v>
          </cell>
          <cell r="E1222">
            <v>3.5619999999999998</v>
          </cell>
        </row>
        <row r="1223">
          <cell r="A1223" t="str">
            <v>37363200410</v>
          </cell>
          <cell r="B1223">
            <v>37363</v>
          </cell>
          <cell r="C1223" t="str">
            <v>NG</v>
          </cell>
          <cell r="D1223" t="str">
            <v>200410</v>
          </cell>
          <cell r="E1223">
            <v>3.5720000000000001</v>
          </cell>
        </row>
        <row r="1224">
          <cell r="A1224" t="str">
            <v>37363200411</v>
          </cell>
          <cell r="B1224">
            <v>37363</v>
          </cell>
          <cell r="C1224" t="str">
            <v>NG</v>
          </cell>
          <cell r="D1224" t="str">
            <v>200411</v>
          </cell>
          <cell r="E1224">
            <v>3.7549999999999999</v>
          </cell>
        </row>
        <row r="1225">
          <cell r="A1225" t="str">
            <v>37363200412</v>
          </cell>
          <cell r="B1225">
            <v>37363</v>
          </cell>
          <cell r="C1225" t="str">
            <v>NG</v>
          </cell>
          <cell r="D1225" t="str">
            <v>200412</v>
          </cell>
          <cell r="E1225">
            <v>3.927</v>
          </cell>
        </row>
        <row r="1226">
          <cell r="A1226" t="str">
            <v>37364200401</v>
          </cell>
          <cell r="B1226">
            <v>37364</v>
          </cell>
          <cell r="C1226" t="str">
            <v>NG</v>
          </cell>
          <cell r="D1226" t="str">
            <v>200401</v>
          </cell>
          <cell r="E1226">
            <v>4.048</v>
          </cell>
        </row>
        <row r="1227">
          <cell r="A1227" t="str">
            <v>37364200402</v>
          </cell>
          <cell r="B1227">
            <v>37364</v>
          </cell>
          <cell r="C1227" t="str">
            <v>NG</v>
          </cell>
          <cell r="D1227" t="str">
            <v>200402</v>
          </cell>
          <cell r="E1227">
            <v>3.9380000000000002</v>
          </cell>
        </row>
        <row r="1228">
          <cell r="A1228" t="str">
            <v>37364200403</v>
          </cell>
          <cell r="B1228">
            <v>37364</v>
          </cell>
          <cell r="C1228" t="str">
            <v>NG</v>
          </cell>
          <cell r="D1228" t="str">
            <v>200403</v>
          </cell>
          <cell r="E1228">
            <v>3.778</v>
          </cell>
        </row>
        <row r="1229">
          <cell r="A1229" t="str">
            <v>37364200404</v>
          </cell>
          <cell r="B1229">
            <v>37364</v>
          </cell>
          <cell r="C1229" t="str">
            <v>NG</v>
          </cell>
          <cell r="D1229" t="str">
            <v>200404</v>
          </cell>
          <cell r="E1229">
            <v>3.5030000000000001</v>
          </cell>
        </row>
        <row r="1230">
          <cell r="A1230" t="str">
            <v>37364200405</v>
          </cell>
          <cell r="B1230">
            <v>37364</v>
          </cell>
          <cell r="C1230" t="str">
            <v>NG</v>
          </cell>
          <cell r="D1230" t="str">
            <v>200405</v>
          </cell>
          <cell r="E1230">
            <v>3.4580000000000002</v>
          </cell>
        </row>
        <row r="1231">
          <cell r="A1231" t="str">
            <v>37364200406</v>
          </cell>
          <cell r="B1231">
            <v>37364</v>
          </cell>
          <cell r="C1231" t="str">
            <v>NG</v>
          </cell>
          <cell r="D1231" t="str">
            <v>200406</v>
          </cell>
          <cell r="E1231">
            <v>3.4630000000000001</v>
          </cell>
        </row>
        <row r="1232">
          <cell r="A1232" t="str">
            <v>37364200407</v>
          </cell>
          <cell r="B1232">
            <v>37364</v>
          </cell>
          <cell r="C1232" t="str">
            <v>NG</v>
          </cell>
          <cell r="D1232" t="str">
            <v>200407</v>
          </cell>
          <cell r="E1232">
            <v>3.4830000000000001</v>
          </cell>
        </row>
        <row r="1233">
          <cell r="A1233" t="str">
            <v>37364200408</v>
          </cell>
          <cell r="B1233">
            <v>37364</v>
          </cell>
          <cell r="C1233" t="str">
            <v>NG</v>
          </cell>
          <cell r="D1233" t="str">
            <v>200408</v>
          </cell>
          <cell r="E1233">
            <v>3.508</v>
          </cell>
        </row>
        <row r="1234">
          <cell r="A1234" t="str">
            <v>37364200409</v>
          </cell>
          <cell r="B1234">
            <v>37364</v>
          </cell>
          <cell r="C1234" t="str">
            <v>NG</v>
          </cell>
          <cell r="D1234" t="str">
            <v>200409</v>
          </cell>
          <cell r="E1234">
            <v>3.4980000000000002</v>
          </cell>
        </row>
        <row r="1235">
          <cell r="A1235" t="str">
            <v>37364200410</v>
          </cell>
          <cell r="B1235">
            <v>37364</v>
          </cell>
          <cell r="C1235" t="str">
            <v>NG</v>
          </cell>
          <cell r="D1235" t="str">
            <v>200410</v>
          </cell>
          <cell r="E1235">
            <v>3.5129999999999999</v>
          </cell>
        </row>
        <row r="1236">
          <cell r="A1236" t="str">
            <v>37364200411</v>
          </cell>
          <cell r="B1236">
            <v>37364</v>
          </cell>
          <cell r="C1236" t="str">
            <v>NG</v>
          </cell>
          <cell r="D1236" t="str">
            <v>200411</v>
          </cell>
          <cell r="E1236">
            <v>3.6960000000000002</v>
          </cell>
        </row>
        <row r="1237">
          <cell r="A1237" t="str">
            <v>37364200412</v>
          </cell>
          <cell r="B1237">
            <v>37364</v>
          </cell>
          <cell r="C1237" t="str">
            <v>NG</v>
          </cell>
          <cell r="D1237" t="str">
            <v>200412</v>
          </cell>
          <cell r="E1237">
            <v>3.8679999999999999</v>
          </cell>
        </row>
        <row r="1238">
          <cell r="A1238" t="str">
            <v>37365200401</v>
          </cell>
          <cell r="B1238">
            <v>37365</v>
          </cell>
          <cell r="C1238" t="str">
            <v>NG</v>
          </cell>
          <cell r="D1238" t="str">
            <v>200401</v>
          </cell>
          <cell r="E1238">
            <v>4.0629999999999997</v>
          </cell>
        </row>
        <row r="1239">
          <cell r="A1239" t="str">
            <v>37365200402</v>
          </cell>
          <cell r="B1239">
            <v>37365</v>
          </cell>
          <cell r="C1239" t="str">
            <v>NG</v>
          </cell>
          <cell r="D1239" t="str">
            <v>200402</v>
          </cell>
          <cell r="E1239">
            <v>3.9580000000000002</v>
          </cell>
        </row>
        <row r="1240">
          <cell r="A1240" t="str">
            <v>37365200403</v>
          </cell>
          <cell r="B1240">
            <v>37365</v>
          </cell>
          <cell r="C1240" t="str">
            <v>NG</v>
          </cell>
          <cell r="D1240" t="str">
            <v>200403</v>
          </cell>
          <cell r="E1240">
            <v>3.798</v>
          </cell>
        </row>
        <row r="1241">
          <cell r="A1241" t="str">
            <v>37365200404</v>
          </cell>
          <cell r="B1241">
            <v>37365</v>
          </cell>
          <cell r="C1241" t="str">
            <v>NG</v>
          </cell>
          <cell r="D1241" t="str">
            <v>200404</v>
          </cell>
          <cell r="E1241">
            <v>3.5230000000000001</v>
          </cell>
        </row>
        <row r="1242">
          <cell r="A1242" t="str">
            <v>37365200405</v>
          </cell>
          <cell r="B1242">
            <v>37365</v>
          </cell>
          <cell r="C1242" t="str">
            <v>NG</v>
          </cell>
          <cell r="D1242" t="str">
            <v>200405</v>
          </cell>
          <cell r="E1242">
            <v>3.4780000000000002</v>
          </cell>
        </row>
        <row r="1243">
          <cell r="A1243" t="str">
            <v>37365200406</v>
          </cell>
          <cell r="B1243">
            <v>37365</v>
          </cell>
          <cell r="C1243" t="str">
            <v>NG</v>
          </cell>
          <cell r="D1243" t="str">
            <v>200406</v>
          </cell>
          <cell r="E1243">
            <v>3.4830000000000001</v>
          </cell>
        </row>
        <row r="1244">
          <cell r="A1244" t="str">
            <v>37365200407</v>
          </cell>
          <cell r="B1244">
            <v>37365</v>
          </cell>
          <cell r="C1244" t="str">
            <v>NG</v>
          </cell>
          <cell r="D1244" t="str">
            <v>200407</v>
          </cell>
          <cell r="E1244">
            <v>3.5030000000000001</v>
          </cell>
        </row>
        <row r="1245">
          <cell r="A1245" t="str">
            <v>37365200408</v>
          </cell>
          <cell r="B1245">
            <v>37365</v>
          </cell>
          <cell r="C1245" t="str">
            <v>NG</v>
          </cell>
          <cell r="D1245" t="str">
            <v>200408</v>
          </cell>
          <cell r="E1245">
            <v>3.528</v>
          </cell>
        </row>
        <row r="1246">
          <cell r="A1246" t="str">
            <v>37365200409</v>
          </cell>
          <cell r="B1246">
            <v>37365</v>
          </cell>
          <cell r="C1246" t="str">
            <v>NG</v>
          </cell>
          <cell r="D1246" t="str">
            <v>200409</v>
          </cell>
          <cell r="E1246">
            <v>3.5179999999999998</v>
          </cell>
        </row>
        <row r="1247">
          <cell r="A1247" t="str">
            <v>37365200410</v>
          </cell>
          <cell r="B1247">
            <v>37365</v>
          </cell>
          <cell r="C1247" t="str">
            <v>NG</v>
          </cell>
          <cell r="D1247" t="str">
            <v>200410</v>
          </cell>
          <cell r="E1247">
            <v>3.5379999999999998</v>
          </cell>
        </row>
        <row r="1248">
          <cell r="A1248" t="str">
            <v>37365200411</v>
          </cell>
          <cell r="B1248">
            <v>37365</v>
          </cell>
          <cell r="C1248" t="str">
            <v>NG</v>
          </cell>
          <cell r="D1248" t="str">
            <v>200411</v>
          </cell>
          <cell r="E1248">
            <v>3.7210000000000001</v>
          </cell>
        </row>
        <row r="1249">
          <cell r="A1249" t="str">
            <v>37365200412</v>
          </cell>
          <cell r="B1249">
            <v>37365</v>
          </cell>
          <cell r="C1249" t="str">
            <v>NG</v>
          </cell>
          <cell r="D1249" t="str">
            <v>200412</v>
          </cell>
          <cell r="E1249">
            <v>3.8929999999999998</v>
          </cell>
        </row>
        <row r="1250">
          <cell r="A1250" t="str">
            <v>37366200401</v>
          </cell>
          <cell r="B1250">
            <v>37366</v>
          </cell>
          <cell r="C1250" t="str">
            <v>NG</v>
          </cell>
          <cell r="D1250" t="str">
            <v>200401</v>
          </cell>
          <cell r="E1250">
            <v>4.0629999999999997</v>
          </cell>
        </row>
        <row r="1251">
          <cell r="A1251" t="str">
            <v>37366200402</v>
          </cell>
          <cell r="B1251">
            <v>37366</v>
          </cell>
          <cell r="C1251" t="str">
            <v>NG</v>
          </cell>
          <cell r="D1251" t="str">
            <v>200402</v>
          </cell>
          <cell r="E1251">
            <v>3.9580000000000002</v>
          </cell>
        </row>
        <row r="1252">
          <cell r="A1252" t="str">
            <v>37366200403</v>
          </cell>
          <cell r="B1252">
            <v>37366</v>
          </cell>
          <cell r="C1252" t="str">
            <v>NG</v>
          </cell>
          <cell r="D1252" t="str">
            <v>200403</v>
          </cell>
          <cell r="E1252">
            <v>3.798</v>
          </cell>
        </row>
        <row r="1253">
          <cell r="A1253" t="str">
            <v>37366200404</v>
          </cell>
          <cell r="B1253">
            <v>37366</v>
          </cell>
          <cell r="C1253" t="str">
            <v>NG</v>
          </cell>
          <cell r="D1253" t="str">
            <v>200404</v>
          </cell>
          <cell r="E1253">
            <v>3.5230000000000001</v>
          </cell>
        </row>
        <row r="1254">
          <cell r="A1254" t="str">
            <v>37366200405</v>
          </cell>
          <cell r="B1254">
            <v>37366</v>
          </cell>
          <cell r="C1254" t="str">
            <v>NG</v>
          </cell>
          <cell r="D1254" t="str">
            <v>200405</v>
          </cell>
          <cell r="E1254">
            <v>3.4780000000000002</v>
          </cell>
        </row>
        <row r="1255">
          <cell r="A1255" t="str">
            <v>37366200406</v>
          </cell>
          <cell r="B1255">
            <v>37366</v>
          </cell>
          <cell r="C1255" t="str">
            <v>NG</v>
          </cell>
          <cell r="D1255" t="str">
            <v>200406</v>
          </cell>
          <cell r="E1255">
            <v>3.4830000000000001</v>
          </cell>
        </row>
        <row r="1256">
          <cell r="A1256" t="str">
            <v>37366200407</v>
          </cell>
          <cell r="B1256">
            <v>37366</v>
          </cell>
          <cell r="C1256" t="str">
            <v>NG</v>
          </cell>
          <cell r="D1256" t="str">
            <v>200407</v>
          </cell>
          <cell r="E1256">
            <v>3.5030000000000001</v>
          </cell>
        </row>
        <row r="1257">
          <cell r="A1257" t="str">
            <v>37366200408</v>
          </cell>
          <cell r="B1257">
            <v>37366</v>
          </cell>
          <cell r="C1257" t="str">
            <v>NG</v>
          </cell>
          <cell r="D1257" t="str">
            <v>200408</v>
          </cell>
          <cell r="E1257">
            <v>3.528</v>
          </cell>
        </row>
        <row r="1258">
          <cell r="A1258" t="str">
            <v>37366200409</v>
          </cell>
          <cell r="B1258">
            <v>37366</v>
          </cell>
          <cell r="C1258" t="str">
            <v>NG</v>
          </cell>
          <cell r="D1258" t="str">
            <v>200409</v>
          </cell>
          <cell r="E1258">
            <v>3.5179999999999998</v>
          </cell>
        </row>
        <row r="1259">
          <cell r="A1259" t="str">
            <v>37366200410</v>
          </cell>
          <cell r="B1259">
            <v>37366</v>
          </cell>
          <cell r="C1259" t="str">
            <v>NG</v>
          </cell>
          <cell r="D1259" t="str">
            <v>200410</v>
          </cell>
          <cell r="E1259">
            <v>3.5379999999999998</v>
          </cell>
        </row>
        <row r="1260">
          <cell r="A1260" t="str">
            <v>37366200411</v>
          </cell>
          <cell r="B1260">
            <v>37366</v>
          </cell>
          <cell r="C1260" t="str">
            <v>NG</v>
          </cell>
          <cell r="D1260" t="str">
            <v>200411</v>
          </cell>
          <cell r="E1260">
            <v>3.7210000000000001</v>
          </cell>
        </row>
        <row r="1261">
          <cell r="A1261" t="str">
            <v>37366200412</v>
          </cell>
          <cell r="B1261">
            <v>37366</v>
          </cell>
          <cell r="C1261" t="str">
            <v>NG</v>
          </cell>
          <cell r="D1261" t="str">
            <v>200412</v>
          </cell>
          <cell r="E1261">
            <v>3.8929999999999998</v>
          </cell>
        </row>
        <row r="1262">
          <cell r="A1262" t="str">
            <v>37367200401</v>
          </cell>
          <cell r="B1262">
            <v>37367</v>
          </cell>
          <cell r="C1262" t="str">
            <v>NG</v>
          </cell>
          <cell r="D1262" t="str">
            <v>200401</v>
          </cell>
          <cell r="E1262">
            <v>4.0629999999999997</v>
          </cell>
        </row>
        <row r="1263">
          <cell r="A1263" t="str">
            <v>37367200402</v>
          </cell>
          <cell r="B1263">
            <v>37367</v>
          </cell>
          <cell r="C1263" t="str">
            <v>NG</v>
          </cell>
          <cell r="D1263" t="str">
            <v>200402</v>
          </cell>
          <cell r="E1263">
            <v>3.9580000000000002</v>
          </cell>
        </row>
        <row r="1264">
          <cell r="A1264" t="str">
            <v>37367200403</v>
          </cell>
          <cell r="B1264">
            <v>37367</v>
          </cell>
          <cell r="C1264" t="str">
            <v>NG</v>
          </cell>
          <cell r="D1264" t="str">
            <v>200403</v>
          </cell>
          <cell r="E1264">
            <v>3.798</v>
          </cell>
        </row>
        <row r="1265">
          <cell r="A1265" t="str">
            <v>37367200404</v>
          </cell>
          <cell r="B1265">
            <v>37367</v>
          </cell>
          <cell r="C1265" t="str">
            <v>NG</v>
          </cell>
          <cell r="D1265" t="str">
            <v>200404</v>
          </cell>
          <cell r="E1265">
            <v>3.5230000000000001</v>
          </cell>
        </row>
        <row r="1266">
          <cell r="A1266" t="str">
            <v>37367200405</v>
          </cell>
          <cell r="B1266">
            <v>37367</v>
          </cell>
          <cell r="C1266" t="str">
            <v>NG</v>
          </cell>
          <cell r="D1266" t="str">
            <v>200405</v>
          </cell>
          <cell r="E1266">
            <v>3.4780000000000002</v>
          </cell>
        </row>
        <row r="1267">
          <cell r="A1267" t="str">
            <v>37367200406</v>
          </cell>
          <cell r="B1267">
            <v>37367</v>
          </cell>
          <cell r="C1267" t="str">
            <v>NG</v>
          </cell>
          <cell r="D1267" t="str">
            <v>200406</v>
          </cell>
          <cell r="E1267">
            <v>3.4830000000000001</v>
          </cell>
        </row>
        <row r="1268">
          <cell r="A1268" t="str">
            <v>37367200407</v>
          </cell>
          <cell r="B1268">
            <v>37367</v>
          </cell>
          <cell r="C1268" t="str">
            <v>NG</v>
          </cell>
          <cell r="D1268" t="str">
            <v>200407</v>
          </cell>
          <cell r="E1268">
            <v>3.5030000000000001</v>
          </cell>
        </row>
        <row r="1269">
          <cell r="A1269" t="str">
            <v>37367200408</v>
          </cell>
          <cell r="B1269">
            <v>37367</v>
          </cell>
          <cell r="C1269" t="str">
            <v>NG</v>
          </cell>
          <cell r="D1269" t="str">
            <v>200408</v>
          </cell>
          <cell r="E1269">
            <v>3.528</v>
          </cell>
        </row>
        <row r="1270">
          <cell r="A1270" t="str">
            <v>37367200409</v>
          </cell>
          <cell r="B1270">
            <v>37367</v>
          </cell>
          <cell r="C1270" t="str">
            <v>NG</v>
          </cell>
          <cell r="D1270" t="str">
            <v>200409</v>
          </cell>
          <cell r="E1270">
            <v>3.5179999999999998</v>
          </cell>
        </row>
        <row r="1271">
          <cell r="A1271" t="str">
            <v>37367200410</v>
          </cell>
          <cell r="B1271">
            <v>37367</v>
          </cell>
          <cell r="C1271" t="str">
            <v>NG</v>
          </cell>
          <cell r="D1271" t="str">
            <v>200410</v>
          </cell>
          <cell r="E1271">
            <v>3.5379999999999998</v>
          </cell>
        </row>
        <row r="1272">
          <cell r="A1272" t="str">
            <v>37367200411</v>
          </cell>
          <cell r="B1272">
            <v>37367</v>
          </cell>
          <cell r="C1272" t="str">
            <v>NG</v>
          </cell>
          <cell r="D1272" t="str">
            <v>200411</v>
          </cell>
          <cell r="E1272">
            <v>3.7210000000000001</v>
          </cell>
        </row>
        <row r="1273">
          <cell r="A1273" t="str">
            <v>37367200412</v>
          </cell>
          <cell r="B1273">
            <v>37367</v>
          </cell>
          <cell r="C1273" t="str">
            <v>NG</v>
          </cell>
          <cell r="D1273" t="str">
            <v>200412</v>
          </cell>
          <cell r="E1273">
            <v>3.8929999999999998</v>
          </cell>
        </row>
        <row r="1274">
          <cell r="A1274" t="str">
            <v>37368200401</v>
          </cell>
          <cell r="B1274">
            <v>37368</v>
          </cell>
          <cell r="C1274" t="str">
            <v>NG</v>
          </cell>
          <cell r="D1274" t="str">
            <v>200401</v>
          </cell>
          <cell r="E1274">
            <v>4.0979999999999999</v>
          </cell>
        </row>
        <row r="1275">
          <cell r="A1275" t="str">
            <v>37368200402</v>
          </cell>
          <cell r="B1275">
            <v>37368</v>
          </cell>
          <cell r="C1275" t="str">
            <v>NG</v>
          </cell>
          <cell r="D1275" t="str">
            <v>200402</v>
          </cell>
          <cell r="E1275">
            <v>3.988</v>
          </cell>
        </row>
        <row r="1276">
          <cell r="A1276" t="str">
            <v>37368200403</v>
          </cell>
          <cell r="B1276">
            <v>37368</v>
          </cell>
          <cell r="C1276" t="str">
            <v>NG</v>
          </cell>
          <cell r="D1276" t="str">
            <v>200403</v>
          </cell>
          <cell r="E1276">
            <v>3.823</v>
          </cell>
        </row>
        <row r="1277">
          <cell r="A1277" t="str">
            <v>37368200404</v>
          </cell>
          <cell r="B1277">
            <v>37368</v>
          </cell>
          <cell r="C1277" t="str">
            <v>NG</v>
          </cell>
          <cell r="D1277" t="str">
            <v>200404</v>
          </cell>
          <cell r="E1277">
            <v>3.5430000000000001</v>
          </cell>
        </row>
        <row r="1278">
          <cell r="A1278" t="str">
            <v>37368200405</v>
          </cell>
          <cell r="B1278">
            <v>37368</v>
          </cell>
          <cell r="C1278" t="str">
            <v>NG</v>
          </cell>
          <cell r="D1278" t="str">
            <v>200405</v>
          </cell>
          <cell r="E1278">
            <v>3.4980000000000002</v>
          </cell>
        </row>
        <row r="1279">
          <cell r="A1279" t="str">
            <v>37368200406</v>
          </cell>
          <cell r="B1279">
            <v>37368</v>
          </cell>
          <cell r="C1279" t="str">
            <v>NG</v>
          </cell>
          <cell r="D1279" t="str">
            <v>200406</v>
          </cell>
          <cell r="E1279">
            <v>3.5030000000000001</v>
          </cell>
        </row>
        <row r="1280">
          <cell r="A1280" t="str">
            <v>37368200407</v>
          </cell>
          <cell r="B1280">
            <v>37368</v>
          </cell>
          <cell r="C1280" t="str">
            <v>NG</v>
          </cell>
          <cell r="D1280" t="str">
            <v>200407</v>
          </cell>
          <cell r="E1280">
            <v>3.5230000000000001</v>
          </cell>
        </row>
        <row r="1281">
          <cell r="A1281" t="str">
            <v>37368200408</v>
          </cell>
          <cell r="B1281">
            <v>37368</v>
          </cell>
          <cell r="C1281" t="str">
            <v>NG</v>
          </cell>
          <cell r="D1281" t="str">
            <v>200408</v>
          </cell>
          <cell r="E1281">
            <v>3.548</v>
          </cell>
        </row>
        <row r="1282">
          <cell r="A1282" t="str">
            <v>37368200409</v>
          </cell>
          <cell r="B1282">
            <v>37368</v>
          </cell>
          <cell r="C1282" t="str">
            <v>NG</v>
          </cell>
          <cell r="D1282" t="str">
            <v>200409</v>
          </cell>
          <cell r="E1282">
            <v>3.5379999999999998</v>
          </cell>
        </row>
        <row r="1283">
          <cell r="A1283" t="str">
            <v>37368200410</v>
          </cell>
          <cell r="B1283">
            <v>37368</v>
          </cell>
          <cell r="C1283" t="str">
            <v>NG</v>
          </cell>
          <cell r="D1283" t="str">
            <v>200410</v>
          </cell>
          <cell r="E1283">
            <v>3.5630000000000002</v>
          </cell>
        </row>
        <row r="1284">
          <cell r="A1284" t="str">
            <v>37368200411</v>
          </cell>
          <cell r="B1284">
            <v>37368</v>
          </cell>
          <cell r="C1284" t="str">
            <v>NG</v>
          </cell>
          <cell r="D1284" t="str">
            <v>200411</v>
          </cell>
          <cell r="E1284">
            <v>3.746</v>
          </cell>
        </row>
        <row r="1285">
          <cell r="A1285" t="str">
            <v>37368200412</v>
          </cell>
          <cell r="B1285">
            <v>37368</v>
          </cell>
          <cell r="C1285" t="str">
            <v>NG</v>
          </cell>
          <cell r="D1285" t="str">
            <v>200412</v>
          </cell>
          <cell r="E1285">
            <v>3.9180000000000001</v>
          </cell>
        </row>
        <row r="1286">
          <cell r="A1286" t="str">
            <v>37369200401</v>
          </cell>
          <cell r="B1286">
            <v>37369</v>
          </cell>
          <cell r="C1286" t="str">
            <v>NG</v>
          </cell>
          <cell r="D1286" t="str">
            <v>200401</v>
          </cell>
          <cell r="E1286">
            <v>4.0979999999999999</v>
          </cell>
        </row>
        <row r="1287">
          <cell r="A1287" t="str">
            <v>37369200402</v>
          </cell>
          <cell r="B1287">
            <v>37369</v>
          </cell>
          <cell r="C1287" t="str">
            <v>NG</v>
          </cell>
          <cell r="D1287" t="str">
            <v>200402</v>
          </cell>
          <cell r="E1287">
            <v>3.988</v>
          </cell>
        </row>
        <row r="1288">
          <cell r="A1288" t="str">
            <v>37369200403</v>
          </cell>
          <cell r="B1288">
            <v>37369</v>
          </cell>
          <cell r="C1288" t="str">
            <v>NG</v>
          </cell>
          <cell r="D1288" t="str">
            <v>200403</v>
          </cell>
          <cell r="E1288">
            <v>3.823</v>
          </cell>
        </row>
        <row r="1289">
          <cell r="A1289" t="str">
            <v>37369200404</v>
          </cell>
          <cell r="B1289">
            <v>37369</v>
          </cell>
          <cell r="C1289" t="str">
            <v>NG</v>
          </cell>
          <cell r="D1289" t="str">
            <v>200404</v>
          </cell>
          <cell r="E1289">
            <v>3.5430000000000001</v>
          </cell>
        </row>
        <row r="1290">
          <cell r="A1290" t="str">
            <v>37369200405</v>
          </cell>
          <cell r="B1290">
            <v>37369</v>
          </cell>
          <cell r="C1290" t="str">
            <v>NG</v>
          </cell>
          <cell r="D1290" t="str">
            <v>200405</v>
          </cell>
          <cell r="E1290">
            <v>3.4980000000000002</v>
          </cell>
        </row>
        <row r="1291">
          <cell r="A1291" t="str">
            <v>37369200406</v>
          </cell>
          <cell r="B1291">
            <v>37369</v>
          </cell>
          <cell r="C1291" t="str">
            <v>NG</v>
          </cell>
          <cell r="D1291" t="str">
            <v>200406</v>
          </cell>
          <cell r="E1291">
            <v>3.5030000000000001</v>
          </cell>
        </row>
        <row r="1292">
          <cell r="A1292" t="str">
            <v>37369200407</v>
          </cell>
          <cell r="B1292">
            <v>37369</v>
          </cell>
          <cell r="C1292" t="str">
            <v>NG</v>
          </cell>
          <cell r="D1292" t="str">
            <v>200407</v>
          </cell>
          <cell r="E1292">
            <v>3.5230000000000001</v>
          </cell>
        </row>
        <row r="1293">
          <cell r="A1293" t="str">
            <v>37369200408</v>
          </cell>
          <cell r="B1293">
            <v>37369</v>
          </cell>
          <cell r="C1293" t="str">
            <v>NG</v>
          </cell>
          <cell r="D1293" t="str">
            <v>200408</v>
          </cell>
          <cell r="E1293">
            <v>3.548</v>
          </cell>
        </row>
        <row r="1294">
          <cell r="A1294" t="str">
            <v>37369200409</v>
          </cell>
          <cell r="B1294">
            <v>37369</v>
          </cell>
          <cell r="C1294" t="str">
            <v>NG</v>
          </cell>
          <cell r="D1294" t="str">
            <v>200409</v>
          </cell>
          <cell r="E1294">
            <v>3.5379999999999998</v>
          </cell>
        </row>
        <row r="1295">
          <cell r="A1295" t="str">
            <v>37369200410</v>
          </cell>
          <cell r="B1295">
            <v>37369</v>
          </cell>
          <cell r="C1295" t="str">
            <v>NG</v>
          </cell>
          <cell r="D1295" t="str">
            <v>200410</v>
          </cell>
          <cell r="E1295">
            <v>3.5630000000000002</v>
          </cell>
        </row>
        <row r="1296">
          <cell r="A1296" t="str">
            <v>37369200411</v>
          </cell>
          <cell r="B1296">
            <v>37369</v>
          </cell>
          <cell r="C1296" t="str">
            <v>NG</v>
          </cell>
          <cell r="D1296" t="str">
            <v>200411</v>
          </cell>
          <cell r="E1296">
            <v>3.746</v>
          </cell>
        </row>
        <row r="1297">
          <cell r="A1297" t="str">
            <v>37369200412</v>
          </cell>
          <cell r="B1297">
            <v>37369</v>
          </cell>
          <cell r="C1297" t="str">
            <v>NG</v>
          </cell>
          <cell r="D1297" t="str">
            <v>200412</v>
          </cell>
          <cell r="E1297">
            <v>3.9180000000000001</v>
          </cell>
        </row>
        <row r="1298">
          <cell r="A1298" t="str">
            <v>37370200401</v>
          </cell>
          <cell r="B1298">
            <v>37370</v>
          </cell>
          <cell r="C1298" t="str">
            <v>NG</v>
          </cell>
          <cell r="D1298" t="str">
            <v>200401</v>
          </cell>
          <cell r="E1298">
            <v>4.0309999999999997</v>
          </cell>
        </row>
        <row r="1299">
          <cell r="A1299" t="str">
            <v>37370200402</v>
          </cell>
          <cell r="B1299">
            <v>37370</v>
          </cell>
          <cell r="C1299" t="str">
            <v>NG</v>
          </cell>
          <cell r="D1299" t="str">
            <v>200402</v>
          </cell>
          <cell r="E1299">
            <v>3.9359999999999999</v>
          </cell>
        </row>
        <row r="1300">
          <cell r="A1300" t="str">
            <v>37370200403</v>
          </cell>
          <cell r="B1300">
            <v>37370</v>
          </cell>
          <cell r="C1300" t="str">
            <v>NG</v>
          </cell>
          <cell r="D1300" t="str">
            <v>200403</v>
          </cell>
          <cell r="E1300">
            <v>3.7709999999999999</v>
          </cell>
        </row>
        <row r="1301">
          <cell r="A1301" t="str">
            <v>37370200404</v>
          </cell>
          <cell r="B1301">
            <v>37370</v>
          </cell>
          <cell r="C1301" t="str">
            <v>NG</v>
          </cell>
          <cell r="D1301" t="str">
            <v>200404</v>
          </cell>
          <cell r="E1301">
            <v>3.4910000000000001</v>
          </cell>
        </row>
        <row r="1302">
          <cell r="A1302" t="str">
            <v>37370200405</v>
          </cell>
          <cell r="B1302">
            <v>37370</v>
          </cell>
          <cell r="C1302" t="str">
            <v>NG</v>
          </cell>
          <cell r="D1302" t="str">
            <v>200405</v>
          </cell>
          <cell r="E1302">
            <v>3.4460000000000002</v>
          </cell>
        </row>
        <row r="1303">
          <cell r="A1303" t="str">
            <v>37370200406</v>
          </cell>
          <cell r="B1303">
            <v>37370</v>
          </cell>
          <cell r="C1303" t="str">
            <v>NG</v>
          </cell>
          <cell r="D1303" t="str">
            <v>200406</v>
          </cell>
          <cell r="E1303">
            <v>3.4609999999999999</v>
          </cell>
        </row>
        <row r="1304">
          <cell r="A1304" t="str">
            <v>37370200407</v>
          </cell>
          <cell r="B1304">
            <v>37370</v>
          </cell>
          <cell r="C1304" t="str">
            <v>NG</v>
          </cell>
          <cell r="D1304" t="str">
            <v>200407</v>
          </cell>
          <cell r="E1304">
            <v>3.4910000000000001</v>
          </cell>
        </row>
        <row r="1305">
          <cell r="A1305" t="str">
            <v>37370200408</v>
          </cell>
          <cell r="B1305">
            <v>37370</v>
          </cell>
          <cell r="C1305" t="str">
            <v>NG</v>
          </cell>
          <cell r="D1305" t="str">
            <v>200408</v>
          </cell>
          <cell r="E1305">
            <v>3.5259999999999998</v>
          </cell>
        </row>
        <row r="1306">
          <cell r="A1306" t="str">
            <v>37370200409</v>
          </cell>
          <cell r="B1306">
            <v>37370</v>
          </cell>
          <cell r="C1306" t="str">
            <v>NG</v>
          </cell>
          <cell r="D1306" t="str">
            <v>200409</v>
          </cell>
          <cell r="E1306">
            <v>3.5259999999999998</v>
          </cell>
        </row>
        <row r="1307">
          <cell r="A1307" t="str">
            <v>37370200410</v>
          </cell>
          <cell r="B1307">
            <v>37370</v>
          </cell>
          <cell r="C1307" t="str">
            <v>NG</v>
          </cell>
          <cell r="D1307" t="str">
            <v>200410</v>
          </cell>
          <cell r="E1307">
            <v>3.5609999999999999</v>
          </cell>
        </row>
        <row r="1308">
          <cell r="A1308" t="str">
            <v>37370200411</v>
          </cell>
          <cell r="B1308">
            <v>37370</v>
          </cell>
          <cell r="C1308" t="str">
            <v>NG</v>
          </cell>
          <cell r="D1308" t="str">
            <v>200411</v>
          </cell>
          <cell r="E1308">
            <v>3.7440000000000002</v>
          </cell>
        </row>
        <row r="1309">
          <cell r="A1309" t="str">
            <v>37370200412</v>
          </cell>
          <cell r="B1309">
            <v>37370</v>
          </cell>
          <cell r="C1309" t="str">
            <v>NG</v>
          </cell>
          <cell r="D1309" t="str">
            <v>200412</v>
          </cell>
          <cell r="E1309">
            <v>3.9159999999999999</v>
          </cell>
        </row>
        <row r="1310">
          <cell r="A1310" t="str">
            <v>37371200401</v>
          </cell>
          <cell r="B1310">
            <v>37371</v>
          </cell>
          <cell r="C1310" t="str">
            <v>NG</v>
          </cell>
          <cell r="D1310" t="str">
            <v>200401</v>
          </cell>
          <cell r="E1310">
            <v>3.9809999999999999</v>
          </cell>
        </row>
        <row r="1311">
          <cell r="A1311" t="str">
            <v>37371200402</v>
          </cell>
          <cell r="B1311">
            <v>37371</v>
          </cell>
          <cell r="C1311" t="str">
            <v>NG</v>
          </cell>
          <cell r="D1311" t="str">
            <v>200402</v>
          </cell>
          <cell r="E1311">
            <v>3.8860000000000001</v>
          </cell>
        </row>
        <row r="1312">
          <cell r="A1312" t="str">
            <v>37371200403</v>
          </cell>
          <cell r="B1312">
            <v>37371</v>
          </cell>
          <cell r="C1312" t="str">
            <v>NG</v>
          </cell>
          <cell r="D1312" t="str">
            <v>200403</v>
          </cell>
          <cell r="E1312">
            <v>3.714</v>
          </cell>
        </row>
        <row r="1313">
          <cell r="A1313" t="str">
            <v>37371200404</v>
          </cell>
          <cell r="B1313">
            <v>37371</v>
          </cell>
          <cell r="C1313" t="str">
            <v>NG</v>
          </cell>
          <cell r="D1313" t="str">
            <v>200404</v>
          </cell>
          <cell r="E1313">
            <v>3.444</v>
          </cell>
        </row>
        <row r="1314">
          <cell r="A1314" t="str">
            <v>37371200405</v>
          </cell>
          <cell r="B1314">
            <v>37371</v>
          </cell>
          <cell r="C1314" t="str">
            <v>NG</v>
          </cell>
          <cell r="D1314" t="str">
            <v>200405</v>
          </cell>
          <cell r="E1314">
            <v>3.4460000000000002</v>
          </cell>
        </row>
        <row r="1315">
          <cell r="A1315" t="str">
            <v>37371200406</v>
          </cell>
          <cell r="B1315">
            <v>37371</v>
          </cell>
          <cell r="C1315" t="str">
            <v>NG</v>
          </cell>
          <cell r="D1315" t="str">
            <v>200406</v>
          </cell>
          <cell r="E1315">
            <v>3.4609999999999999</v>
          </cell>
        </row>
        <row r="1316">
          <cell r="A1316" t="str">
            <v>37371200407</v>
          </cell>
          <cell r="B1316">
            <v>37371</v>
          </cell>
          <cell r="C1316" t="str">
            <v>NG</v>
          </cell>
          <cell r="D1316" t="str">
            <v>200407</v>
          </cell>
          <cell r="E1316">
            <v>3.4910000000000001</v>
          </cell>
        </row>
        <row r="1317">
          <cell r="A1317" t="str">
            <v>37371200408</v>
          </cell>
          <cell r="B1317">
            <v>37371</v>
          </cell>
          <cell r="C1317" t="str">
            <v>NG</v>
          </cell>
          <cell r="D1317" t="str">
            <v>200408</v>
          </cell>
          <cell r="E1317">
            <v>3.5259999999999998</v>
          </cell>
        </row>
        <row r="1318">
          <cell r="A1318" t="str">
            <v>37371200409</v>
          </cell>
          <cell r="B1318">
            <v>37371</v>
          </cell>
          <cell r="C1318" t="str">
            <v>NG</v>
          </cell>
          <cell r="D1318" t="str">
            <v>200409</v>
          </cell>
          <cell r="E1318">
            <v>3.5259999999999998</v>
          </cell>
        </row>
        <row r="1319">
          <cell r="A1319" t="str">
            <v>37371200410</v>
          </cell>
          <cell r="B1319">
            <v>37371</v>
          </cell>
          <cell r="C1319" t="str">
            <v>NG</v>
          </cell>
          <cell r="D1319" t="str">
            <v>200410</v>
          </cell>
          <cell r="E1319">
            <v>3.5609999999999999</v>
          </cell>
        </row>
        <row r="1320">
          <cell r="A1320" t="str">
            <v>37371200411</v>
          </cell>
          <cell r="B1320">
            <v>37371</v>
          </cell>
          <cell r="C1320" t="str">
            <v>NG</v>
          </cell>
          <cell r="D1320" t="str">
            <v>200411</v>
          </cell>
          <cell r="E1320">
            <v>3.7440000000000002</v>
          </cell>
        </row>
        <row r="1321">
          <cell r="A1321" t="str">
            <v>37371200412</v>
          </cell>
          <cell r="B1321">
            <v>37371</v>
          </cell>
          <cell r="C1321" t="str">
            <v>NG</v>
          </cell>
          <cell r="D1321" t="str">
            <v>200412</v>
          </cell>
          <cell r="E1321">
            <v>3.9159999999999999</v>
          </cell>
        </row>
        <row r="1322">
          <cell r="A1322" t="str">
            <v>37372200401</v>
          </cell>
          <cell r="B1322">
            <v>37372</v>
          </cell>
          <cell r="C1322" t="str">
            <v>NG</v>
          </cell>
          <cell r="D1322" t="str">
            <v>200401</v>
          </cell>
          <cell r="E1322">
            <v>4.0570000000000004</v>
          </cell>
        </row>
        <row r="1323">
          <cell r="A1323" t="str">
            <v>37372200402</v>
          </cell>
          <cell r="B1323">
            <v>37372</v>
          </cell>
          <cell r="C1323" t="str">
            <v>NG</v>
          </cell>
          <cell r="D1323" t="str">
            <v>200402</v>
          </cell>
          <cell r="E1323">
            <v>3.9569999999999999</v>
          </cell>
        </row>
        <row r="1324">
          <cell r="A1324" t="str">
            <v>37372200403</v>
          </cell>
          <cell r="B1324">
            <v>37372</v>
          </cell>
          <cell r="C1324" t="str">
            <v>NG</v>
          </cell>
          <cell r="D1324" t="str">
            <v>200403</v>
          </cell>
          <cell r="E1324">
            <v>3.7970000000000002</v>
          </cell>
        </row>
        <row r="1325">
          <cell r="A1325" t="str">
            <v>37372200404</v>
          </cell>
          <cell r="B1325">
            <v>37372</v>
          </cell>
          <cell r="C1325" t="str">
            <v>NG</v>
          </cell>
          <cell r="D1325" t="str">
            <v>200404</v>
          </cell>
          <cell r="E1325">
            <v>3.5270000000000001</v>
          </cell>
        </row>
        <row r="1326">
          <cell r="A1326" t="str">
            <v>37372200405</v>
          </cell>
          <cell r="B1326">
            <v>37372</v>
          </cell>
          <cell r="C1326" t="str">
            <v>NG</v>
          </cell>
          <cell r="D1326" t="str">
            <v>200405</v>
          </cell>
          <cell r="E1326">
            <v>3.4870000000000001</v>
          </cell>
        </row>
        <row r="1327">
          <cell r="A1327" t="str">
            <v>37372200406</v>
          </cell>
          <cell r="B1327">
            <v>37372</v>
          </cell>
          <cell r="C1327" t="str">
            <v>NG</v>
          </cell>
          <cell r="D1327" t="str">
            <v>200406</v>
          </cell>
          <cell r="E1327">
            <v>3.4969999999999999</v>
          </cell>
        </row>
        <row r="1328">
          <cell r="A1328" t="str">
            <v>37372200407</v>
          </cell>
          <cell r="B1328">
            <v>37372</v>
          </cell>
          <cell r="C1328" t="str">
            <v>NG</v>
          </cell>
          <cell r="D1328" t="str">
            <v>200407</v>
          </cell>
          <cell r="E1328">
            <v>3.5369999999999999</v>
          </cell>
        </row>
        <row r="1329">
          <cell r="A1329" t="str">
            <v>37372200408</v>
          </cell>
          <cell r="B1329">
            <v>37372</v>
          </cell>
          <cell r="C1329" t="str">
            <v>NG</v>
          </cell>
          <cell r="D1329" t="str">
            <v>200408</v>
          </cell>
          <cell r="E1329">
            <v>3.5619999999999998</v>
          </cell>
        </row>
        <row r="1330">
          <cell r="A1330" t="str">
            <v>37372200409</v>
          </cell>
          <cell r="B1330">
            <v>37372</v>
          </cell>
          <cell r="C1330" t="str">
            <v>NG</v>
          </cell>
          <cell r="D1330" t="str">
            <v>200409</v>
          </cell>
          <cell r="E1330">
            <v>3.5569999999999999</v>
          </cell>
        </row>
        <row r="1331">
          <cell r="A1331" t="str">
            <v>37372200410</v>
          </cell>
          <cell r="B1331">
            <v>37372</v>
          </cell>
          <cell r="C1331" t="str">
            <v>NG</v>
          </cell>
          <cell r="D1331" t="str">
            <v>200410</v>
          </cell>
          <cell r="E1331">
            <v>3.5920000000000001</v>
          </cell>
        </row>
        <row r="1332">
          <cell r="A1332" t="str">
            <v>37372200411</v>
          </cell>
          <cell r="B1332">
            <v>37372</v>
          </cell>
          <cell r="C1332" t="str">
            <v>NG</v>
          </cell>
          <cell r="D1332" t="str">
            <v>200411</v>
          </cell>
          <cell r="E1332">
            <v>3.77</v>
          </cell>
        </row>
        <row r="1333">
          <cell r="A1333" t="str">
            <v>37372200412</v>
          </cell>
          <cell r="B1333">
            <v>37372</v>
          </cell>
          <cell r="C1333" t="str">
            <v>NG</v>
          </cell>
          <cell r="D1333" t="str">
            <v>200412</v>
          </cell>
          <cell r="E1333">
            <v>3.9369999999999998</v>
          </cell>
        </row>
        <row r="1334">
          <cell r="A1334" t="str">
            <v>37373200401</v>
          </cell>
          <cell r="B1334">
            <v>37373</v>
          </cell>
          <cell r="C1334" t="str">
            <v>NG</v>
          </cell>
          <cell r="D1334" t="str">
            <v>200401</v>
          </cell>
          <cell r="E1334">
            <v>4.0570000000000004</v>
          </cell>
        </row>
        <row r="1335">
          <cell r="A1335" t="str">
            <v>37373200402</v>
          </cell>
          <cell r="B1335">
            <v>37373</v>
          </cell>
          <cell r="C1335" t="str">
            <v>NG</v>
          </cell>
          <cell r="D1335" t="str">
            <v>200402</v>
          </cell>
          <cell r="E1335">
            <v>3.9569999999999999</v>
          </cell>
        </row>
        <row r="1336">
          <cell r="A1336" t="str">
            <v>37373200403</v>
          </cell>
          <cell r="B1336">
            <v>37373</v>
          </cell>
          <cell r="C1336" t="str">
            <v>NG</v>
          </cell>
          <cell r="D1336" t="str">
            <v>200403</v>
          </cell>
          <cell r="E1336">
            <v>3.7970000000000002</v>
          </cell>
        </row>
        <row r="1337">
          <cell r="A1337" t="str">
            <v>37373200404</v>
          </cell>
          <cell r="B1337">
            <v>37373</v>
          </cell>
          <cell r="C1337" t="str">
            <v>NG</v>
          </cell>
          <cell r="D1337" t="str">
            <v>200404</v>
          </cell>
          <cell r="E1337">
            <v>3.5270000000000001</v>
          </cell>
        </row>
        <row r="1338">
          <cell r="A1338" t="str">
            <v>37373200405</v>
          </cell>
          <cell r="B1338">
            <v>37373</v>
          </cell>
          <cell r="C1338" t="str">
            <v>NG</v>
          </cell>
          <cell r="D1338" t="str">
            <v>200405</v>
          </cell>
          <cell r="E1338">
            <v>3.4870000000000001</v>
          </cell>
        </row>
        <row r="1339">
          <cell r="A1339" t="str">
            <v>37373200406</v>
          </cell>
          <cell r="B1339">
            <v>37373</v>
          </cell>
          <cell r="C1339" t="str">
            <v>NG</v>
          </cell>
          <cell r="D1339" t="str">
            <v>200406</v>
          </cell>
          <cell r="E1339">
            <v>3.4969999999999999</v>
          </cell>
        </row>
        <row r="1340">
          <cell r="A1340" t="str">
            <v>37373200407</v>
          </cell>
          <cell r="B1340">
            <v>37373</v>
          </cell>
          <cell r="C1340" t="str">
            <v>NG</v>
          </cell>
          <cell r="D1340" t="str">
            <v>200407</v>
          </cell>
          <cell r="E1340">
            <v>3.5369999999999999</v>
          </cell>
        </row>
        <row r="1341">
          <cell r="A1341" t="str">
            <v>37373200408</v>
          </cell>
          <cell r="B1341">
            <v>37373</v>
          </cell>
          <cell r="C1341" t="str">
            <v>NG</v>
          </cell>
          <cell r="D1341" t="str">
            <v>200408</v>
          </cell>
          <cell r="E1341">
            <v>3.5619999999999998</v>
          </cell>
        </row>
        <row r="1342">
          <cell r="A1342" t="str">
            <v>37373200409</v>
          </cell>
          <cell r="B1342">
            <v>37373</v>
          </cell>
          <cell r="C1342" t="str">
            <v>NG</v>
          </cell>
          <cell r="D1342" t="str">
            <v>200409</v>
          </cell>
          <cell r="E1342">
            <v>3.5569999999999999</v>
          </cell>
        </row>
        <row r="1343">
          <cell r="A1343" t="str">
            <v>37373200410</v>
          </cell>
          <cell r="B1343">
            <v>37373</v>
          </cell>
          <cell r="C1343" t="str">
            <v>NG</v>
          </cell>
          <cell r="D1343" t="str">
            <v>200410</v>
          </cell>
          <cell r="E1343">
            <v>3.5920000000000001</v>
          </cell>
        </row>
        <row r="1344">
          <cell r="A1344" t="str">
            <v>37373200411</v>
          </cell>
          <cell r="B1344">
            <v>37373</v>
          </cell>
          <cell r="C1344" t="str">
            <v>NG</v>
          </cell>
          <cell r="D1344" t="str">
            <v>200411</v>
          </cell>
          <cell r="E1344">
            <v>3.77</v>
          </cell>
        </row>
        <row r="1345">
          <cell r="A1345" t="str">
            <v>37373200412</v>
          </cell>
          <cell r="B1345">
            <v>37373</v>
          </cell>
          <cell r="C1345" t="str">
            <v>NG</v>
          </cell>
          <cell r="D1345" t="str">
            <v>200412</v>
          </cell>
          <cell r="E1345">
            <v>3.9369999999999998</v>
          </cell>
        </row>
        <row r="1346">
          <cell r="A1346" t="str">
            <v>37374200401</v>
          </cell>
          <cell r="B1346">
            <v>37374</v>
          </cell>
          <cell r="C1346" t="str">
            <v>NG</v>
          </cell>
          <cell r="D1346" t="str">
            <v>200401</v>
          </cell>
          <cell r="E1346">
            <v>4.0570000000000004</v>
          </cell>
        </row>
        <row r="1347">
          <cell r="A1347" t="str">
            <v>37374200402</v>
          </cell>
          <cell r="B1347">
            <v>37374</v>
          </cell>
          <cell r="C1347" t="str">
            <v>NG</v>
          </cell>
          <cell r="D1347" t="str">
            <v>200402</v>
          </cell>
          <cell r="E1347">
            <v>3.9569999999999999</v>
          </cell>
        </row>
        <row r="1348">
          <cell r="A1348" t="str">
            <v>37374200403</v>
          </cell>
          <cell r="B1348">
            <v>37374</v>
          </cell>
          <cell r="C1348" t="str">
            <v>NG</v>
          </cell>
          <cell r="D1348" t="str">
            <v>200403</v>
          </cell>
          <cell r="E1348">
            <v>3.7970000000000002</v>
          </cell>
        </row>
        <row r="1349">
          <cell r="A1349" t="str">
            <v>37374200404</v>
          </cell>
          <cell r="B1349">
            <v>37374</v>
          </cell>
          <cell r="C1349" t="str">
            <v>NG</v>
          </cell>
          <cell r="D1349" t="str">
            <v>200404</v>
          </cell>
          <cell r="E1349">
            <v>3.5270000000000001</v>
          </cell>
        </row>
        <row r="1350">
          <cell r="A1350" t="str">
            <v>37374200405</v>
          </cell>
          <cell r="B1350">
            <v>37374</v>
          </cell>
          <cell r="C1350" t="str">
            <v>NG</v>
          </cell>
          <cell r="D1350" t="str">
            <v>200405</v>
          </cell>
          <cell r="E1350">
            <v>3.4870000000000001</v>
          </cell>
        </row>
        <row r="1351">
          <cell r="A1351" t="str">
            <v>37374200406</v>
          </cell>
          <cell r="B1351">
            <v>37374</v>
          </cell>
          <cell r="C1351" t="str">
            <v>NG</v>
          </cell>
          <cell r="D1351" t="str">
            <v>200406</v>
          </cell>
          <cell r="E1351">
            <v>3.4969999999999999</v>
          </cell>
        </row>
        <row r="1352">
          <cell r="A1352" t="str">
            <v>37374200407</v>
          </cell>
          <cell r="B1352">
            <v>37374</v>
          </cell>
          <cell r="C1352" t="str">
            <v>NG</v>
          </cell>
          <cell r="D1352" t="str">
            <v>200407</v>
          </cell>
          <cell r="E1352">
            <v>3.5369999999999999</v>
          </cell>
        </row>
        <row r="1353">
          <cell r="A1353" t="str">
            <v>37374200408</v>
          </cell>
          <cell r="B1353">
            <v>37374</v>
          </cell>
          <cell r="C1353" t="str">
            <v>NG</v>
          </cell>
          <cell r="D1353" t="str">
            <v>200408</v>
          </cell>
          <cell r="E1353">
            <v>3.5619999999999998</v>
          </cell>
        </row>
        <row r="1354">
          <cell r="A1354" t="str">
            <v>37374200409</v>
          </cell>
          <cell r="B1354">
            <v>37374</v>
          </cell>
          <cell r="C1354" t="str">
            <v>NG</v>
          </cell>
          <cell r="D1354" t="str">
            <v>200409</v>
          </cell>
          <cell r="E1354">
            <v>3.5569999999999999</v>
          </cell>
        </row>
        <row r="1355">
          <cell r="A1355" t="str">
            <v>37374200410</v>
          </cell>
          <cell r="B1355">
            <v>37374</v>
          </cell>
          <cell r="C1355" t="str">
            <v>NG</v>
          </cell>
          <cell r="D1355" t="str">
            <v>200410</v>
          </cell>
          <cell r="E1355">
            <v>3.5920000000000001</v>
          </cell>
        </row>
        <row r="1356">
          <cell r="A1356" t="str">
            <v>37374200411</v>
          </cell>
          <cell r="B1356">
            <v>37374</v>
          </cell>
          <cell r="C1356" t="str">
            <v>NG</v>
          </cell>
          <cell r="D1356" t="str">
            <v>200411</v>
          </cell>
          <cell r="E1356">
            <v>3.77</v>
          </cell>
        </row>
        <row r="1357">
          <cell r="A1357" t="str">
            <v>37374200412</v>
          </cell>
          <cell r="B1357">
            <v>37374</v>
          </cell>
          <cell r="C1357" t="str">
            <v>NG</v>
          </cell>
          <cell r="D1357" t="str">
            <v>200412</v>
          </cell>
          <cell r="E1357">
            <v>3.9369999999999998</v>
          </cell>
        </row>
        <row r="1358">
          <cell r="A1358" t="str">
            <v>37375200401</v>
          </cell>
          <cell r="B1358">
            <v>37375</v>
          </cell>
          <cell r="C1358" t="str">
            <v>NG</v>
          </cell>
          <cell r="D1358" t="str">
            <v>200401</v>
          </cell>
          <cell r="E1358">
            <v>4.1429999999999998</v>
          </cell>
        </row>
        <row r="1359">
          <cell r="A1359" t="str">
            <v>37375200402</v>
          </cell>
          <cell r="B1359">
            <v>37375</v>
          </cell>
          <cell r="C1359" t="str">
            <v>NG</v>
          </cell>
          <cell r="D1359" t="str">
            <v>200402</v>
          </cell>
          <cell r="E1359">
            <v>4.0380000000000003</v>
          </cell>
        </row>
        <row r="1360">
          <cell r="A1360" t="str">
            <v>37375200403</v>
          </cell>
          <cell r="B1360">
            <v>37375</v>
          </cell>
          <cell r="C1360" t="str">
            <v>NG</v>
          </cell>
          <cell r="D1360" t="str">
            <v>200403</v>
          </cell>
          <cell r="E1360">
            <v>3.8679999999999999</v>
          </cell>
        </row>
        <row r="1361">
          <cell r="A1361" t="str">
            <v>37375200404</v>
          </cell>
          <cell r="B1361">
            <v>37375</v>
          </cell>
          <cell r="C1361" t="str">
            <v>NG</v>
          </cell>
          <cell r="D1361" t="str">
            <v>200404</v>
          </cell>
          <cell r="E1361">
            <v>3.5979999999999999</v>
          </cell>
        </row>
        <row r="1362">
          <cell r="A1362" t="str">
            <v>37375200405</v>
          </cell>
          <cell r="B1362">
            <v>37375</v>
          </cell>
          <cell r="C1362" t="str">
            <v>NG</v>
          </cell>
          <cell r="D1362" t="str">
            <v>200405</v>
          </cell>
          <cell r="E1362">
            <v>3.5579999999999998</v>
          </cell>
        </row>
        <row r="1363">
          <cell r="A1363" t="str">
            <v>37375200406</v>
          </cell>
          <cell r="B1363">
            <v>37375</v>
          </cell>
          <cell r="C1363" t="str">
            <v>NG</v>
          </cell>
          <cell r="D1363" t="str">
            <v>200406</v>
          </cell>
          <cell r="E1363">
            <v>3.5680000000000001</v>
          </cell>
        </row>
        <row r="1364">
          <cell r="A1364" t="str">
            <v>37375200407</v>
          </cell>
          <cell r="B1364">
            <v>37375</v>
          </cell>
          <cell r="C1364" t="str">
            <v>NG</v>
          </cell>
          <cell r="D1364" t="str">
            <v>200407</v>
          </cell>
          <cell r="E1364">
            <v>3.5979999999999999</v>
          </cell>
        </row>
        <row r="1365">
          <cell r="A1365" t="str">
            <v>37375200408</v>
          </cell>
          <cell r="B1365">
            <v>37375</v>
          </cell>
          <cell r="C1365" t="str">
            <v>NG</v>
          </cell>
          <cell r="D1365" t="str">
            <v>200408</v>
          </cell>
          <cell r="E1365">
            <v>3.6230000000000002</v>
          </cell>
        </row>
        <row r="1366">
          <cell r="A1366" t="str">
            <v>37375200409</v>
          </cell>
          <cell r="B1366">
            <v>37375</v>
          </cell>
          <cell r="C1366" t="str">
            <v>NG</v>
          </cell>
          <cell r="D1366" t="str">
            <v>200409</v>
          </cell>
          <cell r="E1366">
            <v>3.6080000000000001</v>
          </cell>
        </row>
        <row r="1367">
          <cell r="A1367" t="str">
            <v>37375200410</v>
          </cell>
          <cell r="B1367">
            <v>37375</v>
          </cell>
          <cell r="C1367" t="str">
            <v>NG</v>
          </cell>
          <cell r="D1367" t="str">
            <v>200410</v>
          </cell>
          <cell r="E1367">
            <v>3.6429999999999998</v>
          </cell>
        </row>
        <row r="1368">
          <cell r="A1368" t="str">
            <v>37375200411</v>
          </cell>
          <cell r="B1368">
            <v>37375</v>
          </cell>
          <cell r="C1368" t="str">
            <v>NG</v>
          </cell>
          <cell r="D1368" t="str">
            <v>200411</v>
          </cell>
          <cell r="E1368">
            <v>3.8210000000000002</v>
          </cell>
        </row>
        <row r="1369">
          <cell r="A1369" t="str">
            <v>37375200412</v>
          </cell>
          <cell r="B1369">
            <v>37375</v>
          </cell>
          <cell r="C1369" t="str">
            <v>NG</v>
          </cell>
          <cell r="D1369" t="str">
            <v>200412</v>
          </cell>
          <cell r="E1369">
            <v>3.988</v>
          </cell>
        </row>
        <row r="1370">
          <cell r="A1370" t="str">
            <v>37376200401</v>
          </cell>
          <cell r="B1370">
            <v>37376</v>
          </cell>
          <cell r="C1370" t="str">
            <v>NG</v>
          </cell>
          <cell r="D1370" t="str">
            <v>200401</v>
          </cell>
          <cell r="E1370">
            <v>4.3</v>
          </cell>
        </row>
        <row r="1371">
          <cell r="A1371" t="str">
            <v>37376200402</v>
          </cell>
          <cell r="B1371">
            <v>37376</v>
          </cell>
          <cell r="C1371" t="str">
            <v>NG</v>
          </cell>
          <cell r="D1371" t="str">
            <v>200402</v>
          </cell>
          <cell r="E1371">
            <v>4.1950000000000003</v>
          </cell>
        </row>
        <row r="1372">
          <cell r="A1372" t="str">
            <v>37376200403</v>
          </cell>
          <cell r="B1372">
            <v>37376</v>
          </cell>
          <cell r="C1372" t="str">
            <v>NG</v>
          </cell>
          <cell r="D1372" t="str">
            <v>200403</v>
          </cell>
          <cell r="E1372">
            <v>4.0149999999999997</v>
          </cell>
        </row>
        <row r="1373">
          <cell r="A1373" t="str">
            <v>37376200404</v>
          </cell>
          <cell r="B1373">
            <v>37376</v>
          </cell>
          <cell r="C1373" t="str">
            <v>NG</v>
          </cell>
          <cell r="D1373" t="str">
            <v>200404</v>
          </cell>
          <cell r="E1373">
            <v>3.74</v>
          </cell>
        </row>
        <row r="1374">
          <cell r="A1374" t="str">
            <v>37376200405</v>
          </cell>
          <cell r="B1374">
            <v>37376</v>
          </cell>
          <cell r="C1374" t="str">
            <v>NG</v>
          </cell>
          <cell r="D1374" t="str">
            <v>200405</v>
          </cell>
          <cell r="E1374">
            <v>3.7</v>
          </cell>
        </row>
        <row r="1375">
          <cell r="A1375" t="str">
            <v>37376200406</v>
          </cell>
          <cell r="B1375">
            <v>37376</v>
          </cell>
          <cell r="C1375" t="str">
            <v>NG</v>
          </cell>
          <cell r="D1375" t="str">
            <v>200406</v>
          </cell>
          <cell r="E1375">
            <v>3.7</v>
          </cell>
        </row>
        <row r="1376">
          <cell r="A1376" t="str">
            <v>37376200407</v>
          </cell>
          <cell r="B1376">
            <v>37376</v>
          </cell>
          <cell r="C1376" t="str">
            <v>NG</v>
          </cell>
          <cell r="D1376" t="str">
            <v>200407</v>
          </cell>
          <cell r="E1376">
            <v>3.7250000000000001</v>
          </cell>
        </row>
        <row r="1377">
          <cell r="A1377" t="str">
            <v>37376200408</v>
          </cell>
          <cell r="B1377">
            <v>37376</v>
          </cell>
          <cell r="C1377" t="str">
            <v>NG</v>
          </cell>
          <cell r="D1377" t="str">
            <v>200408</v>
          </cell>
          <cell r="E1377">
            <v>3.75</v>
          </cell>
        </row>
        <row r="1378">
          <cell r="A1378" t="str">
            <v>37376200409</v>
          </cell>
          <cell r="B1378">
            <v>37376</v>
          </cell>
          <cell r="C1378" t="str">
            <v>NG</v>
          </cell>
          <cell r="D1378" t="str">
            <v>200409</v>
          </cell>
          <cell r="E1378">
            <v>3.7349999999999999</v>
          </cell>
        </row>
        <row r="1379">
          <cell r="A1379" t="str">
            <v>37376200410</v>
          </cell>
          <cell r="B1379">
            <v>37376</v>
          </cell>
          <cell r="C1379" t="str">
            <v>NG</v>
          </cell>
          <cell r="D1379" t="str">
            <v>200410</v>
          </cell>
          <cell r="E1379">
            <v>3.77</v>
          </cell>
        </row>
        <row r="1380">
          <cell r="A1380" t="str">
            <v>37376200411</v>
          </cell>
          <cell r="B1380">
            <v>37376</v>
          </cell>
          <cell r="C1380" t="str">
            <v>NG</v>
          </cell>
          <cell r="D1380" t="str">
            <v>200411</v>
          </cell>
          <cell r="E1380">
            <v>3.948</v>
          </cell>
        </row>
        <row r="1381">
          <cell r="A1381" t="str">
            <v>37376200412</v>
          </cell>
          <cell r="B1381">
            <v>37376</v>
          </cell>
          <cell r="C1381" t="str">
            <v>NG</v>
          </cell>
          <cell r="D1381" t="str">
            <v>200412</v>
          </cell>
          <cell r="E1381">
            <v>4.1150000000000002</v>
          </cell>
        </row>
        <row r="1382">
          <cell r="A1382" t="str">
            <v>37377200401</v>
          </cell>
          <cell r="B1382">
            <v>37377</v>
          </cell>
          <cell r="C1382" t="str">
            <v>NG</v>
          </cell>
          <cell r="D1382" t="str">
            <v>200401</v>
          </cell>
          <cell r="E1382">
            <v>4.2460000000000004</v>
          </cell>
        </row>
        <row r="1383">
          <cell r="A1383" t="str">
            <v>37377200402</v>
          </cell>
          <cell r="B1383">
            <v>37377</v>
          </cell>
          <cell r="C1383" t="str">
            <v>NG</v>
          </cell>
          <cell r="D1383" t="str">
            <v>200402</v>
          </cell>
          <cell r="E1383">
            <v>4.141</v>
          </cell>
        </row>
        <row r="1384">
          <cell r="A1384" t="str">
            <v>37377200403</v>
          </cell>
          <cell r="B1384">
            <v>37377</v>
          </cell>
          <cell r="C1384" t="str">
            <v>NG</v>
          </cell>
          <cell r="D1384" t="str">
            <v>200403</v>
          </cell>
          <cell r="E1384">
            <v>3.9609999999999999</v>
          </cell>
        </row>
        <row r="1385">
          <cell r="A1385" t="str">
            <v>37377200404</v>
          </cell>
          <cell r="B1385">
            <v>37377</v>
          </cell>
          <cell r="C1385" t="str">
            <v>NG</v>
          </cell>
          <cell r="D1385" t="str">
            <v>200404</v>
          </cell>
          <cell r="E1385">
            <v>3.6859999999999999</v>
          </cell>
        </row>
        <row r="1386">
          <cell r="A1386" t="str">
            <v>37377200405</v>
          </cell>
          <cell r="B1386">
            <v>37377</v>
          </cell>
          <cell r="C1386" t="str">
            <v>NG</v>
          </cell>
          <cell r="D1386" t="str">
            <v>200405</v>
          </cell>
          <cell r="E1386">
            <v>3.6509999999999998</v>
          </cell>
        </row>
        <row r="1387">
          <cell r="A1387" t="str">
            <v>37377200406</v>
          </cell>
          <cell r="B1387">
            <v>37377</v>
          </cell>
          <cell r="C1387" t="str">
            <v>NG</v>
          </cell>
          <cell r="D1387" t="str">
            <v>200406</v>
          </cell>
          <cell r="E1387">
            <v>3.6509999999999998</v>
          </cell>
        </row>
        <row r="1388">
          <cell r="A1388" t="str">
            <v>37377200407</v>
          </cell>
          <cell r="B1388">
            <v>37377</v>
          </cell>
          <cell r="C1388" t="str">
            <v>NG</v>
          </cell>
          <cell r="D1388" t="str">
            <v>200407</v>
          </cell>
          <cell r="E1388">
            <v>3.6760000000000002</v>
          </cell>
        </row>
        <row r="1389">
          <cell r="A1389" t="str">
            <v>37377200408</v>
          </cell>
          <cell r="B1389">
            <v>37377</v>
          </cell>
          <cell r="C1389" t="str">
            <v>NG</v>
          </cell>
          <cell r="D1389" t="str">
            <v>200408</v>
          </cell>
          <cell r="E1389">
            <v>3.706</v>
          </cell>
        </row>
        <row r="1390">
          <cell r="A1390" t="str">
            <v>37377200409</v>
          </cell>
          <cell r="B1390">
            <v>37377</v>
          </cell>
          <cell r="C1390" t="str">
            <v>NG</v>
          </cell>
          <cell r="D1390" t="str">
            <v>200409</v>
          </cell>
          <cell r="E1390">
            <v>3.6909999999999998</v>
          </cell>
        </row>
        <row r="1391">
          <cell r="A1391" t="str">
            <v>37377200410</v>
          </cell>
          <cell r="B1391">
            <v>37377</v>
          </cell>
          <cell r="C1391" t="str">
            <v>NG</v>
          </cell>
          <cell r="D1391" t="str">
            <v>200410</v>
          </cell>
          <cell r="E1391">
            <v>3.7309999999999999</v>
          </cell>
        </row>
        <row r="1392">
          <cell r="A1392" t="str">
            <v>37377200411</v>
          </cell>
          <cell r="B1392">
            <v>37377</v>
          </cell>
          <cell r="C1392" t="str">
            <v>NG</v>
          </cell>
          <cell r="D1392" t="str">
            <v>200411</v>
          </cell>
          <cell r="E1392">
            <v>3.9089999999999998</v>
          </cell>
        </row>
        <row r="1393">
          <cell r="A1393" t="str">
            <v>37377200412</v>
          </cell>
          <cell r="B1393">
            <v>37377</v>
          </cell>
          <cell r="C1393" t="str">
            <v>NG</v>
          </cell>
          <cell r="D1393" t="str">
            <v>200412</v>
          </cell>
          <cell r="E1393">
            <v>4.0759999999999996</v>
          </cell>
        </row>
        <row r="1394">
          <cell r="A1394" t="str">
            <v>37378200401</v>
          </cell>
          <cell r="B1394">
            <v>37378</v>
          </cell>
          <cell r="C1394" t="str">
            <v>NG</v>
          </cell>
          <cell r="D1394" t="str">
            <v>200401</v>
          </cell>
          <cell r="E1394">
            <v>4.2329999999999997</v>
          </cell>
        </row>
        <row r="1395">
          <cell r="A1395" t="str">
            <v>37378200402</v>
          </cell>
          <cell r="B1395">
            <v>37378</v>
          </cell>
          <cell r="C1395" t="str">
            <v>NG</v>
          </cell>
          <cell r="D1395" t="str">
            <v>200402</v>
          </cell>
          <cell r="E1395">
            <v>4.133</v>
          </cell>
        </row>
        <row r="1396">
          <cell r="A1396" t="str">
            <v>37378200403</v>
          </cell>
          <cell r="B1396">
            <v>37378</v>
          </cell>
          <cell r="C1396" t="str">
            <v>NG</v>
          </cell>
          <cell r="D1396" t="str">
            <v>200403</v>
          </cell>
          <cell r="E1396">
            <v>3.9580000000000002</v>
          </cell>
        </row>
        <row r="1397">
          <cell r="A1397" t="str">
            <v>37378200404</v>
          </cell>
          <cell r="B1397">
            <v>37378</v>
          </cell>
          <cell r="C1397" t="str">
            <v>NG</v>
          </cell>
          <cell r="D1397" t="str">
            <v>200404</v>
          </cell>
          <cell r="E1397">
            <v>3.6930000000000001</v>
          </cell>
        </row>
        <row r="1398">
          <cell r="A1398" t="str">
            <v>37378200405</v>
          </cell>
          <cell r="B1398">
            <v>37378</v>
          </cell>
          <cell r="C1398" t="str">
            <v>NG</v>
          </cell>
          <cell r="D1398" t="str">
            <v>200405</v>
          </cell>
          <cell r="E1398">
            <v>3.6579999999999999</v>
          </cell>
        </row>
        <row r="1399">
          <cell r="A1399" t="str">
            <v>37378200406</v>
          </cell>
          <cell r="B1399">
            <v>37378</v>
          </cell>
          <cell r="C1399" t="str">
            <v>NG</v>
          </cell>
          <cell r="D1399" t="str">
            <v>200406</v>
          </cell>
          <cell r="E1399">
            <v>3.6579999999999999</v>
          </cell>
        </row>
        <row r="1400">
          <cell r="A1400" t="str">
            <v>37378200407</v>
          </cell>
          <cell r="B1400">
            <v>37378</v>
          </cell>
          <cell r="C1400" t="str">
            <v>NG</v>
          </cell>
          <cell r="D1400" t="str">
            <v>200407</v>
          </cell>
          <cell r="E1400">
            <v>3.6829999999999998</v>
          </cell>
        </row>
        <row r="1401">
          <cell r="A1401" t="str">
            <v>37378200408</v>
          </cell>
          <cell r="B1401">
            <v>37378</v>
          </cell>
          <cell r="C1401" t="str">
            <v>NG</v>
          </cell>
          <cell r="D1401" t="str">
            <v>200408</v>
          </cell>
          <cell r="E1401">
            <v>3.7130000000000001</v>
          </cell>
        </row>
        <row r="1402">
          <cell r="A1402" t="str">
            <v>37378200409</v>
          </cell>
          <cell r="B1402">
            <v>37378</v>
          </cell>
          <cell r="C1402" t="str">
            <v>NG</v>
          </cell>
          <cell r="D1402" t="str">
            <v>200409</v>
          </cell>
          <cell r="E1402">
            <v>3.698</v>
          </cell>
        </row>
        <row r="1403">
          <cell r="A1403" t="str">
            <v>37378200410</v>
          </cell>
          <cell r="B1403">
            <v>37378</v>
          </cell>
          <cell r="C1403" t="str">
            <v>NG</v>
          </cell>
          <cell r="D1403" t="str">
            <v>200410</v>
          </cell>
          <cell r="E1403">
            <v>3.738</v>
          </cell>
        </row>
        <row r="1404">
          <cell r="A1404" t="str">
            <v>37378200411</v>
          </cell>
          <cell r="B1404">
            <v>37378</v>
          </cell>
          <cell r="C1404" t="str">
            <v>NG</v>
          </cell>
          <cell r="D1404" t="str">
            <v>200411</v>
          </cell>
          <cell r="E1404">
            <v>3.9159999999999999</v>
          </cell>
        </row>
        <row r="1405">
          <cell r="A1405" t="str">
            <v>37378200412</v>
          </cell>
          <cell r="B1405">
            <v>37378</v>
          </cell>
          <cell r="C1405" t="str">
            <v>NG</v>
          </cell>
          <cell r="D1405" t="str">
            <v>200412</v>
          </cell>
          <cell r="E1405">
            <v>4.0830000000000002</v>
          </cell>
        </row>
        <row r="1406">
          <cell r="A1406" t="str">
            <v>37379200401</v>
          </cell>
          <cell r="B1406">
            <v>37379</v>
          </cell>
          <cell r="C1406" t="str">
            <v>NG</v>
          </cell>
          <cell r="D1406" t="str">
            <v>200401</v>
          </cell>
          <cell r="E1406">
            <v>4.2960000000000003</v>
          </cell>
        </row>
        <row r="1407">
          <cell r="A1407" t="str">
            <v>37379200402</v>
          </cell>
          <cell r="B1407">
            <v>37379</v>
          </cell>
          <cell r="C1407" t="str">
            <v>NG</v>
          </cell>
          <cell r="D1407" t="str">
            <v>200402</v>
          </cell>
          <cell r="E1407">
            <v>4.1959999999999997</v>
          </cell>
        </row>
        <row r="1408">
          <cell r="A1408" t="str">
            <v>37379200403</v>
          </cell>
          <cell r="B1408">
            <v>37379</v>
          </cell>
          <cell r="C1408" t="str">
            <v>NG</v>
          </cell>
          <cell r="D1408" t="str">
            <v>200403</v>
          </cell>
          <cell r="E1408">
            <v>4.0209999999999999</v>
          </cell>
        </row>
        <row r="1409">
          <cell r="A1409" t="str">
            <v>37379200404</v>
          </cell>
          <cell r="B1409">
            <v>37379</v>
          </cell>
          <cell r="C1409" t="str">
            <v>NG</v>
          </cell>
          <cell r="D1409" t="str">
            <v>200404</v>
          </cell>
          <cell r="E1409">
            <v>3.7559999999999998</v>
          </cell>
        </row>
        <row r="1410">
          <cell r="A1410" t="str">
            <v>37379200405</v>
          </cell>
          <cell r="B1410">
            <v>37379</v>
          </cell>
          <cell r="C1410" t="str">
            <v>NG</v>
          </cell>
          <cell r="D1410" t="str">
            <v>200405</v>
          </cell>
          <cell r="E1410">
            <v>3.7160000000000002</v>
          </cell>
        </row>
        <row r="1411">
          <cell r="A1411" t="str">
            <v>37379200406</v>
          </cell>
          <cell r="B1411">
            <v>37379</v>
          </cell>
          <cell r="C1411" t="str">
            <v>NG</v>
          </cell>
          <cell r="D1411" t="str">
            <v>200406</v>
          </cell>
          <cell r="E1411">
            <v>3.7160000000000002</v>
          </cell>
        </row>
        <row r="1412">
          <cell r="A1412" t="str">
            <v>37379200407</v>
          </cell>
          <cell r="B1412">
            <v>37379</v>
          </cell>
          <cell r="C1412" t="str">
            <v>NG</v>
          </cell>
          <cell r="D1412" t="str">
            <v>200407</v>
          </cell>
          <cell r="E1412">
            <v>3.7410000000000001</v>
          </cell>
        </row>
        <row r="1413">
          <cell r="A1413" t="str">
            <v>37379200408</v>
          </cell>
          <cell r="B1413">
            <v>37379</v>
          </cell>
          <cell r="C1413" t="str">
            <v>NG</v>
          </cell>
          <cell r="D1413" t="str">
            <v>200408</v>
          </cell>
          <cell r="E1413">
            <v>3.7709999999999999</v>
          </cell>
        </row>
        <row r="1414">
          <cell r="A1414" t="str">
            <v>37379200409</v>
          </cell>
          <cell r="B1414">
            <v>37379</v>
          </cell>
          <cell r="C1414" t="str">
            <v>NG</v>
          </cell>
          <cell r="D1414" t="str">
            <v>200409</v>
          </cell>
          <cell r="E1414">
            <v>3.7559999999999998</v>
          </cell>
        </row>
        <row r="1415">
          <cell r="A1415" t="str">
            <v>37379200410</v>
          </cell>
          <cell r="B1415">
            <v>37379</v>
          </cell>
          <cell r="C1415" t="str">
            <v>NG</v>
          </cell>
          <cell r="D1415" t="str">
            <v>200410</v>
          </cell>
          <cell r="E1415">
            <v>3.7959999999999998</v>
          </cell>
        </row>
        <row r="1416">
          <cell r="A1416" t="str">
            <v>37379200411</v>
          </cell>
          <cell r="B1416">
            <v>37379</v>
          </cell>
          <cell r="C1416" t="str">
            <v>NG</v>
          </cell>
          <cell r="D1416" t="str">
            <v>200411</v>
          </cell>
          <cell r="E1416">
            <v>3.9740000000000002</v>
          </cell>
        </row>
        <row r="1417">
          <cell r="A1417" t="str">
            <v>37379200412</v>
          </cell>
          <cell r="B1417">
            <v>37379</v>
          </cell>
          <cell r="C1417" t="str">
            <v>NG</v>
          </cell>
          <cell r="D1417" t="str">
            <v>200412</v>
          </cell>
          <cell r="E1417">
            <v>4.141</v>
          </cell>
        </row>
        <row r="1418">
          <cell r="A1418" t="str">
            <v>37380200401</v>
          </cell>
          <cell r="B1418">
            <v>37380</v>
          </cell>
          <cell r="C1418" t="str">
            <v>NG</v>
          </cell>
          <cell r="D1418" t="str">
            <v>200401</v>
          </cell>
          <cell r="E1418">
            <v>4.2960000000000003</v>
          </cell>
        </row>
        <row r="1419">
          <cell r="A1419" t="str">
            <v>37380200402</v>
          </cell>
          <cell r="B1419">
            <v>37380</v>
          </cell>
          <cell r="C1419" t="str">
            <v>NG</v>
          </cell>
          <cell r="D1419" t="str">
            <v>200402</v>
          </cell>
          <cell r="E1419">
            <v>4.1959999999999997</v>
          </cell>
        </row>
        <row r="1420">
          <cell r="A1420" t="str">
            <v>37380200403</v>
          </cell>
          <cell r="B1420">
            <v>37380</v>
          </cell>
          <cell r="C1420" t="str">
            <v>NG</v>
          </cell>
          <cell r="D1420" t="str">
            <v>200403</v>
          </cell>
          <cell r="E1420">
            <v>4.0209999999999999</v>
          </cell>
        </row>
        <row r="1421">
          <cell r="A1421" t="str">
            <v>37380200404</v>
          </cell>
          <cell r="B1421">
            <v>37380</v>
          </cell>
          <cell r="C1421" t="str">
            <v>NG</v>
          </cell>
          <cell r="D1421" t="str">
            <v>200404</v>
          </cell>
          <cell r="E1421">
            <v>3.7559999999999998</v>
          </cell>
        </row>
        <row r="1422">
          <cell r="A1422" t="str">
            <v>37380200405</v>
          </cell>
          <cell r="B1422">
            <v>37380</v>
          </cell>
          <cell r="C1422" t="str">
            <v>NG</v>
          </cell>
          <cell r="D1422" t="str">
            <v>200405</v>
          </cell>
          <cell r="E1422">
            <v>3.7160000000000002</v>
          </cell>
        </row>
        <row r="1423">
          <cell r="A1423" t="str">
            <v>37380200406</v>
          </cell>
          <cell r="B1423">
            <v>37380</v>
          </cell>
          <cell r="C1423" t="str">
            <v>NG</v>
          </cell>
          <cell r="D1423" t="str">
            <v>200406</v>
          </cell>
          <cell r="E1423">
            <v>3.7160000000000002</v>
          </cell>
        </row>
        <row r="1424">
          <cell r="A1424" t="str">
            <v>37380200407</v>
          </cell>
          <cell r="B1424">
            <v>37380</v>
          </cell>
          <cell r="C1424" t="str">
            <v>NG</v>
          </cell>
          <cell r="D1424" t="str">
            <v>200407</v>
          </cell>
          <cell r="E1424">
            <v>3.7410000000000001</v>
          </cell>
        </row>
        <row r="1425">
          <cell r="A1425" t="str">
            <v>37380200408</v>
          </cell>
          <cell r="B1425">
            <v>37380</v>
          </cell>
          <cell r="C1425" t="str">
            <v>NG</v>
          </cell>
          <cell r="D1425" t="str">
            <v>200408</v>
          </cell>
          <cell r="E1425">
            <v>3.7709999999999999</v>
          </cell>
        </row>
        <row r="1426">
          <cell r="A1426" t="str">
            <v>37380200409</v>
          </cell>
          <cell r="B1426">
            <v>37380</v>
          </cell>
          <cell r="C1426" t="str">
            <v>NG</v>
          </cell>
          <cell r="D1426" t="str">
            <v>200409</v>
          </cell>
          <cell r="E1426">
            <v>3.7559999999999998</v>
          </cell>
        </row>
        <row r="1427">
          <cell r="A1427" t="str">
            <v>37380200410</v>
          </cell>
          <cell r="B1427">
            <v>37380</v>
          </cell>
          <cell r="C1427" t="str">
            <v>NG</v>
          </cell>
          <cell r="D1427" t="str">
            <v>200410</v>
          </cell>
          <cell r="E1427">
            <v>3.7959999999999998</v>
          </cell>
        </row>
        <row r="1428">
          <cell r="A1428" t="str">
            <v>37380200411</v>
          </cell>
          <cell r="B1428">
            <v>37380</v>
          </cell>
          <cell r="C1428" t="str">
            <v>NG</v>
          </cell>
          <cell r="D1428" t="str">
            <v>200411</v>
          </cell>
          <cell r="E1428">
            <v>3.9740000000000002</v>
          </cell>
        </row>
        <row r="1429">
          <cell r="A1429" t="str">
            <v>37380200412</v>
          </cell>
          <cell r="B1429">
            <v>37380</v>
          </cell>
          <cell r="C1429" t="str">
            <v>NG</v>
          </cell>
          <cell r="D1429" t="str">
            <v>200412</v>
          </cell>
          <cell r="E1429">
            <v>4.141</v>
          </cell>
        </row>
        <row r="1430">
          <cell r="A1430" t="str">
            <v>37381200401</v>
          </cell>
          <cell r="B1430">
            <v>37381</v>
          </cell>
          <cell r="C1430" t="str">
            <v>NG</v>
          </cell>
          <cell r="D1430" t="str">
            <v>200401</v>
          </cell>
          <cell r="E1430">
            <v>4.2960000000000003</v>
          </cell>
        </row>
        <row r="1431">
          <cell r="A1431" t="str">
            <v>37381200402</v>
          </cell>
          <cell r="B1431">
            <v>37381</v>
          </cell>
          <cell r="C1431" t="str">
            <v>NG</v>
          </cell>
          <cell r="D1431" t="str">
            <v>200402</v>
          </cell>
          <cell r="E1431">
            <v>4.1959999999999997</v>
          </cell>
        </row>
        <row r="1432">
          <cell r="A1432" t="str">
            <v>37381200403</v>
          </cell>
          <cell r="B1432">
            <v>37381</v>
          </cell>
          <cell r="C1432" t="str">
            <v>NG</v>
          </cell>
          <cell r="D1432" t="str">
            <v>200403</v>
          </cell>
          <cell r="E1432">
            <v>4.0209999999999999</v>
          </cell>
        </row>
        <row r="1433">
          <cell r="A1433" t="str">
            <v>37381200404</v>
          </cell>
          <cell r="B1433">
            <v>37381</v>
          </cell>
          <cell r="C1433" t="str">
            <v>NG</v>
          </cell>
          <cell r="D1433" t="str">
            <v>200404</v>
          </cell>
          <cell r="E1433">
            <v>3.7559999999999998</v>
          </cell>
        </row>
        <row r="1434">
          <cell r="A1434" t="str">
            <v>37381200405</v>
          </cell>
          <cell r="B1434">
            <v>37381</v>
          </cell>
          <cell r="C1434" t="str">
            <v>NG</v>
          </cell>
          <cell r="D1434" t="str">
            <v>200405</v>
          </cell>
          <cell r="E1434">
            <v>3.7160000000000002</v>
          </cell>
        </row>
        <row r="1435">
          <cell r="A1435" t="str">
            <v>37381200406</v>
          </cell>
          <cell r="B1435">
            <v>37381</v>
          </cell>
          <cell r="C1435" t="str">
            <v>NG</v>
          </cell>
          <cell r="D1435" t="str">
            <v>200406</v>
          </cell>
          <cell r="E1435">
            <v>3.7160000000000002</v>
          </cell>
        </row>
        <row r="1436">
          <cell r="A1436" t="str">
            <v>37381200407</v>
          </cell>
          <cell r="B1436">
            <v>37381</v>
          </cell>
          <cell r="C1436" t="str">
            <v>NG</v>
          </cell>
          <cell r="D1436" t="str">
            <v>200407</v>
          </cell>
          <cell r="E1436">
            <v>3.7410000000000001</v>
          </cell>
        </row>
        <row r="1437">
          <cell r="A1437" t="str">
            <v>37381200408</v>
          </cell>
          <cell r="B1437">
            <v>37381</v>
          </cell>
          <cell r="C1437" t="str">
            <v>NG</v>
          </cell>
          <cell r="D1437" t="str">
            <v>200408</v>
          </cell>
          <cell r="E1437">
            <v>3.7709999999999999</v>
          </cell>
        </row>
        <row r="1438">
          <cell r="A1438" t="str">
            <v>37381200409</v>
          </cell>
          <cell r="B1438">
            <v>37381</v>
          </cell>
          <cell r="C1438" t="str">
            <v>NG</v>
          </cell>
          <cell r="D1438" t="str">
            <v>200409</v>
          </cell>
          <cell r="E1438">
            <v>3.7559999999999998</v>
          </cell>
        </row>
        <row r="1439">
          <cell r="A1439" t="str">
            <v>37381200410</v>
          </cell>
          <cell r="B1439">
            <v>37381</v>
          </cell>
          <cell r="C1439" t="str">
            <v>NG</v>
          </cell>
          <cell r="D1439" t="str">
            <v>200410</v>
          </cell>
          <cell r="E1439">
            <v>3.7959999999999998</v>
          </cell>
        </row>
        <row r="1440">
          <cell r="A1440" t="str">
            <v>37381200411</v>
          </cell>
          <cell r="B1440">
            <v>37381</v>
          </cell>
          <cell r="C1440" t="str">
            <v>NG</v>
          </cell>
          <cell r="D1440" t="str">
            <v>200411</v>
          </cell>
          <cell r="E1440">
            <v>3.9740000000000002</v>
          </cell>
        </row>
        <row r="1441">
          <cell r="A1441" t="str">
            <v>37381200412</v>
          </cell>
          <cell r="B1441">
            <v>37381</v>
          </cell>
          <cell r="C1441" t="str">
            <v>NG</v>
          </cell>
          <cell r="D1441" t="str">
            <v>200412</v>
          </cell>
          <cell r="E1441">
            <v>4.141</v>
          </cell>
        </row>
        <row r="1442">
          <cell r="A1442" t="str">
            <v>37382200401</v>
          </cell>
          <cell r="B1442">
            <v>37382</v>
          </cell>
          <cell r="C1442" t="str">
            <v>NG</v>
          </cell>
          <cell r="D1442" t="str">
            <v>200401</v>
          </cell>
          <cell r="E1442">
            <v>4.2549999999999999</v>
          </cell>
        </row>
        <row r="1443">
          <cell r="A1443" t="str">
            <v>37382200402</v>
          </cell>
          <cell r="B1443">
            <v>37382</v>
          </cell>
          <cell r="C1443" t="str">
            <v>NG</v>
          </cell>
          <cell r="D1443" t="str">
            <v>200402</v>
          </cell>
          <cell r="E1443">
            <v>4.165</v>
          </cell>
        </row>
        <row r="1444">
          <cell r="A1444" t="str">
            <v>37382200403</v>
          </cell>
          <cell r="B1444">
            <v>37382</v>
          </cell>
          <cell r="C1444" t="str">
            <v>NG</v>
          </cell>
          <cell r="D1444" t="str">
            <v>200403</v>
          </cell>
          <cell r="E1444">
            <v>4</v>
          </cell>
        </row>
        <row r="1445">
          <cell r="A1445" t="str">
            <v>37382200404</v>
          </cell>
          <cell r="B1445">
            <v>37382</v>
          </cell>
          <cell r="C1445" t="str">
            <v>NG</v>
          </cell>
          <cell r="D1445" t="str">
            <v>200404</v>
          </cell>
          <cell r="E1445">
            <v>3.7349999999999999</v>
          </cell>
        </row>
        <row r="1446">
          <cell r="A1446" t="str">
            <v>37382200405</v>
          </cell>
          <cell r="B1446">
            <v>37382</v>
          </cell>
          <cell r="C1446" t="str">
            <v>NG</v>
          </cell>
          <cell r="D1446" t="str">
            <v>200405</v>
          </cell>
          <cell r="E1446">
            <v>3.6949999999999998</v>
          </cell>
        </row>
        <row r="1447">
          <cell r="A1447" t="str">
            <v>37382200406</v>
          </cell>
          <cell r="B1447">
            <v>37382</v>
          </cell>
          <cell r="C1447" t="str">
            <v>NG</v>
          </cell>
          <cell r="D1447" t="str">
            <v>200406</v>
          </cell>
          <cell r="E1447">
            <v>3.7</v>
          </cell>
        </row>
        <row r="1448">
          <cell r="A1448" t="str">
            <v>37382200407</v>
          </cell>
          <cell r="B1448">
            <v>37382</v>
          </cell>
          <cell r="C1448" t="str">
            <v>NG</v>
          </cell>
          <cell r="D1448" t="str">
            <v>200407</v>
          </cell>
          <cell r="E1448">
            <v>3.7349999999999999</v>
          </cell>
        </row>
        <row r="1449">
          <cell r="A1449" t="str">
            <v>37382200408</v>
          </cell>
          <cell r="B1449">
            <v>37382</v>
          </cell>
          <cell r="C1449" t="str">
            <v>NG</v>
          </cell>
          <cell r="D1449" t="str">
            <v>200408</v>
          </cell>
          <cell r="E1449">
            <v>3.7650000000000001</v>
          </cell>
        </row>
        <row r="1450">
          <cell r="A1450" t="str">
            <v>37382200409</v>
          </cell>
          <cell r="B1450">
            <v>37382</v>
          </cell>
          <cell r="C1450" t="str">
            <v>NG</v>
          </cell>
          <cell r="D1450" t="str">
            <v>200409</v>
          </cell>
          <cell r="E1450">
            <v>3.7450000000000001</v>
          </cell>
        </row>
        <row r="1451">
          <cell r="A1451" t="str">
            <v>37382200410</v>
          </cell>
          <cell r="B1451">
            <v>37382</v>
          </cell>
          <cell r="C1451" t="str">
            <v>NG</v>
          </cell>
          <cell r="D1451" t="str">
            <v>200410</v>
          </cell>
          <cell r="E1451">
            <v>3.7850000000000001</v>
          </cell>
        </row>
        <row r="1452">
          <cell r="A1452" t="str">
            <v>37382200411</v>
          </cell>
          <cell r="B1452">
            <v>37382</v>
          </cell>
          <cell r="C1452" t="str">
            <v>NG</v>
          </cell>
          <cell r="D1452" t="str">
            <v>200411</v>
          </cell>
          <cell r="E1452">
            <v>3.9729999999999999</v>
          </cell>
        </row>
        <row r="1453">
          <cell r="A1453" t="str">
            <v>37382200412</v>
          </cell>
          <cell r="B1453">
            <v>37382</v>
          </cell>
          <cell r="C1453" t="str">
            <v>NG</v>
          </cell>
          <cell r="D1453" t="str">
            <v>200412</v>
          </cell>
          <cell r="E1453">
            <v>4.1399999999999997</v>
          </cell>
        </row>
        <row r="1454">
          <cell r="A1454" t="str">
            <v>37383200401</v>
          </cell>
          <cell r="B1454">
            <v>37383</v>
          </cell>
          <cell r="C1454" t="str">
            <v>NG</v>
          </cell>
          <cell r="D1454" t="str">
            <v>200401</v>
          </cell>
          <cell r="E1454">
            <v>4.3630000000000004</v>
          </cell>
        </row>
        <row r="1455">
          <cell r="A1455" t="str">
            <v>37383200402</v>
          </cell>
          <cell r="B1455">
            <v>37383</v>
          </cell>
          <cell r="C1455" t="str">
            <v>NG</v>
          </cell>
          <cell r="D1455" t="str">
            <v>200402</v>
          </cell>
          <cell r="E1455">
            <v>4.2729999999999997</v>
          </cell>
        </row>
        <row r="1456">
          <cell r="A1456" t="str">
            <v>37383200403</v>
          </cell>
          <cell r="B1456">
            <v>37383</v>
          </cell>
          <cell r="C1456" t="str">
            <v>NG</v>
          </cell>
          <cell r="D1456" t="str">
            <v>200403</v>
          </cell>
          <cell r="E1456">
            <v>4.1079999999999997</v>
          </cell>
        </row>
        <row r="1457">
          <cell r="A1457" t="str">
            <v>37383200404</v>
          </cell>
          <cell r="B1457">
            <v>37383</v>
          </cell>
          <cell r="C1457" t="str">
            <v>NG</v>
          </cell>
          <cell r="D1457" t="str">
            <v>200404</v>
          </cell>
          <cell r="E1457">
            <v>3.8330000000000002</v>
          </cell>
        </row>
        <row r="1458">
          <cell r="A1458" t="str">
            <v>37383200405</v>
          </cell>
          <cell r="B1458">
            <v>37383</v>
          </cell>
          <cell r="C1458" t="str">
            <v>NG</v>
          </cell>
          <cell r="D1458" t="str">
            <v>200405</v>
          </cell>
          <cell r="E1458">
            <v>3.7829999999999999</v>
          </cell>
        </row>
        <row r="1459">
          <cell r="A1459" t="str">
            <v>37383200406</v>
          </cell>
          <cell r="B1459">
            <v>37383</v>
          </cell>
          <cell r="C1459" t="str">
            <v>NG</v>
          </cell>
          <cell r="D1459" t="str">
            <v>200406</v>
          </cell>
          <cell r="E1459">
            <v>3.7879999999999998</v>
          </cell>
        </row>
        <row r="1460">
          <cell r="A1460" t="str">
            <v>37383200407</v>
          </cell>
          <cell r="B1460">
            <v>37383</v>
          </cell>
          <cell r="C1460" t="str">
            <v>NG</v>
          </cell>
          <cell r="D1460" t="str">
            <v>200407</v>
          </cell>
          <cell r="E1460">
            <v>3.823</v>
          </cell>
        </row>
        <row r="1461">
          <cell r="A1461" t="str">
            <v>37383200408</v>
          </cell>
          <cell r="B1461">
            <v>37383</v>
          </cell>
          <cell r="C1461" t="str">
            <v>NG</v>
          </cell>
          <cell r="D1461" t="str">
            <v>200408</v>
          </cell>
          <cell r="E1461">
            <v>3.8530000000000002</v>
          </cell>
        </row>
        <row r="1462">
          <cell r="A1462" t="str">
            <v>37383200409</v>
          </cell>
          <cell r="B1462">
            <v>37383</v>
          </cell>
          <cell r="C1462" t="str">
            <v>NG</v>
          </cell>
          <cell r="D1462" t="str">
            <v>200409</v>
          </cell>
          <cell r="E1462">
            <v>3.8330000000000002</v>
          </cell>
        </row>
        <row r="1463">
          <cell r="A1463" t="str">
            <v>37383200410</v>
          </cell>
          <cell r="B1463">
            <v>37383</v>
          </cell>
          <cell r="C1463" t="str">
            <v>NG</v>
          </cell>
          <cell r="D1463" t="str">
            <v>200410</v>
          </cell>
          <cell r="E1463">
            <v>3.8730000000000002</v>
          </cell>
        </row>
        <row r="1464">
          <cell r="A1464" t="str">
            <v>37383200411</v>
          </cell>
          <cell r="B1464">
            <v>37383</v>
          </cell>
          <cell r="C1464" t="str">
            <v>NG</v>
          </cell>
          <cell r="D1464" t="str">
            <v>200411</v>
          </cell>
          <cell r="E1464">
            <v>4.0629999999999997</v>
          </cell>
        </row>
        <row r="1465">
          <cell r="A1465" t="str">
            <v>37383200412</v>
          </cell>
          <cell r="B1465">
            <v>37383</v>
          </cell>
          <cell r="C1465" t="str">
            <v>NG</v>
          </cell>
          <cell r="D1465" t="str">
            <v>200412</v>
          </cell>
          <cell r="E1465">
            <v>4.2380000000000004</v>
          </cell>
        </row>
        <row r="1466">
          <cell r="A1466" t="str">
            <v>37384200401</v>
          </cell>
          <cell r="B1466">
            <v>37384</v>
          </cell>
          <cell r="C1466" t="str">
            <v>NG</v>
          </cell>
          <cell r="D1466" t="str">
            <v>200401</v>
          </cell>
          <cell r="E1466">
            <v>4.4009999999999998</v>
          </cell>
        </row>
        <row r="1467">
          <cell r="A1467" t="str">
            <v>37384200402</v>
          </cell>
          <cell r="B1467">
            <v>37384</v>
          </cell>
          <cell r="C1467" t="str">
            <v>NG</v>
          </cell>
          <cell r="D1467" t="str">
            <v>200402</v>
          </cell>
          <cell r="E1467">
            <v>4.3109999999999999</v>
          </cell>
        </row>
        <row r="1468">
          <cell r="A1468" t="str">
            <v>37384200403</v>
          </cell>
          <cell r="B1468">
            <v>37384</v>
          </cell>
          <cell r="C1468" t="str">
            <v>NG</v>
          </cell>
          <cell r="D1468" t="str">
            <v>200403</v>
          </cell>
          <cell r="E1468">
            <v>4.1360000000000001</v>
          </cell>
        </row>
        <row r="1469">
          <cell r="A1469" t="str">
            <v>37384200404</v>
          </cell>
          <cell r="B1469">
            <v>37384</v>
          </cell>
          <cell r="C1469" t="str">
            <v>NG</v>
          </cell>
          <cell r="D1469" t="str">
            <v>200404</v>
          </cell>
          <cell r="E1469">
            <v>3.8559999999999999</v>
          </cell>
        </row>
        <row r="1470">
          <cell r="A1470" t="str">
            <v>37384200405</v>
          </cell>
          <cell r="B1470">
            <v>37384</v>
          </cell>
          <cell r="C1470" t="str">
            <v>NG</v>
          </cell>
          <cell r="D1470" t="str">
            <v>200405</v>
          </cell>
          <cell r="E1470">
            <v>3.7930000000000001</v>
          </cell>
        </row>
        <row r="1471">
          <cell r="A1471" t="str">
            <v>37384200406</v>
          </cell>
          <cell r="B1471">
            <v>37384</v>
          </cell>
          <cell r="C1471" t="str">
            <v>NG</v>
          </cell>
          <cell r="D1471" t="str">
            <v>200406</v>
          </cell>
          <cell r="E1471">
            <v>3.798</v>
          </cell>
        </row>
        <row r="1472">
          <cell r="A1472" t="str">
            <v>37384200407</v>
          </cell>
          <cell r="B1472">
            <v>37384</v>
          </cell>
          <cell r="C1472" t="str">
            <v>NG</v>
          </cell>
          <cell r="D1472" t="str">
            <v>200407</v>
          </cell>
          <cell r="E1472">
            <v>3.8330000000000002</v>
          </cell>
        </row>
        <row r="1473">
          <cell r="A1473" t="str">
            <v>37384200408</v>
          </cell>
          <cell r="B1473">
            <v>37384</v>
          </cell>
          <cell r="C1473" t="str">
            <v>NG</v>
          </cell>
          <cell r="D1473" t="str">
            <v>200408</v>
          </cell>
          <cell r="E1473">
            <v>3.863</v>
          </cell>
        </row>
        <row r="1474">
          <cell r="A1474" t="str">
            <v>37384200409</v>
          </cell>
          <cell r="B1474">
            <v>37384</v>
          </cell>
          <cell r="C1474" t="str">
            <v>NG</v>
          </cell>
          <cell r="D1474" t="str">
            <v>200409</v>
          </cell>
          <cell r="E1474">
            <v>3.843</v>
          </cell>
        </row>
        <row r="1475">
          <cell r="A1475" t="str">
            <v>37384200410</v>
          </cell>
          <cell r="B1475">
            <v>37384</v>
          </cell>
          <cell r="C1475" t="str">
            <v>NG</v>
          </cell>
          <cell r="D1475" t="str">
            <v>200410</v>
          </cell>
          <cell r="E1475">
            <v>3.883</v>
          </cell>
        </row>
        <row r="1476">
          <cell r="A1476" t="str">
            <v>37384200411</v>
          </cell>
          <cell r="B1476">
            <v>37384</v>
          </cell>
          <cell r="C1476" t="str">
            <v>NG</v>
          </cell>
          <cell r="D1476" t="str">
            <v>200411</v>
          </cell>
          <cell r="E1476">
            <v>4.0730000000000004</v>
          </cell>
        </row>
        <row r="1477">
          <cell r="A1477" t="str">
            <v>37384200412</v>
          </cell>
          <cell r="B1477">
            <v>37384</v>
          </cell>
          <cell r="C1477" t="str">
            <v>NG</v>
          </cell>
          <cell r="D1477" t="str">
            <v>200412</v>
          </cell>
          <cell r="E1477">
            <v>4.2480000000000002</v>
          </cell>
        </row>
        <row r="1478">
          <cell r="A1478" t="str">
            <v>37385200401</v>
          </cell>
          <cell r="B1478">
            <v>37385</v>
          </cell>
          <cell r="C1478" t="str">
            <v>NG</v>
          </cell>
          <cell r="D1478" t="str">
            <v>200401</v>
          </cell>
          <cell r="E1478">
            <v>4.4160000000000004</v>
          </cell>
        </row>
        <row r="1479">
          <cell r="A1479" t="str">
            <v>37385200402</v>
          </cell>
          <cell r="B1479">
            <v>37385</v>
          </cell>
          <cell r="C1479" t="str">
            <v>NG</v>
          </cell>
          <cell r="D1479" t="str">
            <v>200402</v>
          </cell>
          <cell r="E1479">
            <v>4.3239999999999998</v>
          </cell>
        </row>
        <row r="1480">
          <cell r="A1480" t="str">
            <v>37385200403</v>
          </cell>
          <cell r="B1480">
            <v>37385</v>
          </cell>
          <cell r="C1480" t="str">
            <v>NG</v>
          </cell>
          <cell r="D1480" t="str">
            <v>200403</v>
          </cell>
          <cell r="E1480">
            <v>4.1390000000000002</v>
          </cell>
        </row>
        <row r="1481">
          <cell r="A1481" t="str">
            <v>37385200404</v>
          </cell>
          <cell r="B1481">
            <v>37385</v>
          </cell>
          <cell r="C1481" t="str">
            <v>NG</v>
          </cell>
          <cell r="D1481" t="str">
            <v>200404</v>
          </cell>
          <cell r="E1481">
            <v>3.859</v>
          </cell>
        </row>
        <row r="1482">
          <cell r="A1482" t="str">
            <v>37385200405</v>
          </cell>
          <cell r="B1482">
            <v>37385</v>
          </cell>
          <cell r="C1482" t="str">
            <v>NG</v>
          </cell>
          <cell r="D1482" t="str">
            <v>200405</v>
          </cell>
          <cell r="E1482">
            <v>3.8090000000000002</v>
          </cell>
        </row>
        <row r="1483">
          <cell r="A1483" t="str">
            <v>37385200406</v>
          </cell>
          <cell r="B1483">
            <v>37385</v>
          </cell>
          <cell r="C1483" t="str">
            <v>NG</v>
          </cell>
          <cell r="D1483" t="str">
            <v>200406</v>
          </cell>
          <cell r="E1483">
            <v>3.823</v>
          </cell>
        </row>
        <row r="1484">
          <cell r="A1484" t="str">
            <v>37385200407</v>
          </cell>
          <cell r="B1484">
            <v>37385</v>
          </cell>
          <cell r="C1484" t="str">
            <v>NG</v>
          </cell>
          <cell r="D1484" t="str">
            <v>200407</v>
          </cell>
          <cell r="E1484">
            <v>3.8580000000000001</v>
          </cell>
        </row>
        <row r="1485">
          <cell r="A1485" t="str">
            <v>37385200408</v>
          </cell>
          <cell r="B1485">
            <v>37385</v>
          </cell>
          <cell r="C1485" t="str">
            <v>NG</v>
          </cell>
          <cell r="D1485" t="str">
            <v>200408</v>
          </cell>
          <cell r="E1485">
            <v>3.8879999999999999</v>
          </cell>
        </row>
        <row r="1486">
          <cell r="A1486" t="str">
            <v>37385200409</v>
          </cell>
          <cell r="B1486">
            <v>37385</v>
          </cell>
          <cell r="C1486" t="str">
            <v>NG</v>
          </cell>
          <cell r="D1486" t="str">
            <v>200409</v>
          </cell>
          <cell r="E1486">
            <v>3.883</v>
          </cell>
        </row>
        <row r="1487">
          <cell r="A1487" t="str">
            <v>37385200410</v>
          </cell>
          <cell r="B1487">
            <v>37385</v>
          </cell>
          <cell r="C1487" t="str">
            <v>NG</v>
          </cell>
          <cell r="D1487" t="str">
            <v>200410</v>
          </cell>
          <cell r="E1487">
            <v>3.9180000000000001</v>
          </cell>
        </row>
        <row r="1488">
          <cell r="A1488" t="str">
            <v>37385200411</v>
          </cell>
          <cell r="B1488">
            <v>37385</v>
          </cell>
          <cell r="C1488" t="str">
            <v>NG</v>
          </cell>
          <cell r="D1488" t="str">
            <v>200411</v>
          </cell>
          <cell r="E1488">
            <v>4.093</v>
          </cell>
        </row>
        <row r="1489">
          <cell r="A1489" t="str">
            <v>37385200412</v>
          </cell>
          <cell r="B1489">
            <v>37385</v>
          </cell>
          <cell r="C1489" t="str">
            <v>NG</v>
          </cell>
          <cell r="D1489" t="str">
            <v>200412</v>
          </cell>
          <cell r="E1489">
            <v>4.274</v>
          </cell>
        </row>
        <row r="1490">
          <cell r="A1490" t="str">
            <v>37386200401</v>
          </cell>
          <cell r="B1490">
            <v>37386</v>
          </cell>
          <cell r="C1490" t="str">
            <v>NG</v>
          </cell>
          <cell r="D1490" t="str">
            <v>200401</v>
          </cell>
          <cell r="E1490">
            <v>4.4119999999999999</v>
          </cell>
        </row>
        <row r="1491">
          <cell r="A1491" t="str">
            <v>37386200402</v>
          </cell>
          <cell r="B1491">
            <v>37386</v>
          </cell>
          <cell r="C1491" t="str">
            <v>NG</v>
          </cell>
          <cell r="D1491" t="str">
            <v>200402</v>
          </cell>
          <cell r="E1491">
            <v>4.32</v>
          </cell>
        </row>
        <row r="1492">
          <cell r="A1492" t="str">
            <v>37386200403</v>
          </cell>
          <cell r="B1492">
            <v>37386</v>
          </cell>
          <cell r="C1492" t="str">
            <v>NG</v>
          </cell>
          <cell r="D1492" t="str">
            <v>200403</v>
          </cell>
          <cell r="E1492">
            <v>4.1349999999999998</v>
          </cell>
        </row>
        <row r="1493">
          <cell r="A1493" t="str">
            <v>37386200404</v>
          </cell>
          <cell r="B1493">
            <v>37386</v>
          </cell>
          <cell r="C1493" t="str">
            <v>NG</v>
          </cell>
          <cell r="D1493" t="str">
            <v>200404</v>
          </cell>
          <cell r="E1493">
            <v>3.8450000000000002</v>
          </cell>
        </row>
        <row r="1494">
          <cell r="A1494" t="str">
            <v>37386200405</v>
          </cell>
          <cell r="B1494">
            <v>37386</v>
          </cell>
          <cell r="C1494" t="str">
            <v>NG</v>
          </cell>
          <cell r="D1494" t="str">
            <v>200405</v>
          </cell>
          <cell r="E1494">
            <v>3.78</v>
          </cell>
        </row>
        <row r="1495">
          <cell r="A1495" t="str">
            <v>37386200406</v>
          </cell>
          <cell r="B1495">
            <v>37386</v>
          </cell>
          <cell r="C1495" t="str">
            <v>NG</v>
          </cell>
          <cell r="D1495" t="str">
            <v>200406</v>
          </cell>
          <cell r="E1495">
            <v>3.79</v>
          </cell>
        </row>
        <row r="1496">
          <cell r="A1496" t="str">
            <v>37386200407</v>
          </cell>
          <cell r="B1496">
            <v>37386</v>
          </cell>
          <cell r="C1496" t="str">
            <v>NG</v>
          </cell>
          <cell r="D1496" t="str">
            <v>200407</v>
          </cell>
          <cell r="E1496">
            <v>3.8250000000000002</v>
          </cell>
        </row>
        <row r="1497">
          <cell r="A1497" t="str">
            <v>37386200408</v>
          </cell>
          <cell r="B1497">
            <v>37386</v>
          </cell>
          <cell r="C1497" t="str">
            <v>NG</v>
          </cell>
          <cell r="D1497" t="str">
            <v>200408</v>
          </cell>
          <cell r="E1497">
            <v>3.855</v>
          </cell>
        </row>
        <row r="1498">
          <cell r="A1498" t="str">
            <v>37386200409</v>
          </cell>
          <cell r="B1498">
            <v>37386</v>
          </cell>
          <cell r="C1498" t="str">
            <v>NG</v>
          </cell>
          <cell r="D1498" t="str">
            <v>200409</v>
          </cell>
          <cell r="E1498">
            <v>3.85</v>
          </cell>
        </row>
        <row r="1499">
          <cell r="A1499" t="str">
            <v>37386200410</v>
          </cell>
          <cell r="B1499">
            <v>37386</v>
          </cell>
          <cell r="C1499" t="str">
            <v>NG</v>
          </cell>
          <cell r="D1499" t="str">
            <v>200410</v>
          </cell>
          <cell r="E1499">
            <v>3.8849999999999998</v>
          </cell>
        </row>
        <row r="1500">
          <cell r="A1500" t="str">
            <v>37386200411</v>
          </cell>
          <cell r="B1500">
            <v>37386</v>
          </cell>
          <cell r="C1500" t="str">
            <v>NG</v>
          </cell>
          <cell r="D1500" t="str">
            <v>200411</v>
          </cell>
          <cell r="E1500">
            <v>4.0599999999999996</v>
          </cell>
        </row>
        <row r="1501">
          <cell r="A1501" t="str">
            <v>37386200412</v>
          </cell>
          <cell r="B1501">
            <v>37386</v>
          </cell>
          <cell r="C1501" t="str">
            <v>NG</v>
          </cell>
          <cell r="D1501" t="str">
            <v>200412</v>
          </cell>
          <cell r="E1501">
            <v>4.2409999999999997</v>
          </cell>
        </row>
        <row r="1502">
          <cell r="A1502" t="str">
            <v>37387200401</v>
          </cell>
          <cell r="B1502">
            <v>37387</v>
          </cell>
          <cell r="C1502" t="str">
            <v>NG</v>
          </cell>
          <cell r="D1502" t="str">
            <v>200401</v>
          </cell>
          <cell r="E1502">
            <v>4.4119999999999999</v>
          </cell>
        </row>
        <row r="1503">
          <cell r="A1503" t="str">
            <v>37387200402</v>
          </cell>
          <cell r="B1503">
            <v>37387</v>
          </cell>
          <cell r="C1503" t="str">
            <v>NG</v>
          </cell>
          <cell r="D1503" t="str">
            <v>200402</v>
          </cell>
          <cell r="E1503">
            <v>4.32</v>
          </cell>
        </row>
        <row r="1504">
          <cell r="A1504" t="str">
            <v>37387200403</v>
          </cell>
          <cell r="B1504">
            <v>37387</v>
          </cell>
          <cell r="C1504" t="str">
            <v>NG</v>
          </cell>
          <cell r="D1504" t="str">
            <v>200403</v>
          </cell>
          <cell r="E1504">
            <v>4.1349999999999998</v>
          </cell>
        </row>
        <row r="1505">
          <cell r="A1505" t="str">
            <v>37387200404</v>
          </cell>
          <cell r="B1505">
            <v>37387</v>
          </cell>
          <cell r="C1505" t="str">
            <v>NG</v>
          </cell>
          <cell r="D1505" t="str">
            <v>200404</v>
          </cell>
          <cell r="E1505">
            <v>3.8450000000000002</v>
          </cell>
        </row>
        <row r="1506">
          <cell r="A1506" t="str">
            <v>37387200405</v>
          </cell>
          <cell r="B1506">
            <v>37387</v>
          </cell>
          <cell r="C1506" t="str">
            <v>NG</v>
          </cell>
          <cell r="D1506" t="str">
            <v>200405</v>
          </cell>
          <cell r="E1506">
            <v>3.78</v>
          </cell>
        </row>
        <row r="1507">
          <cell r="A1507" t="str">
            <v>37387200406</v>
          </cell>
          <cell r="B1507">
            <v>37387</v>
          </cell>
          <cell r="C1507" t="str">
            <v>NG</v>
          </cell>
          <cell r="D1507" t="str">
            <v>200406</v>
          </cell>
          <cell r="E1507">
            <v>3.79</v>
          </cell>
        </row>
        <row r="1508">
          <cell r="A1508" t="str">
            <v>37387200407</v>
          </cell>
          <cell r="B1508">
            <v>37387</v>
          </cell>
          <cell r="C1508" t="str">
            <v>NG</v>
          </cell>
          <cell r="D1508" t="str">
            <v>200407</v>
          </cell>
          <cell r="E1508">
            <v>3.8250000000000002</v>
          </cell>
        </row>
        <row r="1509">
          <cell r="A1509" t="str">
            <v>37387200408</v>
          </cell>
          <cell r="B1509">
            <v>37387</v>
          </cell>
          <cell r="C1509" t="str">
            <v>NG</v>
          </cell>
          <cell r="D1509" t="str">
            <v>200408</v>
          </cell>
          <cell r="E1509">
            <v>3.855</v>
          </cell>
        </row>
        <row r="1510">
          <cell r="A1510" t="str">
            <v>37387200409</v>
          </cell>
          <cell r="B1510">
            <v>37387</v>
          </cell>
          <cell r="C1510" t="str">
            <v>NG</v>
          </cell>
          <cell r="D1510" t="str">
            <v>200409</v>
          </cell>
          <cell r="E1510">
            <v>3.85</v>
          </cell>
        </row>
        <row r="1511">
          <cell r="A1511" t="str">
            <v>37387200410</v>
          </cell>
          <cell r="B1511">
            <v>37387</v>
          </cell>
          <cell r="C1511" t="str">
            <v>NG</v>
          </cell>
          <cell r="D1511" t="str">
            <v>200410</v>
          </cell>
          <cell r="E1511">
            <v>3.8849999999999998</v>
          </cell>
        </row>
        <row r="1512">
          <cell r="A1512" t="str">
            <v>37387200411</v>
          </cell>
          <cell r="B1512">
            <v>37387</v>
          </cell>
          <cell r="C1512" t="str">
            <v>NG</v>
          </cell>
          <cell r="D1512" t="str">
            <v>200411</v>
          </cell>
          <cell r="E1512">
            <v>4.0599999999999996</v>
          </cell>
        </row>
        <row r="1513">
          <cell r="A1513" t="str">
            <v>37387200412</v>
          </cell>
          <cell r="B1513">
            <v>37387</v>
          </cell>
          <cell r="C1513" t="str">
            <v>NG</v>
          </cell>
          <cell r="D1513" t="str">
            <v>200412</v>
          </cell>
          <cell r="E1513">
            <v>4.2409999999999997</v>
          </cell>
        </row>
        <row r="1514">
          <cell r="A1514" t="str">
            <v>37388200401</v>
          </cell>
          <cell r="B1514">
            <v>37388</v>
          </cell>
          <cell r="C1514" t="str">
            <v>NG</v>
          </cell>
          <cell r="D1514" t="str">
            <v>200401</v>
          </cell>
          <cell r="E1514">
            <v>4.4119999999999999</v>
          </cell>
        </row>
        <row r="1515">
          <cell r="A1515" t="str">
            <v>37388200402</v>
          </cell>
          <cell r="B1515">
            <v>37388</v>
          </cell>
          <cell r="C1515" t="str">
            <v>NG</v>
          </cell>
          <cell r="D1515" t="str">
            <v>200402</v>
          </cell>
          <cell r="E1515">
            <v>4.32</v>
          </cell>
        </row>
        <row r="1516">
          <cell r="A1516" t="str">
            <v>37388200403</v>
          </cell>
          <cell r="B1516">
            <v>37388</v>
          </cell>
          <cell r="C1516" t="str">
            <v>NG</v>
          </cell>
          <cell r="D1516" t="str">
            <v>200403</v>
          </cell>
          <cell r="E1516">
            <v>4.1349999999999998</v>
          </cell>
        </row>
        <row r="1517">
          <cell r="A1517" t="str">
            <v>37388200404</v>
          </cell>
          <cell r="B1517">
            <v>37388</v>
          </cell>
          <cell r="C1517" t="str">
            <v>NG</v>
          </cell>
          <cell r="D1517" t="str">
            <v>200404</v>
          </cell>
          <cell r="E1517">
            <v>3.8450000000000002</v>
          </cell>
        </row>
        <row r="1518">
          <cell r="A1518" t="str">
            <v>37388200405</v>
          </cell>
          <cell r="B1518">
            <v>37388</v>
          </cell>
          <cell r="C1518" t="str">
            <v>NG</v>
          </cell>
          <cell r="D1518" t="str">
            <v>200405</v>
          </cell>
          <cell r="E1518">
            <v>3.78</v>
          </cell>
        </row>
        <row r="1519">
          <cell r="A1519" t="str">
            <v>37388200406</v>
          </cell>
          <cell r="B1519">
            <v>37388</v>
          </cell>
          <cell r="C1519" t="str">
            <v>NG</v>
          </cell>
          <cell r="D1519" t="str">
            <v>200406</v>
          </cell>
          <cell r="E1519">
            <v>3.79</v>
          </cell>
        </row>
        <row r="1520">
          <cell r="A1520" t="str">
            <v>37388200407</v>
          </cell>
          <cell r="B1520">
            <v>37388</v>
          </cell>
          <cell r="C1520" t="str">
            <v>NG</v>
          </cell>
          <cell r="D1520" t="str">
            <v>200407</v>
          </cell>
          <cell r="E1520">
            <v>3.8250000000000002</v>
          </cell>
        </row>
        <row r="1521">
          <cell r="A1521" t="str">
            <v>37388200408</v>
          </cell>
          <cell r="B1521">
            <v>37388</v>
          </cell>
          <cell r="C1521" t="str">
            <v>NG</v>
          </cell>
          <cell r="D1521" t="str">
            <v>200408</v>
          </cell>
          <cell r="E1521">
            <v>3.855</v>
          </cell>
        </row>
        <row r="1522">
          <cell r="A1522" t="str">
            <v>37388200409</v>
          </cell>
          <cell r="B1522">
            <v>37388</v>
          </cell>
          <cell r="C1522" t="str">
            <v>NG</v>
          </cell>
          <cell r="D1522" t="str">
            <v>200409</v>
          </cell>
          <cell r="E1522">
            <v>3.85</v>
          </cell>
        </row>
        <row r="1523">
          <cell r="A1523" t="str">
            <v>37388200410</v>
          </cell>
          <cell r="B1523">
            <v>37388</v>
          </cell>
          <cell r="C1523" t="str">
            <v>NG</v>
          </cell>
          <cell r="D1523" t="str">
            <v>200410</v>
          </cell>
          <cell r="E1523">
            <v>3.8849999999999998</v>
          </cell>
        </row>
        <row r="1524">
          <cell r="A1524" t="str">
            <v>37388200411</v>
          </cell>
          <cell r="B1524">
            <v>37388</v>
          </cell>
          <cell r="C1524" t="str">
            <v>NG</v>
          </cell>
          <cell r="D1524" t="str">
            <v>200411</v>
          </cell>
          <cell r="E1524">
            <v>4.0599999999999996</v>
          </cell>
        </row>
        <row r="1525">
          <cell r="A1525" t="str">
            <v>37388200412</v>
          </cell>
          <cell r="B1525">
            <v>37388</v>
          </cell>
          <cell r="C1525" t="str">
            <v>NG</v>
          </cell>
          <cell r="D1525" t="str">
            <v>200412</v>
          </cell>
          <cell r="E1525">
            <v>4.2409999999999997</v>
          </cell>
        </row>
        <row r="1526">
          <cell r="A1526" t="str">
            <v>37389200401</v>
          </cell>
          <cell r="B1526">
            <v>37389</v>
          </cell>
          <cell r="C1526" t="str">
            <v>NG</v>
          </cell>
          <cell r="D1526" t="str">
            <v>200401</v>
          </cell>
          <cell r="E1526">
            <v>4.4470000000000001</v>
          </cell>
        </row>
        <row r="1527">
          <cell r="A1527" t="str">
            <v>37389200402</v>
          </cell>
          <cell r="B1527">
            <v>37389</v>
          </cell>
          <cell r="C1527" t="str">
            <v>NG</v>
          </cell>
          <cell r="D1527" t="str">
            <v>200402</v>
          </cell>
          <cell r="E1527">
            <v>4.3550000000000004</v>
          </cell>
        </row>
        <row r="1528">
          <cell r="A1528" t="str">
            <v>37389200403</v>
          </cell>
          <cell r="B1528">
            <v>37389</v>
          </cell>
          <cell r="C1528" t="str">
            <v>NG</v>
          </cell>
          <cell r="D1528" t="str">
            <v>200403</v>
          </cell>
          <cell r="E1528">
            <v>4.17</v>
          </cell>
        </row>
        <row r="1529">
          <cell r="A1529" t="str">
            <v>37389200404</v>
          </cell>
          <cell r="B1529">
            <v>37389</v>
          </cell>
          <cell r="C1529" t="str">
            <v>NG</v>
          </cell>
          <cell r="D1529" t="str">
            <v>200404</v>
          </cell>
          <cell r="E1529">
            <v>3.887</v>
          </cell>
        </row>
        <row r="1530">
          <cell r="A1530" t="str">
            <v>37389200405</v>
          </cell>
          <cell r="B1530">
            <v>37389</v>
          </cell>
          <cell r="C1530" t="str">
            <v>NG</v>
          </cell>
          <cell r="D1530" t="str">
            <v>200405</v>
          </cell>
          <cell r="E1530">
            <v>3.827</v>
          </cell>
        </row>
        <row r="1531">
          <cell r="A1531" t="str">
            <v>37389200406</v>
          </cell>
          <cell r="B1531">
            <v>37389</v>
          </cell>
          <cell r="C1531" t="str">
            <v>NG</v>
          </cell>
          <cell r="D1531" t="str">
            <v>200406</v>
          </cell>
          <cell r="E1531">
            <v>3.8370000000000002</v>
          </cell>
        </row>
        <row r="1532">
          <cell r="A1532" t="str">
            <v>37389200407</v>
          </cell>
          <cell r="B1532">
            <v>37389</v>
          </cell>
          <cell r="C1532" t="str">
            <v>NG</v>
          </cell>
          <cell r="D1532" t="str">
            <v>200407</v>
          </cell>
          <cell r="E1532">
            <v>3.8719999999999999</v>
          </cell>
        </row>
        <row r="1533">
          <cell r="A1533" t="str">
            <v>37389200408</v>
          </cell>
          <cell r="B1533">
            <v>37389</v>
          </cell>
          <cell r="C1533" t="str">
            <v>NG</v>
          </cell>
          <cell r="D1533" t="str">
            <v>200408</v>
          </cell>
          <cell r="E1533">
            <v>3.9020000000000001</v>
          </cell>
        </row>
        <row r="1534">
          <cell r="A1534" t="str">
            <v>37389200409</v>
          </cell>
          <cell r="B1534">
            <v>37389</v>
          </cell>
          <cell r="C1534" t="str">
            <v>NG</v>
          </cell>
          <cell r="D1534" t="str">
            <v>200409</v>
          </cell>
          <cell r="E1534">
            <v>3.8969999999999998</v>
          </cell>
        </row>
        <row r="1535">
          <cell r="A1535" t="str">
            <v>37389200410</v>
          </cell>
          <cell r="B1535">
            <v>37389</v>
          </cell>
          <cell r="C1535" t="str">
            <v>NG</v>
          </cell>
          <cell r="D1535" t="str">
            <v>200410</v>
          </cell>
          <cell r="E1535">
            <v>3.9369999999999998</v>
          </cell>
        </row>
        <row r="1536">
          <cell r="A1536" t="str">
            <v>37389200411</v>
          </cell>
          <cell r="B1536">
            <v>37389</v>
          </cell>
          <cell r="C1536" t="str">
            <v>NG</v>
          </cell>
          <cell r="D1536" t="str">
            <v>200411</v>
          </cell>
          <cell r="E1536">
            <v>4.1139999999999999</v>
          </cell>
        </row>
        <row r="1537">
          <cell r="A1537" t="str">
            <v>37389200412</v>
          </cell>
          <cell r="B1537">
            <v>37389</v>
          </cell>
          <cell r="C1537" t="str">
            <v>NG</v>
          </cell>
          <cell r="D1537" t="str">
            <v>200412</v>
          </cell>
          <cell r="E1537">
            <v>4.2949999999999999</v>
          </cell>
        </row>
        <row r="1538">
          <cell r="A1538" t="str">
            <v>37390200401</v>
          </cell>
          <cell r="B1538">
            <v>37390</v>
          </cell>
          <cell r="C1538" t="str">
            <v>NG</v>
          </cell>
          <cell r="D1538" t="str">
            <v>200401</v>
          </cell>
          <cell r="E1538">
            <v>4.5149999999999997</v>
          </cell>
        </row>
        <row r="1539">
          <cell r="A1539" t="str">
            <v>37390200402</v>
          </cell>
          <cell r="B1539">
            <v>37390</v>
          </cell>
          <cell r="C1539" t="str">
            <v>NG</v>
          </cell>
          <cell r="D1539" t="str">
            <v>200402</v>
          </cell>
          <cell r="E1539">
            <v>4.423</v>
          </cell>
        </row>
        <row r="1540">
          <cell r="A1540" t="str">
            <v>37390200403</v>
          </cell>
          <cell r="B1540">
            <v>37390</v>
          </cell>
          <cell r="C1540" t="str">
            <v>NG</v>
          </cell>
          <cell r="D1540" t="str">
            <v>200403</v>
          </cell>
          <cell r="E1540">
            <v>4.2350000000000003</v>
          </cell>
        </row>
        <row r="1541">
          <cell r="A1541" t="str">
            <v>37390200404</v>
          </cell>
          <cell r="B1541">
            <v>37390</v>
          </cell>
          <cell r="C1541" t="str">
            <v>NG</v>
          </cell>
          <cell r="D1541" t="str">
            <v>200404</v>
          </cell>
          <cell r="E1541">
            <v>3.9470000000000001</v>
          </cell>
        </row>
        <row r="1542">
          <cell r="A1542" t="str">
            <v>37390200405</v>
          </cell>
          <cell r="B1542">
            <v>37390</v>
          </cell>
          <cell r="C1542" t="str">
            <v>NG</v>
          </cell>
          <cell r="D1542" t="str">
            <v>200405</v>
          </cell>
          <cell r="E1542">
            <v>3.88</v>
          </cell>
        </row>
        <row r="1543">
          <cell r="A1543" t="str">
            <v>37390200406</v>
          </cell>
          <cell r="B1543">
            <v>37390</v>
          </cell>
          <cell r="C1543" t="str">
            <v>NG</v>
          </cell>
          <cell r="D1543" t="str">
            <v>200406</v>
          </cell>
          <cell r="E1543">
            <v>3.88</v>
          </cell>
        </row>
        <row r="1544">
          <cell r="A1544" t="str">
            <v>37390200407</v>
          </cell>
          <cell r="B1544">
            <v>37390</v>
          </cell>
          <cell r="C1544" t="str">
            <v>NG</v>
          </cell>
          <cell r="D1544" t="str">
            <v>200407</v>
          </cell>
          <cell r="E1544">
            <v>3.91</v>
          </cell>
        </row>
        <row r="1545">
          <cell r="A1545" t="str">
            <v>37390200408</v>
          </cell>
          <cell r="B1545">
            <v>37390</v>
          </cell>
          <cell r="C1545" t="str">
            <v>NG</v>
          </cell>
          <cell r="D1545" t="str">
            <v>200408</v>
          </cell>
          <cell r="E1545">
            <v>3.94</v>
          </cell>
        </row>
        <row r="1546">
          <cell r="A1546" t="str">
            <v>37390200409</v>
          </cell>
          <cell r="B1546">
            <v>37390</v>
          </cell>
          <cell r="C1546" t="str">
            <v>NG</v>
          </cell>
          <cell r="D1546" t="str">
            <v>200409</v>
          </cell>
          <cell r="E1546">
            <v>3.93</v>
          </cell>
        </row>
        <row r="1547">
          <cell r="A1547" t="str">
            <v>37390200410</v>
          </cell>
          <cell r="B1547">
            <v>37390</v>
          </cell>
          <cell r="C1547" t="str">
            <v>NG</v>
          </cell>
          <cell r="D1547" t="str">
            <v>200410</v>
          </cell>
          <cell r="E1547">
            <v>3.97</v>
          </cell>
        </row>
        <row r="1548">
          <cell r="A1548" t="str">
            <v>37390200411</v>
          </cell>
          <cell r="B1548">
            <v>37390</v>
          </cell>
          <cell r="C1548" t="str">
            <v>NG</v>
          </cell>
          <cell r="D1548" t="str">
            <v>200411</v>
          </cell>
          <cell r="E1548">
            <v>4.1470000000000002</v>
          </cell>
        </row>
        <row r="1549">
          <cell r="A1549" t="str">
            <v>37390200412</v>
          </cell>
          <cell r="B1549">
            <v>37390</v>
          </cell>
          <cell r="C1549" t="str">
            <v>NG</v>
          </cell>
          <cell r="D1549" t="str">
            <v>200412</v>
          </cell>
          <cell r="E1549">
            <v>4.3280000000000003</v>
          </cell>
        </row>
        <row r="1550">
          <cell r="A1550" t="str">
            <v>37391200401</v>
          </cell>
          <cell r="B1550">
            <v>37391</v>
          </cell>
          <cell r="C1550" t="str">
            <v>NG</v>
          </cell>
          <cell r="D1550" t="str">
            <v>200401</v>
          </cell>
          <cell r="E1550">
            <v>4.4059999999999997</v>
          </cell>
        </row>
        <row r="1551">
          <cell r="A1551" t="str">
            <v>37391200402</v>
          </cell>
          <cell r="B1551">
            <v>37391</v>
          </cell>
          <cell r="C1551" t="str">
            <v>NG</v>
          </cell>
          <cell r="D1551" t="str">
            <v>200402</v>
          </cell>
          <cell r="E1551">
            <v>4.3209999999999997</v>
          </cell>
        </row>
        <row r="1552">
          <cell r="A1552" t="str">
            <v>37391200403</v>
          </cell>
          <cell r="B1552">
            <v>37391</v>
          </cell>
          <cell r="C1552" t="str">
            <v>NG</v>
          </cell>
          <cell r="D1552" t="str">
            <v>200403</v>
          </cell>
          <cell r="E1552">
            <v>4.133</v>
          </cell>
        </row>
        <row r="1553">
          <cell r="A1553" t="str">
            <v>37391200404</v>
          </cell>
          <cell r="B1553">
            <v>37391</v>
          </cell>
          <cell r="C1553" t="str">
            <v>NG</v>
          </cell>
          <cell r="D1553" t="str">
            <v>200404</v>
          </cell>
          <cell r="E1553">
            <v>3.8530000000000002</v>
          </cell>
        </row>
        <row r="1554">
          <cell r="A1554" t="str">
            <v>37391200405</v>
          </cell>
          <cell r="B1554">
            <v>37391</v>
          </cell>
          <cell r="C1554" t="str">
            <v>NG</v>
          </cell>
          <cell r="D1554" t="str">
            <v>200405</v>
          </cell>
          <cell r="E1554">
            <v>3.786</v>
          </cell>
        </row>
        <row r="1555">
          <cell r="A1555" t="str">
            <v>37391200406</v>
          </cell>
          <cell r="B1555">
            <v>37391</v>
          </cell>
          <cell r="C1555" t="str">
            <v>NG</v>
          </cell>
          <cell r="D1555" t="str">
            <v>200406</v>
          </cell>
          <cell r="E1555">
            <v>3.786</v>
          </cell>
        </row>
        <row r="1556">
          <cell r="A1556" t="str">
            <v>37391200407</v>
          </cell>
          <cell r="B1556">
            <v>37391</v>
          </cell>
          <cell r="C1556" t="str">
            <v>NG</v>
          </cell>
          <cell r="D1556" t="str">
            <v>200407</v>
          </cell>
          <cell r="E1556">
            <v>3.8159999999999998</v>
          </cell>
        </row>
        <row r="1557">
          <cell r="A1557" t="str">
            <v>37391200408</v>
          </cell>
          <cell r="B1557">
            <v>37391</v>
          </cell>
          <cell r="C1557" t="str">
            <v>NG</v>
          </cell>
          <cell r="D1557" t="str">
            <v>200408</v>
          </cell>
          <cell r="E1557">
            <v>3.8460000000000001</v>
          </cell>
        </row>
        <row r="1558">
          <cell r="A1558" t="str">
            <v>37391200409</v>
          </cell>
          <cell r="B1558">
            <v>37391</v>
          </cell>
          <cell r="C1558" t="str">
            <v>NG</v>
          </cell>
          <cell r="D1558" t="str">
            <v>200409</v>
          </cell>
          <cell r="E1558">
            <v>3.831</v>
          </cell>
        </row>
        <row r="1559">
          <cell r="A1559" t="str">
            <v>37391200410</v>
          </cell>
          <cell r="B1559">
            <v>37391</v>
          </cell>
          <cell r="C1559" t="str">
            <v>NG</v>
          </cell>
          <cell r="D1559" t="str">
            <v>200410</v>
          </cell>
          <cell r="E1559">
            <v>3.871</v>
          </cell>
        </row>
        <row r="1560">
          <cell r="A1560" t="str">
            <v>37391200411</v>
          </cell>
          <cell r="B1560">
            <v>37391</v>
          </cell>
          <cell r="C1560" t="str">
            <v>NG</v>
          </cell>
          <cell r="D1560" t="str">
            <v>200411</v>
          </cell>
          <cell r="E1560">
            <v>4.0609999999999999</v>
          </cell>
        </row>
        <row r="1561">
          <cell r="A1561" t="str">
            <v>37391200412</v>
          </cell>
          <cell r="B1561">
            <v>37391</v>
          </cell>
          <cell r="C1561" t="str">
            <v>NG</v>
          </cell>
          <cell r="D1561" t="str">
            <v>200412</v>
          </cell>
          <cell r="E1561">
            <v>4.242</v>
          </cell>
        </row>
        <row r="1562">
          <cell r="A1562" t="str">
            <v>37392200401</v>
          </cell>
          <cell r="B1562">
            <v>37392</v>
          </cell>
          <cell r="C1562" t="str">
            <v>NG</v>
          </cell>
          <cell r="D1562" t="str">
            <v>200401</v>
          </cell>
          <cell r="E1562">
            <v>4.4400000000000004</v>
          </cell>
        </row>
        <row r="1563">
          <cell r="A1563" t="str">
            <v>37392200402</v>
          </cell>
          <cell r="B1563">
            <v>37392</v>
          </cell>
          <cell r="C1563" t="str">
            <v>NG</v>
          </cell>
          <cell r="D1563" t="str">
            <v>200402</v>
          </cell>
          <cell r="E1563">
            <v>4.3600000000000003</v>
          </cell>
        </row>
        <row r="1564">
          <cell r="A1564" t="str">
            <v>37392200403</v>
          </cell>
          <cell r="B1564">
            <v>37392</v>
          </cell>
          <cell r="C1564" t="str">
            <v>NG</v>
          </cell>
          <cell r="D1564" t="str">
            <v>200403</v>
          </cell>
          <cell r="E1564">
            <v>4.17</v>
          </cell>
        </row>
        <row r="1565">
          <cell r="A1565" t="str">
            <v>37392200404</v>
          </cell>
          <cell r="B1565">
            <v>37392</v>
          </cell>
          <cell r="C1565" t="str">
            <v>NG</v>
          </cell>
          <cell r="D1565" t="str">
            <v>200404</v>
          </cell>
          <cell r="E1565">
            <v>3.8969999999999998</v>
          </cell>
        </row>
        <row r="1566">
          <cell r="A1566" t="str">
            <v>37392200405</v>
          </cell>
          <cell r="B1566">
            <v>37392</v>
          </cell>
          <cell r="C1566" t="str">
            <v>NG</v>
          </cell>
          <cell r="D1566" t="str">
            <v>200405</v>
          </cell>
          <cell r="E1566">
            <v>3.83</v>
          </cell>
        </row>
        <row r="1567">
          <cell r="A1567" t="str">
            <v>37392200406</v>
          </cell>
          <cell r="B1567">
            <v>37392</v>
          </cell>
          <cell r="C1567" t="str">
            <v>NG</v>
          </cell>
          <cell r="D1567" t="str">
            <v>200406</v>
          </cell>
          <cell r="E1567">
            <v>3.83</v>
          </cell>
        </row>
        <row r="1568">
          <cell r="A1568" t="str">
            <v>37392200407</v>
          </cell>
          <cell r="B1568">
            <v>37392</v>
          </cell>
          <cell r="C1568" t="str">
            <v>NG</v>
          </cell>
          <cell r="D1568" t="str">
            <v>200407</v>
          </cell>
          <cell r="E1568">
            <v>3.86</v>
          </cell>
        </row>
        <row r="1569">
          <cell r="A1569" t="str">
            <v>37392200408</v>
          </cell>
          <cell r="B1569">
            <v>37392</v>
          </cell>
          <cell r="C1569" t="str">
            <v>NG</v>
          </cell>
          <cell r="D1569" t="str">
            <v>200408</v>
          </cell>
          <cell r="E1569">
            <v>3.89</v>
          </cell>
        </row>
        <row r="1570">
          <cell r="A1570" t="str">
            <v>37392200409</v>
          </cell>
          <cell r="B1570">
            <v>37392</v>
          </cell>
          <cell r="C1570" t="str">
            <v>NG</v>
          </cell>
          <cell r="D1570" t="str">
            <v>200409</v>
          </cell>
          <cell r="E1570">
            <v>3.875</v>
          </cell>
        </row>
        <row r="1571">
          <cell r="A1571" t="str">
            <v>37392200410</v>
          </cell>
          <cell r="B1571">
            <v>37392</v>
          </cell>
          <cell r="C1571" t="str">
            <v>NG</v>
          </cell>
          <cell r="D1571" t="str">
            <v>200410</v>
          </cell>
          <cell r="E1571">
            <v>3.915</v>
          </cell>
        </row>
        <row r="1572">
          <cell r="A1572" t="str">
            <v>37392200411</v>
          </cell>
          <cell r="B1572">
            <v>37392</v>
          </cell>
          <cell r="C1572" t="str">
            <v>NG</v>
          </cell>
          <cell r="D1572" t="str">
            <v>200411</v>
          </cell>
          <cell r="E1572">
            <v>4.109</v>
          </cell>
        </row>
        <row r="1573">
          <cell r="A1573" t="str">
            <v>37392200412</v>
          </cell>
          <cell r="B1573">
            <v>37392</v>
          </cell>
          <cell r="C1573" t="str">
            <v>NG</v>
          </cell>
          <cell r="D1573" t="str">
            <v>200412</v>
          </cell>
          <cell r="E1573">
            <v>4.29</v>
          </cell>
        </row>
        <row r="1574">
          <cell r="A1574" t="str">
            <v>37393200401</v>
          </cell>
          <cell r="B1574">
            <v>37393</v>
          </cell>
          <cell r="C1574" t="str">
            <v>NG</v>
          </cell>
          <cell r="D1574" t="str">
            <v>200401</v>
          </cell>
          <cell r="E1574">
            <v>4.4400000000000004</v>
          </cell>
        </row>
        <row r="1575">
          <cell r="A1575" t="str">
            <v>37393200402</v>
          </cell>
          <cell r="B1575">
            <v>37393</v>
          </cell>
          <cell r="C1575" t="str">
            <v>NG</v>
          </cell>
          <cell r="D1575" t="str">
            <v>200402</v>
          </cell>
          <cell r="E1575">
            <v>4.3600000000000003</v>
          </cell>
        </row>
        <row r="1576">
          <cell r="A1576" t="str">
            <v>37393200403</v>
          </cell>
          <cell r="B1576">
            <v>37393</v>
          </cell>
          <cell r="C1576" t="str">
            <v>NG</v>
          </cell>
          <cell r="D1576" t="str">
            <v>200403</v>
          </cell>
          <cell r="E1576">
            <v>4.17</v>
          </cell>
        </row>
        <row r="1577">
          <cell r="A1577" t="str">
            <v>37393200404</v>
          </cell>
          <cell r="B1577">
            <v>37393</v>
          </cell>
          <cell r="C1577" t="str">
            <v>NG</v>
          </cell>
          <cell r="D1577" t="str">
            <v>200404</v>
          </cell>
          <cell r="E1577">
            <v>3.8969999999999998</v>
          </cell>
        </row>
        <row r="1578">
          <cell r="A1578" t="str">
            <v>37393200405</v>
          </cell>
          <cell r="B1578">
            <v>37393</v>
          </cell>
          <cell r="C1578" t="str">
            <v>NG</v>
          </cell>
          <cell r="D1578" t="str">
            <v>200405</v>
          </cell>
          <cell r="E1578">
            <v>3.83</v>
          </cell>
        </row>
        <row r="1579">
          <cell r="A1579" t="str">
            <v>37393200406</v>
          </cell>
          <cell r="B1579">
            <v>37393</v>
          </cell>
          <cell r="C1579" t="str">
            <v>NG</v>
          </cell>
          <cell r="D1579" t="str">
            <v>200406</v>
          </cell>
          <cell r="E1579">
            <v>3.83</v>
          </cell>
        </row>
        <row r="1580">
          <cell r="A1580" t="str">
            <v>37393200407</v>
          </cell>
          <cell r="B1580">
            <v>37393</v>
          </cell>
          <cell r="C1580" t="str">
            <v>NG</v>
          </cell>
          <cell r="D1580" t="str">
            <v>200407</v>
          </cell>
          <cell r="E1580">
            <v>3.86</v>
          </cell>
        </row>
        <row r="1581">
          <cell r="A1581" t="str">
            <v>37393200408</v>
          </cell>
          <cell r="B1581">
            <v>37393</v>
          </cell>
          <cell r="C1581" t="str">
            <v>NG</v>
          </cell>
          <cell r="D1581" t="str">
            <v>200408</v>
          </cell>
          <cell r="E1581">
            <v>3.89</v>
          </cell>
        </row>
        <row r="1582">
          <cell r="A1582" t="str">
            <v>37393200409</v>
          </cell>
          <cell r="B1582">
            <v>37393</v>
          </cell>
          <cell r="C1582" t="str">
            <v>NG</v>
          </cell>
          <cell r="D1582" t="str">
            <v>200409</v>
          </cell>
          <cell r="E1582">
            <v>3.875</v>
          </cell>
        </row>
        <row r="1583">
          <cell r="A1583" t="str">
            <v>37393200410</v>
          </cell>
          <cell r="B1583">
            <v>37393</v>
          </cell>
          <cell r="C1583" t="str">
            <v>NG</v>
          </cell>
          <cell r="D1583" t="str">
            <v>200410</v>
          </cell>
          <cell r="E1583">
            <v>3.915</v>
          </cell>
        </row>
        <row r="1584">
          <cell r="A1584" t="str">
            <v>37393200411</v>
          </cell>
          <cell r="B1584">
            <v>37393</v>
          </cell>
          <cell r="C1584" t="str">
            <v>NG</v>
          </cell>
          <cell r="D1584" t="str">
            <v>200411</v>
          </cell>
          <cell r="E1584">
            <v>4.109</v>
          </cell>
        </row>
        <row r="1585">
          <cell r="A1585" t="str">
            <v>37393200412</v>
          </cell>
          <cell r="B1585">
            <v>37393</v>
          </cell>
          <cell r="C1585" t="str">
            <v>NG</v>
          </cell>
          <cell r="D1585" t="str">
            <v>200412</v>
          </cell>
          <cell r="E1585">
            <v>4.29</v>
          </cell>
        </row>
        <row r="1586">
          <cell r="A1586" t="str">
            <v>37394200401</v>
          </cell>
          <cell r="B1586">
            <v>37394</v>
          </cell>
          <cell r="C1586" t="str">
            <v>NG</v>
          </cell>
          <cell r="D1586" t="str">
            <v>200401</v>
          </cell>
          <cell r="E1586">
            <v>4.4400000000000004</v>
          </cell>
        </row>
        <row r="1587">
          <cell r="A1587" t="str">
            <v>37394200402</v>
          </cell>
          <cell r="B1587">
            <v>37394</v>
          </cell>
          <cell r="C1587" t="str">
            <v>NG</v>
          </cell>
          <cell r="D1587" t="str">
            <v>200402</v>
          </cell>
          <cell r="E1587">
            <v>4.3600000000000003</v>
          </cell>
        </row>
        <row r="1588">
          <cell r="A1588" t="str">
            <v>37394200403</v>
          </cell>
          <cell r="B1588">
            <v>37394</v>
          </cell>
          <cell r="C1588" t="str">
            <v>NG</v>
          </cell>
          <cell r="D1588" t="str">
            <v>200403</v>
          </cell>
          <cell r="E1588">
            <v>4.17</v>
          </cell>
        </row>
        <row r="1589">
          <cell r="A1589" t="str">
            <v>37394200404</v>
          </cell>
          <cell r="B1589">
            <v>37394</v>
          </cell>
          <cell r="C1589" t="str">
            <v>NG</v>
          </cell>
          <cell r="D1589" t="str">
            <v>200404</v>
          </cell>
          <cell r="E1589">
            <v>3.8969999999999998</v>
          </cell>
        </row>
        <row r="1590">
          <cell r="A1590" t="str">
            <v>37394200405</v>
          </cell>
          <cell r="B1590">
            <v>37394</v>
          </cell>
          <cell r="C1590" t="str">
            <v>NG</v>
          </cell>
          <cell r="D1590" t="str">
            <v>200405</v>
          </cell>
          <cell r="E1590">
            <v>3.83</v>
          </cell>
        </row>
        <row r="1591">
          <cell r="A1591" t="str">
            <v>37394200406</v>
          </cell>
          <cell r="B1591">
            <v>37394</v>
          </cell>
          <cell r="C1591" t="str">
            <v>NG</v>
          </cell>
          <cell r="D1591" t="str">
            <v>200406</v>
          </cell>
          <cell r="E1591">
            <v>3.83</v>
          </cell>
        </row>
        <row r="1592">
          <cell r="A1592" t="str">
            <v>37394200407</v>
          </cell>
          <cell r="B1592">
            <v>37394</v>
          </cell>
          <cell r="C1592" t="str">
            <v>NG</v>
          </cell>
          <cell r="D1592" t="str">
            <v>200407</v>
          </cell>
          <cell r="E1592">
            <v>3.86</v>
          </cell>
        </row>
        <row r="1593">
          <cell r="A1593" t="str">
            <v>37394200408</v>
          </cell>
          <cell r="B1593">
            <v>37394</v>
          </cell>
          <cell r="C1593" t="str">
            <v>NG</v>
          </cell>
          <cell r="D1593" t="str">
            <v>200408</v>
          </cell>
          <cell r="E1593">
            <v>3.89</v>
          </cell>
        </row>
        <row r="1594">
          <cell r="A1594" t="str">
            <v>37394200409</v>
          </cell>
          <cell r="B1594">
            <v>37394</v>
          </cell>
          <cell r="C1594" t="str">
            <v>NG</v>
          </cell>
          <cell r="D1594" t="str">
            <v>200409</v>
          </cell>
          <cell r="E1594">
            <v>3.875</v>
          </cell>
        </row>
        <row r="1595">
          <cell r="A1595" t="str">
            <v>37394200410</v>
          </cell>
          <cell r="B1595">
            <v>37394</v>
          </cell>
          <cell r="C1595" t="str">
            <v>NG</v>
          </cell>
          <cell r="D1595" t="str">
            <v>200410</v>
          </cell>
          <cell r="E1595">
            <v>3.915</v>
          </cell>
        </row>
        <row r="1596">
          <cell r="A1596" t="str">
            <v>37394200411</v>
          </cell>
          <cell r="B1596">
            <v>37394</v>
          </cell>
          <cell r="C1596" t="str">
            <v>NG</v>
          </cell>
          <cell r="D1596" t="str">
            <v>200411</v>
          </cell>
          <cell r="E1596">
            <v>4.109</v>
          </cell>
        </row>
        <row r="1597">
          <cell r="A1597" t="str">
            <v>37394200412</v>
          </cell>
          <cell r="B1597">
            <v>37394</v>
          </cell>
          <cell r="C1597" t="str">
            <v>NG</v>
          </cell>
          <cell r="D1597" t="str">
            <v>200412</v>
          </cell>
          <cell r="E1597">
            <v>4.29</v>
          </cell>
        </row>
        <row r="1598">
          <cell r="A1598" t="str">
            <v>37395200401</v>
          </cell>
          <cell r="B1598">
            <v>37395</v>
          </cell>
          <cell r="C1598" t="str">
            <v>NG</v>
          </cell>
          <cell r="D1598" t="str">
            <v>200401</v>
          </cell>
          <cell r="E1598">
            <v>4.4400000000000004</v>
          </cell>
        </row>
        <row r="1599">
          <cell r="A1599" t="str">
            <v>37395200402</v>
          </cell>
          <cell r="B1599">
            <v>37395</v>
          </cell>
          <cell r="C1599" t="str">
            <v>NG</v>
          </cell>
          <cell r="D1599" t="str">
            <v>200402</v>
          </cell>
          <cell r="E1599">
            <v>4.3600000000000003</v>
          </cell>
        </row>
        <row r="1600">
          <cell r="A1600" t="str">
            <v>37395200403</v>
          </cell>
          <cell r="B1600">
            <v>37395</v>
          </cell>
          <cell r="C1600" t="str">
            <v>NG</v>
          </cell>
          <cell r="D1600" t="str">
            <v>200403</v>
          </cell>
          <cell r="E1600">
            <v>4.17</v>
          </cell>
        </row>
        <row r="1601">
          <cell r="A1601" t="str">
            <v>37395200404</v>
          </cell>
          <cell r="B1601">
            <v>37395</v>
          </cell>
          <cell r="C1601" t="str">
            <v>NG</v>
          </cell>
          <cell r="D1601" t="str">
            <v>200404</v>
          </cell>
          <cell r="E1601">
            <v>3.8969999999999998</v>
          </cell>
        </row>
        <row r="1602">
          <cell r="A1602" t="str">
            <v>37395200405</v>
          </cell>
          <cell r="B1602">
            <v>37395</v>
          </cell>
          <cell r="C1602" t="str">
            <v>NG</v>
          </cell>
          <cell r="D1602" t="str">
            <v>200405</v>
          </cell>
          <cell r="E1602">
            <v>3.83</v>
          </cell>
        </row>
        <row r="1603">
          <cell r="A1603" t="str">
            <v>37395200406</v>
          </cell>
          <cell r="B1603">
            <v>37395</v>
          </cell>
          <cell r="C1603" t="str">
            <v>NG</v>
          </cell>
          <cell r="D1603" t="str">
            <v>200406</v>
          </cell>
          <cell r="E1603">
            <v>3.83</v>
          </cell>
        </row>
        <row r="1604">
          <cell r="A1604" t="str">
            <v>37395200407</v>
          </cell>
          <cell r="B1604">
            <v>37395</v>
          </cell>
          <cell r="C1604" t="str">
            <v>NG</v>
          </cell>
          <cell r="D1604" t="str">
            <v>200407</v>
          </cell>
          <cell r="E1604">
            <v>3.86</v>
          </cell>
        </row>
        <row r="1605">
          <cell r="A1605" t="str">
            <v>37395200408</v>
          </cell>
          <cell r="B1605">
            <v>37395</v>
          </cell>
          <cell r="C1605" t="str">
            <v>NG</v>
          </cell>
          <cell r="D1605" t="str">
            <v>200408</v>
          </cell>
          <cell r="E1605">
            <v>3.89</v>
          </cell>
        </row>
        <row r="1606">
          <cell r="A1606" t="str">
            <v>37395200409</v>
          </cell>
          <cell r="B1606">
            <v>37395</v>
          </cell>
          <cell r="C1606" t="str">
            <v>NG</v>
          </cell>
          <cell r="D1606" t="str">
            <v>200409</v>
          </cell>
          <cell r="E1606">
            <v>3.875</v>
          </cell>
        </row>
        <row r="1607">
          <cell r="A1607" t="str">
            <v>37395200410</v>
          </cell>
          <cell r="B1607">
            <v>37395</v>
          </cell>
          <cell r="C1607" t="str">
            <v>NG</v>
          </cell>
          <cell r="D1607" t="str">
            <v>200410</v>
          </cell>
          <cell r="E1607">
            <v>3.915</v>
          </cell>
        </row>
        <row r="1608">
          <cell r="A1608" t="str">
            <v>37395200411</v>
          </cell>
          <cell r="B1608">
            <v>37395</v>
          </cell>
          <cell r="C1608" t="str">
            <v>NG</v>
          </cell>
          <cell r="D1608" t="str">
            <v>200411</v>
          </cell>
          <cell r="E1608">
            <v>4.109</v>
          </cell>
        </row>
        <row r="1609">
          <cell r="A1609" t="str">
            <v>37395200412</v>
          </cell>
          <cell r="B1609">
            <v>37395</v>
          </cell>
          <cell r="C1609" t="str">
            <v>NG</v>
          </cell>
          <cell r="D1609" t="str">
            <v>200412</v>
          </cell>
          <cell r="E1609">
            <v>4.29</v>
          </cell>
        </row>
        <row r="1610">
          <cell r="A1610" t="str">
            <v>37396200401</v>
          </cell>
          <cell r="B1610">
            <v>37396</v>
          </cell>
          <cell r="C1610" t="str">
            <v>NG</v>
          </cell>
          <cell r="D1610" t="str">
            <v>200401</v>
          </cell>
          <cell r="E1610">
            <v>4.4400000000000004</v>
          </cell>
        </row>
        <row r="1611">
          <cell r="A1611" t="str">
            <v>37396200402</v>
          </cell>
          <cell r="B1611">
            <v>37396</v>
          </cell>
          <cell r="C1611" t="str">
            <v>NG</v>
          </cell>
          <cell r="D1611" t="str">
            <v>200402</v>
          </cell>
          <cell r="E1611">
            <v>4.3600000000000003</v>
          </cell>
        </row>
        <row r="1612">
          <cell r="A1612" t="str">
            <v>37396200403</v>
          </cell>
          <cell r="B1612">
            <v>37396</v>
          </cell>
          <cell r="C1612" t="str">
            <v>NG</v>
          </cell>
          <cell r="D1612" t="str">
            <v>200403</v>
          </cell>
          <cell r="E1612">
            <v>4.17</v>
          </cell>
        </row>
        <row r="1613">
          <cell r="A1613" t="str">
            <v>37396200404</v>
          </cell>
          <cell r="B1613">
            <v>37396</v>
          </cell>
          <cell r="C1613" t="str">
            <v>NG</v>
          </cell>
          <cell r="D1613" t="str">
            <v>200404</v>
          </cell>
          <cell r="E1613">
            <v>3.8969999999999998</v>
          </cell>
        </row>
        <row r="1614">
          <cell r="A1614" t="str">
            <v>37396200405</v>
          </cell>
          <cell r="B1614">
            <v>37396</v>
          </cell>
          <cell r="C1614" t="str">
            <v>NG</v>
          </cell>
          <cell r="D1614" t="str">
            <v>200405</v>
          </cell>
          <cell r="E1614">
            <v>3.83</v>
          </cell>
        </row>
        <row r="1615">
          <cell r="A1615" t="str">
            <v>37396200406</v>
          </cell>
          <cell r="B1615">
            <v>37396</v>
          </cell>
          <cell r="C1615" t="str">
            <v>NG</v>
          </cell>
          <cell r="D1615" t="str">
            <v>200406</v>
          </cell>
          <cell r="E1615">
            <v>3.83</v>
          </cell>
        </row>
        <row r="1616">
          <cell r="A1616" t="str">
            <v>37396200407</v>
          </cell>
          <cell r="B1616">
            <v>37396</v>
          </cell>
          <cell r="C1616" t="str">
            <v>NG</v>
          </cell>
          <cell r="D1616" t="str">
            <v>200407</v>
          </cell>
          <cell r="E1616">
            <v>3.86</v>
          </cell>
        </row>
        <row r="1617">
          <cell r="A1617" t="str">
            <v>37396200408</v>
          </cell>
          <cell r="B1617">
            <v>37396</v>
          </cell>
          <cell r="C1617" t="str">
            <v>NG</v>
          </cell>
          <cell r="D1617" t="str">
            <v>200408</v>
          </cell>
          <cell r="E1617">
            <v>3.89</v>
          </cell>
        </row>
        <row r="1618">
          <cell r="A1618" t="str">
            <v>37396200409</v>
          </cell>
          <cell r="B1618">
            <v>37396</v>
          </cell>
          <cell r="C1618" t="str">
            <v>NG</v>
          </cell>
          <cell r="D1618" t="str">
            <v>200409</v>
          </cell>
          <cell r="E1618">
            <v>3.875</v>
          </cell>
        </row>
        <row r="1619">
          <cell r="A1619" t="str">
            <v>37396200410</v>
          </cell>
          <cell r="B1619">
            <v>37396</v>
          </cell>
          <cell r="C1619" t="str">
            <v>NG</v>
          </cell>
          <cell r="D1619" t="str">
            <v>200410</v>
          </cell>
          <cell r="E1619">
            <v>3.915</v>
          </cell>
        </row>
        <row r="1620">
          <cell r="A1620" t="str">
            <v>37396200411</v>
          </cell>
          <cell r="B1620">
            <v>37396</v>
          </cell>
          <cell r="C1620" t="str">
            <v>NG</v>
          </cell>
          <cell r="D1620" t="str">
            <v>200411</v>
          </cell>
          <cell r="E1620">
            <v>4.109</v>
          </cell>
        </row>
        <row r="1621">
          <cell r="A1621" t="str">
            <v>37396200412</v>
          </cell>
          <cell r="B1621">
            <v>37396</v>
          </cell>
          <cell r="C1621" t="str">
            <v>NG</v>
          </cell>
          <cell r="D1621" t="str">
            <v>200412</v>
          </cell>
          <cell r="E1621">
            <v>4.29</v>
          </cell>
        </row>
        <row r="1622">
          <cell r="A1622" t="str">
            <v>37397200401</v>
          </cell>
          <cell r="B1622">
            <v>37397</v>
          </cell>
          <cell r="C1622" t="str">
            <v>NG</v>
          </cell>
          <cell r="D1622" t="str">
            <v>200401</v>
          </cell>
          <cell r="E1622">
            <v>4.3230000000000004</v>
          </cell>
        </row>
        <row r="1623">
          <cell r="A1623" t="str">
            <v>37397200402</v>
          </cell>
          <cell r="B1623">
            <v>37397</v>
          </cell>
          <cell r="C1623" t="str">
            <v>NG</v>
          </cell>
          <cell r="D1623" t="str">
            <v>200402</v>
          </cell>
          <cell r="E1623">
            <v>4.2530000000000001</v>
          </cell>
        </row>
        <row r="1624">
          <cell r="A1624" t="str">
            <v>37397200403</v>
          </cell>
          <cell r="B1624">
            <v>37397</v>
          </cell>
          <cell r="C1624" t="str">
            <v>NG</v>
          </cell>
          <cell r="D1624" t="str">
            <v>200403</v>
          </cell>
          <cell r="E1624">
            <v>4.0629999999999997</v>
          </cell>
        </row>
        <row r="1625">
          <cell r="A1625" t="str">
            <v>37397200404</v>
          </cell>
          <cell r="B1625">
            <v>37397</v>
          </cell>
          <cell r="C1625" t="str">
            <v>NG</v>
          </cell>
          <cell r="D1625" t="str">
            <v>200404</v>
          </cell>
          <cell r="E1625">
            <v>3.798</v>
          </cell>
        </row>
        <row r="1626">
          <cell r="A1626" t="str">
            <v>37397200405</v>
          </cell>
          <cell r="B1626">
            <v>37397</v>
          </cell>
          <cell r="C1626" t="str">
            <v>NG</v>
          </cell>
          <cell r="D1626" t="str">
            <v>200405</v>
          </cell>
          <cell r="E1626">
            <v>3.738</v>
          </cell>
        </row>
        <row r="1627">
          <cell r="A1627" t="str">
            <v>37397200406</v>
          </cell>
          <cell r="B1627">
            <v>37397</v>
          </cell>
          <cell r="C1627" t="str">
            <v>NG</v>
          </cell>
          <cell r="D1627" t="str">
            <v>200406</v>
          </cell>
          <cell r="E1627">
            <v>3.738</v>
          </cell>
        </row>
        <row r="1628">
          <cell r="A1628" t="str">
            <v>37397200407</v>
          </cell>
          <cell r="B1628">
            <v>37397</v>
          </cell>
          <cell r="C1628" t="str">
            <v>NG</v>
          </cell>
          <cell r="D1628" t="str">
            <v>200407</v>
          </cell>
          <cell r="E1628">
            <v>3.7679999999999998</v>
          </cell>
        </row>
        <row r="1629">
          <cell r="A1629" t="str">
            <v>37397200408</v>
          </cell>
          <cell r="B1629">
            <v>37397</v>
          </cell>
          <cell r="C1629" t="str">
            <v>NG</v>
          </cell>
          <cell r="D1629" t="str">
            <v>200408</v>
          </cell>
          <cell r="E1629">
            <v>3.798</v>
          </cell>
        </row>
        <row r="1630">
          <cell r="A1630" t="str">
            <v>37397200409</v>
          </cell>
          <cell r="B1630">
            <v>37397</v>
          </cell>
          <cell r="C1630" t="str">
            <v>NG</v>
          </cell>
          <cell r="D1630" t="str">
            <v>200409</v>
          </cell>
          <cell r="E1630">
            <v>3.7850000000000001</v>
          </cell>
        </row>
        <row r="1631">
          <cell r="A1631" t="str">
            <v>37397200410</v>
          </cell>
          <cell r="B1631">
            <v>37397</v>
          </cell>
          <cell r="C1631" t="str">
            <v>NG</v>
          </cell>
          <cell r="D1631" t="str">
            <v>200410</v>
          </cell>
          <cell r="E1631">
            <v>3.823</v>
          </cell>
        </row>
        <row r="1632">
          <cell r="A1632" t="str">
            <v>37397200411</v>
          </cell>
          <cell r="B1632">
            <v>37397</v>
          </cell>
          <cell r="C1632" t="str">
            <v>NG</v>
          </cell>
          <cell r="D1632" t="str">
            <v>200411</v>
          </cell>
          <cell r="E1632">
            <v>4.0149999999999997</v>
          </cell>
        </row>
        <row r="1633">
          <cell r="A1633" t="str">
            <v>37397200412</v>
          </cell>
          <cell r="B1633">
            <v>37397</v>
          </cell>
          <cell r="C1633" t="str">
            <v>NG</v>
          </cell>
          <cell r="D1633" t="str">
            <v>200412</v>
          </cell>
          <cell r="E1633">
            <v>4.1950000000000003</v>
          </cell>
        </row>
        <row r="1634">
          <cell r="A1634" t="str">
            <v>37398200401</v>
          </cell>
          <cell r="B1634">
            <v>37398</v>
          </cell>
          <cell r="C1634" t="str">
            <v>NG</v>
          </cell>
          <cell r="D1634" t="str">
            <v>200401</v>
          </cell>
          <cell r="E1634">
            <v>4.3689999999999998</v>
          </cell>
        </row>
        <row r="1635">
          <cell r="A1635" t="str">
            <v>37398200402</v>
          </cell>
          <cell r="B1635">
            <v>37398</v>
          </cell>
          <cell r="C1635" t="str">
            <v>NG</v>
          </cell>
          <cell r="D1635" t="str">
            <v>200402</v>
          </cell>
          <cell r="E1635">
            <v>4.2990000000000004</v>
          </cell>
        </row>
        <row r="1636">
          <cell r="A1636" t="str">
            <v>37398200403</v>
          </cell>
          <cell r="B1636">
            <v>37398</v>
          </cell>
          <cell r="C1636" t="str">
            <v>NG</v>
          </cell>
          <cell r="D1636" t="str">
            <v>200403</v>
          </cell>
          <cell r="E1636">
            <v>4.1100000000000003</v>
          </cell>
        </row>
        <row r="1637">
          <cell r="A1637" t="str">
            <v>37398200404</v>
          </cell>
          <cell r="B1637">
            <v>37398</v>
          </cell>
          <cell r="C1637" t="str">
            <v>NG</v>
          </cell>
          <cell r="D1637" t="str">
            <v>200404</v>
          </cell>
          <cell r="E1637">
            <v>3.847</v>
          </cell>
        </row>
        <row r="1638">
          <cell r="A1638" t="str">
            <v>37398200405</v>
          </cell>
          <cell r="B1638">
            <v>37398</v>
          </cell>
          <cell r="C1638" t="str">
            <v>NG</v>
          </cell>
          <cell r="D1638" t="str">
            <v>200405</v>
          </cell>
          <cell r="E1638">
            <v>3.7869999999999999</v>
          </cell>
        </row>
        <row r="1639">
          <cell r="A1639" t="str">
            <v>37398200406</v>
          </cell>
          <cell r="B1639">
            <v>37398</v>
          </cell>
          <cell r="C1639" t="str">
            <v>NG</v>
          </cell>
          <cell r="D1639" t="str">
            <v>200406</v>
          </cell>
          <cell r="E1639">
            <v>3.7869999999999999</v>
          </cell>
        </row>
        <row r="1640">
          <cell r="A1640" t="str">
            <v>37398200407</v>
          </cell>
          <cell r="B1640">
            <v>37398</v>
          </cell>
          <cell r="C1640" t="str">
            <v>NG</v>
          </cell>
          <cell r="D1640" t="str">
            <v>200407</v>
          </cell>
          <cell r="E1640">
            <v>3.8039999999999998</v>
          </cell>
        </row>
        <row r="1641">
          <cell r="A1641" t="str">
            <v>37398200408</v>
          </cell>
          <cell r="B1641">
            <v>37398</v>
          </cell>
          <cell r="C1641" t="str">
            <v>NG</v>
          </cell>
          <cell r="D1641" t="str">
            <v>200408</v>
          </cell>
          <cell r="E1641">
            <v>3.8239999999999998</v>
          </cell>
        </row>
        <row r="1642">
          <cell r="A1642" t="str">
            <v>37398200409</v>
          </cell>
          <cell r="B1642">
            <v>37398</v>
          </cell>
          <cell r="C1642" t="str">
            <v>NG</v>
          </cell>
          <cell r="D1642" t="str">
            <v>200409</v>
          </cell>
          <cell r="E1642">
            <v>3.8109999999999999</v>
          </cell>
        </row>
        <row r="1643">
          <cell r="A1643" t="str">
            <v>37398200410</v>
          </cell>
          <cell r="B1643">
            <v>37398</v>
          </cell>
          <cell r="C1643" t="str">
            <v>NG</v>
          </cell>
          <cell r="D1643" t="str">
            <v>200410</v>
          </cell>
          <cell r="E1643">
            <v>3.851</v>
          </cell>
        </row>
        <row r="1644">
          <cell r="A1644" t="str">
            <v>37398200411</v>
          </cell>
          <cell r="B1644">
            <v>37398</v>
          </cell>
          <cell r="C1644" t="str">
            <v>NG</v>
          </cell>
          <cell r="D1644" t="str">
            <v>200411</v>
          </cell>
          <cell r="E1644">
            <v>4.0439999999999996</v>
          </cell>
        </row>
        <row r="1645">
          <cell r="A1645" t="str">
            <v>37398200412</v>
          </cell>
          <cell r="B1645">
            <v>37398</v>
          </cell>
          <cell r="C1645" t="str">
            <v>NG</v>
          </cell>
          <cell r="D1645" t="str">
            <v>200412</v>
          </cell>
          <cell r="E1645">
            <v>4.2240000000000002</v>
          </cell>
        </row>
        <row r="1646">
          <cell r="A1646" t="str">
            <v>37399200401</v>
          </cell>
          <cell r="B1646">
            <v>37399</v>
          </cell>
          <cell r="C1646" t="str">
            <v>NG</v>
          </cell>
          <cell r="D1646" t="str">
            <v>200401</v>
          </cell>
          <cell r="E1646">
            <v>4.0979999999999999</v>
          </cell>
        </row>
        <row r="1647">
          <cell r="A1647" t="str">
            <v>37399200402</v>
          </cell>
          <cell r="B1647">
            <v>37399</v>
          </cell>
          <cell r="C1647" t="str">
            <v>NG</v>
          </cell>
          <cell r="D1647" t="str">
            <v>200402</v>
          </cell>
          <cell r="E1647">
            <v>4.266</v>
          </cell>
        </row>
        <row r="1648">
          <cell r="A1648" t="str">
            <v>37399200403</v>
          </cell>
          <cell r="B1648">
            <v>37399</v>
          </cell>
          <cell r="C1648" t="str">
            <v>NG</v>
          </cell>
          <cell r="D1648" t="str">
            <v>200403</v>
          </cell>
          <cell r="E1648">
            <v>4.3559999999999999</v>
          </cell>
        </row>
        <row r="1649">
          <cell r="A1649" t="str">
            <v>37399200404</v>
          </cell>
          <cell r="B1649">
            <v>37399</v>
          </cell>
          <cell r="C1649" t="str">
            <v>NG</v>
          </cell>
          <cell r="D1649" t="str">
            <v>200404</v>
          </cell>
          <cell r="E1649">
            <v>4.2859999999999996</v>
          </cell>
        </row>
        <row r="1650">
          <cell r="A1650" t="str">
            <v>37399200405</v>
          </cell>
          <cell r="B1650">
            <v>37399</v>
          </cell>
          <cell r="C1650" t="str">
            <v>NG</v>
          </cell>
          <cell r="D1650" t="str">
            <v>200405</v>
          </cell>
          <cell r="E1650">
            <v>4.1079999999999997</v>
          </cell>
        </row>
        <row r="1651">
          <cell r="A1651" t="str">
            <v>37399200406</v>
          </cell>
          <cell r="B1651">
            <v>37399</v>
          </cell>
          <cell r="C1651" t="str">
            <v>NG</v>
          </cell>
          <cell r="D1651" t="str">
            <v>200406</v>
          </cell>
          <cell r="E1651">
            <v>3.843</v>
          </cell>
        </row>
        <row r="1652">
          <cell r="A1652" t="str">
            <v>37399200407</v>
          </cell>
          <cell r="B1652">
            <v>37399</v>
          </cell>
          <cell r="C1652" t="str">
            <v>NG</v>
          </cell>
          <cell r="D1652" t="str">
            <v>200407</v>
          </cell>
          <cell r="E1652">
            <v>3.7759999999999998</v>
          </cell>
        </row>
        <row r="1653">
          <cell r="A1653" t="str">
            <v>37399200408</v>
          </cell>
          <cell r="B1653">
            <v>37399</v>
          </cell>
          <cell r="C1653" t="str">
            <v>NG</v>
          </cell>
          <cell r="D1653" t="str">
            <v>200408</v>
          </cell>
          <cell r="E1653">
            <v>3.7759999999999998</v>
          </cell>
        </row>
        <row r="1654">
          <cell r="A1654" t="str">
            <v>37399200409</v>
          </cell>
          <cell r="B1654">
            <v>37399</v>
          </cell>
          <cell r="C1654" t="str">
            <v>NG</v>
          </cell>
          <cell r="D1654" t="str">
            <v>200409</v>
          </cell>
          <cell r="E1654">
            <v>3.7930000000000001</v>
          </cell>
        </row>
        <row r="1655">
          <cell r="A1655" t="str">
            <v>37399200410</v>
          </cell>
          <cell r="B1655">
            <v>37399</v>
          </cell>
          <cell r="C1655" t="str">
            <v>NG</v>
          </cell>
          <cell r="D1655" t="str">
            <v>200410</v>
          </cell>
          <cell r="E1655">
            <v>3.823</v>
          </cell>
        </row>
        <row r="1656">
          <cell r="A1656" t="str">
            <v>37399200411</v>
          </cell>
          <cell r="B1656">
            <v>37399</v>
          </cell>
          <cell r="C1656" t="str">
            <v>NG</v>
          </cell>
          <cell r="D1656" t="str">
            <v>200411</v>
          </cell>
          <cell r="E1656">
            <v>3.806</v>
          </cell>
        </row>
        <row r="1657">
          <cell r="A1657" t="str">
            <v>37399200412</v>
          </cell>
          <cell r="B1657">
            <v>37399</v>
          </cell>
          <cell r="C1657" t="str">
            <v>NG</v>
          </cell>
          <cell r="D1657" t="str">
            <v>200412</v>
          </cell>
          <cell r="E1657">
            <v>3.85</v>
          </cell>
        </row>
        <row r="1658">
          <cell r="A1658" t="str">
            <v>37400200401</v>
          </cell>
          <cell r="B1658">
            <v>37400</v>
          </cell>
          <cell r="C1658" t="str">
            <v>NG</v>
          </cell>
          <cell r="D1658" t="str">
            <v>200401</v>
          </cell>
          <cell r="E1658">
            <v>4.3259999999999996</v>
          </cell>
        </row>
        <row r="1659">
          <cell r="A1659" t="str">
            <v>37400200402</v>
          </cell>
          <cell r="B1659">
            <v>37400</v>
          </cell>
          <cell r="C1659" t="str">
            <v>NG</v>
          </cell>
          <cell r="D1659" t="str">
            <v>200402</v>
          </cell>
          <cell r="E1659">
            <v>4.2510000000000003</v>
          </cell>
        </row>
        <row r="1660">
          <cell r="A1660" t="str">
            <v>37400200403</v>
          </cell>
          <cell r="B1660">
            <v>37400</v>
          </cell>
          <cell r="C1660" t="str">
            <v>NG</v>
          </cell>
          <cell r="D1660" t="str">
            <v>200403</v>
          </cell>
          <cell r="E1660">
            <v>4.0830000000000002</v>
          </cell>
        </row>
        <row r="1661">
          <cell r="A1661" t="str">
            <v>37400200404</v>
          </cell>
          <cell r="B1661">
            <v>37400</v>
          </cell>
          <cell r="C1661" t="str">
            <v>NG</v>
          </cell>
          <cell r="D1661" t="str">
            <v>200404</v>
          </cell>
          <cell r="E1661">
            <v>3.823</v>
          </cell>
        </row>
        <row r="1662">
          <cell r="A1662" t="str">
            <v>37400200405</v>
          </cell>
          <cell r="B1662">
            <v>37400</v>
          </cell>
          <cell r="C1662" t="str">
            <v>NG</v>
          </cell>
          <cell r="D1662" t="str">
            <v>200405</v>
          </cell>
          <cell r="E1662">
            <v>3.7629999999999999</v>
          </cell>
        </row>
        <row r="1663">
          <cell r="A1663" t="str">
            <v>37400200406</v>
          </cell>
          <cell r="B1663">
            <v>37400</v>
          </cell>
          <cell r="C1663" t="str">
            <v>NG</v>
          </cell>
          <cell r="D1663" t="str">
            <v>200406</v>
          </cell>
          <cell r="E1663">
            <v>3.7629999999999999</v>
          </cell>
        </row>
        <row r="1664">
          <cell r="A1664" t="str">
            <v>37400200407</v>
          </cell>
          <cell r="B1664">
            <v>37400</v>
          </cell>
          <cell r="C1664" t="str">
            <v>NG</v>
          </cell>
          <cell r="D1664" t="str">
            <v>200407</v>
          </cell>
          <cell r="E1664">
            <v>3.78</v>
          </cell>
        </row>
        <row r="1665">
          <cell r="A1665" t="str">
            <v>37400200408</v>
          </cell>
          <cell r="B1665">
            <v>37400</v>
          </cell>
          <cell r="C1665" t="str">
            <v>NG</v>
          </cell>
          <cell r="D1665" t="str">
            <v>200408</v>
          </cell>
          <cell r="E1665">
            <v>3.81</v>
          </cell>
        </row>
        <row r="1666">
          <cell r="A1666" t="str">
            <v>37400200409</v>
          </cell>
          <cell r="B1666">
            <v>37400</v>
          </cell>
          <cell r="C1666" t="str">
            <v>NG</v>
          </cell>
          <cell r="D1666" t="str">
            <v>200409</v>
          </cell>
          <cell r="E1666">
            <v>3.7930000000000001</v>
          </cell>
        </row>
        <row r="1667">
          <cell r="A1667" t="str">
            <v>37400200410</v>
          </cell>
          <cell r="B1667">
            <v>37400</v>
          </cell>
          <cell r="C1667" t="str">
            <v>NG</v>
          </cell>
          <cell r="D1667" t="str">
            <v>200410</v>
          </cell>
          <cell r="E1667">
            <v>3.8370000000000002</v>
          </cell>
        </row>
        <row r="1668">
          <cell r="A1668" t="str">
            <v>37400200411</v>
          </cell>
          <cell r="B1668">
            <v>37400</v>
          </cell>
          <cell r="C1668" t="str">
            <v>NG</v>
          </cell>
          <cell r="D1668" t="str">
            <v>200411</v>
          </cell>
          <cell r="E1668">
            <v>4.03</v>
          </cell>
        </row>
        <row r="1669">
          <cell r="A1669" t="str">
            <v>37400200412</v>
          </cell>
          <cell r="B1669">
            <v>37400</v>
          </cell>
          <cell r="C1669" t="str">
            <v>NG</v>
          </cell>
          <cell r="D1669" t="str">
            <v>200412</v>
          </cell>
          <cell r="E1669">
            <v>4.2169999999999996</v>
          </cell>
        </row>
        <row r="1670">
          <cell r="A1670" t="str">
            <v>37401200401</v>
          </cell>
          <cell r="B1670">
            <v>37401</v>
          </cell>
          <cell r="C1670" t="str">
            <v>NG</v>
          </cell>
          <cell r="D1670" t="str">
            <v>200401</v>
          </cell>
          <cell r="E1670">
            <v>4.3259999999999996</v>
          </cell>
        </row>
        <row r="1671">
          <cell r="A1671" t="str">
            <v>37401200402</v>
          </cell>
          <cell r="B1671">
            <v>37401</v>
          </cell>
          <cell r="C1671" t="str">
            <v>NG</v>
          </cell>
          <cell r="D1671" t="str">
            <v>200402</v>
          </cell>
          <cell r="E1671">
            <v>4.2510000000000003</v>
          </cell>
        </row>
        <row r="1672">
          <cell r="A1672" t="str">
            <v>37401200403</v>
          </cell>
          <cell r="B1672">
            <v>37401</v>
          </cell>
          <cell r="C1672" t="str">
            <v>NG</v>
          </cell>
          <cell r="D1672" t="str">
            <v>200403</v>
          </cell>
          <cell r="E1672">
            <v>4.0830000000000002</v>
          </cell>
        </row>
        <row r="1673">
          <cell r="A1673" t="str">
            <v>37401200404</v>
          </cell>
          <cell r="B1673">
            <v>37401</v>
          </cell>
          <cell r="C1673" t="str">
            <v>NG</v>
          </cell>
          <cell r="D1673" t="str">
            <v>200404</v>
          </cell>
          <cell r="E1673">
            <v>3.823</v>
          </cell>
        </row>
        <row r="1674">
          <cell r="A1674" t="str">
            <v>37401200405</v>
          </cell>
          <cell r="B1674">
            <v>37401</v>
          </cell>
          <cell r="C1674" t="str">
            <v>NG</v>
          </cell>
          <cell r="D1674" t="str">
            <v>200405</v>
          </cell>
          <cell r="E1674">
            <v>3.7629999999999999</v>
          </cell>
        </row>
        <row r="1675">
          <cell r="A1675" t="str">
            <v>37401200406</v>
          </cell>
          <cell r="B1675">
            <v>37401</v>
          </cell>
          <cell r="C1675" t="str">
            <v>NG</v>
          </cell>
          <cell r="D1675" t="str">
            <v>200406</v>
          </cell>
          <cell r="E1675">
            <v>3.7629999999999999</v>
          </cell>
        </row>
        <row r="1676">
          <cell r="A1676" t="str">
            <v>37401200407</v>
          </cell>
          <cell r="B1676">
            <v>37401</v>
          </cell>
          <cell r="C1676" t="str">
            <v>NG</v>
          </cell>
          <cell r="D1676" t="str">
            <v>200407</v>
          </cell>
          <cell r="E1676">
            <v>3.78</v>
          </cell>
        </row>
        <row r="1677">
          <cell r="A1677" t="str">
            <v>37401200408</v>
          </cell>
          <cell r="B1677">
            <v>37401</v>
          </cell>
          <cell r="C1677" t="str">
            <v>NG</v>
          </cell>
          <cell r="D1677" t="str">
            <v>200408</v>
          </cell>
          <cell r="E1677">
            <v>3.81</v>
          </cell>
        </row>
        <row r="1678">
          <cell r="A1678" t="str">
            <v>37401200409</v>
          </cell>
          <cell r="B1678">
            <v>37401</v>
          </cell>
          <cell r="C1678" t="str">
            <v>NG</v>
          </cell>
          <cell r="D1678" t="str">
            <v>200409</v>
          </cell>
          <cell r="E1678">
            <v>3.7930000000000001</v>
          </cell>
        </row>
        <row r="1679">
          <cell r="A1679" t="str">
            <v>37401200410</v>
          </cell>
          <cell r="B1679">
            <v>37401</v>
          </cell>
          <cell r="C1679" t="str">
            <v>NG</v>
          </cell>
          <cell r="D1679" t="str">
            <v>200410</v>
          </cell>
          <cell r="E1679">
            <v>3.8370000000000002</v>
          </cell>
        </row>
        <row r="1680">
          <cell r="A1680" t="str">
            <v>37401200411</v>
          </cell>
          <cell r="B1680">
            <v>37401</v>
          </cell>
          <cell r="C1680" t="str">
            <v>NG</v>
          </cell>
          <cell r="D1680" t="str">
            <v>200411</v>
          </cell>
          <cell r="E1680">
            <v>4.03</v>
          </cell>
        </row>
        <row r="1681">
          <cell r="A1681" t="str">
            <v>37401200412</v>
          </cell>
          <cell r="B1681">
            <v>37401</v>
          </cell>
          <cell r="C1681" t="str">
            <v>NG</v>
          </cell>
          <cell r="D1681" t="str">
            <v>200412</v>
          </cell>
          <cell r="E1681">
            <v>4.2169999999999996</v>
          </cell>
        </row>
        <row r="1682">
          <cell r="A1682" t="str">
            <v>37402200401</v>
          </cell>
          <cell r="B1682">
            <v>37402</v>
          </cell>
          <cell r="C1682" t="str">
            <v>NG</v>
          </cell>
          <cell r="D1682" t="str">
            <v>200401</v>
          </cell>
          <cell r="E1682">
            <v>4.3259999999999996</v>
          </cell>
        </row>
        <row r="1683">
          <cell r="A1683" t="str">
            <v>37402200402</v>
          </cell>
          <cell r="B1683">
            <v>37402</v>
          </cell>
          <cell r="C1683" t="str">
            <v>NG</v>
          </cell>
          <cell r="D1683" t="str">
            <v>200402</v>
          </cell>
          <cell r="E1683">
            <v>4.2510000000000003</v>
          </cell>
        </row>
        <row r="1684">
          <cell r="A1684" t="str">
            <v>37402200403</v>
          </cell>
          <cell r="B1684">
            <v>37402</v>
          </cell>
          <cell r="C1684" t="str">
            <v>NG</v>
          </cell>
          <cell r="D1684" t="str">
            <v>200403</v>
          </cell>
          <cell r="E1684">
            <v>4.0830000000000002</v>
          </cell>
        </row>
        <row r="1685">
          <cell r="A1685" t="str">
            <v>37402200404</v>
          </cell>
          <cell r="B1685">
            <v>37402</v>
          </cell>
          <cell r="C1685" t="str">
            <v>NG</v>
          </cell>
          <cell r="D1685" t="str">
            <v>200404</v>
          </cell>
          <cell r="E1685">
            <v>3.823</v>
          </cell>
        </row>
        <row r="1686">
          <cell r="A1686" t="str">
            <v>37402200405</v>
          </cell>
          <cell r="B1686">
            <v>37402</v>
          </cell>
          <cell r="C1686" t="str">
            <v>NG</v>
          </cell>
          <cell r="D1686" t="str">
            <v>200405</v>
          </cell>
          <cell r="E1686">
            <v>3.7629999999999999</v>
          </cell>
        </row>
        <row r="1687">
          <cell r="A1687" t="str">
            <v>37402200406</v>
          </cell>
          <cell r="B1687">
            <v>37402</v>
          </cell>
          <cell r="C1687" t="str">
            <v>NG</v>
          </cell>
          <cell r="D1687" t="str">
            <v>200406</v>
          </cell>
          <cell r="E1687">
            <v>3.7629999999999999</v>
          </cell>
        </row>
        <row r="1688">
          <cell r="A1688" t="str">
            <v>37402200407</v>
          </cell>
          <cell r="B1688">
            <v>37402</v>
          </cell>
          <cell r="C1688" t="str">
            <v>NG</v>
          </cell>
          <cell r="D1688" t="str">
            <v>200407</v>
          </cell>
          <cell r="E1688">
            <v>3.78</v>
          </cell>
        </row>
        <row r="1689">
          <cell r="A1689" t="str">
            <v>37402200408</v>
          </cell>
          <cell r="B1689">
            <v>37402</v>
          </cell>
          <cell r="C1689" t="str">
            <v>NG</v>
          </cell>
          <cell r="D1689" t="str">
            <v>200408</v>
          </cell>
          <cell r="E1689">
            <v>3.81</v>
          </cell>
        </row>
        <row r="1690">
          <cell r="A1690" t="str">
            <v>37402200409</v>
          </cell>
          <cell r="B1690">
            <v>37402</v>
          </cell>
          <cell r="C1690" t="str">
            <v>NG</v>
          </cell>
          <cell r="D1690" t="str">
            <v>200409</v>
          </cell>
          <cell r="E1690">
            <v>3.7930000000000001</v>
          </cell>
        </row>
        <row r="1691">
          <cell r="A1691" t="str">
            <v>37402200410</v>
          </cell>
          <cell r="B1691">
            <v>37402</v>
          </cell>
          <cell r="C1691" t="str">
            <v>NG</v>
          </cell>
          <cell r="D1691" t="str">
            <v>200410</v>
          </cell>
          <cell r="E1691">
            <v>3.8370000000000002</v>
          </cell>
        </row>
        <row r="1692">
          <cell r="A1692" t="str">
            <v>37402200411</v>
          </cell>
          <cell r="B1692">
            <v>37402</v>
          </cell>
          <cell r="C1692" t="str">
            <v>NG</v>
          </cell>
          <cell r="D1692" t="str">
            <v>200411</v>
          </cell>
          <cell r="E1692">
            <v>4.03</v>
          </cell>
        </row>
        <row r="1693">
          <cell r="A1693" t="str">
            <v>37402200412</v>
          </cell>
          <cell r="B1693">
            <v>37402</v>
          </cell>
          <cell r="C1693" t="str">
            <v>NG</v>
          </cell>
          <cell r="D1693" t="str">
            <v>200412</v>
          </cell>
          <cell r="E1693">
            <v>4.2169999999999996</v>
          </cell>
        </row>
        <row r="1694">
          <cell r="A1694" t="str">
            <v>37403200401</v>
          </cell>
          <cell r="B1694">
            <v>37403</v>
          </cell>
          <cell r="C1694" t="str">
            <v>NG</v>
          </cell>
          <cell r="D1694" t="str">
            <v>200401</v>
          </cell>
          <cell r="E1694">
            <v>4.3259999999999996</v>
          </cell>
        </row>
        <row r="1695">
          <cell r="A1695" t="str">
            <v>37403200402</v>
          </cell>
          <cell r="B1695">
            <v>37403</v>
          </cell>
          <cell r="C1695" t="str">
            <v>NG</v>
          </cell>
          <cell r="D1695" t="str">
            <v>200402</v>
          </cell>
          <cell r="E1695">
            <v>4.2510000000000003</v>
          </cell>
        </row>
        <row r="1696">
          <cell r="A1696" t="str">
            <v>37403200403</v>
          </cell>
          <cell r="B1696">
            <v>37403</v>
          </cell>
          <cell r="C1696" t="str">
            <v>NG</v>
          </cell>
          <cell r="D1696" t="str">
            <v>200403</v>
          </cell>
          <cell r="E1696">
            <v>4.0830000000000002</v>
          </cell>
        </row>
        <row r="1697">
          <cell r="A1697" t="str">
            <v>37403200404</v>
          </cell>
          <cell r="B1697">
            <v>37403</v>
          </cell>
          <cell r="C1697" t="str">
            <v>NG</v>
          </cell>
          <cell r="D1697" t="str">
            <v>200404</v>
          </cell>
          <cell r="E1697">
            <v>3.823</v>
          </cell>
        </row>
        <row r="1698">
          <cell r="A1698" t="str">
            <v>37403200405</v>
          </cell>
          <cell r="B1698">
            <v>37403</v>
          </cell>
          <cell r="C1698" t="str">
            <v>NG</v>
          </cell>
          <cell r="D1698" t="str">
            <v>200405</v>
          </cell>
          <cell r="E1698">
            <v>3.7629999999999999</v>
          </cell>
        </row>
        <row r="1699">
          <cell r="A1699" t="str">
            <v>37403200406</v>
          </cell>
          <cell r="B1699">
            <v>37403</v>
          </cell>
          <cell r="C1699" t="str">
            <v>NG</v>
          </cell>
          <cell r="D1699" t="str">
            <v>200406</v>
          </cell>
          <cell r="E1699">
            <v>3.7629999999999999</v>
          </cell>
        </row>
        <row r="1700">
          <cell r="A1700" t="str">
            <v>37403200407</v>
          </cell>
          <cell r="B1700">
            <v>37403</v>
          </cell>
          <cell r="C1700" t="str">
            <v>NG</v>
          </cell>
          <cell r="D1700" t="str">
            <v>200407</v>
          </cell>
          <cell r="E1700">
            <v>3.78</v>
          </cell>
        </row>
        <row r="1701">
          <cell r="A1701" t="str">
            <v>37403200408</v>
          </cell>
          <cell r="B1701">
            <v>37403</v>
          </cell>
          <cell r="C1701" t="str">
            <v>NG</v>
          </cell>
          <cell r="D1701" t="str">
            <v>200408</v>
          </cell>
          <cell r="E1701">
            <v>3.81</v>
          </cell>
        </row>
        <row r="1702">
          <cell r="A1702" t="str">
            <v>37403200409</v>
          </cell>
          <cell r="B1702">
            <v>37403</v>
          </cell>
          <cell r="C1702" t="str">
            <v>NG</v>
          </cell>
          <cell r="D1702" t="str">
            <v>200409</v>
          </cell>
          <cell r="E1702">
            <v>3.7930000000000001</v>
          </cell>
        </row>
        <row r="1703">
          <cell r="A1703" t="str">
            <v>37403200410</v>
          </cell>
          <cell r="B1703">
            <v>37403</v>
          </cell>
          <cell r="C1703" t="str">
            <v>NG</v>
          </cell>
          <cell r="D1703" t="str">
            <v>200410</v>
          </cell>
          <cell r="E1703">
            <v>3.8370000000000002</v>
          </cell>
        </row>
        <row r="1704">
          <cell r="A1704" t="str">
            <v>37403200411</v>
          </cell>
          <cell r="B1704">
            <v>37403</v>
          </cell>
          <cell r="C1704" t="str">
            <v>NG</v>
          </cell>
          <cell r="D1704" t="str">
            <v>200411</v>
          </cell>
          <cell r="E1704">
            <v>4.03</v>
          </cell>
        </row>
        <row r="1705">
          <cell r="A1705" t="str">
            <v>37403200412</v>
          </cell>
          <cell r="B1705">
            <v>37403</v>
          </cell>
          <cell r="C1705" t="str">
            <v>NG</v>
          </cell>
          <cell r="D1705" t="str">
            <v>200412</v>
          </cell>
          <cell r="E1705">
            <v>4.2169999999999996</v>
          </cell>
        </row>
        <row r="1706">
          <cell r="A1706" t="str">
            <v>37404200401</v>
          </cell>
          <cell r="B1706">
            <v>37404</v>
          </cell>
          <cell r="C1706" t="str">
            <v>NG</v>
          </cell>
          <cell r="D1706" t="str">
            <v>200401</v>
          </cell>
          <cell r="E1706">
            <v>4.2969999999999997</v>
          </cell>
        </row>
        <row r="1707">
          <cell r="A1707" t="str">
            <v>37404200402</v>
          </cell>
          <cell r="B1707">
            <v>37404</v>
          </cell>
          <cell r="C1707" t="str">
            <v>NG</v>
          </cell>
          <cell r="D1707" t="str">
            <v>200402</v>
          </cell>
          <cell r="E1707">
            <v>4.22</v>
          </cell>
        </row>
        <row r="1708">
          <cell r="A1708" t="str">
            <v>37404200403</v>
          </cell>
          <cell r="B1708">
            <v>37404</v>
          </cell>
          <cell r="C1708" t="str">
            <v>NG</v>
          </cell>
          <cell r="D1708" t="str">
            <v>200403</v>
          </cell>
          <cell r="E1708">
            <v>4.0650000000000004</v>
          </cell>
        </row>
        <row r="1709">
          <cell r="A1709" t="str">
            <v>37404200404</v>
          </cell>
          <cell r="B1709">
            <v>37404</v>
          </cell>
          <cell r="C1709" t="str">
            <v>NG</v>
          </cell>
          <cell r="D1709" t="str">
            <v>200404</v>
          </cell>
          <cell r="E1709">
            <v>3.8149999999999999</v>
          </cell>
        </row>
        <row r="1710">
          <cell r="A1710" t="str">
            <v>37404200405</v>
          </cell>
          <cell r="B1710">
            <v>37404</v>
          </cell>
          <cell r="C1710" t="str">
            <v>NG</v>
          </cell>
          <cell r="D1710" t="str">
            <v>200405</v>
          </cell>
          <cell r="E1710">
            <v>3.76</v>
          </cell>
        </row>
        <row r="1711">
          <cell r="A1711" t="str">
            <v>37404200406</v>
          </cell>
          <cell r="B1711">
            <v>37404</v>
          </cell>
          <cell r="C1711" t="str">
            <v>NG</v>
          </cell>
          <cell r="D1711" t="str">
            <v>200406</v>
          </cell>
          <cell r="E1711">
            <v>3.7650000000000001</v>
          </cell>
        </row>
        <row r="1712">
          <cell r="A1712" t="str">
            <v>37404200407</v>
          </cell>
          <cell r="B1712">
            <v>37404</v>
          </cell>
          <cell r="C1712" t="str">
            <v>NG</v>
          </cell>
          <cell r="D1712" t="str">
            <v>200407</v>
          </cell>
          <cell r="E1712">
            <v>3.782</v>
          </cell>
        </row>
        <row r="1713">
          <cell r="A1713" t="str">
            <v>37404200408</v>
          </cell>
          <cell r="B1713">
            <v>37404</v>
          </cell>
          <cell r="C1713" t="str">
            <v>NG</v>
          </cell>
          <cell r="D1713" t="str">
            <v>200408</v>
          </cell>
          <cell r="E1713">
            <v>3.8119999999999998</v>
          </cell>
        </row>
        <row r="1714">
          <cell r="A1714" t="str">
            <v>37404200409</v>
          </cell>
          <cell r="B1714">
            <v>37404</v>
          </cell>
          <cell r="C1714" t="str">
            <v>NG</v>
          </cell>
          <cell r="D1714" t="str">
            <v>200409</v>
          </cell>
          <cell r="E1714">
            <v>3.7949999999999999</v>
          </cell>
        </row>
        <row r="1715">
          <cell r="A1715" t="str">
            <v>37404200410</v>
          </cell>
          <cell r="B1715">
            <v>37404</v>
          </cell>
          <cell r="C1715" t="str">
            <v>NG</v>
          </cell>
          <cell r="D1715" t="str">
            <v>200410</v>
          </cell>
          <cell r="E1715">
            <v>3.839</v>
          </cell>
        </row>
        <row r="1716">
          <cell r="A1716" t="str">
            <v>37404200411</v>
          </cell>
          <cell r="B1716">
            <v>37404</v>
          </cell>
          <cell r="C1716" t="str">
            <v>NG</v>
          </cell>
          <cell r="D1716" t="str">
            <v>200411</v>
          </cell>
          <cell r="E1716">
            <v>4.032</v>
          </cell>
        </row>
        <row r="1717">
          <cell r="A1717" t="str">
            <v>37404200412</v>
          </cell>
          <cell r="B1717">
            <v>37404</v>
          </cell>
          <cell r="C1717" t="str">
            <v>NG</v>
          </cell>
          <cell r="D1717" t="str">
            <v>200412</v>
          </cell>
          <cell r="E1717">
            <v>4.2190000000000003</v>
          </cell>
        </row>
        <row r="1718">
          <cell r="A1718" t="str">
            <v>37405200401</v>
          </cell>
          <cell r="B1718">
            <v>37405</v>
          </cell>
          <cell r="C1718" t="str">
            <v>NG</v>
          </cell>
          <cell r="D1718" t="str">
            <v>200401</v>
          </cell>
          <cell r="E1718">
            <v>4.327</v>
          </cell>
        </row>
        <row r="1719">
          <cell r="A1719" t="str">
            <v>37405200402</v>
          </cell>
          <cell r="B1719">
            <v>37405</v>
          </cell>
          <cell r="C1719" t="str">
            <v>NG</v>
          </cell>
          <cell r="D1719" t="str">
            <v>200402</v>
          </cell>
          <cell r="E1719">
            <v>4.25</v>
          </cell>
        </row>
        <row r="1720">
          <cell r="A1720" t="str">
            <v>37405200403</v>
          </cell>
          <cell r="B1720">
            <v>37405</v>
          </cell>
          <cell r="C1720" t="str">
            <v>NG</v>
          </cell>
          <cell r="D1720" t="str">
            <v>200403</v>
          </cell>
          <cell r="E1720">
            <v>4.0949999999999998</v>
          </cell>
        </row>
        <row r="1721">
          <cell r="A1721" t="str">
            <v>37405200404</v>
          </cell>
          <cell r="B1721">
            <v>37405</v>
          </cell>
          <cell r="C1721" t="str">
            <v>NG</v>
          </cell>
          <cell r="D1721" t="str">
            <v>200404</v>
          </cell>
          <cell r="E1721">
            <v>3.835</v>
          </cell>
        </row>
        <row r="1722">
          <cell r="A1722" t="str">
            <v>37405200405</v>
          </cell>
          <cell r="B1722">
            <v>37405</v>
          </cell>
          <cell r="C1722" t="str">
            <v>NG</v>
          </cell>
          <cell r="D1722" t="str">
            <v>200405</v>
          </cell>
          <cell r="E1722">
            <v>3.78</v>
          </cell>
        </row>
        <row r="1723">
          <cell r="A1723" t="str">
            <v>37405200406</v>
          </cell>
          <cell r="B1723">
            <v>37405</v>
          </cell>
          <cell r="C1723" t="str">
            <v>NG</v>
          </cell>
          <cell r="D1723" t="str">
            <v>200406</v>
          </cell>
          <cell r="E1723">
            <v>3.7749999999999999</v>
          </cell>
        </row>
        <row r="1724">
          <cell r="A1724" t="str">
            <v>37405200407</v>
          </cell>
          <cell r="B1724">
            <v>37405</v>
          </cell>
          <cell r="C1724" t="str">
            <v>NG</v>
          </cell>
          <cell r="D1724" t="str">
            <v>200407</v>
          </cell>
          <cell r="E1724">
            <v>3.7919999999999998</v>
          </cell>
        </row>
        <row r="1725">
          <cell r="A1725" t="str">
            <v>37405200408</v>
          </cell>
          <cell r="B1725">
            <v>37405</v>
          </cell>
          <cell r="C1725" t="str">
            <v>NG</v>
          </cell>
          <cell r="D1725" t="str">
            <v>200408</v>
          </cell>
          <cell r="E1725">
            <v>3.82</v>
          </cell>
        </row>
        <row r="1726">
          <cell r="A1726" t="str">
            <v>37405200409</v>
          </cell>
          <cell r="B1726">
            <v>37405</v>
          </cell>
          <cell r="C1726" t="str">
            <v>NG</v>
          </cell>
          <cell r="D1726" t="str">
            <v>200409</v>
          </cell>
          <cell r="E1726">
            <v>3.8079999999999998</v>
          </cell>
        </row>
        <row r="1727">
          <cell r="A1727" t="str">
            <v>37405200410</v>
          </cell>
          <cell r="B1727">
            <v>37405</v>
          </cell>
          <cell r="C1727" t="str">
            <v>NG</v>
          </cell>
          <cell r="D1727" t="str">
            <v>200410</v>
          </cell>
          <cell r="E1727">
            <v>3.8460000000000001</v>
          </cell>
        </row>
        <row r="1728">
          <cell r="A1728" t="str">
            <v>37405200411</v>
          </cell>
          <cell r="B1728">
            <v>37405</v>
          </cell>
          <cell r="C1728" t="str">
            <v>NG</v>
          </cell>
          <cell r="D1728" t="str">
            <v>200411</v>
          </cell>
          <cell r="E1728">
            <v>4.0289999999999999</v>
          </cell>
        </row>
        <row r="1729">
          <cell r="A1729" t="str">
            <v>37405200412</v>
          </cell>
          <cell r="B1729">
            <v>37405</v>
          </cell>
          <cell r="C1729" t="str">
            <v>NG</v>
          </cell>
          <cell r="D1729" t="str">
            <v>200412</v>
          </cell>
          <cell r="E1729">
            <v>4.1989999999999998</v>
          </cell>
        </row>
        <row r="1730">
          <cell r="A1730" t="str">
            <v>37406200401</v>
          </cell>
          <cell r="B1730">
            <v>37406</v>
          </cell>
          <cell r="C1730" t="str">
            <v>NG</v>
          </cell>
          <cell r="D1730" t="str">
            <v>200401</v>
          </cell>
          <cell r="E1730">
            <v>4.2190000000000003</v>
          </cell>
        </row>
        <row r="1731">
          <cell r="A1731" t="str">
            <v>37406200402</v>
          </cell>
          <cell r="B1731">
            <v>37406</v>
          </cell>
          <cell r="C1731" t="str">
            <v>NG</v>
          </cell>
          <cell r="D1731" t="str">
            <v>200402</v>
          </cell>
          <cell r="E1731">
            <v>4.1420000000000003</v>
          </cell>
        </row>
        <row r="1732">
          <cell r="A1732" t="str">
            <v>37406200403</v>
          </cell>
          <cell r="B1732">
            <v>37406</v>
          </cell>
          <cell r="C1732" t="str">
            <v>NG</v>
          </cell>
          <cell r="D1732" t="str">
            <v>200403</v>
          </cell>
          <cell r="E1732">
            <v>3.9820000000000002</v>
          </cell>
        </row>
        <row r="1733">
          <cell r="A1733" t="str">
            <v>37406200404</v>
          </cell>
          <cell r="B1733">
            <v>37406</v>
          </cell>
          <cell r="C1733" t="str">
            <v>NG</v>
          </cell>
          <cell r="D1733" t="str">
            <v>200404</v>
          </cell>
          <cell r="E1733">
            <v>3.7320000000000002</v>
          </cell>
        </row>
        <row r="1734">
          <cell r="A1734" t="str">
            <v>37406200405</v>
          </cell>
          <cell r="B1734">
            <v>37406</v>
          </cell>
          <cell r="C1734" t="str">
            <v>NG</v>
          </cell>
          <cell r="D1734" t="str">
            <v>200405</v>
          </cell>
          <cell r="E1734">
            <v>3.6869999999999998</v>
          </cell>
        </row>
        <row r="1735">
          <cell r="A1735" t="str">
            <v>37406200406</v>
          </cell>
          <cell r="B1735">
            <v>37406</v>
          </cell>
          <cell r="C1735" t="str">
            <v>NG</v>
          </cell>
          <cell r="D1735" t="str">
            <v>200406</v>
          </cell>
          <cell r="E1735">
            <v>3.6920000000000002</v>
          </cell>
        </row>
        <row r="1736">
          <cell r="A1736" t="str">
            <v>37406200407</v>
          </cell>
          <cell r="B1736">
            <v>37406</v>
          </cell>
          <cell r="C1736" t="str">
            <v>NG</v>
          </cell>
          <cell r="D1736" t="str">
            <v>200407</v>
          </cell>
          <cell r="E1736">
            <v>3.7189999999999999</v>
          </cell>
        </row>
        <row r="1737">
          <cell r="A1737" t="str">
            <v>37406200408</v>
          </cell>
          <cell r="B1737">
            <v>37406</v>
          </cell>
          <cell r="C1737" t="str">
            <v>NG</v>
          </cell>
          <cell r="D1737" t="str">
            <v>200408</v>
          </cell>
          <cell r="E1737">
            <v>3.7490000000000001</v>
          </cell>
        </row>
        <row r="1738">
          <cell r="A1738" t="str">
            <v>37406200409</v>
          </cell>
          <cell r="B1738">
            <v>37406</v>
          </cell>
          <cell r="C1738" t="str">
            <v>NG</v>
          </cell>
          <cell r="D1738" t="str">
            <v>200409</v>
          </cell>
          <cell r="E1738">
            <v>3.7589999999999999</v>
          </cell>
        </row>
        <row r="1739">
          <cell r="A1739" t="str">
            <v>37406200410</v>
          </cell>
          <cell r="B1739">
            <v>37406</v>
          </cell>
          <cell r="C1739" t="str">
            <v>NG</v>
          </cell>
          <cell r="D1739" t="str">
            <v>200410</v>
          </cell>
          <cell r="E1739">
            <v>3.8090000000000002</v>
          </cell>
        </row>
        <row r="1740">
          <cell r="A1740" t="str">
            <v>37406200411</v>
          </cell>
          <cell r="B1740">
            <v>37406</v>
          </cell>
          <cell r="C1740" t="str">
            <v>NG</v>
          </cell>
          <cell r="D1740" t="str">
            <v>200411</v>
          </cell>
          <cell r="E1740">
            <v>3.992</v>
          </cell>
        </row>
        <row r="1741">
          <cell r="A1741" t="str">
            <v>37406200412</v>
          </cell>
          <cell r="B1741">
            <v>37406</v>
          </cell>
          <cell r="C1741" t="str">
            <v>NG</v>
          </cell>
          <cell r="D1741" t="str">
            <v>200412</v>
          </cell>
          <cell r="E1741">
            <v>4.1619999999999999</v>
          </cell>
        </row>
        <row r="1742">
          <cell r="A1742" t="str">
            <v>37407200401</v>
          </cell>
          <cell r="B1742">
            <v>37407</v>
          </cell>
          <cell r="C1742" t="str">
            <v>NG</v>
          </cell>
          <cell r="D1742" t="str">
            <v>200401</v>
          </cell>
          <cell r="E1742">
            <v>4.1550000000000002</v>
          </cell>
        </row>
        <row r="1743">
          <cell r="A1743" t="str">
            <v>37407200402</v>
          </cell>
          <cell r="B1743">
            <v>37407</v>
          </cell>
          <cell r="C1743" t="str">
            <v>NG</v>
          </cell>
          <cell r="D1743" t="str">
            <v>200402</v>
          </cell>
          <cell r="E1743">
            <v>4.0780000000000003</v>
          </cell>
        </row>
        <row r="1744">
          <cell r="A1744" t="str">
            <v>37407200403</v>
          </cell>
          <cell r="B1744">
            <v>37407</v>
          </cell>
          <cell r="C1744" t="str">
            <v>NG</v>
          </cell>
          <cell r="D1744" t="str">
            <v>200403</v>
          </cell>
          <cell r="E1744">
            <v>3.9180000000000001</v>
          </cell>
        </row>
        <row r="1745">
          <cell r="A1745" t="str">
            <v>37407200404</v>
          </cell>
          <cell r="B1745">
            <v>37407</v>
          </cell>
          <cell r="C1745" t="str">
            <v>NG</v>
          </cell>
          <cell r="D1745" t="str">
            <v>200404</v>
          </cell>
          <cell r="E1745">
            <v>3.6680000000000001</v>
          </cell>
        </row>
        <row r="1746">
          <cell r="A1746" t="str">
            <v>37407200405</v>
          </cell>
          <cell r="B1746">
            <v>37407</v>
          </cell>
          <cell r="C1746" t="str">
            <v>NG</v>
          </cell>
          <cell r="D1746" t="str">
            <v>200405</v>
          </cell>
          <cell r="E1746">
            <v>3.6230000000000002</v>
          </cell>
        </row>
        <row r="1747">
          <cell r="A1747" t="str">
            <v>37407200406</v>
          </cell>
          <cell r="B1747">
            <v>37407</v>
          </cell>
          <cell r="C1747" t="str">
            <v>NG</v>
          </cell>
          <cell r="D1747" t="str">
            <v>200406</v>
          </cell>
          <cell r="E1747">
            <v>3.6280000000000001</v>
          </cell>
        </row>
        <row r="1748">
          <cell r="A1748" t="str">
            <v>37407200407</v>
          </cell>
          <cell r="B1748">
            <v>37407</v>
          </cell>
          <cell r="C1748" t="str">
            <v>NG</v>
          </cell>
          <cell r="D1748" t="str">
            <v>200407</v>
          </cell>
          <cell r="E1748">
            <v>3.6379999999999999</v>
          </cell>
        </row>
        <row r="1749">
          <cell r="A1749" t="str">
            <v>37407200408</v>
          </cell>
          <cell r="B1749">
            <v>37407</v>
          </cell>
          <cell r="C1749" t="str">
            <v>NG</v>
          </cell>
          <cell r="D1749" t="str">
            <v>200408</v>
          </cell>
          <cell r="E1749">
            <v>3.6680000000000001</v>
          </cell>
        </row>
        <row r="1750">
          <cell r="A1750" t="str">
            <v>37407200409</v>
          </cell>
          <cell r="B1750">
            <v>37407</v>
          </cell>
          <cell r="C1750" t="str">
            <v>NG</v>
          </cell>
          <cell r="D1750" t="str">
            <v>200409</v>
          </cell>
          <cell r="E1750">
            <v>3.6779999999999999</v>
          </cell>
        </row>
        <row r="1751">
          <cell r="A1751" t="str">
            <v>37407200410</v>
          </cell>
          <cell r="B1751">
            <v>37407</v>
          </cell>
          <cell r="C1751" t="str">
            <v>NG</v>
          </cell>
          <cell r="D1751" t="str">
            <v>200410</v>
          </cell>
          <cell r="E1751">
            <v>3.7280000000000002</v>
          </cell>
        </row>
        <row r="1752">
          <cell r="A1752" t="str">
            <v>37407200411</v>
          </cell>
          <cell r="B1752">
            <v>37407</v>
          </cell>
          <cell r="C1752" t="str">
            <v>NG</v>
          </cell>
          <cell r="D1752" t="str">
            <v>200411</v>
          </cell>
          <cell r="E1752">
            <v>3.911</v>
          </cell>
        </row>
        <row r="1753">
          <cell r="A1753" t="str">
            <v>37407200412</v>
          </cell>
          <cell r="B1753">
            <v>37407</v>
          </cell>
          <cell r="C1753" t="str">
            <v>NG</v>
          </cell>
          <cell r="D1753" t="str">
            <v>200412</v>
          </cell>
          <cell r="E1753">
            <v>4.0810000000000004</v>
          </cell>
        </row>
        <row r="1754">
          <cell r="A1754" t="str">
            <v>37408200401</v>
          </cell>
          <cell r="B1754">
            <v>37408</v>
          </cell>
          <cell r="C1754" t="str">
            <v>NG</v>
          </cell>
          <cell r="D1754" t="str">
            <v>200401</v>
          </cell>
          <cell r="E1754">
            <v>4.1550000000000002</v>
          </cell>
        </row>
        <row r="1755">
          <cell r="A1755" t="str">
            <v>37408200402</v>
          </cell>
          <cell r="B1755">
            <v>37408</v>
          </cell>
          <cell r="C1755" t="str">
            <v>NG</v>
          </cell>
          <cell r="D1755" t="str">
            <v>200402</v>
          </cell>
          <cell r="E1755">
            <v>4.0780000000000003</v>
          </cell>
        </row>
        <row r="1756">
          <cell r="A1756" t="str">
            <v>37408200403</v>
          </cell>
          <cell r="B1756">
            <v>37408</v>
          </cell>
          <cell r="C1756" t="str">
            <v>NG</v>
          </cell>
          <cell r="D1756" t="str">
            <v>200403</v>
          </cell>
          <cell r="E1756">
            <v>3.9180000000000001</v>
          </cell>
        </row>
        <row r="1757">
          <cell r="A1757" t="str">
            <v>37408200404</v>
          </cell>
          <cell r="B1757">
            <v>37408</v>
          </cell>
          <cell r="C1757" t="str">
            <v>NG</v>
          </cell>
          <cell r="D1757" t="str">
            <v>200404</v>
          </cell>
          <cell r="E1757">
            <v>3.6680000000000001</v>
          </cell>
        </row>
        <row r="1758">
          <cell r="A1758" t="str">
            <v>37408200405</v>
          </cell>
          <cell r="B1758">
            <v>37408</v>
          </cell>
          <cell r="C1758" t="str">
            <v>NG</v>
          </cell>
          <cell r="D1758" t="str">
            <v>200405</v>
          </cell>
          <cell r="E1758">
            <v>3.6230000000000002</v>
          </cell>
        </row>
        <row r="1759">
          <cell r="A1759" t="str">
            <v>37408200406</v>
          </cell>
          <cell r="B1759">
            <v>37408</v>
          </cell>
          <cell r="C1759" t="str">
            <v>NG</v>
          </cell>
          <cell r="D1759" t="str">
            <v>200406</v>
          </cell>
          <cell r="E1759">
            <v>3.6280000000000001</v>
          </cell>
        </row>
        <row r="1760">
          <cell r="A1760" t="str">
            <v>37408200407</v>
          </cell>
          <cell r="B1760">
            <v>37408</v>
          </cell>
          <cell r="C1760" t="str">
            <v>NG</v>
          </cell>
          <cell r="D1760" t="str">
            <v>200407</v>
          </cell>
          <cell r="E1760">
            <v>3.6379999999999999</v>
          </cell>
        </row>
        <row r="1761">
          <cell r="A1761" t="str">
            <v>37408200408</v>
          </cell>
          <cell r="B1761">
            <v>37408</v>
          </cell>
          <cell r="C1761" t="str">
            <v>NG</v>
          </cell>
          <cell r="D1761" t="str">
            <v>200408</v>
          </cell>
          <cell r="E1761">
            <v>3.6680000000000001</v>
          </cell>
        </row>
        <row r="1762">
          <cell r="A1762" t="str">
            <v>37408200409</v>
          </cell>
          <cell r="B1762">
            <v>37408</v>
          </cell>
          <cell r="C1762" t="str">
            <v>NG</v>
          </cell>
          <cell r="D1762" t="str">
            <v>200409</v>
          </cell>
          <cell r="E1762">
            <v>3.6779999999999999</v>
          </cell>
        </row>
        <row r="1763">
          <cell r="A1763" t="str">
            <v>37408200410</v>
          </cell>
          <cell r="B1763">
            <v>37408</v>
          </cell>
          <cell r="C1763" t="str">
            <v>NG</v>
          </cell>
          <cell r="D1763" t="str">
            <v>200410</v>
          </cell>
          <cell r="E1763">
            <v>3.7280000000000002</v>
          </cell>
        </row>
        <row r="1764">
          <cell r="A1764" t="str">
            <v>37408200411</v>
          </cell>
          <cell r="B1764">
            <v>37408</v>
          </cell>
          <cell r="C1764" t="str">
            <v>NG</v>
          </cell>
          <cell r="D1764" t="str">
            <v>200411</v>
          </cell>
          <cell r="E1764">
            <v>3.911</v>
          </cell>
        </row>
        <row r="1765">
          <cell r="A1765" t="str">
            <v>37408200412</v>
          </cell>
          <cell r="B1765">
            <v>37408</v>
          </cell>
          <cell r="C1765" t="str">
            <v>NG</v>
          </cell>
          <cell r="D1765" t="str">
            <v>200412</v>
          </cell>
          <cell r="E1765">
            <v>4.0810000000000004</v>
          </cell>
        </row>
        <row r="1766">
          <cell r="A1766" t="str">
            <v>37409200401</v>
          </cell>
          <cell r="B1766">
            <v>37409</v>
          </cell>
          <cell r="C1766" t="str">
            <v>NG</v>
          </cell>
          <cell r="D1766" t="str">
            <v>200401</v>
          </cell>
          <cell r="E1766">
            <v>4.1550000000000002</v>
          </cell>
        </row>
        <row r="1767">
          <cell r="A1767" t="str">
            <v>37409200402</v>
          </cell>
          <cell r="B1767">
            <v>37409</v>
          </cell>
          <cell r="C1767" t="str">
            <v>NG</v>
          </cell>
          <cell r="D1767" t="str">
            <v>200402</v>
          </cell>
          <cell r="E1767">
            <v>4.0780000000000003</v>
          </cell>
        </row>
        <row r="1768">
          <cell r="A1768" t="str">
            <v>37409200403</v>
          </cell>
          <cell r="B1768">
            <v>37409</v>
          </cell>
          <cell r="C1768" t="str">
            <v>NG</v>
          </cell>
          <cell r="D1768" t="str">
            <v>200403</v>
          </cell>
          <cell r="E1768">
            <v>3.9180000000000001</v>
          </cell>
        </row>
        <row r="1769">
          <cell r="A1769" t="str">
            <v>37409200404</v>
          </cell>
          <cell r="B1769">
            <v>37409</v>
          </cell>
          <cell r="C1769" t="str">
            <v>NG</v>
          </cell>
          <cell r="D1769" t="str">
            <v>200404</v>
          </cell>
          <cell r="E1769">
            <v>3.6680000000000001</v>
          </cell>
        </row>
        <row r="1770">
          <cell r="A1770" t="str">
            <v>37409200405</v>
          </cell>
          <cell r="B1770">
            <v>37409</v>
          </cell>
          <cell r="C1770" t="str">
            <v>NG</v>
          </cell>
          <cell r="D1770" t="str">
            <v>200405</v>
          </cell>
          <cell r="E1770">
            <v>3.6230000000000002</v>
          </cell>
        </row>
        <row r="1771">
          <cell r="A1771" t="str">
            <v>37409200406</v>
          </cell>
          <cell r="B1771">
            <v>37409</v>
          </cell>
          <cell r="C1771" t="str">
            <v>NG</v>
          </cell>
          <cell r="D1771" t="str">
            <v>200406</v>
          </cell>
          <cell r="E1771">
            <v>3.6280000000000001</v>
          </cell>
        </row>
        <row r="1772">
          <cell r="A1772" t="str">
            <v>37409200407</v>
          </cell>
          <cell r="B1772">
            <v>37409</v>
          </cell>
          <cell r="C1772" t="str">
            <v>NG</v>
          </cell>
          <cell r="D1772" t="str">
            <v>200407</v>
          </cell>
          <cell r="E1772">
            <v>3.6379999999999999</v>
          </cell>
        </row>
        <row r="1773">
          <cell r="A1773" t="str">
            <v>37409200408</v>
          </cell>
          <cell r="B1773">
            <v>37409</v>
          </cell>
          <cell r="C1773" t="str">
            <v>NG</v>
          </cell>
          <cell r="D1773" t="str">
            <v>200408</v>
          </cell>
          <cell r="E1773">
            <v>3.6680000000000001</v>
          </cell>
        </row>
        <row r="1774">
          <cell r="A1774" t="str">
            <v>37409200409</v>
          </cell>
          <cell r="B1774">
            <v>37409</v>
          </cell>
          <cell r="C1774" t="str">
            <v>NG</v>
          </cell>
          <cell r="D1774" t="str">
            <v>200409</v>
          </cell>
          <cell r="E1774">
            <v>3.6779999999999999</v>
          </cell>
        </row>
        <row r="1775">
          <cell r="A1775" t="str">
            <v>37409200410</v>
          </cell>
          <cell r="B1775">
            <v>37409</v>
          </cell>
          <cell r="C1775" t="str">
            <v>NG</v>
          </cell>
          <cell r="D1775" t="str">
            <v>200410</v>
          </cell>
          <cell r="E1775">
            <v>3.7280000000000002</v>
          </cell>
        </row>
        <row r="1776">
          <cell r="A1776" t="str">
            <v>37409200411</v>
          </cell>
          <cell r="B1776">
            <v>37409</v>
          </cell>
          <cell r="C1776" t="str">
            <v>NG</v>
          </cell>
          <cell r="D1776" t="str">
            <v>200411</v>
          </cell>
          <cell r="E1776">
            <v>3.911</v>
          </cell>
        </row>
        <row r="1777">
          <cell r="A1777" t="str">
            <v>37409200412</v>
          </cell>
          <cell r="B1777">
            <v>37409</v>
          </cell>
          <cell r="C1777" t="str">
            <v>NG</v>
          </cell>
          <cell r="D1777" t="str">
            <v>200412</v>
          </cell>
          <cell r="E1777">
            <v>4.0810000000000004</v>
          </cell>
        </row>
        <row r="1778">
          <cell r="A1778" t="str">
            <v>37410200401</v>
          </cell>
          <cell r="B1778">
            <v>37410</v>
          </cell>
          <cell r="C1778" t="str">
            <v>NG</v>
          </cell>
          <cell r="D1778" t="str">
            <v>200401</v>
          </cell>
          <cell r="E1778">
            <v>4.1340000000000003</v>
          </cell>
        </row>
        <row r="1779">
          <cell r="A1779" t="str">
            <v>37410200402</v>
          </cell>
          <cell r="B1779">
            <v>37410</v>
          </cell>
          <cell r="C1779" t="str">
            <v>NG</v>
          </cell>
          <cell r="D1779" t="str">
            <v>200402</v>
          </cell>
          <cell r="E1779">
            <v>4.0540000000000003</v>
          </cell>
        </row>
        <row r="1780">
          <cell r="A1780" t="str">
            <v>37410200403</v>
          </cell>
          <cell r="B1780">
            <v>37410</v>
          </cell>
          <cell r="C1780" t="str">
            <v>NG</v>
          </cell>
          <cell r="D1780" t="str">
            <v>200403</v>
          </cell>
          <cell r="E1780">
            <v>3.8940000000000001</v>
          </cell>
        </row>
        <row r="1781">
          <cell r="A1781" t="str">
            <v>37410200404</v>
          </cell>
          <cell r="B1781">
            <v>37410</v>
          </cell>
          <cell r="C1781" t="str">
            <v>NG</v>
          </cell>
          <cell r="D1781" t="str">
            <v>200404</v>
          </cell>
          <cell r="E1781">
            <v>3.6309999999999998</v>
          </cell>
        </row>
        <row r="1782">
          <cell r="A1782" t="str">
            <v>37410200405</v>
          </cell>
          <cell r="B1782">
            <v>37410</v>
          </cell>
          <cell r="C1782" t="str">
            <v>NG</v>
          </cell>
          <cell r="D1782" t="str">
            <v>200405</v>
          </cell>
          <cell r="E1782">
            <v>3.5859999999999999</v>
          </cell>
        </row>
        <row r="1783">
          <cell r="A1783" t="str">
            <v>37410200406</v>
          </cell>
          <cell r="B1783">
            <v>37410</v>
          </cell>
          <cell r="C1783" t="str">
            <v>NG</v>
          </cell>
          <cell r="D1783" t="str">
            <v>200406</v>
          </cell>
          <cell r="E1783">
            <v>3.601</v>
          </cell>
        </row>
        <row r="1784">
          <cell r="A1784" t="str">
            <v>37410200407</v>
          </cell>
          <cell r="B1784">
            <v>37410</v>
          </cell>
          <cell r="C1784" t="str">
            <v>NG</v>
          </cell>
          <cell r="D1784" t="str">
            <v>200407</v>
          </cell>
          <cell r="E1784">
            <v>3.6110000000000002</v>
          </cell>
        </row>
        <row r="1785">
          <cell r="A1785" t="str">
            <v>37410200408</v>
          </cell>
          <cell r="B1785">
            <v>37410</v>
          </cell>
          <cell r="C1785" t="str">
            <v>NG</v>
          </cell>
          <cell r="D1785" t="str">
            <v>200408</v>
          </cell>
          <cell r="E1785">
            <v>3.641</v>
          </cell>
        </row>
        <row r="1786">
          <cell r="A1786" t="str">
            <v>37410200409</v>
          </cell>
          <cell r="B1786">
            <v>37410</v>
          </cell>
          <cell r="C1786" t="str">
            <v>NG</v>
          </cell>
          <cell r="D1786" t="str">
            <v>200409</v>
          </cell>
          <cell r="E1786">
            <v>3.6459999999999999</v>
          </cell>
        </row>
        <row r="1787">
          <cell r="A1787" t="str">
            <v>37410200410</v>
          </cell>
          <cell r="B1787">
            <v>37410</v>
          </cell>
          <cell r="C1787" t="str">
            <v>NG</v>
          </cell>
          <cell r="D1787" t="str">
            <v>200410</v>
          </cell>
          <cell r="E1787">
            <v>3.681</v>
          </cell>
        </row>
        <row r="1788">
          <cell r="A1788" t="str">
            <v>37410200411</v>
          </cell>
          <cell r="B1788">
            <v>37410</v>
          </cell>
          <cell r="C1788" t="str">
            <v>NG</v>
          </cell>
          <cell r="D1788" t="str">
            <v>200411</v>
          </cell>
          <cell r="E1788">
            <v>3.8639999999999999</v>
          </cell>
        </row>
        <row r="1789">
          <cell r="A1789" t="str">
            <v>37410200412</v>
          </cell>
          <cell r="B1789">
            <v>37410</v>
          </cell>
          <cell r="C1789" t="str">
            <v>NG</v>
          </cell>
          <cell r="D1789" t="str">
            <v>200412</v>
          </cell>
          <cell r="E1789">
            <v>4.0339999999999998</v>
          </cell>
        </row>
        <row r="1790">
          <cell r="A1790" t="str">
            <v>37411200401</v>
          </cell>
          <cell r="B1790">
            <v>37411</v>
          </cell>
          <cell r="C1790" t="str">
            <v>NG</v>
          </cell>
          <cell r="D1790" t="str">
            <v>200401</v>
          </cell>
          <cell r="E1790">
            <v>4.181</v>
          </cell>
        </row>
        <row r="1791">
          <cell r="A1791" t="str">
            <v>37411200402</v>
          </cell>
          <cell r="B1791">
            <v>37411</v>
          </cell>
          <cell r="C1791" t="str">
            <v>NG</v>
          </cell>
          <cell r="D1791" t="str">
            <v>200402</v>
          </cell>
          <cell r="E1791">
            <v>4.0910000000000002</v>
          </cell>
        </row>
        <row r="1792">
          <cell r="A1792" t="str">
            <v>37411200403</v>
          </cell>
          <cell r="B1792">
            <v>37411</v>
          </cell>
          <cell r="C1792" t="str">
            <v>NG</v>
          </cell>
          <cell r="D1792" t="str">
            <v>200403</v>
          </cell>
          <cell r="E1792">
            <v>3.911</v>
          </cell>
        </row>
        <row r="1793">
          <cell r="A1793" t="str">
            <v>37411200404</v>
          </cell>
          <cell r="B1793">
            <v>37411</v>
          </cell>
          <cell r="C1793" t="str">
            <v>NG</v>
          </cell>
          <cell r="D1793" t="str">
            <v>200404</v>
          </cell>
          <cell r="E1793">
            <v>3.6480000000000001</v>
          </cell>
        </row>
        <row r="1794">
          <cell r="A1794" t="str">
            <v>37411200405</v>
          </cell>
          <cell r="B1794">
            <v>37411</v>
          </cell>
          <cell r="C1794" t="str">
            <v>NG</v>
          </cell>
          <cell r="D1794" t="str">
            <v>200405</v>
          </cell>
          <cell r="E1794">
            <v>3.61</v>
          </cell>
        </row>
        <row r="1795">
          <cell r="A1795" t="str">
            <v>37411200406</v>
          </cell>
          <cell r="B1795">
            <v>37411</v>
          </cell>
          <cell r="C1795" t="str">
            <v>NG</v>
          </cell>
          <cell r="D1795" t="str">
            <v>200406</v>
          </cell>
          <cell r="E1795">
            <v>3.63</v>
          </cell>
        </row>
        <row r="1796">
          <cell r="A1796" t="str">
            <v>37411200407</v>
          </cell>
          <cell r="B1796">
            <v>37411</v>
          </cell>
          <cell r="C1796" t="str">
            <v>NG</v>
          </cell>
          <cell r="D1796" t="str">
            <v>200407</v>
          </cell>
          <cell r="E1796">
            <v>3.64</v>
          </cell>
        </row>
        <row r="1797">
          <cell r="A1797" t="str">
            <v>37411200408</v>
          </cell>
          <cell r="B1797">
            <v>37411</v>
          </cell>
          <cell r="C1797" t="str">
            <v>NG</v>
          </cell>
          <cell r="D1797" t="str">
            <v>200408</v>
          </cell>
          <cell r="E1797">
            <v>3.677</v>
          </cell>
        </row>
        <row r="1798">
          <cell r="A1798" t="str">
            <v>37411200409</v>
          </cell>
          <cell r="B1798">
            <v>37411</v>
          </cell>
          <cell r="C1798" t="str">
            <v>NG</v>
          </cell>
          <cell r="D1798" t="str">
            <v>200409</v>
          </cell>
          <cell r="E1798">
            <v>3.6819999999999999</v>
          </cell>
        </row>
        <row r="1799">
          <cell r="A1799" t="str">
            <v>37411200410</v>
          </cell>
          <cell r="B1799">
            <v>37411</v>
          </cell>
          <cell r="C1799" t="str">
            <v>NG</v>
          </cell>
          <cell r="D1799" t="str">
            <v>200410</v>
          </cell>
          <cell r="E1799">
            <v>3.7170000000000001</v>
          </cell>
        </row>
        <row r="1800">
          <cell r="A1800" t="str">
            <v>37411200411</v>
          </cell>
          <cell r="B1800">
            <v>37411</v>
          </cell>
          <cell r="C1800" t="str">
            <v>NG</v>
          </cell>
          <cell r="D1800" t="str">
            <v>200411</v>
          </cell>
          <cell r="E1800">
            <v>3.9</v>
          </cell>
        </row>
        <row r="1801">
          <cell r="A1801" t="str">
            <v>37411200412</v>
          </cell>
          <cell r="B1801">
            <v>37411</v>
          </cell>
          <cell r="C1801" t="str">
            <v>NG</v>
          </cell>
          <cell r="D1801" t="str">
            <v>200412</v>
          </cell>
          <cell r="E1801">
            <v>4.07</v>
          </cell>
        </row>
        <row r="1802">
          <cell r="A1802" t="str">
            <v>37412200401</v>
          </cell>
          <cell r="B1802">
            <v>37412</v>
          </cell>
          <cell r="C1802" t="str">
            <v>NG</v>
          </cell>
          <cell r="D1802" t="str">
            <v>200401</v>
          </cell>
          <cell r="E1802">
            <v>4.1440000000000001</v>
          </cell>
        </row>
        <row r="1803">
          <cell r="A1803" t="str">
            <v>37412200402</v>
          </cell>
          <cell r="B1803">
            <v>37412</v>
          </cell>
          <cell r="C1803" t="str">
            <v>NG</v>
          </cell>
          <cell r="D1803" t="str">
            <v>200402</v>
          </cell>
          <cell r="E1803">
            <v>4.0519999999999996</v>
          </cell>
        </row>
        <row r="1804">
          <cell r="A1804" t="str">
            <v>37412200403</v>
          </cell>
          <cell r="B1804">
            <v>37412</v>
          </cell>
          <cell r="C1804" t="str">
            <v>NG</v>
          </cell>
          <cell r="D1804" t="str">
            <v>200403</v>
          </cell>
          <cell r="E1804">
            <v>3.8690000000000002</v>
          </cell>
        </row>
        <row r="1805">
          <cell r="A1805" t="str">
            <v>37412200404</v>
          </cell>
          <cell r="B1805">
            <v>37412</v>
          </cell>
          <cell r="C1805" t="str">
            <v>NG</v>
          </cell>
          <cell r="D1805" t="str">
            <v>200404</v>
          </cell>
          <cell r="E1805">
            <v>3.6059999999999999</v>
          </cell>
        </row>
        <row r="1806">
          <cell r="A1806" t="str">
            <v>37412200405</v>
          </cell>
          <cell r="B1806">
            <v>37412</v>
          </cell>
          <cell r="C1806" t="str">
            <v>NG</v>
          </cell>
          <cell r="D1806" t="str">
            <v>200405</v>
          </cell>
          <cell r="E1806">
            <v>3.5739999999999998</v>
          </cell>
        </row>
        <row r="1807">
          <cell r="A1807" t="str">
            <v>37412200406</v>
          </cell>
          <cell r="B1807">
            <v>37412</v>
          </cell>
          <cell r="C1807" t="str">
            <v>NG</v>
          </cell>
          <cell r="D1807" t="str">
            <v>200406</v>
          </cell>
          <cell r="E1807">
            <v>3.5939999999999999</v>
          </cell>
        </row>
        <row r="1808">
          <cell r="A1808" t="str">
            <v>37412200407</v>
          </cell>
          <cell r="B1808">
            <v>37412</v>
          </cell>
          <cell r="C1808" t="str">
            <v>NG</v>
          </cell>
          <cell r="D1808" t="str">
            <v>200407</v>
          </cell>
          <cell r="E1808">
            <v>3.6040000000000001</v>
          </cell>
        </row>
        <row r="1809">
          <cell r="A1809" t="str">
            <v>37412200408</v>
          </cell>
          <cell r="B1809">
            <v>37412</v>
          </cell>
          <cell r="C1809" t="str">
            <v>NG</v>
          </cell>
          <cell r="D1809" t="str">
            <v>200408</v>
          </cell>
          <cell r="E1809">
            <v>3.641</v>
          </cell>
        </row>
        <row r="1810">
          <cell r="A1810" t="str">
            <v>37412200409</v>
          </cell>
          <cell r="B1810">
            <v>37412</v>
          </cell>
          <cell r="C1810" t="str">
            <v>NG</v>
          </cell>
          <cell r="D1810" t="str">
            <v>200409</v>
          </cell>
          <cell r="E1810">
            <v>3.6459999999999999</v>
          </cell>
        </row>
        <row r="1811">
          <cell r="A1811" t="str">
            <v>37412200410</v>
          </cell>
          <cell r="B1811">
            <v>37412</v>
          </cell>
          <cell r="C1811" t="str">
            <v>NG</v>
          </cell>
          <cell r="D1811" t="str">
            <v>200410</v>
          </cell>
          <cell r="E1811">
            <v>3.6829999999999998</v>
          </cell>
        </row>
        <row r="1812">
          <cell r="A1812" t="str">
            <v>37412200411</v>
          </cell>
          <cell r="B1812">
            <v>37412</v>
          </cell>
          <cell r="C1812" t="str">
            <v>NG</v>
          </cell>
          <cell r="D1812" t="str">
            <v>200411</v>
          </cell>
          <cell r="E1812">
            <v>3.8730000000000002</v>
          </cell>
        </row>
        <row r="1813">
          <cell r="A1813" t="str">
            <v>37412200412</v>
          </cell>
          <cell r="B1813">
            <v>37412</v>
          </cell>
          <cell r="C1813" t="str">
            <v>NG</v>
          </cell>
          <cell r="D1813" t="str">
            <v>200412</v>
          </cell>
          <cell r="E1813">
            <v>4.0449999999999999</v>
          </cell>
        </row>
        <row r="1814">
          <cell r="A1814" t="str">
            <v>37413200401</v>
          </cell>
          <cell r="B1814">
            <v>37413</v>
          </cell>
          <cell r="C1814" t="str">
            <v>NG</v>
          </cell>
          <cell r="D1814" t="str">
            <v>200401</v>
          </cell>
          <cell r="E1814">
            <v>4.1150000000000002</v>
          </cell>
        </row>
        <row r="1815">
          <cell r="A1815" t="str">
            <v>37413200402</v>
          </cell>
          <cell r="B1815">
            <v>37413</v>
          </cell>
          <cell r="C1815" t="str">
            <v>NG</v>
          </cell>
          <cell r="D1815" t="str">
            <v>200402</v>
          </cell>
          <cell r="E1815">
            <v>4.0229999999999997</v>
          </cell>
        </row>
        <row r="1816">
          <cell r="A1816" t="str">
            <v>37413200403</v>
          </cell>
          <cell r="B1816">
            <v>37413</v>
          </cell>
          <cell r="C1816" t="str">
            <v>NG</v>
          </cell>
          <cell r="D1816" t="str">
            <v>200403</v>
          </cell>
          <cell r="E1816">
            <v>3.84</v>
          </cell>
        </row>
        <row r="1817">
          <cell r="A1817" t="str">
            <v>37413200404</v>
          </cell>
          <cell r="B1817">
            <v>37413</v>
          </cell>
          <cell r="C1817" t="str">
            <v>NG</v>
          </cell>
          <cell r="D1817" t="str">
            <v>200404</v>
          </cell>
          <cell r="E1817">
            <v>3.5750000000000002</v>
          </cell>
        </row>
        <row r="1818">
          <cell r="A1818" t="str">
            <v>37413200405</v>
          </cell>
          <cell r="B1818">
            <v>37413</v>
          </cell>
          <cell r="C1818" t="str">
            <v>NG</v>
          </cell>
          <cell r="D1818" t="str">
            <v>200405</v>
          </cell>
          <cell r="E1818">
            <v>3.5449999999999999</v>
          </cell>
        </row>
        <row r="1819">
          <cell r="A1819" t="str">
            <v>37413200406</v>
          </cell>
          <cell r="B1819">
            <v>37413</v>
          </cell>
          <cell r="C1819" t="str">
            <v>NG</v>
          </cell>
          <cell r="D1819" t="str">
            <v>200406</v>
          </cell>
          <cell r="E1819">
            <v>3.5649999999999999</v>
          </cell>
        </row>
        <row r="1820">
          <cell r="A1820" t="str">
            <v>37413200407</v>
          </cell>
          <cell r="B1820">
            <v>37413</v>
          </cell>
          <cell r="C1820" t="str">
            <v>NG</v>
          </cell>
          <cell r="D1820" t="str">
            <v>200407</v>
          </cell>
          <cell r="E1820">
            <v>3.5750000000000002</v>
          </cell>
        </row>
        <row r="1821">
          <cell r="A1821" t="str">
            <v>37413200408</v>
          </cell>
          <cell r="B1821">
            <v>37413</v>
          </cell>
          <cell r="C1821" t="str">
            <v>NG</v>
          </cell>
          <cell r="D1821" t="str">
            <v>200408</v>
          </cell>
          <cell r="E1821">
            <v>3.6120000000000001</v>
          </cell>
        </row>
        <row r="1822">
          <cell r="A1822" t="str">
            <v>37413200409</v>
          </cell>
          <cell r="B1822">
            <v>37413</v>
          </cell>
          <cell r="C1822" t="str">
            <v>NG</v>
          </cell>
          <cell r="D1822" t="str">
            <v>200409</v>
          </cell>
          <cell r="E1822">
            <v>3.6120000000000001</v>
          </cell>
        </row>
        <row r="1823">
          <cell r="A1823" t="str">
            <v>37413200410</v>
          </cell>
          <cell r="B1823">
            <v>37413</v>
          </cell>
          <cell r="C1823" t="str">
            <v>NG</v>
          </cell>
          <cell r="D1823" t="str">
            <v>200410</v>
          </cell>
          <cell r="E1823">
            <v>3.6419999999999999</v>
          </cell>
        </row>
        <row r="1824">
          <cell r="A1824" t="str">
            <v>37413200411</v>
          </cell>
          <cell r="B1824">
            <v>37413</v>
          </cell>
          <cell r="C1824" t="str">
            <v>NG</v>
          </cell>
          <cell r="D1824" t="str">
            <v>200411</v>
          </cell>
          <cell r="E1824">
            <v>3.847</v>
          </cell>
        </row>
        <row r="1825">
          <cell r="A1825" t="str">
            <v>37413200412</v>
          </cell>
          <cell r="B1825">
            <v>37413</v>
          </cell>
          <cell r="C1825" t="str">
            <v>NG</v>
          </cell>
          <cell r="D1825" t="str">
            <v>200412</v>
          </cell>
          <cell r="E1825">
            <v>4.032</v>
          </cell>
        </row>
        <row r="1826">
          <cell r="A1826" t="str">
            <v>37414200401</v>
          </cell>
          <cell r="B1826">
            <v>37414</v>
          </cell>
          <cell r="C1826" t="str">
            <v>NG</v>
          </cell>
          <cell r="D1826" t="str">
            <v>200401</v>
          </cell>
          <cell r="E1826">
            <v>4.1399999999999997</v>
          </cell>
        </row>
        <row r="1827">
          <cell r="A1827" t="str">
            <v>37414200402</v>
          </cell>
          <cell r="B1827">
            <v>37414</v>
          </cell>
          <cell r="C1827" t="str">
            <v>NG</v>
          </cell>
          <cell r="D1827" t="str">
            <v>200402</v>
          </cell>
          <cell r="E1827">
            <v>4.0549999999999997</v>
          </cell>
        </row>
        <row r="1828">
          <cell r="A1828" t="str">
            <v>37414200403</v>
          </cell>
          <cell r="B1828">
            <v>37414</v>
          </cell>
          <cell r="C1828" t="str">
            <v>NG</v>
          </cell>
          <cell r="D1828" t="str">
            <v>200403</v>
          </cell>
          <cell r="E1828">
            <v>3.8719999999999999</v>
          </cell>
        </row>
        <row r="1829">
          <cell r="A1829" t="str">
            <v>37414200404</v>
          </cell>
          <cell r="B1829">
            <v>37414</v>
          </cell>
          <cell r="C1829" t="str">
            <v>NG</v>
          </cell>
          <cell r="D1829" t="str">
            <v>200404</v>
          </cell>
          <cell r="E1829">
            <v>3.5870000000000002</v>
          </cell>
        </row>
        <row r="1830">
          <cell r="A1830" t="str">
            <v>37414200405</v>
          </cell>
          <cell r="B1830">
            <v>37414</v>
          </cell>
          <cell r="C1830" t="str">
            <v>NG</v>
          </cell>
          <cell r="D1830" t="str">
            <v>200405</v>
          </cell>
          <cell r="E1830">
            <v>3.5649999999999999</v>
          </cell>
        </row>
        <row r="1831">
          <cell r="A1831" t="str">
            <v>37414200406</v>
          </cell>
          <cell r="B1831">
            <v>37414</v>
          </cell>
          <cell r="C1831" t="str">
            <v>NG</v>
          </cell>
          <cell r="D1831" t="str">
            <v>200406</v>
          </cell>
          <cell r="E1831">
            <v>3.585</v>
          </cell>
        </row>
        <row r="1832">
          <cell r="A1832" t="str">
            <v>37414200407</v>
          </cell>
          <cell r="B1832">
            <v>37414</v>
          </cell>
          <cell r="C1832" t="str">
            <v>NG</v>
          </cell>
          <cell r="D1832" t="str">
            <v>200407</v>
          </cell>
          <cell r="E1832">
            <v>3.5950000000000002</v>
          </cell>
        </row>
        <row r="1833">
          <cell r="A1833" t="str">
            <v>37414200408</v>
          </cell>
          <cell r="B1833">
            <v>37414</v>
          </cell>
          <cell r="C1833" t="str">
            <v>NG</v>
          </cell>
          <cell r="D1833" t="str">
            <v>200408</v>
          </cell>
          <cell r="E1833">
            <v>3.63</v>
          </cell>
        </row>
        <row r="1834">
          <cell r="A1834" t="str">
            <v>37414200409</v>
          </cell>
          <cell r="B1834">
            <v>37414</v>
          </cell>
          <cell r="C1834" t="str">
            <v>NG</v>
          </cell>
          <cell r="D1834" t="str">
            <v>200409</v>
          </cell>
          <cell r="E1834">
            <v>3.63</v>
          </cell>
        </row>
        <row r="1835">
          <cell r="A1835" t="str">
            <v>37414200410</v>
          </cell>
          <cell r="B1835">
            <v>37414</v>
          </cell>
          <cell r="C1835" t="str">
            <v>NG</v>
          </cell>
          <cell r="D1835" t="str">
            <v>200410</v>
          </cell>
          <cell r="E1835">
            <v>3.665</v>
          </cell>
        </row>
        <row r="1836">
          <cell r="A1836" t="str">
            <v>37414200411</v>
          </cell>
          <cell r="B1836">
            <v>37414</v>
          </cell>
          <cell r="C1836" t="str">
            <v>NG</v>
          </cell>
          <cell r="D1836" t="str">
            <v>200411</v>
          </cell>
          <cell r="E1836">
            <v>3.8650000000000002</v>
          </cell>
        </row>
        <row r="1837">
          <cell r="A1837" t="str">
            <v>37414200412</v>
          </cell>
          <cell r="B1837">
            <v>37414</v>
          </cell>
          <cell r="C1837" t="str">
            <v>NG</v>
          </cell>
          <cell r="D1837" t="str">
            <v>200412</v>
          </cell>
          <cell r="E1837">
            <v>4.05</v>
          </cell>
        </row>
        <row r="1838">
          <cell r="A1838" t="str">
            <v>37415200401</v>
          </cell>
          <cell r="B1838">
            <v>37415</v>
          </cell>
          <cell r="C1838" t="str">
            <v>NG</v>
          </cell>
          <cell r="D1838" t="str">
            <v>200401</v>
          </cell>
          <cell r="E1838">
            <v>4.1399999999999997</v>
          </cell>
        </row>
        <row r="1839">
          <cell r="A1839" t="str">
            <v>37415200402</v>
          </cell>
          <cell r="B1839">
            <v>37415</v>
          </cell>
          <cell r="C1839" t="str">
            <v>NG</v>
          </cell>
          <cell r="D1839" t="str">
            <v>200402</v>
          </cell>
          <cell r="E1839">
            <v>4.0549999999999997</v>
          </cell>
        </row>
        <row r="1840">
          <cell r="A1840" t="str">
            <v>37415200403</v>
          </cell>
          <cell r="B1840">
            <v>37415</v>
          </cell>
          <cell r="C1840" t="str">
            <v>NG</v>
          </cell>
          <cell r="D1840" t="str">
            <v>200403</v>
          </cell>
          <cell r="E1840">
            <v>3.8719999999999999</v>
          </cell>
        </row>
        <row r="1841">
          <cell r="A1841" t="str">
            <v>37415200404</v>
          </cell>
          <cell r="B1841">
            <v>37415</v>
          </cell>
          <cell r="C1841" t="str">
            <v>NG</v>
          </cell>
          <cell r="D1841" t="str">
            <v>200404</v>
          </cell>
          <cell r="E1841">
            <v>3.5870000000000002</v>
          </cell>
        </row>
        <row r="1842">
          <cell r="A1842" t="str">
            <v>37415200405</v>
          </cell>
          <cell r="B1842">
            <v>37415</v>
          </cell>
          <cell r="C1842" t="str">
            <v>NG</v>
          </cell>
          <cell r="D1842" t="str">
            <v>200405</v>
          </cell>
          <cell r="E1842">
            <v>3.5649999999999999</v>
          </cell>
        </row>
        <row r="1843">
          <cell r="A1843" t="str">
            <v>37415200406</v>
          </cell>
          <cell r="B1843">
            <v>37415</v>
          </cell>
          <cell r="C1843" t="str">
            <v>NG</v>
          </cell>
          <cell r="D1843" t="str">
            <v>200406</v>
          </cell>
          <cell r="E1843">
            <v>3.585</v>
          </cell>
        </row>
        <row r="1844">
          <cell r="A1844" t="str">
            <v>37415200407</v>
          </cell>
          <cell r="B1844">
            <v>37415</v>
          </cell>
          <cell r="C1844" t="str">
            <v>NG</v>
          </cell>
          <cell r="D1844" t="str">
            <v>200407</v>
          </cell>
          <cell r="E1844">
            <v>3.5950000000000002</v>
          </cell>
        </row>
        <row r="1845">
          <cell r="A1845" t="str">
            <v>37415200408</v>
          </cell>
          <cell r="B1845">
            <v>37415</v>
          </cell>
          <cell r="C1845" t="str">
            <v>NG</v>
          </cell>
          <cell r="D1845" t="str">
            <v>200408</v>
          </cell>
          <cell r="E1845">
            <v>3.63</v>
          </cell>
        </row>
        <row r="1846">
          <cell r="A1846" t="str">
            <v>37415200409</v>
          </cell>
          <cell r="B1846">
            <v>37415</v>
          </cell>
          <cell r="C1846" t="str">
            <v>NG</v>
          </cell>
          <cell r="D1846" t="str">
            <v>200409</v>
          </cell>
          <cell r="E1846">
            <v>3.63</v>
          </cell>
        </row>
        <row r="1847">
          <cell r="A1847" t="str">
            <v>37415200410</v>
          </cell>
          <cell r="B1847">
            <v>37415</v>
          </cell>
          <cell r="C1847" t="str">
            <v>NG</v>
          </cell>
          <cell r="D1847" t="str">
            <v>200410</v>
          </cell>
          <cell r="E1847">
            <v>3.665</v>
          </cell>
        </row>
        <row r="1848">
          <cell r="A1848" t="str">
            <v>37415200411</v>
          </cell>
          <cell r="B1848">
            <v>37415</v>
          </cell>
          <cell r="C1848" t="str">
            <v>NG</v>
          </cell>
          <cell r="D1848" t="str">
            <v>200411</v>
          </cell>
          <cell r="E1848">
            <v>3.8650000000000002</v>
          </cell>
        </row>
        <row r="1849">
          <cell r="A1849" t="str">
            <v>37415200412</v>
          </cell>
          <cell r="B1849">
            <v>37415</v>
          </cell>
          <cell r="C1849" t="str">
            <v>NG</v>
          </cell>
          <cell r="D1849" t="str">
            <v>200412</v>
          </cell>
          <cell r="E1849">
            <v>4.05</v>
          </cell>
        </row>
        <row r="1850">
          <cell r="A1850" t="str">
            <v>37416200401</v>
          </cell>
          <cell r="B1850">
            <v>37416</v>
          </cell>
          <cell r="C1850" t="str">
            <v>NG</v>
          </cell>
          <cell r="D1850" t="str">
            <v>200401</v>
          </cell>
          <cell r="E1850">
            <v>4.1399999999999997</v>
          </cell>
        </row>
        <row r="1851">
          <cell r="A1851" t="str">
            <v>37416200402</v>
          </cell>
          <cell r="B1851">
            <v>37416</v>
          </cell>
          <cell r="C1851" t="str">
            <v>NG</v>
          </cell>
          <cell r="D1851" t="str">
            <v>200402</v>
          </cell>
          <cell r="E1851">
            <v>4.0549999999999997</v>
          </cell>
        </row>
        <row r="1852">
          <cell r="A1852" t="str">
            <v>37416200403</v>
          </cell>
          <cell r="B1852">
            <v>37416</v>
          </cell>
          <cell r="C1852" t="str">
            <v>NG</v>
          </cell>
          <cell r="D1852" t="str">
            <v>200403</v>
          </cell>
          <cell r="E1852">
            <v>3.8719999999999999</v>
          </cell>
        </row>
        <row r="1853">
          <cell r="A1853" t="str">
            <v>37416200404</v>
          </cell>
          <cell r="B1853">
            <v>37416</v>
          </cell>
          <cell r="C1853" t="str">
            <v>NG</v>
          </cell>
          <cell r="D1853" t="str">
            <v>200404</v>
          </cell>
          <cell r="E1853">
            <v>3.5870000000000002</v>
          </cell>
        </row>
        <row r="1854">
          <cell r="A1854" t="str">
            <v>37416200405</v>
          </cell>
          <cell r="B1854">
            <v>37416</v>
          </cell>
          <cell r="C1854" t="str">
            <v>NG</v>
          </cell>
          <cell r="D1854" t="str">
            <v>200405</v>
          </cell>
          <cell r="E1854">
            <v>3.5649999999999999</v>
          </cell>
        </row>
        <row r="1855">
          <cell r="A1855" t="str">
            <v>37416200406</v>
          </cell>
          <cell r="B1855">
            <v>37416</v>
          </cell>
          <cell r="C1855" t="str">
            <v>NG</v>
          </cell>
          <cell r="D1855" t="str">
            <v>200406</v>
          </cell>
          <cell r="E1855">
            <v>3.585</v>
          </cell>
        </row>
        <row r="1856">
          <cell r="A1856" t="str">
            <v>37416200407</v>
          </cell>
          <cell r="B1856">
            <v>37416</v>
          </cell>
          <cell r="C1856" t="str">
            <v>NG</v>
          </cell>
          <cell r="D1856" t="str">
            <v>200407</v>
          </cell>
          <cell r="E1856">
            <v>3.5950000000000002</v>
          </cell>
        </row>
        <row r="1857">
          <cell r="A1857" t="str">
            <v>37416200408</v>
          </cell>
          <cell r="B1857">
            <v>37416</v>
          </cell>
          <cell r="C1857" t="str">
            <v>NG</v>
          </cell>
          <cell r="D1857" t="str">
            <v>200408</v>
          </cell>
          <cell r="E1857">
            <v>3.63</v>
          </cell>
        </row>
        <row r="1858">
          <cell r="A1858" t="str">
            <v>37416200409</v>
          </cell>
          <cell r="B1858">
            <v>37416</v>
          </cell>
          <cell r="C1858" t="str">
            <v>NG</v>
          </cell>
          <cell r="D1858" t="str">
            <v>200409</v>
          </cell>
          <cell r="E1858">
            <v>3.63</v>
          </cell>
        </row>
        <row r="1859">
          <cell r="A1859" t="str">
            <v>37416200410</v>
          </cell>
          <cell r="B1859">
            <v>37416</v>
          </cell>
          <cell r="C1859" t="str">
            <v>NG</v>
          </cell>
          <cell r="D1859" t="str">
            <v>200410</v>
          </cell>
          <cell r="E1859">
            <v>3.665</v>
          </cell>
        </row>
        <row r="1860">
          <cell r="A1860" t="str">
            <v>37416200411</v>
          </cell>
          <cell r="B1860">
            <v>37416</v>
          </cell>
          <cell r="C1860" t="str">
            <v>NG</v>
          </cell>
          <cell r="D1860" t="str">
            <v>200411</v>
          </cell>
          <cell r="E1860">
            <v>3.8650000000000002</v>
          </cell>
        </row>
        <row r="1861">
          <cell r="A1861" t="str">
            <v>37416200412</v>
          </cell>
          <cell r="B1861">
            <v>37416</v>
          </cell>
          <cell r="C1861" t="str">
            <v>NG</v>
          </cell>
          <cell r="D1861" t="str">
            <v>200412</v>
          </cell>
          <cell r="E1861">
            <v>4.05</v>
          </cell>
        </row>
        <row r="1862">
          <cell r="A1862" t="str">
            <v>37417200401</v>
          </cell>
          <cell r="B1862">
            <v>37417</v>
          </cell>
          <cell r="C1862" t="str">
            <v>NG</v>
          </cell>
          <cell r="D1862" t="str">
            <v>200401</v>
          </cell>
          <cell r="E1862">
            <v>4.1340000000000003</v>
          </cell>
        </row>
        <row r="1863">
          <cell r="A1863" t="str">
            <v>37417200402</v>
          </cell>
          <cell r="B1863">
            <v>37417</v>
          </cell>
          <cell r="C1863" t="str">
            <v>NG</v>
          </cell>
          <cell r="D1863" t="str">
            <v>200402</v>
          </cell>
          <cell r="E1863">
            <v>4.0490000000000004</v>
          </cell>
        </row>
        <row r="1864">
          <cell r="A1864" t="str">
            <v>37417200403</v>
          </cell>
          <cell r="B1864">
            <v>37417</v>
          </cell>
          <cell r="C1864" t="str">
            <v>NG</v>
          </cell>
          <cell r="D1864" t="str">
            <v>200403</v>
          </cell>
          <cell r="E1864">
            <v>3.8660000000000001</v>
          </cell>
        </row>
        <row r="1865">
          <cell r="A1865" t="str">
            <v>37417200404</v>
          </cell>
          <cell r="B1865">
            <v>37417</v>
          </cell>
          <cell r="C1865" t="str">
            <v>NG</v>
          </cell>
          <cell r="D1865" t="str">
            <v>200404</v>
          </cell>
          <cell r="E1865">
            <v>3.5859999999999999</v>
          </cell>
        </row>
        <row r="1866">
          <cell r="A1866" t="str">
            <v>37417200405</v>
          </cell>
          <cell r="B1866">
            <v>37417</v>
          </cell>
          <cell r="C1866" t="str">
            <v>NG</v>
          </cell>
          <cell r="D1866" t="str">
            <v>200405</v>
          </cell>
          <cell r="E1866">
            <v>3.5640000000000001</v>
          </cell>
        </row>
        <row r="1867">
          <cell r="A1867" t="str">
            <v>37417200406</v>
          </cell>
          <cell r="B1867">
            <v>37417</v>
          </cell>
          <cell r="C1867" t="str">
            <v>NG</v>
          </cell>
          <cell r="D1867" t="str">
            <v>200406</v>
          </cell>
          <cell r="E1867">
            <v>3.5840000000000001</v>
          </cell>
        </row>
        <row r="1868">
          <cell r="A1868" t="str">
            <v>37417200407</v>
          </cell>
          <cell r="B1868">
            <v>37417</v>
          </cell>
          <cell r="C1868" t="str">
            <v>NG</v>
          </cell>
          <cell r="D1868" t="str">
            <v>200407</v>
          </cell>
          <cell r="E1868">
            <v>3.5939999999999999</v>
          </cell>
        </row>
        <row r="1869">
          <cell r="A1869" t="str">
            <v>37417200408</v>
          </cell>
          <cell r="B1869">
            <v>37417</v>
          </cell>
          <cell r="C1869" t="str">
            <v>NG</v>
          </cell>
          <cell r="D1869" t="str">
            <v>200408</v>
          </cell>
          <cell r="E1869">
            <v>3.629</v>
          </cell>
        </row>
        <row r="1870">
          <cell r="A1870" t="str">
            <v>37417200409</v>
          </cell>
          <cell r="B1870">
            <v>37417</v>
          </cell>
          <cell r="C1870" t="str">
            <v>NG</v>
          </cell>
          <cell r="D1870" t="str">
            <v>200409</v>
          </cell>
          <cell r="E1870">
            <v>3.629</v>
          </cell>
        </row>
        <row r="1871">
          <cell r="A1871" t="str">
            <v>37417200410</v>
          </cell>
          <cell r="B1871">
            <v>37417</v>
          </cell>
          <cell r="C1871" t="str">
            <v>NG</v>
          </cell>
          <cell r="D1871" t="str">
            <v>200410</v>
          </cell>
          <cell r="E1871">
            <v>3.6640000000000001</v>
          </cell>
        </row>
        <row r="1872">
          <cell r="A1872" t="str">
            <v>37417200411</v>
          </cell>
          <cell r="B1872">
            <v>37417</v>
          </cell>
          <cell r="C1872" t="str">
            <v>NG</v>
          </cell>
          <cell r="D1872" t="str">
            <v>200411</v>
          </cell>
          <cell r="E1872">
            <v>3.8639999999999999</v>
          </cell>
        </row>
        <row r="1873">
          <cell r="A1873" t="str">
            <v>37417200412</v>
          </cell>
          <cell r="B1873">
            <v>37417</v>
          </cell>
          <cell r="C1873" t="str">
            <v>NG</v>
          </cell>
          <cell r="D1873" t="str">
            <v>200412</v>
          </cell>
          <cell r="E1873">
            <v>4.0389999999999997</v>
          </cell>
        </row>
        <row r="1874">
          <cell r="A1874" t="str">
            <v>37418200401</v>
          </cell>
          <cell r="B1874">
            <v>37418</v>
          </cell>
          <cell r="C1874" t="str">
            <v>NG</v>
          </cell>
          <cell r="D1874" t="str">
            <v>200401</v>
          </cell>
          <cell r="E1874">
            <v>4.1289999999999996</v>
          </cell>
        </row>
        <row r="1875">
          <cell r="A1875" t="str">
            <v>37418200402</v>
          </cell>
          <cell r="B1875">
            <v>37418</v>
          </cell>
          <cell r="C1875" t="str">
            <v>NG</v>
          </cell>
          <cell r="D1875" t="str">
            <v>200402</v>
          </cell>
          <cell r="E1875">
            <v>4.0439999999999996</v>
          </cell>
        </row>
        <row r="1876">
          <cell r="A1876" t="str">
            <v>37418200403</v>
          </cell>
          <cell r="B1876">
            <v>37418</v>
          </cell>
          <cell r="C1876" t="str">
            <v>NG</v>
          </cell>
          <cell r="D1876" t="str">
            <v>200403</v>
          </cell>
          <cell r="E1876">
            <v>3.8660000000000001</v>
          </cell>
        </row>
        <row r="1877">
          <cell r="A1877" t="str">
            <v>37418200404</v>
          </cell>
          <cell r="B1877">
            <v>37418</v>
          </cell>
          <cell r="C1877" t="str">
            <v>NG</v>
          </cell>
          <cell r="D1877" t="str">
            <v>200404</v>
          </cell>
          <cell r="E1877">
            <v>3.5859999999999999</v>
          </cell>
        </row>
        <row r="1878">
          <cell r="A1878" t="str">
            <v>37418200405</v>
          </cell>
          <cell r="B1878">
            <v>37418</v>
          </cell>
          <cell r="C1878" t="str">
            <v>NG</v>
          </cell>
          <cell r="D1878" t="str">
            <v>200405</v>
          </cell>
          <cell r="E1878">
            <v>3.556</v>
          </cell>
        </row>
        <row r="1879">
          <cell r="A1879" t="str">
            <v>37418200406</v>
          </cell>
          <cell r="B1879">
            <v>37418</v>
          </cell>
          <cell r="C1879" t="str">
            <v>NG</v>
          </cell>
          <cell r="D1879" t="str">
            <v>200406</v>
          </cell>
          <cell r="E1879">
            <v>3.5840000000000001</v>
          </cell>
        </row>
        <row r="1880">
          <cell r="A1880" t="str">
            <v>37418200407</v>
          </cell>
          <cell r="B1880">
            <v>37418</v>
          </cell>
          <cell r="C1880" t="str">
            <v>NG</v>
          </cell>
          <cell r="D1880" t="str">
            <v>200407</v>
          </cell>
          <cell r="E1880">
            <v>3.589</v>
          </cell>
        </row>
        <row r="1881">
          <cell r="A1881" t="str">
            <v>37418200408</v>
          </cell>
          <cell r="B1881">
            <v>37418</v>
          </cell>
          <cell r="C1881" t="str">
            <v>NG</v>
          </cell>
          <cell r="D1881" t="str">
            <v>200408</v>
          </cell>
          <cell r="E1881">
            <v>3.6240000000000001</v>
          </cell>
        </row>
        <row r="1882">
          <cell r="A1882" t="str">
            <v>37418200409</v>
          </cell>
          <cell r="B1882">
            <v>37418</v>
          </cell>
          <cell r="C1882" t="str">
            <v>NG</v>
          </cell>
          <cell r="D1882" t="str">
            <v>200409</v>
          </cell>
          <cell r="E1882">
            <v>3.6240000000000001</v>
          </cell>
        </row>
        <row r="1883">
          <cell r="A1883" t="str">
            <v>37418200410</v>
          </cell>
          <cell r="B1883">
            <v>37418</v>
          </cell>
          <cell r="C1883" t="str">
            <v>NG</v>
          </cell>
          <cell r="D1883" t="str">
            <v>200410</v>
          </cell>
          <cell r="E1883">
            <v>3.6589999999999998</v>
          </cell>
        </row>
        <row r="1884">
          <cell r="A1884" t="str">
            <v>37418200411</v>
          </cell>
          <cell r="B1884">
            <v>37418</v>
          </cell>
          <cell r="C1884" t="str">
            <v>NG</v>
          </cell>
          <cell r="D1884" t="str">
            <v>200411</v>
          </cell>
          <cell r="E1884">
            <v>3.8639999999999999</v>
          </cell>
        </row>
        <row r="1885">
          <cell r="A1885" t="str">
            <v>37418200412</v>
          </cell>
          <cell r="B1885">
            <v>37418</v>
          </cell>
          <cell r="C1885" t="str">
            <v>NG</v>
          </cell>
          <cell r="D1885" t="str">
            <v>200412</v>
          </cell>
          <cell r="E1885">
            <v>4.0490000000000004</v>
          </cell>
        </row>
        <row r="1886">
          <cell r="A1886" t="str">
            <v>37419200401</v>
          </cell>
          <cell r="B1886">
            <v>37419</v>
          </cell>
          <cell r="C1886" t="str">
            <v>NG</v>
          </cell>
          <cell r="D1886" t="str">
            <v>200401</v>
          </cell>
          <cell r="E1886">
            <v>4.0990000000000002</v>
          </cell>
        </row>
        <row r="1887">
          <cell r="A1887" t="str">
            <v>37419200402</v>
          </cell>
          <cell r="B1887">
            <v>37419</v>
          </cell>
          <cell r="C1887" t="str">
            <v>NG</v>
          </cell>
          <cell r="D1887" t="str">
            <v>200402</v>
          </cell>
          <cell r="E1887">
            <v>4.0140000000000002</v>
          </cell>
        </row>
        <row r="1888">
          <cell r="A1888" t="str">
            <v>37419200403</v>
          </cell>
          <cell r="B1888">
            <v>37419</v>
          </cell>
          <cell r="C1888" t="str">
            <v>NG</v>
          </cell>
          <cell r="D1888" t="str">
            <v>200403</v>
          </cell>
          <cell r="E1888">
            <v>3.839</v>
          </cell>
        </row>
        <row r="1889">
          <cell r="A1889" t="str">
            <v>37419200404</v>
          </cell>
          <cell r="B1889">
            <v>37419</v>
          </cell>
          <cell r="C1889" t="str">
            <v>NG</v>
          </cell>
          <cell r="D1889" t="str">
            <v>200404</v>
          </cell>
          <cell r="E1889">
            <v>3.5590000000000002</v>
          </cell>
        </row>
        <row r="1890">
          <cell r="A1890" t="str">
            <v>37419200405</v>
          </cell>
          <cell r="B1890">
            <v>37419</v>
          </cell>
          <cell r="C1890" t="str">
            <v>NG</v>
          </cell>
          <cell r="D1890" t="str">
            <v>200405</v>
          </cell>
          <cell r="E1890">
            <v>3.5289999999999999</v>
          </cell>
        </row>
        <row r="1891">
          <cell r="A1891" t="str">
            <v>37419200406</v>
          </cell>
          <cell r="B1891">
            <v>37419</v>
          </cell>
          <cell r="C1891" t="str">
            <v>NG</v>
          </cell>
          <cell r="D1891" t="str">
            <v>200406</v>
          </cell>
          <cell r="E1891">
            <v>3.5489999999999999</v>
          </cell>
        </row>
        <row r="1892">
          <cell r="A1892" t="str">
            <v>37419200407</v>
          </cell>
          <cell r="B1892">
            <v>37419</v>
          </cell>
          <cell r="C1892" t="str">
            <v>NG</v>
          </cell>
          <cell r="D1892" t="str">
            <v>200407</v>
          </cell>
          <cell r="E1892">
            <v>3.5489999999999999</v>
          </cell>
        </row>
        <row r="1893">
          <cell r="A1893" t="str">
            <v>37419200408</v>
          </cell>
          <cell r="B1893">
            <v>37419</v>
          </cell>
          <cell r="C1893" t="str">
            <v>NG</v>
          </cell>
          <cell r="D1893" t="str">
            <v>200408</v>
          </cell>
          <cell r="E1893">
            <v>3.5790000000000002</v>
          </cell>
        </row>
        <row r="1894">
          <cell r="A1894" t="str">
            <v>37419200409</v>
          </cell>
          <cell r="B1894">
            <v>37419</v>
          </cell>
          <cell r="C1894" t="str">
            <v>NG</v>
          </cell>
          <cell r="D1894" t="str">
            <v>200409</v>
          </cell>
          <cell r="E1894">
            <v>3.5790000000000002</v>
          </cell>
        </row>
        <row r="1895">
          <cell r="A1895" t="str">
            <v>37419200410</v>
          </cell>
          <cell r="B1895">
            <v>37419</v>
          </cell>
          <cell r="C1895" t="str">
            <v>NG</v>
          </cell>
          <cell r="D1895" t="str">
            <v>200410</v>
          </cell>
          <cell r="E1895">
            <v>3.6139999999999999</v>
          </cell>
        </row>
        <row r="1896">
          <cell r="A1896" t="str">
            <v>37419200411</v>
          </cell>
          <cell r="B1896">
            <v>37419</v>
          </cell>
          <cell r="C1896" t="str">
            <v>NG</v>
          </cell>
          <cell r="D1896" t="str">
            <v>200411</v>
          </cell>
          <cell r="E1896">
            <v>3.819</v>
          </cell>
        </row>
        <row r="1897">
          <cell r="A1897" t="str">
            <v>37419200412</v>
          </cell>
          <cell r="B1897">
            <v>37419</v>
          </cell>
          <cell r="C1897" t="str">
            <v>NG</v>
          </cell>
          <cell r="D1897" t="str">
            <v>200412</v>
          </cell>
          <cell r="E1897">
            <v>4.0039999999999996</v>
          </cell>
        </row>
        <row r="1898">
          <cell r="A1898" t="str">
            <v>37420200401</v>
          </cell>
          <cell r="B1898">
            <v>37420</v>
          </cell>
          <cell r="C1898" t="str">
            <v>NG</v>
          </cell>
          <cell r="D1898" t="str">
            <v>200401</v>
          </cell>
          <cell r="E1898">
            <v>4.2050000000000001</v>
          </cell>
        </row>
        <row r="1899">
          <cell r="A1899" t="str">
            <v>37420200402</v>
          </cell>
          <cell r="B1899">
            <v>37420</v>
          </cell>
          <cell r="C1899" t="str">
            <v>NG</v>
          </cell>
          <cell r="D1899" t="str">
            <v>200402</v>
          </cell>
          <cell r="E1899">
            <v>4.1100000000000003</v>
          </cell>
        </row>
        <row r="1900">
          <cell r="A1900" t="str">
            <v>37420200403</v>
          </cell>
          <cell r="B1900">
            <v>37420</v>
          </cell>
          <cell r="C1900" t="str">
            <v>NG</v>
          </cell>
          <cell r="D1900" t="str">
            <v>200403</v>
          </cell>
          <cell r="E1900">
            <v>3.9249999999999998</v>
          </cell>
        </row>
        <row r="1901">
          <cell r="A1901" t="str">
            <v>37420200404</v>
          </cell>
          <cell r="B1901">
            <v>37420</v>
          </cell>
          <cell r="C1901" t="str">
            <v>NG</v>
          </cell>
          <cell r="D1901" t="str">
            <v>200404</v>
          </cell>
          <cell r="E1901">
            <v>3.64</v>
          </cell>
        </row>
        <row r="1902">
          <cell r="A1902" t="str">
            <v>37420200405</v>
          </cell>
          <cell r="B1902">
            <v>37420</v>
          </cell>
          <cell r="C1902" t="str">
            <v>NG</v>
          </cell>
          <cell r="D1902" t="str">
            <v>200405</v>
          </cell>
          <cell r="E1902">
            <v>3.61</v>
          </cell>
        </row>
        <row r="1903">
          <cell r="A1903" t="str">
            <v>37420200406</v>
          </cell>
          <cell r="B1903">
            <v>37420</v>
          </cell>
          <cell r="C1903" t="str">
            <v>NG</v>
          </cell>
          <cell r="D1903" t="str">
            <v>200406</v>
          </cell>
          <cell r="E1903">
            <v>3.63</v>
          </cell>
        </row>
        <row r="1904">
          <cell r="A1904" t="str">
            <v>37420200407</v>
          </cell>
          <cell r="B1904">
            <v>37420</v>
          </cell>
          <cell r="C1904" t="str">
            <v>NG</v>
          </cell>
          <cell r="D1904" t="str">
            <v>200407</v>
          </cell>
          <cell r="E1904">
            <v>3.63</v>
          </cell>
        </row>
        <row r="1905">
          <cell r="A1905" t="str">
            <v>37420200408</v>
          </cell>
          <cell r="B1905">
            <v>37420</v>
          </cell>
          <cell r="C1905" t="str">
            <v>NG</v>
          </cell>
          <cell r="D1905" t="str">
            <v>200408</v>
          </cell>
          <cell r="E1905">
            <v>3.66</v>
          </cell>
        </row>
        <row r="1906">
          <cell r="A1906" t="str">
            <v>37420200409</v>
          </cell>
          <cell r="B1906">
            <v>37420</v>
          </cell>
          <cell r="C1906" t="str">
            <v>NG</v>
          </cell>
          <cell r="D1906" t="str">
            <v>200409</v>
          </cell>
          <cell r="E1906">
            <v>3.66</v>
          </cell>
        </row>
        <row r="1907">
          <cell r="A1907" t="str">
            <v>37420200410</v>
          </cell>
          <cell r="B1907">
            <v>37420</v>
          </cell>
          <cell r="C1907" t="str">
            <v>NG</v>
          </cell>
          <cell r="D1907" t="str">
            <v>200410</v>
          </cell>
          <cell r="E1907">
            <v>3.6949999999999998</v>
          </cell>
        </row>
        <row r="1908">
          <cell r="A1908" t="str">
            <v>37420200411</v>
          </cell>
          <cell r="B1908">
            <v>37420</v>
          </cell>
          <cell r="C1908" t="str">
            <v>NG</v>
          </cell>
          <cell r="D1908" t="str">
            <v>200411</v>
          </cell>
          <cell r="E1908">
            <v>3.9</v>
          </cell>
        </row>
        <row r="1909">
          <cell r="A1909" t="str">
            <v>37420200412</v>
          </cell>
          <cell r="B1909">
            <v>37420</v>
          </cell>
          <cell r="C1909" t="str">
            <v>NG</v>
          </cell>
          <cell r="D1909" t="str">
            <v>200412</v>
          </cell>
          <cell r="E1909">
            <v>4.093</v>
          </cell>
        </row>
        <row r="1910">
          <cell r="A1910" t="str">
            <v>37421200401</v>
          </cell>
          <cell r="B1910">
            <v>37421</v>
          </cell>
          <cell r="C1910" t="str">
            <v>NG</v>
          </cell>
          <cell r="D1910" t="str">
            <v>200401</v>
          </cell>
          <cell r="E1910">
            <v>4.3259999999999996</v>
          </cell>
        </row>
        <row r="1911">
          <cell r="A1911" t="str">
            <v>37421200402</v>
          </cell>
          <cell r="B1911">
            <v>37421</v>
          </cell>
          <cell r="C1911" t="str">
            <v>NG</v>
          </cell>
          <cell r="D1911" t="str">
            <v>200402</v>
          </cell>
          <cell r="E1911">
            <v>4.2160000000000002</v>
          </cell>
        </row>
        <row r="1912">
          <cell r="A1912" t="str">
            <v>37421200403</v>
          </cell>
          <cell r="B1912">
            <v>37421</v>
          </cell>
          <cell r="C1912" t="str">
            <v>NG</v>
          </cell>
          <cell r="D1912" t="str">
            <v>200403</v>
          </cell>
          <cell r="E1912">
            <v>4.0309999999999997</v>
          </cell>
        </row>
        <row r="1913">
          <cell r="A1913" t="str">
            <v>37421200404</v>
          </cell>
          <cell r="B1913">
            <v>37421</v>
          </cell>
          <cell r="C1913" t="str">
            <v>NG</v>
          </cell>
          <cell r="D1913" t="str">
            <v>200404</v>
          </cell>
          <cell r="E1913">
            <v>3.7360000000000002</v>
          </cell>
        </row>
        <row r="1914">
          <cell r="A1914" t="str">
            <v>37421200405</v>
          </cell>
          <cell r="B1914">
            <v>37421</v>
          </cell>
          <cell r="C1914" t="str">
            <v>NG</v>
          </cell>
          <cell r="D1914" t="str">
            <v>200405</v>
          </cell>
          <cell r="E1914">
            <v>3.706</v>
          </cell>
        </row>
        <row r="1915">
          <cell r="A1915" t="str">
            <v>37421200406</v>
          </cell>
          <cell r="B1915">
            <v>37421</v>
          </cell>
          <cell r="C1915" t="str">
            <v>NG</v>
          </cell>
          <cell r="D1915" t="str">
            <v>200406</v>
          </cell>
          <cell r="E1915">
            <v>3.726</v>
          </cell>
        </row>
        <row r="1916">
          <cell r="A1916" t="str">
            <v>37421200407</v>
          </cell>
          <cell r="B1916">
            <v>37421</v>
          </cell>
          <cell r="C1916" t="str">
            <v>NG</v>
          </cell>
          <cell r="D1916" t="str">
            <v>200407</v>
          </cell>
          <cell r="E1916">
            <v>3.726</v>
          </cell>
        </row>
        <row r="1917">
          <cell r="A1917" t="str">
            <v>37421200408</v>
          </cell>
          <cell r="B1917">
            <v>37421</v>
          </cell>
          <cell r="C1917" t="str">
            <v>NG</v>
          </cell>
          <cell r="D1917" t="str">
            <v>200408</v>
          </cell>
          <cell r="E1917">
            <v>3.7559999999999998</v>
          </cell>
        </row>
        <row r="1918">
          <cell r="A1918" t="str">
            <v>37421200409</v>
          </cell>
          <cell r="B1918">
            <v>37421</v>
          </cell>
          <cell r="C1918" t="str">
            <v>NG</v>
          </cell>
          <cell r="D1918" t="str">
            <v>200409</v>
          </cell>
          <cell r="E1918">
            <v>3.7559999999999998</v>
          </cell>
        </row>
        <row r="1919">
          <cell r="A1919" t="str">
            <v>37421200410</v>
          </cell>
          <cell r="B1919">
            <v>37421</v>
          </cell>
          <cell r="C1919" t="str">
            <v>NG</v>
          </cell>
          <cell r="D1919" t="str">
            <v>200410</v>
          </cell>
          <cell r="E1919">
            <v>3.7909999999999999</v>
          </cell>
        </row>
        <row r="1920">
          <cell r="A1920" t="str">
            <v>37421200411</v>
          </cell>
          <cell r="B1920">
            <v>37421</v>
          </cell>
          <cell r="C1920" t="str">
            <v>NG</v>
          </cell>
          <cell r="D1920" t="str">
            <v>200411</v>
          </cell>
          <cell r="E1920">
            <v>3.996</v>
          </cell>
        </row>
        <row r="1921">
          <cell r="A1921" t="str">
            <v>37421200412</v>
          </cell>
          <cell r="B1921">
            <v>37421</v>
          </cell>
          <cell r="C1921" t="str">
            <v>NG</v>
          </cell>
          <cell r="D1921" t="str">
            <v>200412</v>
          </cell>
          <cell r="E1921">
            <v>4.1890000000000001</v>
          </cell>
        </row>
        <row r="1922">
          <cell r="A1922" t="str">
            <v>37422200401</v>
          </cell>
          <cell r="B1922">
            <v>37422</v>
          </cell>
          <cell r="C1922" t="str">
            <v>NG</v>
          </cell>
          <cell r="D1922" t="str">
            <v>200401</v>
          </cell>
          <cell r="E1922">
            <v>4.3259999999999996</v>
          </cell>
        </row>
        <row r="1923">
          <cell r="A1923" t="str">
            <v>37422200402</v>
          </cell>
          <cell r="B1923">
            <v>37422</v>
          </cell>
          <cell r="C1923" t="str">
            <v>NG</v>
          </cell>
          <cell r="D1923" t="str">
            <v>200402</v>
          </cell>
          <cell r="E1923">
            <v>4.2160000000000002</v>
          </cell>
        </row>
        <row r="1924">
          <cell r="A1924" t="str">
            <v>37422200403</v>
          </cell>
          <cell r="B1924">
            <v>37422</v>
          </cell>
          <cell r="C1924" t="str">
            <v>NG</v>
          </cell>
          <cell r="D1924" t="str">
            <v>200403</v>
          </cell>
          <cell r="E1924">
            <v>4.0309999999999997</v>
          </cell>
        </row>
        <row r="1925">
          <cell r="A1925" t="str">
            <v>37422200404</v>
          </cell>
          <cell r="B1925">
            <v>37422</v>
          </cell>
          <cell r="C1925" t="str">
            <v>NG</v>
          </cell>
          <cell r="D1925" t="str">
            <v>200404</v>
          </cell>
          <cell r="E1925">
            <v>3.7360000000000002</v>
          </cell>
        </row>
        <row r="1926">
          <cell r="A1926" t="str">
            <v>37422200405</v>
          </cell>
          <cell r="B1926">
            <v>37422</v>
          </cell>
          <cell r="C1926" t="str">
            <v>NG</v>
          </cell>
          <cell r="D1926" t="str">
            <v>200405</v>
          </cell>
          <cell r="E1926">
            <v>3.706</v>
          </cell>
        </row>
        <row r="1927">
          <cell r="A1927" t="str">
            <v>37422200406</v>
          </cell>
          <cell r="B1927">
            <v>37422</v>
          </cell>
          <cell r="C1927" t="str">
            <v>NG</v>
          </cell>
          <cell r="D1927" t="str">
            <v>200406</v>
          </cell>
          <cell r="E1927">
            <v>3.726</v>
          </cell>
        </row>
        <row r="1928">
          <cell r="A1928" t="str">
            <v>37422200407</v>
          </cell>
          <cell r="B1928">
            <v>37422</v>
          </cell>
          <cell r="C1928" t="str">
            <v>NG</v>
          </cell>
          <cell r="D1928" t="str">
            <v>200407</v>
          </cell>
          <cell r="E1928">
            <v>3.726</v>
          </cell>
        </row>
        <row r="1929">
          <cell r="A1929" t="str">
            <v>37422200408</v>
          </cell>
          <cell r="B1929">
            <v>37422</v>
          </cell>
          <cell r="C1929" t="str">
            <v>NG</v>
          </cell>
          <cell r="D1929" t="str">
            <v>200408</v>
          </cell>
          <cell r="E1929">
            <v>3.7559999999999998</v>
          </cell>
        </row>
        <row r="1930">
          <cell r="A1930" t="str">
            <v>37422200409</v>
          </cell>
          <cell r="B1930">
            <v>37422</v>
          </cell>
          <cell r="C1930" t="str">
            <v>NG</v>
          </cell>
          <cell r="D1930" t="str">
            <v>200409</v>
          </cell>
          <cell r="E1930">
            <v>3.7559999999999998</v>
          </cell>
        </row>
        <row r="1931">
          <cell r="A1931" t="str">
            <v>37422200410</v>
          </cell>
          <cell r="B1931">
            <v>37422</v>
          </cell>
          <cell r="C1931" t="str">
            <v>NG</v>
          </cell>
          <cell r="D1931" t="str">
            <v>200410</v>
          </cell>
          <cell r="E1931">
            <v>3.7909999999999999</v>
          </cell>
        </row>
        <row r="1932">
          <cell r="A1932" t="str">
            <v>37422200411</v>
          </cell>
          <cell r="B1932">
            <v>37422</v>
          </cell>
          <cell r="C1932" t="str">
            <v>NG</v>
          </cell>
          <cell r="D1932" t="str">
            <v>200411</v>
          </cell>
          <cell r="E1932">
            <v>3.996</v>
          </cell>
        </row>
        <row r="1933">
          <cell r="A1933" t="str">
            <v>37422200412</v>
          </cell>
          <cell r="B1933">
            <v>37422</v>
          </cell>
          <cell r="C1933" t="str">
            <v>NG</v>
          </cell>
          <cell r="D1933" t="str">
            <v>200412</v>
          </cell>
          <cell r="E1933">
            <v>4.1890000000000001</v>
          </cell>
        </row>
        <row r="1934">
          <cell r="A1934" t="str">
            <v>37423200401</v>
          </cell>
          <cell r="B1934">
            <v>37423</v>
          </cell>
          <cell r="C1934" t="str">
            <v>NG</v>
          </cell>
          <cell r="D1934" t="str">
            <v>200401</v>
          </cell>
          <cell r="E1934">
            <v>4.3259999999999996</v>
          </cell>
        </row>
        <row r="1935">
          <cell r="A1935" t="str">
            <v>37423200402</v>
          </cell>
          <cell r="B1935">
            <v>37423</v>
          </cell>
          <cell r="C1935" t="str">
            <v>NG</v>
          </cell>
          <cell r="D1935" t="str">
            <v>200402</v>
          </cell>
          <cell r="E1935">
            <v>4.2160000000000002</v>
          </cell>
        </row>
        <row r="1936">
          <cell r="A1936" t="str">
            <v>37423200403</v>
          </cell>
          <cell r="B1936">
            <v>37423</v>
          </cell>
          <cell r="C1936" t="str">
            <v>NG</v>
          </cell>
          <cell r="D1936" t="str">
            <v>200403</v>
          </cell>
          <cell r="E1936">
            <v>4.0309999999999997</v>
          </cell>
        </row>
        <row r="1937">
          <cell r="A1937" t="str">
            <v>37423200404</v>
          </cell>
          <cell r="B1937">
            <v>37423</v>
          </cell>
          <cell r="C1937" t="str">
            <v>NG</v>
          </cell>
          <cell r="D1937" t="str">
            <v>200404</v>
          </cell>
          <cell r="E1937">
            <v>3.7360000000000002</v>
          </cell>
        </row>
        <row r="1938">
          <cell r="A1938" t="str">
            <v>37423200405</v>
          </cell>
          <cell r="B1938">
            <v>37423</v>
          </cell>
          <cell r="C1938" t="str">
            <v>NG</v>
          </cell>
          <cell r="D1938" t="str">
            <v>200405</v>
          </cell>
          <cell r="E1938">
            <v>3.706</v>
          </cell>
        </row>
        <row r="1939">
          <cell r="A1939" t="str">
            <v>37423200406</v>
          </cell>
          <cell r="B1939">
            <v>37423</v>
          </cell>
          <cell r="C1939" t="str">
            <v>NG</v>
          </cell>
          <cell r="D1939" t="str">
            <v>200406</v>
          </cell>
          <cell r="E1939">
            <v>3.726</v>
          </cell>
        </row>
        <row r="1940">
          <cell r="A1940" t="str">
            <v>37423200407</v>
          </cell>
          <cell r="B1940">
            <v>37423</v>
          </cell>
          <cell r="C1940" t="str">
            <v>NG</v>
          </cell>
          <cell r="D1940" t="str">
            <v>200407</v>
          </cell>
          <cell r="E1940">
            <v>3.726</v>
          </cell>
        </row>
        <row r="1941">
          <cell r="A1941" t="str">
            <v>37423200408</v>
          </cell>
          <cell r="B1941">
            <v>37423</v>
          </cell>
          <cell r="C1941" t="str">
            <v>NG</v>
          </cell>
          <cell r="D1941" t="str">
            <v>200408</v>
          </cell>
          <cell r="E1941">
            <v>3.7559999999999998</v>
          </cell>
        </row>
        <row r="1942">
          <cell r="A1942" t="str">
            <v>37423200409</v>
          </cell>
          <cell r="B1942">
            <v>37423</v>
          </cell>
          <cell r="C1942" t="str">
            <v>NG</v>
          </cell>
          <cell r="D1942" t="str">
            <v>200409</v>
          </cell>
          <cell r="E1942">
            <v>3.7559999999999998</v>
          </cell>
        </row>
        <row r="1943">
          <cell r="A1943" t="str">
            <v>37423200410</v>
          </cell>
          <cell r="B1943">
            <v>37423</v>
          </cell>
          <cell r="C1943" t="str">
            <v>NG</v>
          </cell>
          <cell r="D1943" t="str">
            <v>200410</v>
          </cell>
          <cell r="E1943">
            <v>3.7909999999999999</v>
          </cell>
        </row>
        <row r="1944">
          <cell r="A1944" t="str">
            <v>37423200411</v>
          </cell>
          <cell r="B1944">
            <v>37423</v>
          </cell>
          <cell r="C1944" t="str">
            <v>NG</v>
          </cell>
          <cell r="D1944" t="str">
            <v>200411</v>
          </cell>
          <cell r="E1944">
            <v>3.996</v>
          </cell>
        </row>
        <row r="1945">
          <cell r="A1945" t="str">
            <v>37423200412</v>
          </cell>
          <cell r="B1945">
            <v>37423</v>
          </cell>
          <cell r="C1945" t="str">
            <v>NG</v>
          </cell>
          <cell r="D1945" t="str">
            <v>200412</v>
          </cell>
          <cell r="E1945">
            <v>4.1890000000000001</v>
          </cell>
        </row>
        <row r="1946">
          <cell r="A1946" t="str">
            <v>37424200401</v>
          </cell>
          <cell r="B1946">
            <v>37424</v>
          </cell>
          <cell r="C1946" t="str">
            <v>NG</v>
          </cell>
          <cell r="D1946" t="str">
            <v>200401</v>
          </cell>
          <cell r="E1946">
            <v>4.3499999999999996</v>
          </cell>
        </row>
        <row r="1947">
          <cell r="A1947" t="str">
            <v>37424200402</v>
          </cell>
          <cell r="B1947">
            <v>37424</v>
          </cell>
          <cell r="C1947" t="str">
            <v>NG</v>
          </cell>
          <cell r="D1947" t="str">
            <v>200402</v>
          </cell>
          <cell r="E1947">
            <v>4.2450000000000001</v>
          </cell>
        </row>
        <row r="1948">
          <cell r="A1948" t="str">
            <v>37424200403</v>
          </cell>
          <cell r="B1948">
            <v>37424</v>
          </cell>
          <cell r="C1948" t="str">
            <v>NG</v>
          </cell>
          <cell r="D1948" t="str">
            <v>200403</v>
          </cell>
          <cell r="E1948">
            <v>4.0650000000000004</v>
          </cell>
        </row>
        <row r="1949">
          <cell r="A1949" t="str">
            <v>37424200404</v>
          </cell>
          <cell r="B1949">
            <v>37424</v>
          </cell>
          <cell r="C1949" t="str">
            <v>NG</v>
          </cell>
          <cell r="D1949" t="str">
            <v>200404</v>
          </cell>
          <cell r="E1949">
            <v>3.77</v>
          </cell>
        </row>
        <row r="1950">
          <cell r="A1950" t="str">
            <v>37424200405</v>
          </cell>
          <cell r="B1950">
            <v>37424</v>
          </cell>
          <cell r="C1950" t="str">
            <v>NG</v>
          </cell>
          <cell r="D1950" t="str">
            <v>200405</v>
          </cell>
          <cell r="E1950">
            <v>3.7450000000000001</v>
          </cell>
        </row>
        <row r="1951">
          <cell r="A1951" t="str">
            <v>37424200406</v>
          </cell>
          <cell r="B1951">
            <v>37424</v>
          </cell>
          <cell r="C1951" t="str">
            <v>NG</v>
          </cell>
          <cell r="D1951" t="str">
            <v>200406</v>
          </cell>
          <cell r="E1951">
            <v>3.77</v>
          </cell>
        </row>
        <row r="1952">
          <cell r="A1952" t="str">
            <v>37424200407</v>
          </cell>
          <cell r="B1952">
            <v>37424</v>
          </cell>
          <cell r="C1952" t="str">
            <v>NG</v>
          </cell>
          <cell r="D1952" t="str">
            <v>200407</v>
          </cell>
          <cell r="E1952">
            <v>3.77</v>
          </cell>
        </row>
        <row r="1953">
          <cell r="A1953" t="str">
            <v>37424200408</v>
          </cell>
          <cell r="B1953">
            <v>37424</v>
          </cell>
          <cell r="C1953" t="str">
            <v>NG</v>
          </cell>
          <cell r="D1953" t="str">
            <v>200408</v>
          </cell>
          <cell r="E1953">
            <v>3.8</v>
          </cell>
        </row>
        <row r="1954">
          <cell r="A1954" t="str">
            <v>37424200409</v>
          </cell>
          <cell r="B1954">
            <v>37424</v>
          </cell>
          <cell r="C1954" t="str">
            <v>NG</v>
          </cell>
          <cell r="D1954" t="str">
            <v>200409</v>
          </cell>
          <cell r="E1954">
            <v>3.8</v>
          </cell>
        </row>
        <row r="1955">
          <cell r="A1955" t="str">
            <v>37424200410</v>
          </cell>
          <cell r="B1955">
            <v>37424</v>
          </cell>
          <cell r="C1955" t="str">
            <v>NG</v>
          </cell>
          <cell r="D1955" t="str">
            <v>200410</v>
          </cell>
          <cell r="E1955">
            <v>3.835</v>
          </cell>
        </row>
        <row r="1956">
          <cell r="A1956" t="str">
            <v>37424200411</v>
          </cell>
          <cell r="B1956">
            <v>37424</v>
          </cell>
          <cell r="C1956" t="str">
            <v>NG</v>
          </cell>
          <cell r="D1956" t="str">
            <v>200411</v>
          </cell>
          <cell r="E1956">
            <v>4.0350000000000001</v>
          </cell>
        </row>
        <row r="1957">
          <cell r="A1957" t="str">
            <v>37424200412</v>
          </cell>
          <cell r="B1957">
            <v>37424</v>
          </cell>
          <cell r="C1957" t="str">
            <v>NG</v>
          </cell>
          <cell r="D1957" t="str">
            <v>200412</v>
          </cell>
          <cell r="E1957">
            <v>4.2279999999999998</v>
          </cell>
        </row>
        <row r="1958">
          <cell r="A1958" t="str">
            <v>37425200401</v>
          </cell>
          <cell r="B1958">
            <v>37425</v>
          </cell>
          <cell r="C1958" t="str">
            <v>NG</v>
          </cell>
          <cell r="D1958" t="str">
            <v>200401</v>
          </cell>
          <cell r="E1958">
            <v>4.3449999999999998</v>
          </cell>
        </row>
        <row r="1959">
          <cell r="A1959" t="str">
            <v>37425200402</v>
          </cell>
          <cell r="B1959">
            <v>37425</v>
          </cell>
          <cell r="C1959" t="str">
            <v>NG</v>
          </cell>
          <cell r="D1959" t="str">
            <v>200402</v>
          </cell>
          <cell r="E1959">
            <v>4.24</v>
          </cell>
        </row>
        <row r="1960">
          <cell r="A1960" t="str">
            <v>37425200403</v>
          </cell>
          <cell r="B1960">
            <v>37425</v>
          </cell>
          <cell r="C1960" t="str">
            <v>NG</v>
          </cell>
          <cell r="D1960" t="str">
            <v>200403</v>
          </cell>
          <cell r="E1960">
            <v>4.0599999999999996</v>
          </cell>
        </row>
        <row r="1961">
          <cell r="A1961" t="str">
            <v>37425200404</v>
          </cell>
          <cell r="B1961">
            <v>37425</v>
          </cell>
          <cell r="C1961" t="str">
            <v>NG</v>
          </cell>
          <cell r="D1961" t="str">
            <v>200404</v>
          </cell>
          <cell r="E1961">
            <v>3.7749999999999999</v>
          </cell>
        </row>
        <row r="1962">
          <cell r="A1962" t="str">
            <v>37425200405</v>
          </cell>
          <cell r="B1962">
            <v>37425</v>
          </cell>
          <cell r="C1962" t="str">
            <v>NG</v>
          </cell>
          <cell r="D1962" t="str">
            <v>200405</v>
          </cell>
          <cell r="E1962">
            <v>3.7549999999999999</v>
          </cell>
        </row>
        <row r="1963">
          <cell r="A1963" t="str">
            <v>37425200406</v>
          </cell>
          <cell r="B1963">
            <v>37425</v>
          </cell>
          <cell r="C1963" t="str">
            <v>NG</v>
          </cell>
          <cell r="D1963" t="str">
            <v>200406</v>
          </cell>
          <cell r="E1963">
            <v>3.78</v>
          </cell>
        </row>
        <row r="1964">
          <cell r="A1964" t="str">
            <v>37425200407</v>
          </cell>
          <cell r="B1964">
            <v>37425</v>
          </cell>
          <cell r="C1964" t="str">
            <v>NG</v>
          </cell>
          <cell r="D1964" t="str">
            <v>200407</v>
          </cell>
          <cell r="E1964">
            <v>3.78</v>
          </cell>
        </row>
        <row r="1965">
          <cell r="A1965" t="str">
            <v>37425200408</v>
          </cell>
          <cell r="B1965">
            <v>37425</v>
          </cell>
          <cell r="C1965" t="str">
            <v>NG</v>
          </cell>
          <cell r="D1965" t="str">
            <v>200408</v>
          </cell>
          <cell r="E1965">
            <v>3.8149999999999999</v>
          </cell>
        </row>
        <row r="1966">
          <cell r="A1966" t="str">
            <v>37425200409</v>
          </cell>
          <cell r="B1966">
            <v>37425</v>
          </cell>
          <cell r="C1966" t="str">
            <v>NG</v>
          </cell>
          <cell r="D1966" t="str">
            <v>200409</v>
          </cell>
          <cell r="E1966">
            <v>3.8149999999999999</v>
          </cell>
        </row>
        <row r="1967">
          <cell r="A1967" t="str">
            <v>37425200410</v>
          </cell>
          <cell r="B1967">
            <v>37425</v>
          </cell>
          <cell r="C1967" t="str">
            <v>NG</v>
          </cell>
          <cell r="D1967" t="str">
            <v>200410</v>
          </cell>
          <cell r="E1967">
            <v>3.85</v>
          </cell>
        </row>
        <row r="1968">
          <cell r="A1968" t="str">
            <v>37425200411</v>
          </cell>
          <cell r="B1968">
            <v>37425</v>
          </cell>
          <cell r="C1968" t="str">
            <v>NG</v>
          </cell>
          <cell r="D1968" t="str">
            <v>200411</v>
          </cell>
          <cell r="E1968">
            <v>4.05</v>
          </cell>
        </row>
        <row r="1969">
          <cell r="A1969" t="str">
            <v>37425200412</v>
          </cell>
          <cell r="B1969">
            <v>37425</v>
          </cell>
          <cell r="C1969" t="str">
            <v>NG</v>
          </cell>
          <cell r="D1969" t="str">
            <v>200412</v>
          </cell>
          <cell r="E1969">
            <v>4.2430000000000003</v>
          </cell>
        </row>
        <row r="1970">
          <cell r="A1970" t="str">
            <v>37426200401</v>
          </cell>
          <cell r="B1970">
            <v>37426</v>
          </cell>
          <cell r="C1970" t="str">
            <v>NG</v>
          </cell>
          <cell r="D1970" t="str">
            <v>200401</v>
          </cell>
          <cell r="E1970">
            <v>4.3849999999999998</v>
          </cell>
        </row>
        <row r="1971">
          <cell r="A1971" t="str">
            <v>37426200402</v>
          </cell>
          <cell r="B1971">
            <v>37426</v>
          </cell>
          <cell r="C1971" t="str">
            <v>NG</v>
          </cell>
          <cell r="D1971" t="str">
            <v>200402</v>
          </cell>
          <cell r="E1971">
            <v>4.28</v>
          </cell>
        </row>
        <row r="1972">
          <cell r="A1972" t="str">
            <v>37426200403</v>
          </cell>
          <cell r="B1972">
            <v>37426</v>
          </cell>
          <cell r="C1972" t="str">
            <v>NG</v>
          </cell>
          <cell r="D1972" t="str">
            <v>200403</v>
          </cell>
          <cell r="E1972">
            <v>4.0999999999999996</v>
          </cell>
        </row>
        <row r="1973">
          <cell r="A1973" t="str">
            <v>37426200404</v>
          </cell>
          <cell r="B1973">
            <v>37426</v>
          </cell>
          <cell r="C1973" t="str">
            <v>NG</v>
          </cell>
          <cell r="D1973" t="str">
            <v>200404</v>
          </cell>
          <cell r="E1973">
            <v>3.8149999999999999</v>
          </cell>
        </row>
        <row r="1974">
          <cell r="A1974" t="str">
            <v>37426200405</v>
          </cell>
          <cell r="B1974">
            <v>37426</v>
          </cell>
          <cell r="C1974" t="str">
            <v>NG</v>
          </cell>
          <cell r="D1974" t="str">
            <v>200405</v>
          </cell>
          <cell r="E1974">
            <v>3.7949999999999999</v>
          </cell>
        </row>
        <row r="1975">
          <cell r="A1975" t="str">
            <v>37426200406</v>
          </cell>
          <cell r="B1975">
            <v>37426</v>
          </cell>
          <cell r="C1975" t="str">
            <v>NG</v>
          </cell>
          <cell r="D1975" t="str">
            <v>200406</v>
          </cell>
          <cell r="E1975">
            <v>3.82</v>
          </cell>
        </row>
        <row r="1976">
          <cell r="A1976" t="str">
            <v>37426200407</v>
          </cell>
          <cell r="B1976">
            <v>37426</v>
          </cell>
          <cell r="C1976" t="str">
            <v>NG</v>
          </cell>
          <cell r="D1976" t="str">
            <v>200407</v>
          </cell>
          <cell r="E1976">
            <v>3.8250000000000002</v>
          </cell>
        </row>
        <row r="1977">
          <cell r="A1977" t="str">
            <v>37426200408</v>
          </cell>
          <cell r="B1977">
            <v>37426</v>
          </cell>
          <cell r="C1977" t="str">
            <v>NG</v>
          </cell>
          <cell r="D1977" t="str">
            <v>200408</v>
          </cell>
          <cell r="E1977">
            <v>3.86</v>
          </cell>
        </row>
        <row r="1978">
          <cell r="A1978" t="str">
            <v>37426200409</v>
          </cell>
          <cell r="B1978">
            <v>37426</v>
          </cell>
          <cell r="C1978" t="str">
            <v>NG</v>
          </cell>
          <cell r="D1978" t="str">
            <v>200409</v>
          </cell>
          <cell r="E1978">
            <v>3.86</v>
          </cell>
        </row>
        <row r="1979">
          <cell r="A1979" t="str">
            <v>37426200410</v>
          </cell>
          <cell r="B1979">
            <v>37426</v>
          </cell>
          <cell r="C1979" t="str">
            <v>NG</v>
          </cell>
          <cell r="D1979" t="str">
            <v>200410</v>
          </cell>
          <cell r="E1979">
            <v>3.895</v>
          </cell>
        </row>
        <row r="1980">
          <cell r="A1980" t="str">
            <v>37426200411</v>
          </cell>
          <cell r="B1980">
            <v>37426</v>
          </cell>
          <cell r="C1980" t="str">
            <v>NG</v>
          </cell>
          <cell r="D1980" t="str">
            <v>200411</v>
          </cell>
          <cell r="E1980">
            <v>4.0949999999999998</v>
          </cell>
        </row>
        <row r="1981">
          <cell r="A1981" t="str">
            <v>37426200412</v>
          </cell>
          <cell r="B1981">
            <v>37426</v>
          </cell>
          <cell r="C1981" t="str">
            <v>NG</v>
          </cell>
          <cell r="D1981" t="str">
            <v>200412</v>
          </cell>
          <cell r="E1981">
            <v>4.2880000000000003</v>
          </cell>
        </row>
        <row r="1982">
          <cell r="A1982" t="str">
            <v>37427200401</v>
          </cell>
          <cell r="B1982">
            <v>37427</v>
          </cell>
          <cell r="C1982" t="str">
            <v>NG</v>
          </cell>
          <cell r="D1982" t="str">
            <v>200401</v>
          </cell>
          <cell r="E1982">
            <v>4.3689999999999998</v>
          </cell>
        </row>
        <row r="1983">
          <cell r="A1983" t="str">
            <v>37427200402</v>
          </cell>
          <cell r="B1983">
            <v>37427</v>
          </cell>
          <cell r="C1983" t="str">
            <v>NG</v>
          </cell>
          <cell r="D1983" t="str">
            <v>200402</v>
          </cell>
          <cell r="E1983">
            <v>4.2640000000000002</v>
          </cell>
        </row>
        <row r="1984">
          <cell r="A1984" t="str">
            <v>37427200403</v>
          </cell>
          <cell r="B1984">
            <v>37427</v>
          </cell>
          <cell r="C1984" t="str">
            <v>NG</v>
          </cell>
          <cell r="D1984" t="str">
            <v>200403</v>
          </cell>
          <cell r="E1984">
            <v>4.0839999999999996</v>
          </cell>
        </row>
        <row r="1985">
          <cell r="A1985" t="str">
            <v>37427200404</v>
          </cell>
          <cell r="B1985">
            <v>37427</v>
          </cell>
          <cell r="C1985" t="str">
            <v>NG</v>
          </cell>
          <cell r="D1985" t="str">
            <v>200404</v>
          </cell>
          <cell r="E1985">
            <v>3.8090000000000002</v>
          </cell>
        </row>
        <row r="1986">
          <cell r="A1986" t="str">
            <v>37427200405</v>
          </cell>
          <cell r="B1986">
            <v>37427</v>
          </cell>
          <cell r="C1986" t="str">
            <v>NG</v>
          </cell>
          <cell r="D1986" t="str">
            <v>200405</v>
          </cell>
          <cell r="E1986">
            <v>3.7890000000000001</v>
          </cell>
        </row>
        <row r="1987">
          <cell r="A1987" t="str">
            <v>37427200406</v>
          </cell>
          <cell r="B1987">
            <v>37427</v>
          </cell>
          <cell r="C1987" t="str">
            <v>NG</v>
          </cell>
          <cell r="D1987" t="str">
            <v>200406</v>
          </cell>
          <cell r="E1987">
            <v>3.8140000000000001</v>
          </cell>
        </row>
        <row r="1988">
          <cell r="A1988" t="str">
            <v>37427200407</v>
          </cell>
          <cell r="B1988">
            <v>37427</v>
          </cell>
          <cell r="C1988" t="str">
            <v>NG</v>
          </cell>
          <cell r="D1988" t="str">
            <v>200407</v>
          </cell>
          <cell r="E1988">
            <v>3.8340000000000001</v>
          </cell>
        </row>
        <row r="1989">
          <cell r="A1989" t="str">
            <v>37427200408</v>
          </cell>
          <cell r="B1989">
            <v>37427</v>
          </cell>
          <cell r="C1989" t="str">
            <v>NG</v>
          </cell>
          <cell r="D1989" t="str">
            <v>200408</v>
          </cell>
          <cell r="E1989">
            <v>3.8690000000000002</v>
          </cell>
        </row>
        <row r="1990">
          <cell r="A1990" t="str">
            <v>37427200409</v>
          </cell>
          <cell r="B1990">
            <v>37427</v>
          </cell>
          <cell r="C1990" t="str">
            <v>NG</v>
          </cell>
          <cell r="D1990" t="str">
            <v>200409</v>
          </cell>
          <cell r="E1990">
            <v>3.8690000000000002</v>
          </cell>
        </row>
        <row r="1991">
          <cell r="A1991" t="str">
            <v>37427200410</v>
          </cell>
          <cell r="B1991">
            <v>37427</v>
          </cell>
          <cell r="C1991" t="str">
            <v>NG</v>
          </cell>
          <cell r="D1991" t="str">
            <v>200410</v>
          </cell>
          <cell r="E1991">
            <v>3.9039999999999999</v>
          </cell>
        </row>
        <row r="1992">
          <cell r="A1992" t="str">
            <v>37427200411</v>
          </cell>
          <cell r="B1992">
            <v>37427</v>
          </cell>
          <cell r="C1992" t="str">
            <v>NG</v>
          </cell>
          <cell r="D1992" t="str">
            <v>200411</v>
          </cell>
          <cell r="E1992">
            <v>4.1040000000000001</v>
          </cell>
        </row>
        <row r="1993">
          <cell r="A1993" t="str">
            <v>37427200412</v>
          </cell>
          <cell r="B1993">
            <v>37427</v>
          </cell>
          <cell r="C1993" t="str">
            <v>NG</v>
          </cell>
          <cell r="D1993" t="str">
            <v>200412</v>
          </cell>
          <cell r="E1993">
            <v>4.2910000000000004</v>
          </cell>
        </row>
        <row r="1994">
          <cell r="A1994" t="str">
            <v>37428200401</v>
          </cell>
          <cell r="B1994">
            <v>37428</v>
          </cell>
          <cell r="C1994" t="str">
            <v>NG</v>
          </cell>
          <cell r="D1994" t="str">
            <v>200401</v>
          </cell>
          <cell r="E1994">
            <v>4.3959999999999999</v>
          </cell>
        </row>
        <row r="1995">
          <cell r="A1995" t="str">
            <v>37428200402</v>
          </cell>
          <cell r="B1995">
            <v>37428</v>
          </cell>
          <cell r="C1995" t="str">
            <v>NG</v>
          </cell>
          <cell r="D1995" t="str">
            <v>200402</v>
          </cell>
          <cell r="E1995">
            <v>4.2809999999999997</v>
          </cell>
        </row>
        <row r="1996">
          <cell r="A1996" t="str">
            <v>37428200403</v>
          </cell>
          <cell r="B1996">
            <v>37428</v>
          </cell>
          <cell r="C1996" t="str">
            <v>NG</v>
          </cell>
          <cell r="D1996" t="str">
            <v>200403</v>
          </cell>
          <cell r="E1996">
            <v>4.101</v>
          </cell>
        </row>
        <row r="1997">
          <cell r="A1997" t="str">
            <v>37428200404</v>
          </cell>
          <cell r="B1997">
            <v>37428</v>
          </cell>
          <cell r="C1997" t="str">
            <v>NG</v>
          </cell>
          <cell r="D1997" t="str">
            <v>200404</v>
          </cell>
          <cell r="E1997">
            <v>3.8260000000000001</v>
          </cell>
        </row>
        <row r="1998">
          <cell r="A1998" t="str">
            <v>37428200405</v>
          </cell>
          <cell r="B1998">
            <v>37428</v>
          </cell>
          <cell r="C1998" t="str">
            <v>NG</v>
          </cell>
          <cell r="D1998" t="str">
            <v>200405</v>
          </cell>
          <cell r="E1998">
            <v>3.806</v>
          </cell>
        </row>
        <row r="1999">
          <cell r="A1999" t="str">
            <v>37428200406</v>
          </cell>
          <cell r="B1999">
            <v>37428</v>
          </cell>
          <cell r="C1999" t="str">
            <v>NG</v>
          </cell>
          <cell r="D1999" t="str">
            <v>200406</v>
          </cell>
          <cell r="E1999">
            <v>3.8410000000000002</v>
          </cell>
        </row>
        <row r="2000">
          <cell r="A2000" t="str">
            <v>37428200407</v>
          </cell>
          <cell r="B2000">
            <v>37428</v>
          </cell>
          <cell r="C2000" t="str">
            <v>NG</v>
          </cell>
          <cell r="D2000" t="str">
            <v>200407</v>
          </cell>
          <cell r="E2000">
            <v>3.871</v>
          </cell>
        </row>
        <row r="2001">
          <cell r="A2001" t="str">
            <v>37428200408</v>
          </cell>
          <cell r="B2001">
            <v>37428</v>
          </cell>
          <cell r="C2001" t="str">
            <v>NG</v>
          </cell>
          <cell r="D2001" t="str">
            <v>200408</v>
          </cell>
          <cell r="E2001">
            <v>3.9060000000000001</v>
          </cell>
        </row>
        <row r="2002">
          <cell r="A2002" t="str">
            <v>37428200409</v>
          </cell>
          <cell r="B2002">
            <v>37428</v>
          </cell>
          <cell r="C2002" t="str">
            <v>NG</v>
          </cell>
          <cell r="D2002" t="str">
            <v>200409</v>
          </cell>
          <cell r="E2002">
            <v>3.9060000000000001</v>
          </cell>
        </row>
        <row r="2003">
          <cell r="A2003" t="str">
            <v>37428200410</v>
          </cell>
          <cell r="B2003">
            <v>37428</v>
          </cell>
          <cell r="C2003" t="str">
            <v>NG</v>
          </cell>
          <cell r="D2003" t="str">
            <v>200410</v>
          </cell>
          <cell r="E2003">
            <v>3.9409999999999998</v>
          </cell>
        </row>
        <row r="2004">
          <cell r="A2004" t="str">
            <v>37428200411</v>
          </cell>
          <cell r="B2004">
            <v>37428</v>
          </cell>
          <cell r="C2004" t="str">
            <v>NG</v>
          </cell>
          <cell r="D2004" t="str">
            <v>200411</v>
          </cell>
          <cell r="E2004">
            <v>4.1310000000000002</v>
          </cell>
        </row>
        <row r="2005">
          <cell r="A2005" t="str">
            <v>37428200412</v>
          </cell>
          <cell r="B2005">
            <v>37428</v>
          </cell>
          <cell r="C2005" t="str">
            <v>NG</v>
          </cell>
          <cell r="D2005" t="str">
            <v>200412</v>
          </cell>
          <cell r="E2005">
            <v>4.3049999999999997</v>
          </cell>
        </row>
        <row r="2006">
          <cell r="A2006" t="str">
            <v>37429200401</v>
          </cell>
          <cell r="B2006">
            <v>37429</v>
          </cell>
          <cell r="C2006" t="str">
            <v>NG</v>
          </cell>
          <cell r="D2006" t="str">
            <v>200401</v>
          </cell>
          <cell r="E2006">
            <v>4.3959999999999999</v>
          </cell>
        </row>
        <row r="2007">
          <cell r="A2007" t="str">
            <v>37429200402</v>
          </cell>
          <cell r="B2007">
            <v>37429</v>
          </cell>
          <cell r="C2007" t="str">
            <v>NG</v>
          </cell>
          <cell r="D2007" t="str">
            <v>200402</v>
          </cell>
          <cell r="E2007">
            <v>4.2809999999999997</v>
          </cell>
        </row>
        <row r="2008">
          <cell r="A2008" t="str">
            <v>37429200403</v>
          </cell>
          <cell r="B2008">
            <v>37429</v>
          </cell>
          <cell r="C2008" t="str">
            <v>NG</v>
          </cell>
          <cell r="D2008" t="str">
            <v>200403</v>
          </cell>
          <cell r="E2008">
            <v>4.101</v>
          </cell>
        </row>
        <row r="2009">
          <cell r="A2009" t="str">
            <v>37429200404</v>
          </cell>
          <cell r="B2009">
            <v>37429</v>
          </cell>
          <cell r="C2009" t="str">
            <v>NG</v>
          </cell>
          <cell r="D2009" t="str">
            <v>200404</v>
          </cell>
          <cell r="E2009">
            <v>3.8260000000000001</v>
          </cell>
        </row>
        <row r="2010">
          <cell r="A2010" t="str">
            <v>37429200405</v>
          </cell>
          <cell r="B2010">
            <v>37429</v>
          </cell>
          <cell r="C2010" t="str">
            <v>NG</v>
          </cell>
          <cell r="D2010" t="str">
            <v>200405</v>
          </cell>
          <cell r="E2010">
            <v>3.806</v>
          </cell>
        </row>
        <row r="2011">
          <cell r="A2011" t="str">
            <v>37429200406</v>
          </cell>
          <cell r="B2011">
            <v>37429</v>
          </cell>
          <cell r="C2011" t="str">
            <v>NG</v>
          </cell>
          <cell r="D2011" t="str">
            <v>200406</v>
          </cell>
          <cell r="E2011">
            <v>3.8410000000000002</v>
          </cell>
        </row>
        <row r="2012">
          <cell r="A2012" t="str">
            <v>37429200407</v>
          </cell>
          <cell r="B2012">
            <v>37429</v>
          </cell>
          <cell r="C2012" t="str">
            <v>NG</v>
          </cell>
          <cell r="D2012" t="str">
            <v>200407</v>
          </cell>
          <cell r="E2012">
            <v>3.871</v>
          </cell>
        </row>
        <row r="2013">
          <cell r="A2013" t="str">
            <v>37429200408</v>
          </cell>
          <cell r="B2013">
            <v>37429</v>
          </cell>
          <cell r="C2013" t="str">
            <v>NG</v>
          </cell>
          <cell r="D2013" t="str">
            <v>200408</v>
          </cell>
          <cell r="E2013">
            <v>3.9060000000000001</v>
          </cell>
        </row>
        <row r="2014">
          <cell r="A2014" t="str">
            <v>37429200409</v>
          </cell>
          <cell r="B2014">
            <v>37429</v>
          </cell>
          <cell r="C2014" t="str">
            <v>NG</v>
          </cell>
          <cell r="D2014" t="str">
            <v>200409</v>
          </cell>
          <cell r="E2014">
            <v>3.9060000000000001</v>
          </cell>
        </row>
        <row r="2015">
          <cell r="A2015" t="str">
            <v>37429200410</v>
          </cell>
          <cell r="B2015">
            <v>37429</v>
          </cell>
          <cell r="C2015" t="str">
            <v>NG</v>
          </cell>
          <cell r="D2015" t="str">
            <v>200410</v>
          </cell>
          <cell r="E2015">
            <v>3.9409999999999998</v>
          </cell>
        </row>
        <row r="2016">
          <cell r="A2016" t="str">
            <v>37429200411</v>
          </cell>
          <cell r="B2016">
            <v>37429</v>
          </cell>
          <cell r="C2016" t="str">
            <v>NG</v>
          </cell>
          <cell r="D2016" t="str">
            <v>200411</v>
          </cell>
          <cell r="E2016">
            <v>4.1310000000000002</v>
          </cell>
        </row>
        <row r="2017">
          <cell r="A2017" t="str">
            <v>37429200412</v>
          </cell>
          <cell r="B2017">
            <v>37429</v>
          </cell>
          <cell r="C2017" t="str">
            <v>NG</v>
          </cell>
          <cell r="D2017" t="str">
            <v>200412</v>
          </cell>
          <cell r="E2017">
            <v>4.3049999999999997</v>
          </cell>
        </row>
        <row r="2018">
          <cell r="A2018" t="str">
            <v>37430200401</v>
          </cell>
          <cell r="B2018">
            <v>37430</v>
          </cell>
          <cell r="C2018" t="str">
            <v>NG</v>
          </cell>
          <cell r="D2018" t="str">
            <v>200401</v>
          </cell>
          <cell r="E2018">
            <v>4.3959999999999999</v>
          </cell>
        </row>
        <row r="2019">
          <cell r="A2019" t="str">
            <v>37430200402</v>
          </cell>
          <cell r="B2019">
            <v>37430</v>
          </cell>
          <cell r="C2019" t="str">
            <v>NG</v>
          </cell>
          <cell r="D2019" t="str">
            <v>200402</v>
          </cell>
          <cell r="E2019">
            <v>4.2809999999999997</v>
          </cell>
        </row>
        <row r="2020">
          <cell r="A2020" t="str">
            <v>37430200403</v>
          </cell>
          <cell r="B2020">
            <v>37430</v>
          </cell>
          <cell r="C2020" t="str">
            <v>NG</v>
          </cell>
          <cell r="D2020" t="str">
            <v>200403</v>
          </cell>
          <cell r="E2020">
            <v>4.101</v>
          </cell>
        </row>
        <row r="2021">
          <cell r="A2021" t="str">
            <v>37430200404</v>
          </cell>
          <cell r="B2021">
            <v>37430</v>
          </cell>
          <cell r="C2021" t="str">
            <v>NG</v>
          </cell>
          <cell r="D2021" t="str">
            <v>200404</v>
          </cell>
          <cell r="E2021">
            <v>3.8260000000000001</v>
          </cell>
        </row>
        <row r="2022">
          <cell r="A2022" t="str">
            <v>37430200405</v>
          </cell>
          <cell r="B2022">
            <v>37430</v>
          </cell>
          <cell r="C2022" t="str">
            <v>NG</v>
          </cell>
          <cell r="D2022" t="str">
            <v>200405</v>
          </cell>
          <cell r="E2022">
            <v>3.806</v>
          </cell>
        </row>
        <row r="2023">
          <cell r="A2023" t="str">
            <v>37430200406</v>
          </cell>
          <cell r="B2023">
            <v>37430</v>
          </cell>
          <cell r="C2023" t="str">
            <v>NG</v>
          </cell>
          <cell r="D2023" t="str">
            <v>200406</v>
          </cell>
          <cell r="E2023">
            <v>3.8410000000000002</v>
          </cell>
        </row>
        <row r="2024">
          <cell r="A2024" t="str">
            <v>37430200407</v>
          </cell>
          <cell r="B2024">
            <v>37430</v>
          </cell>
          <cell r="C2024" t="str">
            <v>NG</v>
          </cell>
          <cell r="D2024" t="str">
            <v>200407</v>
          </cell>
          <cell r="E2024">
            <v>3.871</v>
          </cell>
        </row>
        <row r="2025">
          <cell r="A2025" t="str">
            <v>37430200408</v>
          </cell>
          <cell r="B2025">
            <v>37430</v>
          </cell>
          <cell r="C2025" t="str">
            <v>NG</v>
          </cell>
          <cell r="D2025" t="str">
            <v>200408</v>
          </cell>
          <cell r="E2025">
            <v>3.9060000000000001</v>
          </cell>
        </row>
        <row r="2026">
          <cell r="A2026" t="str">
            <v>37430200409</v>
          </cell>
          <cell r="B2026">
            <v>37430</v>
          </cell>
          <cell r="C2026" t="str">
            <v>NG</v>
          </cell>
          <cell r="D2026" t="str">
            <v>200409</v>
          </cell>
          <cell r="E2026">
            <v>3.9060000000000001</v>
          </cell>
        </row>
        <row r="2027">
          <cell r="A2027" t="str">
            <v>37430200410</v>
          </cell>
          <cell r="B2027">
            <v>37430</v>
          </cell>
          <cell r="C2027" t="str">
            <v>NG</v>
          </cell>
          <cell r="D2027" t="str">
            <v>200410</v>
          </cell>
          <cell r="E2027">
            <v>3.9409999999999998</v>
          </cell>
        </row>
        <row r="2028">
          <cell r="A2028" t="str">
            <v>37430200411</v>
          </cell>
          <cell r="B2028">
            <v>37430</v>
          </cell>
          <cell r="C2028" t="str">
            <v>NG</v>
          </cell>
          <cell r="D2028" t="str">
            <v>200411</v>
          </cell>
          <cell r="E2028">
            <v>4.1310000000000002</v>
          </cell>
        </row>
        <row r="2029">
          <cell r="A2029" t="str">
            <v>37430200412</v>
          </cell>
          <cell r="B2029">
            <v>37430</v>
          </cell>
          <cell r="C2029" t="str">
            <v>NG</v>
          </cell>
          <cell r="D2029" t="str">
            <v>200412</v>
          </cell>
          <cell r="E2029">
            <v>4.3049999999999997</v>
          </cell>
        </row>
        <row r="2030">
          <cell r="A2030" t="str">
            <v>37431200401</v>
          </cell>
          <cell r="B2030">
            <v>37431</v>
          </cell>
          <cell r="C2030" t="str">
            <v>NG</v>
          </cell>
          <cell r="D2030" t="str">
            <v>200401</v>
          </cell>
          <cell r="E2030">
            <v>4.5170000000000003</v>
          </cell>
        </row>
        <row r="2031">
          <cell r="A2031" t="str">
            <v>37431200402</v>
          </cell>
          <cell r="B2031">
            <v>37431</v>
          </cell>
          <cell r="C2031" t="str">
            <v>NG</v>
          </cell>
          <cell r="D2031" t="str">
            <v>200402</v>
          </cell>
          <cell r="E2031">
            <v>4.3970000000000002</v>
          </cell>
        </row>
        <row r="2032">
          <cell r="A2032" t="str">
            <v>37431200403</v>
          </cell>
          <cell r="B2032">
            <v>37431</v>
          </cell>
          <cell r="C2032" t="str">
            <v>NG</v>
          </cell>
          <cell r="D2032" t="str">
            <v>200403</v>
          </cell>
          <cell r="E2032">
            <v>4.2119999999999997</v>
          </cell>
        </row>
        <row r="2033">
          <cell r="A2033" t="str">
            <v>37431200404</v>
          </cell>
          <cell r="B2033">
            <v>37431</v>
          </cell>
          <cell r="C2033" t="str">
            <v>NG</v>
          </cell>
          <cell r="D2033" t="str">
            <v>200404</v>
          </cell>
          <cell r="E2033">
            <v>3.9369999999999998</v>
          </cell>
        </row>
        <row r="2034">
          <cell r="A2034" t="str">
            <v>37431200405</v>
          </cell>
          <cell r="B2034">
            <v>37431</v>
          </cell>
          <cell r="C2034" t="str">
            <v>NG</v>
          </cell>
          <cell r="D2034" t="str">
            <v>200405</v>
          </cell>
          <cell r="E2034">
            <v>3.9169999999999998</v>
          </cell>
        </row>
        <row r="2035">
          <cell r="A2035" t="str">
            <v>37431200406</v>
          </cell>
          <cell r="B2035">
            <v>37431</v>
          </cell>
          <cell r="C2035" t="str">
            <v>NG</v>
          </cell>
          <cell r="D2035" t="str">
            <v>200406</v>
          </cell>
          <cell r="E2035">
            <v>3.952</v>
          </cell>
        </row>
        <row r="2036">
          <cell r="A2036" t="str">
            <v>37431200407</v>
          </cell>
          <cell r="B2036">
            <v>37431</v>
          </cell>
          <cell r="C2036" t="str">
            <v>NG</v>
          </cell>
          <cell r="D2036" t="str">
            <v>200407</v>
          </cell>
          <cell r="E2036">
            <v>3.9870000000000001</v>
          </cell>
        </row>
        <row r="2037">
          <cell r="A2037" t="str">
            <v>37431200408</v>
          </cell>
          <cell r="B2037">
            <v>37431</v>
          </cell>
          <cell r="C2037" t="str">
            <v>NG</v>
          </cell>
          <cell r="D2037" t="str">
            <v>200408</v>
          </cell>
          <cell r="E2037">
            <v>4.0220000000000002</v>
          </cell>
        </row>
        <row r="2038">
          <cell r="A2038" t="str">
            <v>37431200409</v>
          </cell>
          <cell r="B2038">
            <v>37431</v>
          </cell>
          <cell r="C2038" t="str">
            <v>NG</v>
          </cell>
          <cell r="D2038" t="str">
            <v>200409</v>
          </cell>
          <cell r="E2038">
            <v>4.0220000000000002</v>
          </cell>
        </row>
        <row r="2039">
          <cell r="A2039" t="str">
            <v>37431200410</v>
          </cell>
          <cell r="B2039">
            <v>37431</v>
          </cell>
          <cell r="C2039" t="str">
            <v>NG</v>
          </cell>
          <cell r="D2039" t="str">
            <v>200410</v>
          </cell>
          <cell r="E2039">
            <v>4.0570000000000004</v>
          </cell>
        </row>
        <row r="2040">
          <cell r="A2040" t="str">
            <v>37431200411</v>
          </cell>
          <cell r="B2040">
            <v>37431</v>
          </cell>
          <cell r="C2040" t="str">
            <v>NG</v>
          </cell>
          <cell r="D2040" t="str">
            <v>200411</v>
          </cell>
          <cell r="E2040">
            <v>4.2519999999999998</v>
          </cell>
        </row>
        <row r="2041">
          <cell r="A2041" t="str">
            <v>37431200412</v>
          </cell>
          <cell r="B2041">
            <v>37431</v>
          </cell>
          <cell r="C2041" t="str">
            <v>NG</v>
          </cell>
          <cell r="D2041" t="str">
            <v>200412</v>
          </cell>
          <cell r="E2041">
            <v>4.4370000000000003</v>
          </cell>
        </row>
        <row r="2042">
          <cell r="A2042" t="str">
            <v>37432200401</v>
          </cell>
          <cell r="B2042">
            <v>37432</v>
          </cell>
          <cell r="C2042" t="str">
            <v>NG</v>
          </cell>
          <cell r="D2042" t="str">
            <v>200401</v>
          </cell>
          <cell r="E2042">
            <v>4.49</v>
          </cell>
        </row>
        <row r="2043">
          <cell r="A2043" t="str">
            <v>37432200402</v>
          </cell>
          <cell r="B2043">
            <v>37432</v>
          </cell>
          <cell r="C2043" t="str">
            <v>NG</v>
          </cell>
          <cell r="D2043" t="str">
            <v>200402</v>
          </cell>
          <cell r="E2043">
            <v>4.37</v>
          </cell>
        </row>
        <row r="2044">
          <cell r="A2044" t="str">
            <v>37432200403</v>
          </cell>
          <cell r="B2044">
            <v>37432</v>
          </cell>
          <cell r="C2044" t="str">
            <v>NG</v>
          </cell>
          <cell r="D2044" t="str">
            <v>200403</v>
          </cell>
          <cell r="E2044">
            <v>4.1749999999999998</v>
          </cell>
        </row>
        <row r="2045">
          <cell r="A2045" t="str">
            <v>37432200404</v>
          </cell>
          <cell r="B2045">
            <v>37432</v>
          </cell>
          <cell r="C2045" t="str">
            <v>NG</v>
          </cell>
          <cell r="D2045" t="str">
            <v>200404</v>
          </cell>
          <cell r="E2045">
            <v>3.895</v>
          </cell>
        </row>
        <row r="2046">
          <cell r="A2046" t="str">
            <v>37432200405</v>
          </cell>
          <cell r="B2046">
            <v>37432</v>
          </cell>
          <cell r="C2046" t="str">
            <v>NG</v>
          </cell>
          <cell r="D2046" t="str">
            <v>200405</v>
          </cell>
          <cell r="E2046">
            <v>3.875</v>
          </cell>
        </row>
        <row r="2047">
          <cell r="A2047" t="str">
            <v>37432200406</v>
          </cell>
          <cell r="B2047">
            <v>37432</v>
          </cell>
          <cell r="C2047" t="str">
            <v>NG</v>
          </cell>
          <cell r="D2047" t="str">
            <v>200406</v>
          </cell>
          <cell r="E2047">
            <v>3.915</v>
          </cell>
        </row>
        <row r="2048">
          <cell r="A2048" t="str">
            <v>37432200407</v>
          </cell>
          <cell r="B2048">
            <v>37432</v>
          </cell>
          <cell r="C2048" t="str">
            <v>NG</v>
          </cell>
          <cell r="D2048" t="str">
            <v>200407</v>
          </cell>
          <cell r="E2048">
            <v>3.96</v>
          </cell>
        </row>
        <row r="2049">
          <cell r="A2049" t="str">
            <v>37432200408</v>
          </cell>
          <cell r="B2049">
            <v>37432</v>
          </cell>
          <cell r="C2049" t="str">
            <v>NG</v>
          </cell>
          <cell r="D2049" t="str">
            <v>200408</v>
          </cell>
          <cell r="E2049">
            <v>4</v>
          </cell>
        </row>
        <row r="2050">
          <cell r="A2050" t="str">
            <v>37432200409</v>
          </cell>
          <cell r="B2050">
            <v>37432</v>
          </cell>
          <cell r="C2050" t="str">
            <v>NG</v>
          </cell>
          <cell r="D2050" t="str">
            <v>200409</v>
          </cell>
          <cell r="E2050">
            <v>3.9950000000000001</v>
          </cell>
        </row>
        <row r="2051">
          <cell r="A2051" t="str">
            <v>37432200410</v>
          </cell>
          <cell r="B2051">
            <v>37432</v>
          </cell>
          <cell r="C2051" t="str">
            <v>NG</v>
          </cell>
          <cell r="D2051" t="str">
            <v>200410</v>
          </cell>
          <cell r="E2051">
            <v>4.03</v>
          </cell>
        </row>
        <row r="2052">
          <cell r="A2052" t="str">
            <v>37432200411</v>
          </cell>
          <cell r="B2052">
            <v>37432</v>
          </cell>
          <cell r="C2052" t="str">
            <v>NG</v>
          </cell>
          <cell r="D2052" t="str">
            <v>200411</v>
          </cell>
          <cell r="E2052">
            <v>4.2249999999999996</v>
          </cell>
        </row>
        <row r="2053">
          <cell r="A2053" t="str">
            <v>37432200412</v>
          </cell>
          <cell r="B2053">
            <v>37432</v>
          </cell>
          <cell r="C2053" t="str">
            <v>NG</v>
          </cell>
          <cell r="D2053" t="str">
            <v>200412</v>
          </cell>
          <cell r="E2053">
            <v>4.41</v>
          </cell>
        </row>
        <row r="2054">
          <cell r="A2054" t="str">
            <v>37433200401</v>
          </cell>
          <cell r="B2054">
            <v>37433</v>
          </cell>
          <cell r="C2054" t="str">
            <v>NG</v>
          </cell>
          <cell r="D2054" t="str">
            <v>200401</v>
          </cell>
          <cell r="E2054">
            <v>4.3650000000000002</v>
          </cell>
        </row>
        <row r="2055">
          <cell r="A2055" t="str">
            <v>37433200402</v>
          </cell>
          <cell r="B2055">
            <v>37433</v>
          </cell>
          <cell r="C2055" t="str">
            <v>NG</v>
          </cell>
          <cell r="D2055" t="str">
            <v>200402</v>
          </cell>
          <cell r="E2055">
            <v>4.25</v>
          </cell>
        </row>
        <row r="2056">
          <cell r="A2056" t="str">
            <v>37433200403</v>
          </cell>
          <cell r="B2056">
            <v>37433</v>
          </cell>
          <cell r="C2056" t="str">
            <v>NG</v>
          </cell>
          <cell r="D2056" t="str">
            <v>200403</v>
          </cell>
          <cell r="E2056">
            <v>4.0549999999999997</v>
          </cell>
        </row>
        <row r="2057">
          <cell r="A2057" t="str">
            <v>37433200404</v>
          </cell>
          <cell r="B2057">
            <v>37433</v>
          </cell>
          <cell r="C2057" t="str">
            <v>NG</v>
          </cell>
          <cell r="D2057" t="str">
            <v>200404</v>
          </cell>
          <cell r="E2057">
            <v>3.78</v>
          </cell>
        </row>
        <row r="2058">
          <cell r="A2058" t="str">
            <v>37433200405</v>
          </cell>
          <cell r="B2058">
            <v>37433</v>
          </cell>
          <cell r="C2058" t="str">
            <v>NG</v>
          </cell>
          <cell r="D2058" t="str">
            <v>200405</v>
          </cell>
          <cell r="E2058">
            <v>3.76</v>
          </cell>
        </row>
        <row r="2059">
          <cell r="A2059" t="str">
            <v>37433200406</v>
          </cell>
          <cell r="B2059">
            <v>37433</v>
          </cell>
          <cell r="C2059" t="str">
            <v>NG</v>
          </cell>
          <cell r="D2059" t="str">
            <v>200406</v>
          </cell>
          <cell r="E2059">
            <v>3.81</v>
          </cell>
        </row>
        <row r="2060">
          <cell r="A2060" t="str">
            <v>37433200407</v>
          </cell>
          <cell r="B2060">
            <v>37433</v>
          </cell>
          <cell r="C2060" t="str">
            <v>NG</v>
          </cell>
          <cell r="D2060" t="str">
            <v>200407</v>
          </cell>
          <cell r="E2060">
            <v>3.86</v>
          </cell>
        </row>
        <row r="2061">
          <cell r="A2061" t="str">
            <v>37433200408</v>
          </cell>
          <cell r="B2061">
            <v>37433</v>
          </cell>
          <cell r="C2061" t="str">
            <v>NG</v>
          </cell>
          <cell r="D2061" t="str">
            <v>200408</v>
          </cell>
          <cell r="E2061">
            <v>3.9049999999999998</v>
          </cell>
        </row>
        <row r="2062">
          <cell r="A2062" t="str">
            <v>37433200409</v>
          </cell>
          <cell r="B2062">
            <v>37433</v>
          </cell>
          <cell r="C2062" t="str">
            <v>NG</v>
          </cell>
          <cell r="D2062" t="str">
            <v>200409</v>
          </cell>
          <cell r="E2062">
            <v>3.9049999999999998</v>
          </cell>
        </row>
        <row r="2063">
          <cell r="A2063" t="str">
            <v>37433200410</v>
          </cell>
          <cell r="B2063">
            <v>37433</v>
          </cell>
          <cell r="C2063" t="str">
            <v>NG</v>
          </cell>
          <cell r="D2063" t="str">
            <v>200410</v>
          </cell>
          <cell r="E2063">
            <v>3.94</v>
          </cell>
        </row>
        <row r="2064">
          <cell r="A2064" t="str">
            <v>37433200411</v>
          </cell>
          <cell r="B2064">
            <v>37433</v>
          </cell>
          <cell r="C2064" t="str">
            <v>NG</v>
          </cell>
          <cell r="D2064" t="str">
            <v>200411</v>
          </cell>
          <cell r="E2064">
            <v>4.1349999999999998</v>
          </cell>
        </row>
        <row r="2065">
          <cell r="A2065" t="str">
            <v>37433200412</v>
          </cell>
          <cell r="B2065">
            <v>37433</v>
          </cell>
          <cell r="C2065" t="str">
            <v>NG</v>
          </cell>
          <cell r="D2065" t="str">
            <v>200412</v>
          </cell>
          <cell r="E2065">
            <v>4.32</v>
          </cell>
        </row>
        <row r="2066">
          <cell r="A2066" t="str">
            <v>37434200401</v>
          </cell>
          <cell r="B2066">
            <v>37434</v>
          </cell>
          <cell r="C2066" t="str">
            <v>NG</v>
          </cell>
          <cell r="D2066" t="str">
            <v>200401</v>
          </cell>
          <cell r="E2066">
            <v>4.3150000000000004</v>
          </cell>
        </row>
        <row r="2067">
          <cell r="A2067" t="str">
            <v>37434200402</v>
          </cell>
          <cell r="B2067">
            <v>37434</v>
          </cell>
          <cell r="C2067" t="str">
            <v>NG</v>
          </cell>
          <cell r="D2067" t="str">
            <v>200402</v>
          </cell>
          <cell r="E2067">
            <v>4.1950000000000003</v>
          </cell>
        </row>
        <row r="2068">
          <cell r="A2068" t="str">
            <v>37434200403</v>
          </cell>
          <cell r="B2068">
            <v>37434</v>
          </cell>
          <cell r="C2068" t="str">
            <v>NG</v>
          </cell>
          <cell r="D2068" t="str">
            <v>200403</v>
          </cell>
          <cell r="E2068">
            <v>4</v>
          </cell>
        </row>
        <row r="2069">
          <cell r="A2069" t="str">
            <v>37434200404</v>
          </cell>
          <cell r="B2069">
            <v>37434</v>
          </cell>
          <cell r="C2069" t="str">
            <v>NG</v>
          </cell>
          <cell r="D2069" t="str">
            <v>200404</v>
          </cell>
          <cell r="E2069">
            <v>3.7349999999999999</v>
          </cell>
        </row>
        <row r="2070">
          <cell r="A2070" t="str">
            <v>37434200405</v>
          </cell>
          <cell r="B2070">
            <v>37434</v>
          </cell>
          <cell r="C2070" t="str">
            <v>NG</v>
          </cell>
          <cell r="D2070" t="str">
            <v>200405</v>
          </cell>
          <cell r="E2070">
            <v>3.722</v>
          </cell>
        </row>
        <row r="2071">
          <cell r="A2071" t="str">
            <v>37434200406</v>
          </cell>
          <cell r="B2071">
            <v>37434</v>
          </cell>
          <cell r="C2071" t="str">
            <v>NG</v>
          </cell>
          <cell r="D2071" t="str">
            <v>200406</v>
          </cell>
          <cell r="E2071">
            <v>3.7690000000000001</v>
          </cell>
        </row>
        <row r="2072">
          <cell r="A2072" t="str">
            <v>37434200407</v>
          </cell>
          <cell r="B2072">
            <v>37434</v>
          </cell>
          <cell r="C2072" t="str">
            <v>NG</v>
          </cell>
          <cell r="D2072" t="str">
            <v>200407</v>
          </cell>
          <cell r="E2072">
            <v>3.8170000000000002</v>
          </cell>
        </row>
        <row r="2073">
          <cell r="A2073" t="str">
            <v>37434200408</v>
          </cell>
          <cell r="B2073">
            <v>37434</v>
          </cell>
          <cell r="C2073" t="str">
            <v>NG</v>
          </cell>
          <cell r="D2073" t="str">
            <v>200408</v>
          </cell>
          <cell r="E2073">
            <v>3.8620000000000001</v>
          </cell>
        </row>
        <row r="2074">
          <cell r="A2074" t="str">
            <v>37434200409</v>
          </cell>
          <cell r="B2074">
            <v>37434</v>
          </cell>
          <cell r="C2074" t="str">
            <v>NG</v>
          </cell>
          <cell r="D2074" t="str">
            <v>200409</v>
          </cell>
          <cell r="E2074">
            <v>3.8519999999999999</v>
          </cell>
        </row>
        <row r="2075">
          <cell r="A2075" t="str">
            <v>37434200410</v>
          </cell>
          <cell r="B2075">
            <v>37434</v>
          </cell>
          <cell r="C2075" t="str">
            <v>NG</v>
          </cell>
          <cell r="D2075" t="str">
            <v>200410</v>
          </cell>
          <cell r="E2075">
            <v>3.8769999999999998</v>
          </cell>
        </row>
        <row r="2076">
          <cell r="A2076" t="str">
            <v>37434200411</v>
          </cell>
          <cell r="B2076">
            <v>37434</v>
          </cell>
          <cell r="C2076" t="str">
            <v>NG</v>
          </cell>
          <cell r="D2076" t="str">
            <v>200411</v>
          </cell>
          <cell r="E2076">
            <v>4.077</v>
          </cell>
        </row>
        <row r="2077">
          <cell r="A2077" t="str">
            <v>37434200412</v>
          </cell>
          <cell r="B2077">
            <v>37434</v>
          </cell>
          <cell r="C2077" t="str">
            <v>NG</v>
          </cell>
          <cell r="D2077" t="str">
            <v>200412</v>
          </cell>
          <cell r="E2077">
            <v>4.2649999999999997</v>
          </cell>
        </row>
        <row r="2078">
          <cell r="A2078" t="str">
            <v>37435200401</v>
          </cell>
          <cell r="B2078">
            <v>37435</v>
          </cell>
          <cell r="C2078" t="str">
            <v>NG</v>
          </cell>
          <cell r="D2078" t="str">
            <v>200401</v>
          </cell>
          <cell r="E2078">
            <v>4.3390000000000004</v>
          </cell>
        </row>
        <row r="2079">
          <cell r="A2079" t="str">
            <v>37435200402</v>
          </cell>
          <cell r="B2079">
            <v>37435</v>
          </cell>
          <cell r="C2079" t="str">
            <v>NG</v>
          </cell>
          <cell r="D2079" t="str">
            <v>200402</v>
          </cell>
          <cell r="E2079">
            <v>4.2190000000000003</v>
          </cell>
        </row>
        <row r="2080">
          <cell r="A2080" t="str">
            <v>37435200403</v>
          </cell>
          <cell r="B2080">
            <v>37435</v>
          </cell>
          <cell r="C2080" t="str">
            <v>NG</v>
          </cell>
          <cell r="D2080" t="str">
            <v>200403</v>
          </cell>
          <cell r="E2080">
            <v>4.024</v>
          </cell>
        </row>
        <row r="2081">
          <cell r="A2081" t="str">
            <v>37435200404</v>
          </cell>
          <cell r="B2081">
            <v>37435</v>
          </cell>
          <cell r="C2081" t="str">
            <v>NG</v>
          </cell>
          <cell r="D2081" t="str">
            <v>200404</v>
          </cell>
          <cell r="E2081">
            <v>3.754</v>
          </cell>
        </row>
        <row r="2082">
          <cell r="A2082" t="str">
            <v>37435200405</v>
          </cell>
          <cell r="B2082">
            <v>37435</v>
          </cell>
          <cell r="C2082" t="str">
            <v>NG</v>
          </cell>
          <cell r="D2082" t="str">
            <v>200405</v>
          </cell>
          <cell r="E2082">
            <v>3.734</v>
          </cell>
        </row>
        <row r="2083">
          <cell r="A2083" t="str">
            <v>37435200406</v>
          </cell>
          <cell r="B2083">
            <v>37435</v>
          </cell>
          <cell r="C2083" t="str">
            <v>NG</v>
          </cell>
          <cell r="D2083" t="str">
            <v>200406</v>
          </cell>
          <cell r="E2083">
            <v>3.7810000000000001</v>
          </cell>
        </row>
        <row r="2084">
          <cell r="A2084" t="str">
            <v>37435200407</v>
          </cell>
          <cell r="B2084">
            <v>37435</v>
          </cell>
          <cell r="C2084" t="str">
            <v>NG</v>
          </cell>
          <cell r="D2084" t="str">
            <v>200407</v>
          </cell>
          <cell r="E2084">
            <v>3.8290000000000002</v>
          </cell>
        </row>
        <row r="2085">
          <cell r="A2085" t="str">
            <v>37435200408</v>
          </cell>
          <cell r="B2085">
            <v>37435</v>
          </cell>
          <cell r="C2085" t="str">
            <v>NG</v>
          </cell>
          <cell r="D2085" t="str">
            <v>200408</v>
          </cell>
          <cell r="E2085">
            <v>3.8740000000000001</v>
          </cell>
        </row>
        <row r="2086">
          <cell r="A2086" t="str">
            <v>37435200409</v>
          </cell>
          <cell r="B2086">
            <v>37435</v>
          </cell>
          <cell r="C2086" t="str">
            <v>NG</v>
          </cell>
          <cell r="D2086" t="str">
            <v>200409</v>
          </cell>
          <cell r="E2086">
            <v>3.8690000000000002</v>
          </cell>
        </row>
        <row r="2087">
          <cell r="A2087" t="str">
            <v>37435200410</v>
          </cell>
          <cell r="B2087">
            <v>37435</v>
          </cell>
          <cell r="C2087" t="str">
            <v>NG</v>
          </cell>
          <cell r="D2087" t="str">
            <v>200410</v>
          </cell>
          <cell r="E2087">
            <v>3.8889999999999998</v>
          </cell>
        </row>
        <row r="2088">
          <cell r="A2088" t="str">
            <v>37435200411</v>
          </cell>
          <cell r="B2088">
            <v>37435</v>
          </cell>
          <cell r="C2088" t="str">
            <v>NG</v>
          </cell>
          <cell r="D2088" t="str">
            <v>200411</v>
          </cell>
          <cell r="E2088">
            <v>4.0890000000000004</v>
          </cell>
        </row>
        <row r="2089">
          <cell r="A2089" t="str">
            <v>37435200412</v>
          </cell>
          <cell r="B2089">
            <v>37435</v>
          </cell>
          <cell r="C2089" t="str">
            <v>NG</v>
          </cell>
          <cell r="D2089" t="str">
            <v>200412</v>
          </cell>
          <cell r="E2089">
            <v>4.2770000000000001</v>
          </cell>
        </row>
        <row r="2090">
          <cell r="A2090" t="str">
            <v>37436200401</v>
          </cell>
          <cell r="B2090">
            <v>37436</v>
          </cell>
          <cell r="C2090" t="str">
            <v>NG</v>
          </cell>
          <cell r="D2090" t="str">
            <v>200401</v>
          </cell>
          <cell r="E2090">
            <v>4.3390000000000004</v>
          </cell>
        </row>
        <row r="2091">
          <cell r="A2091" t="str">
            <v>37436200402</v>
          </cell>
          <cell r="B2091">
            <v>37436</v>
          </cell>
          <cell r="C2091" t="str">
            <v>NG</v>
          </cell>
          <cell r="D2091" t="str">
            <v>200402</v>
          </cell>
          <cell r="E2091">
            <v>4.2190000000000003</v>
          </cell>
        </row>
        <row r="2092">
          <cell r="A2092" t="str">
            <v>37436200403</v>
          </cell>
          <cell r="B2092">
            <v>37436</v>
          </cell>
          <cell r="C2092" t="str">
            <v>NG</v>
          </cell>
          <cell r="D2092" t="str">
            <v>200403</v>
          </cell>
          <cell r="E2092">
            <v>4.024</v>
          </cell>
        </row>
        <row r="2093">
          <cell r="A2093" t="str">
            <v>37436200404</v>
          </cell>
          <cell r="B2093">
            <v>37436</v>
          </cell>
          <cell r="C2093" t="str">
            <v>NG</v>
          </cell>
          <cell r="D2093" t="str">
            <v>200404</v>
          </cell>
          <cell r="E2093">
            <v>3.754</v>
          </cell>
        </row>
        <row r="2094">
          <cell r="A2094" t="str">
            <v>37436200405</v>
          </cell>
          <cell r="B2094">
            <v>37436</v>
          </cell>
          <cell r="C2094" t="str">
            <v>NG</v>
          </cell>
          <cell r="D2094" t="str">
            <v>200405</v>
          </cell>
          <cell r="E2094">
            <v>3.734</v>
          </cell>
        </row>
        <row r="2095">
          <cell r="A2095" t="str">
            <v>37436200406</v>
          </cell>
          <cell r="B2095">
            <v>37436</v>
          </cell>
          <cell r="C2095" t="str">
            <v>NG</v>
          </cell>
          <cell r="D2095" t="str">
            <v>200406</v>
          </cell>
          <cell r="E2095">
            <v>3.7810000000000001</v>
          </cell>
        </row>
        <row r="2096">
          <cell r="A2096" t="str">
            <v>37436200407</v>
          </cell>
          <cell r="B2096">
            <v>37436</v>
          </cell>
          <cell r="C2096" t="str">
            <v>NG</v>
          </cell>
          <cell r="D2096" t="str">
            <v>200407</v>
          </cell>
          <cell r="E2096">
            <v>3.8290000000000002</v>
          </cell>
        </row>
        <row r="2097">
          <cell r="A2097" t="str">
            <v>37436200408</v>
          </cell>
          <cell r="B2097">
            <v>37436</v>
          </cell>
          <cell r="C2097" t="str">
            <v>NG</v>
          </cell>
          <cell r="D2097" t="str">
            <v>200408</v>
          </cell>
          <cell r="E2097">
            <v>3.8740000000000001</v>
          </cell>
        </row>
        <row r="2098">
          <cell r="A2098" t="str">
            <v>37436200409</v>
          </cell>
          <cell r="B2098">
            <v>37436</v>
          </cell>
          <cell r="C2098" t="str">
            <v>NG</v>
          </cell>
          <cell r="D2098" t="str">
            <v>200409</v>
          </cell>
          <cell r="E2098">
            <v>3.8690000000000002</v>
          </cell>
        </row>
        <row r="2099">
          <cell r="A2099" t="str">
            <v>37436200410</v>
          </cell>
          <cell r="B2099">
            <v>37436</v>
          </cell>
          <cell r="C2099" t="str">
            <v>NG</v>
          </cell>
          <cell r="D2099" t="str">
            <v>200410</v>
          </cell>
          <cell r="E2099">
            <v>3.8889999999999998</v>
          </cell>
        </row>
        <row r="2100">
          <cell r="A2100" t="str">
            <v>37436200411</v>
          </cell>
          <cell r="B2100">
            <v>37436</v>
          </cell>
          <cell r="C2100" t="str">
            <v>NG</v>
          </cell>
          <cell r="D2100" t="str">
            <v>200411</v>
          </cell>
          <cell r="E2100">
            <v>4.0890000000000004</v>
          </cell>
        </row>
        <row r="2101">
          <cell r="A2101" t="str">
            <v>37436200412</v>
          </cell>
          <cell r="B2101">
            <v>37436</v>
          </cell>
          <cell r="C2101" t="str">
            <v>NG</v>
          </cell>
          <cell r="D2101" t="str">
            <v>200412</v>
          </cell>
          <cell r="E2101">
            <v>4.2770000000000001</v>
          </cell>
        </row>
        <row r="2102">
          <cell r="A2102" t="str">
            <v>37437200401</v>
          </cell>
          <cell r="B2102">
            <v>37437</v>
          </cell>
          <cell r="C2102" t="str">
            <v>NG</v>
          </cell>
          <cell r="D2102" t="str">
            <v>200401</v>
          </cell>
          <cell r="E2102">
            <v>4.3390000000000004</v>
          </cell>
        </row>
        <row r="2103">
          <cell r="A2103" t="str">
            <v>37437200402</v>
          </cell>
          <cell r="B2103">
            <v>37437</v>
          </cell>
          <cell r="C2103" t="str">
            <v>NG</v>
          </cell>
          <cell r="D2103" t="str">
            <v>200402</v>
          </cell>
          <cell r="E2103">
            <v>4.2190000000000003</v>
          </cell>
        </row>
        <row r="2104">
          <cell r="A2104" t="str">
            <v>37437200403</v>
          </cell>
          <cell r="B2104">
            <v>37437</v>
          </cell>
          <cell r="C2104" t="str">
            <v>NG</v>
          </cell>
          <cell r="D2104" t="str">
            <v>200403</v>
          </cell>
          <cell r="E2104">
            <v>4.024</v>
          </cell>
        </row>
        <row r="2105">
          <cell r="A2105" t="str">
            <v>37437200404</v>
          </cell>
          <cell r="B2105">
            <v>37437</v>
          </cell>
          <cell r="C2105" t="str">
            <v>NG</v>
          </cell>
          <cell r="D2105" t="str">
            <v>200404</v>
          </cell>
          <cell r="E2105">
            <v>3.754</v>
          </cell>
        </row>
        <row r="2106">
          <cell r="A2106" t="str">
            <v>37437200405</v>
          </cell>
          <cell r="B2106">
            <v>37437</v>
          </cell>
          <cell r="C2106" t="str">
            <v>NG</v>
          </cell>
          <cell r="D2106" t="str">
            <v>200405</v>
          </cell>
          <cell r="E2106">
            <v>3.734</v>
          </cell>
        </row>
        <row r="2107">
          <cell r="A2107" t="str">
            <v>37437200406</v>
          </cell>
          <cell r="B2107">
            <v>37437</v>
          </cell>
          <cell r="C2107" t="str">
            <v>NG</v>
          </cell>
          <cell r="D2107" t="str">
            <v>200406</v>
          </cell>
          <cell r="E2107">
            <v>3.7810000000000001</v>
          </cell>
        </row>
        <row r="2108">
          <cell r="A2108" t="str">
            <v>37437200407</v>
          </cell>
          <cell r="B2108">
            <v>37437</v>
          </cell>
          <cell r="C2108" t="str">
            <v>NG</v>
          </cell>
          <cell r="D2108" t="str">
            <v>200407</v>
          </cell>
          <cell r="E2108">
            <v>3.8290000000000002</v>
          </cell>
        </row>
        <row r="2109">
          <cell r="A2109" t="str">
            <v>37437200408</v>
          </cell>
          <cell r="B2109">
            <v>37437</v>
          </cell>
          <cell r="C2109" t="str">
            <v>NG</v>
          </cell>
          <cell r="D2109" t="str">
            <v>200408</v>
          </cell>
          <cell r="E2109">
            <v>3.8740000000000001</v>
          </cell>
        </row>
        <row r="2110">
          <cell r="A2110" t="str">
            <v>37437200409</v>
          </cell>
          <cell r="B2110">
            <v>37437</v>
          </cell>
          <cell r="C2110" t="str">
            <v>NG</v>
          </cell>
          <cell r="D2110" t="str">
            <v>200409</v>
          </cell>
          <cell r="E2110">
            <v>3.8690000000000002</v>
          </cell>
        </row>
        <row r="2111">
          <cell r="A2111" t="str">
            <v>37437200410</v>
          </cell>
          <cell r="B2111">
            <v>37437</v>
          </cell>
          <cell r="C2111" t="str">
            <v>NG</v>
          </cell>
          <cell r="D2111" t="str">
            <v>200410</v>
          </cell>
          <cell r="E2111">
            <v>3.8889999999999998</v>
          </cell>
        </row>
        <row r="2112">
          <cell r="A2112" t="str">
            <v>37437200411</v>
          </cell>
          <cell r="B2112">
            <v>37437</v>
          </cell>
          <cell r="C2112" t="str">
            <v>NG</v>
          </cell>
          <cell r="D2112" t="str">
            <v>200411</v>
          </cell>
          <cell r="E2112">
            <v>4.0890000000000004</v>
          </cell>
        </row>
        <row r="2113">
          <cell r="A2113" t="str">
            <v>37437200412</v>
          </cell>
          <cell r="B2113">
            <v>37437</v>
          </cell>
          <cell r="C2113" t="str">
            <v>NG</v>
          </cell>
          <cell r="D2113" t="str">
            <v>200412</v>
          </cell>
          <cell r="E2113">
            <v>4.2770000000000001</v>
          </cell>
        </row>
        <row r="2114">
          <cell r="A2114" t="str">
            <v>37438200401</v>
          </cell>
          <cell r="B2114">
            <v>37438</v>
          </cell>
          <cell r="C2114" t="str">
            <v>NG</v>
          </cell>
          <cell r="D2114" t="str">
            <v>200401</v>
          </cell>
          <cell r="E2114">
            <v>4.33</v>
          </cell>
        </row>
        <row r="2115">
          <cell r="A2115" t="str">
            <v>37438200402</v>
          </cell>
          <cell r="B2115">
            <v>37438</v>
          </cell>
          <cell r="C2115" t="str">
            <v>NG</v>
          </cell>
          <cell r="D2115" t="str">
            <v>200402</v>
          </cell>
          <cell r="E2115">
            <v>4.21</v>
          </cell>
        </row>
        <row r="2116">
          <cell r="A2116" t="str">
            <v>37438200403</v>
          </cell>
          <cell r="B2116">
            <v>37438</v>
          </cell>
          <cell r="C2116" t="str">
            <v>NG</v>
          </cell>
          <cell r="D2116" t="str">
            <v>200403</v>
          </cell>
          <cell r="E2116">
            <v>4.0149999999999997</v>
          </cell>
        </row>
        <row r="2117">
          <cell r="A2117" t="str">
            <v>37438200404</v>
          </cell>
          <cell r="B2117">
            <v>37438</v>
          </cell>
          <cell r="C2117" t="str">
            <v>NG</v>
          </cell>
          <cell r="D2117" t="str">
            <v>200404</v>
          </cell>
          <cell r="E2117">
            <v>3.75</v>
          </cell>
        </row>
        <row r="2118">
          <cell r="A2118" t="str">
            <v>37438200405</v>
          </cell>
          <cell r="B2118">
            <v>37438</v>
          </cell>
          <cell r="C2118" t="str">
            <v>NG</v>
          </cell>
          <cell r="D2118" t="str">
            <v>200405</v>
          </cell>
          <cell r="E2118">
            <v>3.7250000000000001</v>
          </cell>
        </row>
        <row r="2119">
          <cell r="A2119" t="str">
            <v>37438200406</v>
          </cell>
          <cell r="B2119">
            <v>37438</v>
          </cell>
          <cell r="C2119" t="str">
            <v>NG</v>
          </cell>
          <cell r="D2119" t="str">
            <v>200406</v>
          </cell>
          <cell r="E2119">
            <v>3.7719999999999998</v>
          </cell>
        </row>
        <row r="2120">
          <cell r="A2120" t="str">
            <v>37438200407</v>
          </cell>
          <cell r="B2120">
            <v>37438</v>
          </cell>
          <cell r="C2120" t="str">
            <v>NG</v>
          </cell>
          <cell r="D2120" t="str">
            <v>200407</v>
          </cell>
          <cell r="E2120">
            <v>3.82</v>
          </cell>
        </row>
        <row r="2121">
          <cell r="A2121" t="str">
            <v>37438200408</v>
          </cell>
          <cell r="B2121">
            <v>37438</v>
          </cell>
          <cell r="C2121" t="str">
            <v>NG</v>
          </cell>
          <cell r="D2121" t="str">
            <v>200408</v>
          </cell>
          <cell r="E2121">
            <v>3.8650000000000002</v>
          </cell>
        </row>
        <row r="2122">
          <cell r="A2122" t="str">
            <v>37438200409</v>
          </cell>
          <cell r="B2122">
            <v>37438</v>
          </cell>
          <cell r="C2122" t="str">
            <v>NG</v>
          </cell>
          <cell r="D2122" t="str">
            <v>200409</v>
          </cell>
          <cell r="E2122">
            <v>3.855</v>
          </cell>
        </row>
        <row r="2123">
          <cell r="A2123" t="str">
            <v>37438200410</v>
          </cell>
          <cell r="B2123">
            <v>37438</v>
          </cell>
          <cell r="C2123" t="str">
            <v>NG</v>
          </cell>
          <cell r="D2123" t="str">
            <v>200410</v>
          </cell>
          <cell r="E2123">
            <v>3.88</v>
          </cell>
        </row>
        <row r="2124">
          <cell r="A2124" t="str">
            <v>37438200411</v>
          </cell>
          <cell r="B2124">
            <v>37438</v>
          </cell>
          <cell r="C2124" t="str">
            <v>NG</v>
          </cell>
          <cell r="D2124" t="str">
            <v>200411</v>
          </cell>
          <cell r="E2124">
            <v>4.08</v>
          </cell>
        </row>
        <row r="2125">
          <cell r="A2125" t="str">
            <v>37438200412</v>
          </cell>
          <cell r="B2125">
            <v>37438</v>
          </cell>
          <cell r="C2125" t="str">
            <v>NG</v>
          </cell>
          <cell r="D2125" t="str">
            <v>200412</v>
          </cell>
          <cell r="E2125">
            <v>4.2750000000000004</v>
          </cell>
        </row>
        <row r="2126">
          <cell r="A2126" t="str">
            <v>37439200401</v>
          </cell>
          <cell r="B2126">
            <v>37439</v>
          </cell>
          <cell r="C2126" t="str">
            <v>NG</v>
          </cell>
          <cell r="D2126" t="str">
            <v>200401</v>
          </cell>
          <cell r="E2126">
            <v>4.3330000000000002</v>
          </cell>
        </row>
        <row r="2127">
          <cell r="A2127" t="str">
            <v>37439200402</v>
          </cell>
          <cell r="B2127">
            <v>37439</v>
          </cell>
          <cell r="C2127" t="str">
            <v>NG</v>
          </cell>
          <cell r="D2127" t="str">
            <v>200402</v>
          </cell>
          <cell r="E2127">
            <v>4.2130000000000001</v>
          </cell>
        </row>
        <row r="2128">
          <cell r="A2128" t="str">
            <v>37439200403</v>
          </cell>
          <cell r="B2128">
            <v>37439</v>
          </cell>
          <cell r="C2128" t="str">
            <v>NG</v>
          </cell>
          <cell r="D2128" t="str">
            <v>200403</v>
          </cell>
          <cell r="E2128">
            <v>4.0179999999999998</v>
          </cell>
        </row>
        <row r="2129">
          <cell r="A2129" t="str">
            <v>37439200404</v>
          </cell>
          <cell r="B2129">
            <v>37439</v>
          </cell>
          <cell r="C2129" t="str">
            <v>NG</v>
          </cell>
          <cell r="D2129" t="str">
            <v>200404</v>
          </cell>
          <cell r="E2129">
            <v>3.758</v>
          </cell>
        </row>
        <row r="2130">
          <cell r="A2130" t="str">
            <v>37439200405</v>
          </cell>
          <cell r="B2130">
            <v>37439</v>
          </cell>
          <cell r="C2130" t="str">
            <v>NG</v>
          </cell>
          <cell r="D2130" t="str">
            <v>200405</v>
          </cell>
          <cell r="E2130">
            <v>3.7330000000000001</v>
          </cell>
        </row>
        <row r="2131">
          <cell r="A2131" t="str">
            <v>37439200406</v>
          </cell>
          <cell r="B2131">
            <v>37439</v>
          </cell>
          <cell r="C2131" t="str">
            <v>NG</v>
          </cell>
          <cell r="D2131" t="str">
            <v>200406</v>
          </cell>
          <cell r="E2131">
            <v>3.78</v>
          </cell>
        </row>
        <row r="2132">
          <cell r="A2132" t="str">
            <v>37439200407</v>
          </cell>
          <cell r="B2132">
            <v>37439</v>
          </cell>
          <cell r="C2132" t="str">
            <v>NG</v>
          </cell>
          <cell r="D2132" t="str">
            <v>200407</v>
          </cell>
          <cell r="E2132">
            <v>3.8279999999999998</v>
          </cell>
        </row>
        <row r="2133">
          <cell r="A2133" t="str">
            <v>37439200408</v>
          </cell>
          <cell r="B2133">
            <v>37439</v>
          </cell>
          <cell r="C2133" t="str">
            <v>NG</v>
          </cell>
          <cell r="D2133" t="str">
            <v>200408</v>
          </cell>
          <cell r="E2133">
            <v>3.8730000000000002</v>
          </cell>
        </row>
        <row r="2134">
          <cell r="A2134" t="str">
            <v>37439200409</v>
          </cell>
          <cell r="B2134">
            <v>37439</v>
          </cell>
          <cell r="C2134" t="str">
            <v>NG</v>
          </cell>
          <cell r="D2134" t="str">
            <v>200409</v>
          </cell>
          <cell r="E2134">
            <v>3.8679999999999999</v>
          </cell>
        </row>
        <row r="2135">
          <cell r="A2135" t="str">
            <v>37439200410</v>
          </cell>
          <cell r="B2135">
            <v>37439</v>
          </cell>
          <cell r="C2135" t="str">
            <v>NG</v>
          </cell>
          <cell r="D2135" t="str">
            <v>200410</v>
          </cell>
          <cell r="E2135">
            <v>3.8929999999999998</v>
          </cell>
        </row>
        <row r="2136">
          <cell r="A2136" t="str">
            <v>37439200411</v>
          </cell>
          <cell r="B2136">
            <v>37439</v>
          </cell>
          <cell r="C2136" t="str">
            <v>NG</v>
          </cell>
          <cell r="D2136" t="str">
            <v>200411</v>
          </cell>
          <cell r="E2136">
            <v>4.093</v>
          </cell>
        </row>
        <row r="2137">
          <cell r="A2137" t="str">
            <v>37439200412</v>
          </cell>
          <cell r="B2137">
            <v>37439</v>
          </cell>
          <cell r="C2137" t="str">
            <v>NG</v>
          </cell>
          <cell r="D2137" t="str">
            <v>200412</v>
          </cell>
          <cell r="E2137">
            <v>4.2880000000000003</v>
          </cell>
        </row>
        <row r="2138">
          <cell r="A2138" t="str">
            <v>37440200401</v>
          </cell>
          <cell r="B2138">
            <v>37440</v>
          </cell>
          <cell r="C2138" t="str">
            <v>NG</v>
          </cell>
          <cell r="D2138" t="str">
            <v>200401</v>
          </cell>
          <cell r="E2138">
            <v>4.3540000000000001</v>
          </cell>
        </row>
        <row r="2139">
          <cell r="A2139" t="str">
            <v>37440200402</v>
          </cell>
          <cell r="B2139">
            <v>37440</v>
          </cell>
          <cell r="C2139" t="str">
            <v>NG</v>
          </cell>
          <cell r="D2139" t="str">
            <v>200402</v>
          </cell>
          <cell r="E2139">
            <v>4.2389999999999999</v>
          </cell>
        </row>
        <row r="2140">
          <cell r="A2140" t="str">
            <v>37440200403</v>
          </cell>
          <cell r="B2140">
            <v>37440</v>
          </cell>
          <cell r="C2140" t="str">
            <v>NG</v>
          </cell>
          <cell r="D2140" t="str">
            <v>200403</v>
          </cell>
          <cell r="E2140">
            <v>4.0449999999999999</v>
          </cell>
        </row>
        <row r="2141">
          <cell r="A2141" t="str">
            <v>37440200404</v>
          </cell>
          <cell r="B2141">
            <v>37440</v>
          </cell>
          <cell r="C2141" t="str">
            <v>NG</v>
          </cell>
          <cell r="D2141" t="str">
            <v>200404</v>
          </cell>
          <cell r="E2141">
            <v>3.7850000000000001</v>
          </cell>
        </row>
        <row r="2142">
          <cell r="A2142" t="str">
            <v>37440200405</v>
          </cell>
          <cell r="B2142">
            <v>37440</v>
          </cell>
          <cell r="C2142" t="str">
            <v>NG</v>
          </cell>
          <cell r="D2142" t="str">
            <v>200405</v>
          </cell>
          <cell r="E2142">
            <v>3.7589999999999999</v>
          </cell>
        </row>
        <row r="2143">
          <cell r="A2143" t="str">
            <v>37440200406</v>
          </cell>
          <cell r="B2143">
            <v>37440</v>
          </cell>
          <cell r="C2143" t="str">
            <v>NG</v>
          </cell>
          <cell r="D2143" t="str">
            <v>200406</v>
          </cell>
          <cell r="E2143">
            <v>3.806</v>
          </cell>
        </row>
        <row r="2144">
          <cell r="A2144" t="str">
            <v>37440200407</v>
          </cell>
          <cell r="B2144">
            <v>37440</v>
          </cell>
          <cell r="C2144" t="str">
            <v>NG</v>
          </cell>
          <cell r="D2144" t="str">
            <v>200407</v>
          </cell>
          <cell r="E2144">
            <v>3.8540000000000001</v>
          </cell>
        </row>
        <row r="2145">
          <cell r="A2145" t="str">
            <v>37440200408</v>
          </cell>
          <cell r="B2145">
            <v>37440</v>
          </cell>
          <cell r="C2145" t="str">
            <v>NG</v>
          </cell>
          <cell r="D2145" t="str">
            <v>200408</v>
          </cell>
          <cell r="E2145">
            <v>3.8969999999999998</v>
          </cell>
        </row>
        <row r="2146">
          <cell r="A2146" t="str">
            <v>37440200409</v>
          </cell>
          <cell r="B2146">
            <v>37440</v>
          </cell>
          <cell r="C2146" t="str">
            <v>NG</v>
          </cell>
          <cell r="D2146" t="str">
            <v>200409</v>
          </cell>
          <cell r="E2146">
            <v>3.8940000000000001</v>
          </cell>
        </row>
        <row r="2147">
          <cell r="A2147" t="str">
            <v>37440200410</v>
          </cell>
          <cell r="B2147">
            <v>37440</v>
          </cell>
          <cell r="C2147" t="str">
            <v>NG</v>
          </cell>
          <cell r="D2147" t="str">
            <v>200410</v>
          </cell>
          <cell r="E2147">
            <v>3.9220000000000002</v>
          </cell>
        </row>
        <row r="2148">
          <cell r="A2148" t="str">
            <v>37440200411</v>
          </cell>
          <cell r="B2148">
            <v>37440</v>
          </cell>
          <cell r="C2148" t="str">
            <v>NG</v>
          </cell>
          <cell r="D2148" t="str">
            <v>200411</v>
          </cell>
          <cell r="E2148">
            <v>4.1219999999999999</v>
          </cell>
        </row>
        <row r="2149">
          <cell r="A2149" t="str">
            <v>37440200412</v>
          </cell>
          <cell r="B2149">
            <v>37440</v>
          </cell>
          <cell r="C2149" t="str">
            <v>NG</v>
          </cell>
          <cell r="D2149" t="str">
            <v>200412</v>
          </cell>
          <cell r="E2149">
            <v>4.3170000000000002</v>
          </cell>
        </row>
        <row r="2150">
          <cell r="A2150" t="str">
            <v>37441200401</v>
          </cell>
          <cell r="B2150">
            <v>37441</v>
          </cell>
          <cell r="C2150" t="str">
            <v>NG</v>
          </cell>
          <cell r="D2150" t="str">
            <v>200401</v>
          </cell>
          <cell r="E2150">
            <v>4.3540000000000001</v>
          </cell>
        </row>
        <row r="2151">
          <cell r="A2151" t="str">
            <v>37441200402</v>
          </cell>
          <cell r="B2151">
            <v>37441</v>
          </cell>
          <cell r="C2151" t="str">
            <v>NG</v>
          </cell>
          <cell r="D2151" t="str">
            <v>200402</v>
          </cell>
          <cell r="E2151">
            <v>4.2389999999999999</v>
          </cell>
        </row>
        <row r="2152">
          <cell r="A2152" t="str">
            <v>37441200403</v>
          </cell>
          <cell r="B2152">
            <v>37441</v>
          </cell>
          <cell r="C2152" t="str">
            <v>NG</v>
          </cell>
          <cell r="D2152" t="str">
            <v>200403</v>
          </cell>
          <cell r="E2152">
            <v>4.0449999999999999</v>
          </cell>
        </row>
        <row r="2153">
          <cell r="A2153" t="str">
            <v>37441200404</v>
          </cell>
          <cell r="B2153">
            <v>37441</v>
          </cell>
          <cell r="C2153" t="str">
            <v>NG</v>
          </cell>
          <cell r="D2153" t="str">
            <v>200404</v>
          </cell>
          <cell r="E2153">
            <v>3.7850000000000001</v>
          </cell>
        </row>
        <row r="2154">
          <cell r="A2154" t="str">
            <v>37441200405</v>
          </cell>
          <cell r="B2154">
            <v>37441</v>
          </cell>
          <cell r="C2154" t="str">
            <v>NG</v>
          </cell>
          <cell r="D2154" t="str">
            <v>200405</v>
          </cell>
          <cell r="E2154">
            <v>3.7589999999999999</v>
          </cell>
        </row>
        <row r="2155">
          <cell r="A2155" t="str">
            <v>37441200406</v>
          </cell>
          <cell r="B2155">
            <v>37441</v>
          </cell>
          <cell r="C2155" t="str">
            <v>NG</v>
          </cell>
          <cell r="D2155" t="str">
            <v>200406</v>
          </cell>
          <cell r="E2155">
            <v>3.806</v>
          </cell>
        </row>
        <row r="2156">
          <cell r="A2156" t="str">
            <v>37441200407</v>
          </cell>
          <cell r="B2156">
            <v>37441</v>
          </cell>
          <cell r="C2156" t="str">
            <v>NG</v>
          </cell>
          <cell r="D2156" t="str">
            <v>200407</v>
          </cell>
          <cell r="E2156">
            <v>3.8540000000000001</v>
          </cell>
        </row>
        <row r="2157">
          <cell r="A2157" t="str">
            <v>37441200408</v>
          </cell>
          <cell r="B2157">
            <v>37441</v>
          </cell>
          <cell r="C2157" t="str">
            <v>NG</v>
          </cell>
          <cell r="D2157" t="str">
            <v>200408</v>
          </cell>
          <cell r="E2157">
            <v>3.8969999999999998</v>
          </cell>
        </row>
        <row r="2158">
          <cell r="A2158" t="str">
            <v>37441200409</v>
          </cell>
          <cell r="B2158">
            <v>37441</v>
          </cell>
          <cell r="C2158" t="str">
            <v>NG</v>
          </cell>
          <cell r="D2158" t="str">
            <v>200409</v>
          </cell>
          <cell r="E2158">
            <v>3.8940000000000001</v>
          </cell>
        </row>
        <row r="2159">
          <cell r="A2159" t="str">
            <v>37441200410</v>
          </cell>
          <cell r="B2159">
            <v>37441</v>
          </cell>
          <cell r="C2159" t="str">
            <v>NG</v>
          </cell>
          <cell r="D2159" t="str">
            <v>200410</v>
          </cell>
          <cell r="E2159">
            <v>3.9220000000000002</v>
          </cell>
        </row>
        <row r="2160">
          <cell r="A2160" t="str">
            <v>37441200411</v>
          </cell>
          <cell r="B2160">
            <v>37441</v>
          </cell>
          <cell r="C2160" t="str">
            <v>NG</v>
          </cell>
          <cell r="D2160" t="str">
            <v>200411</v>
          </cell>
          <cell r="E2160">
            <v>4.1219999999999999</v>
          </cell>
        </row>
        <row r="2161">
          <cell r="A2161" t="str">
            <v>37441200412</v>
          </cell>
          <cell r="B2161">
            <v>37441</v>
          </cell>
          <cell r="C2161" t="str">
            <v>NG</v>
          </cell>
          <cell r="D2161" t="str">
            <v>200412</v>
          </cell>
          <cell r="E2161">
            <v>4.3170000000000002</v>
          </cell>
        </row>
        <row r="2162">
          <cell r="A2162" t="str">
            <v>37442200401</v>
          </cell>
          <cell r="B2162">
            <v>37442</v>
          </cell>
          <cell r="C2162" t="str">
            <v>NG</v>
          </cell>
          <cell r="D2162" t="str">
            <v>200401</v>
          </cell>
          <cell r="E2162">
            <v>4.3540000000000001</v>
          </cell>
        </row>
        <row r="2163">
          <cell r="A2163" t="str">
            <v>37442200402</v>
          </cell>
          <cell r="B2163">
            <v>37442</v>
          </cell>
          <cell r="C2163" t="str">
            <v>NG</v>
          </cell>
          <cell r="D2163" t="str">
            <v>200402</v>
          </cell>
          <cell r="E2163">
            <v>4.2389999999999999</v>
          </cell>
        </row>
        <row r="2164">
          <cell r="A2164" t="str">
            <v>37442200403</v>
          </cell>
          <cell r="B2164">
            <v>37442</v>
          </cell>
          <cell r="C2164" t="str">
            <v>NG</v>
          </cell>
          <cell r="D2164" t="str">
            <v>200403</v>
          </cell>
          <cell r="E2164">
            <v>4.0449999999999999</v>
          </cell>
        </row>
        <row r="2165">
          <cell r="A2165" t="str">
            <v>37442200404</v>
          </cell>
          <cell r="B2165">
            <v>37442</v>
          </cell>
          <cell r="C2165" t="str">
            <v>NG</v>
          </cell>
          <cell r="D2165" t="str">
            <v>200404</v>
          </cell>
          <cell r="E2165">
            <v>3.7850000000000001</v>
          </cell>
        </row>
        <row r="2166">
          <cell r="A2166" t="str">
            <v>37442200405</v>
          </cell>
          <cell r="B2166">
            <v>37442</v>
          </cell>
          <cell r="C2166" t="str">
            <v>NG</v>
          </cell>
          <cell r="D2166" t="str">
            <v>200405</v>
          </cell>
          <cell r="E2166">
            <v>3.7589999999999999</v>
          </cell>
        </row>
        <row r="2167">
          <cell r="A2167" t="str">
            <v>37442200406</v>
          </cell>
          <cell r="B2167">
            <v>37442</v>
          </cell>
          <cell r="C2167" t="str">
            <v>NG</v>
          </cell>
          <cell r="D2167" t="str">
            <v>200406</v>
          </cell>
          <cell r="E2167">
            <v>3.806</v>
          </cell>
        </row>
        <row r="2168">
          <cell r="A2168" t="str">
            <v>37442200407</v>
          </cell>
          <cell r="B2168">
            <v>37442</v>
          </cell>
          <cell r="C2168" t="str">
            <v>NG</v>
          </cell>
          <cell r="D2168" t="str">
            <v>200407</v>
          </cell>
          <cell r="E2168">
            <v>3.8540000000000001</v>
          </cell>
        </row>
        <row r="2169">
          <cell r="A2169" t="str">
            <v>37442200408</v>
          </cell>
          <cell r="B2169">
            <v>37442</v>
          </cell>
          <cell r="C2169" t="str">
            <v>NG</v>
          </cell>
          <cell r="D2169" t="str">
            <v>200408</v>
          </cell>
          <cell r="E2169">
            <v>3.8969999999999998</v>
          </cell>
        </row>
        <row r="2170">
          <cell r="A2170" t="str">
            <v>37442200409</v>
          </cell>
          <cell r="B2170">
            <v>37442</v>
          </cell>
          <cell r="C2170" t="str">
            <v>NG</v>
          </cell>
          <cell r="D2170" t="str">
            <v>200409</v>
          </cell>
          <cell r="E2170">
            <v>3.8940000000000001</v>
          </cell>
        </row>
        <row r="2171">
          <cell r="A2171" t="str">
            <v>37442200410</v>
          </cell>
          <cell r="B2171">
            <v>37442</v>
          </cell>
          <cell r="C2171" t="str">
            <v>NG</v>
          </cell>
          <cell r="D2171" t="str">
            <v>200410</v>
          </cell>
          <cell r="E2171">
            <v>3.9220000000000002</v>
          </cell>
        </row>
        <row r="2172">
          <cell r="A2172" t="str">
            <v>37442200411</v>
          </cell>
          <cell r="B2172">
            <v>37442</v>
          </cell>
          <cell r="C2172" t="str">
            <v>NG</v>
          </cell>
          <cell r="D2172" t="str">
            <v>200411</v>
          </cell>
          <cell r="E2172">
            <v>4.1219999999999999</v>
          </cell>
        </row>
        <row r="2173">
          <cell r="A2173" t="str">
            <v>37442200412</v>
          </cell>
          <cell r="B2173">
            <v>37442</v>
          </cell>
          <cell r="C2173" t="str">
            <v>NG</v>
          </cell>
          <cell r="D2173" t="str">
            <v>200412</v>
          </cell>
          <cell r="E2173">
            <v>4.3170000000000002</v>
          </cell>
        </row>
        <row r="2174">
          <cell r="A2174" t="str">
            <v>37443200401</v>
          </cell>
          <cell r="B2174">
            <v>37443</v>
          </cell>
          <cell r="C2174" t="str">
            <v>NG</v>
          </cell>
          <cell r="D2174" t="str">
            <v>200401</v>
          </cell>
          <cell r="E2174">
            <v>4.3540000000000001</v>
          </cell>
        </row>
        <row r="2175">
          <cell r="A2175" t="str">
            <v>37443200402</v>
          </cell>
          <cell r="B2175">
            <v>37443</v>
          </cell>
          <cell r="C2175" t="str">
            <v>NG</v>
          </cell>
          <cell r="D2175" t="str">
            <v>200402</v>
          </cell>
          <cell r="E2175">
            <v>4.2389999999999999</v>
          </cell>
        </row>
        <row r="2176">
          <cell r="A2176" t="str">
            <v>37443200403</v>
          </cell>
          <cell r="B2176">
            <v>37443</v>
          </cell>
          <cell r="C2176" t="str">
            <v>NG</v>
          </cell>
          <cell r="D2176" t="str">
            <v>200403</v>
          </cell>
          <cell r="E2176">
            <v>4.0449999999999999</v>
          </cell>
        </row>
        <row r="2177">
          <cell r="A2177" t="str">
            <v>37443200404</v>
          </cell>
          <cell r="B2177">
            <v>37443</v>
          </cell>
          <cell r="C2177" t="str">
            <v>NG</v>
          </cell>
          <cell r="D2177" t="str">
            <v>200404</v>
          </cell>
          <cell r="E2177">
            <v>3.7850000000000001</v>
          </cell>
        </row>
        <row r="2178">
          <cell r="A2178" t="str">
            <v>37443200405</v>
          </cell>
          <cell r="B2178">
            <v>37443</v>
          </cell>
          <cell r="C2178" t="str">
            <v>NG</v>
          </cell>
          <cell r="D2178" t="str">
            <v>200405</v>
          </cell>
          <cell r="E2178">
            <v>3.7589999999999999</v>
          </cell>
        </row>
        <row r="2179">
          <cell r="A2179" t="str">
            <v>37443200406</v>
          </cell>
          <cell r="B2179">
            <v>37443</v>
          </cell>
          <cell r="C2179" t="str">
            <v>NG</v>
          </cell>
          <cell r="D2179" t="str">
            <v>200406</v>
          </cell>
          <cell r="E2179">
            <v>3.806</v>
          </cell>
        </row>
        <row r="2180">
          <cell r="A2180" t="str">
            <v>37443200407</v>
          </cell>
          <cell r="B2180">
            <v>37443</v>
          </cell>
          <cell r="C2180" t="str">
            <v>NG</v>
          </cell>
          <cell r="D2180" t="str">
            <v>200407</v>
          </cell>
          <cell r="E2180">
            <v>3.8540000000000001</v>
          </cell>
        </row>
        <row r="2181">
          <cell r="A2181" t="str">
            <v>37443200408</v>
          </cell>
          <cell r="B2181">
            <v>37443</v>
          </cell>
          <cell r="C2181" t="str">
            <v>NG</v>
          </cell>
          <cell r="D2181" t="str">
            <v>200408</v>
          </cell>
          <cell r="E2181">
            <v>3.8969999999999998</v>
          </cell>
        </row>
        <row r="2182">
          <cell r="A2182" t="str">
            <v>37443200409</v>
          </cell>
          <cell r="B2182">
            <v>37443</v>
          </cell>
          <cell r="C2182" t="str">
            <v>NG</v>
          </cell>
          <cell r="D2182" t="str">
            <v>200409</v>
          </cell>
          <cell r="E2182">
            <v>3.8940000000000001</v>
          </cell>
        </row>
        <row r="2183">
          <cell r="A2183" t="str">
            <v>37443200410</v>
          </cell>
          <cell r="B2183">
            <v>37443</v>
          </cell>
          <cell r="C2183" t="str">
            <v>NG</v>
          </cell>
          <cell r="D2183" t="str">
            <v>200410</v>
          </cell>
          <cell r="E2183">
            <v>3.9220000000000002</v>
          </cell>
        </row>
        <row r="2184">
          <cell r="A2184" t="str">
            <v>37443200411</v>
          </cell>
          <cell r="B2184">
            <v>37443</v>
          </cell>
          <cell r="C2184" t="str">
            <v>NG</v>
          </cell>
          <cell r="D2184" t="str">
            <v>200411</v>
          </cell>
          <cell r="E2184">
            <v>4.1219999999999999</v>
          </cell>
        </row>
        <row r="2185">
          <cell r="A2185" t="str">
            <v>37443200412</v>
          </cell>
          <cell r="B2185">
            <v>37443</v>
          </cell>
          <cell r="C2185" t="str">
            <v>NG</v>
          </cell>
          <cell r="D2185" t="str">
            <v>200412</v>
          </cell>
          <cell r="E2185">
            <v>4.3170000000000002</v>
          </cell>
        </row>
        <row r="2186">
          <cell r="A2186" t="str">
            <v>37444200401</v>
          </cell>
          <cell r="B2186">
            <v>37444</v>
          </cell>
          <cell r="C2186" t="str">
            <v>NG</v>
          </cell>
          <cell r="D2186" t="str">
            <v>200401</v>
          </cell>
          <cell r="E2186">
            <v>4.3540000000000001</v>
          </cell>
        </row>
        <row r="2187">
          <cell r="A2187" t="str">
            <v>37444200402</v>
          </cell>
          <cell r="B2187">
            <v>37444</v>
          </cell>
          <cell r="C2187" t="str">
            <v>NG</v>
          </cell>
          <cell r="D2187" t="str">
            <v>200402</v>
          </cell>
          <cell r="E2187">
            <v>4.2389999999999999</v>
          </cell>
        </row>
        <row r="2188">
          <cell r="A2188" t="str">
            <v>37444200403</v>
          </cell>
          <cell r="B2188">
            <v>37444</v>
          </cell>
          <cell r="C2188" t="str">
            <v>NG</v>
          </cell>
          <cell r="D2188" t="str">
            <v>200403</v>
          </cell>
          <cell r="E2188">
            <v>4.0449999999999999</v>
          </cell>
        </row>
        <row r="2189">
          <cell r="A2189" t="str">
            <v>37444200404</v>
          </cell>
          <cell r="B2189">
            <v>37444</v>
          </cell>
          <cell r="C2189" t="str">
            <v>NG</v>
          </cell>
          <cell r="D2189" t="str">
            <v>200404</v>
          </cell>
          <cell r="E2189">
            <v>3.7850000000000001</v>
          </cell>
        </row>
        <row r="2190">
          <cell r="A2190" t="str">
            <v>37444200405</v>
          </cell>
          <cell r="B2190">
            <v>37444</v>
          </cell>
          <cell r="C2190" t="str">
            <v>NG</v>
          </cell>
          <cell r="D2190" t="str">
            <v>200405</v>
          </cell>
          <cell r="E2190">
            <v>3.7589999999999999</v>
          </cell>
        </row>
        <row r="2191">
          <cell r="A2191" t="str">
            <v>37444200406</v>
          </cell>
          <cell r="B2191">
            <v>37444</v>
          </cell>
          <cell r="C2191" t="str">
            <v>NG</v>
          </cell>
          <cell r="D2191" t="str">
            <v>200406</v>
          </cell>
          <cell r="E2191">
            <v>3.806</v>
          </cell>
        </row>
        <row r="2192">
          <cell r="A2192" t="str">
            <v>37444200407</v>
          </cell>
          <cell r="B2192">
            <v>37444</v>
          </cell>
          <cell r="C2192" t="str">
            <v>NG</v>
          </cell>
          <cell r="D2192" t="str">
            <v>200407</v>
          </cell>
          <cell r="E2192">
            <v>3.8540000000000001</v>
          </cell>
        </row>
        <row r="2193">
          <cell r="A2193" t="str">
            <v>37444200408</v>
          </cell>
          <cell r="B2193">
            <v>37444</v>
          </cell>
          <cell r="C2193" t="str">
            <v>NG</v>
          </cell>
          <cell r="D2193" t="str">
            <v>200408</v>
          </cell>
          <cell r="E2193">
            <v>3.8969999999999998</v>
          </cell>
        </row>
        <row r="2194">
          <cell r="A2194" t="str">
            <v>37444200409</v>
          </cell>
          <cell r="B2194">
            <v>37444</v>
          </cell>
          <cell r="C2194" t="str">
            <v>NG</v>
          </cell>
          <cell r="D2194" t="str">
            <v>200409</v>
          </cell>
          <cell r="E2194">
            <v>3.8940000000000001</v>
          </cell>
        </row>
        <row r="2195">
          <cell r="A2195" t="str">
            <v>37444200410</v>
          </cell>
          <cell r="B2195">
            <v>37444</v>
          </cell>
          <cell r="C2195" t="str">
            <v>NG</v>
          </cell>
          <cell r="D2195" t="str">
            <v>200410</v>
          </cell>
          <cell r="E2195">
            <v>3.9220000000000002</v>
          </cell>
        </row>
        <row r="2196">
          <cell r="A2196" t="str">
            <v>37444200411</v>
          </cell>
          <cell r="B2196">
            <v>37444</v>
          </cell>
          <cell r="C2196" t="str">
            <v>NG</v>
          </cell>
          <cell r="D2196" t="str">
            <v>200411</v>
          </cell>
          <cell r="E2196">
            <v>4.1219999999999999</v>
          </cell>
        </row>
        <row r="2197">
          <cell r="A2197" t="str">
            <v>37444200412</v>
          </cell>
          <cell r="B2197">
            <v>37444</v>
          </cell>
          <cell r="C2197" t="str">
            <v>NG</v>
          </cell>
          <cell r="D2197" t="str">
            <v>200412</v>
          </cell>
          <cell r="E2197">
            <v>4.3170000000000002</v>
          </cell>
        </row>
        <row r="2198">
          <cell r="A2198" t="str">
            <v>37445200401</v>
          </cell>
          <cell r="B2198">
            <v>37445</v>
          </cell>
          <cell r="C2198" t="str">
            <v>NG</v>
          </cell>
          <cell r="D2198" t="str">
            <v>200401</v>
          </cell>
          <cell r="E2198">
            <v>4.2770000000000001</v>
          </cell>
        </row>
        <row r="2199">
          <cell r="A2199" t="str">
            <v>37445200402</v>
          </cell>
          <cell r="B2199">
            <v>37445</v>
          </cell>
          <cell r="C2199" t="str">
            <v>NG</v>
          </cell>
          <cell r="D2199" t="str">
            <v>200402</v>
          </cell>
          <cell r="E2199">
            <v>4.1760000000000002</v>
          </cell>
        </row>
        <row r="2200">
          <cell r="A2200" t="str">
            <v>37445200403</v>
          </cell>
          <cell r="B2200">
            <v>37445</v>
          </cell>
          <cell r="C2200" t="str">
            <v>NG</v>
          </cell>
          <cell r="D2200" t="str">
            <v>200403</v>
          </cell>
          <cell r="E2200">
            <v>4</v>
          </cell>
        </row>
        <row r="2201">
          <cell r="A2201" t="str">
            <v>37445200404</v>
          </cell>
          <cell r="B2201">
            <v>37445</v>
          </cell>
          <cell r="C2201" t="str">
            <v>NG</v>
          </cell>
          <cell r="D2201" t="str">
            <v>200404</v>
          </cell>
          <cell r="E2201">
            <v>3.7509999999999999</v>
          </cell>
        </row>
        <row r="2202">
          <cell r="A2202" t="str">
            <v>37445200405</v>
          </cell>
          <cell r="B2202">
            <v>37445</v>
          </cell>
          <cell r="C2202" t="str">
            <v>NG</v>
          </cell>
          <cell r="D2202" t="str">
            <v>200405</v>
          </cell>
          <cell r="E2202">
            <v>3.7250000000000001</v>
          </cell>
        </row>
        <row r="2203">
          <cell r="A2203" t="str">
            <v>37445200406</v>
          </cell>
          <cell r="B2203">
            <v>37445</v>
          </cell>
          <cell r="C2203" t="str">
            <v>NG</v>
          </cell>
          <cell r="D2203" t="str">
            <v>200406</v>
          </cell>
          <cell r="E2203">
            <v>3.7719999999999998</v>
          </cell>
        </row>
        <row r="2204">
          <cell r="A2204" t="str">
            <v>37445200407</v>
          </cell>
          <cell r="B2204">
            <v>37445</v>
          </cell>
          <cell r="C2204" t="str">
            <v>NG</v>
          </cell>
          <cell r="D2204" t="str">
            <v>200407</v>
          </cell>
          <cell r="E2204">
            <v>3.82</v>
          </cell>
        </row>
        <row r="2205">
          <cell r="A2205" t="str">
            <v>37445200408</v>
          </cell>
          <cell r="B2205">
            <v>37445</v>
          </cell>
          <cell r="C2205" t="str">
            <v>NG</v>
          </cell>
          <cell r="D2205" t="str">
            <v>200408</v>
          </cell>
          <cell r="E2205">
            <v>3.863</v>
          </cell>
        </row>
        <row r="2206">
          <cell r="A2206" t="str">
            <v>37445200409</v>
          </cell>
          <cell r="B2206">
            <v>37445</v>
          </cell>
          <cell r="C2206" t="str">
            <v>NG</v>
          </cell>
          <cell r="D2206" t="str">
            <v>200409</v>
          </cell>
          <cell r="E2206">
            <v>3.86</v>
          </cell>
        </row>
        <row r="2207">
          <cell r="A2207" t="str">
            <v>37445200410</v>
          </cell>
          <cell r="B2207">
            <v>37445</v>
          </cell>
          <cell r="C2207" t="str">
            <v>NG</v>
          </cell>
          <cell r="D2207" t="str">
            <v>200410</v>
          </cell>
          <cell r="E2207">
            <v>3.8879999999999999</v>
          </cell>
        </row>
        <row r="2208">
          <cell r="A2208" t="str">
            <v>37445200411</v>
          </cell>
          <cell r="B2208">
            <v>37445</v>
          </cell>
          <cell r="C2208" t="str">
            <v>NG</v>
          </cell>
          <cell r="D2208" t="str">
            <v>200411</v>
          </cell>
          <cell r="E2208">
            <v>4.0880000000000001</v>
          </cell>
        </row>
        <row r="2209">
          <cell r="A2209" t="str">
            <v>37445200412</v>
          </cell>
          <cell r="B2209">
            <v>37445</v>
          </cell>
          <cell r="C2209" t="str">
            <v>NG</v>
          </cell>
          <cell r="D2209" t="str">
            <v>200412</v>
          </cell>
          <cell r="E2209">
            <v>4.2830000000000004</v>
          </cell>
        </row>
        <row r="2210">
          <cell r="A2210" t="str">
            <v>37446200401</v>
          </cell>
          <cell r="B2210">
            <v>37446</v>
          </cell>
          <cell r="C2210" t="str">
            <v>NG</v>
          </cell>
          <cell r="D2210" t="str">
            <v>200401</v>
          </cell>
          <cell r="E2210">
            <v>4.3179999999999996</v>
          </cell>
        </row>
        <row r="2211">
          <cell r="A2211" t="str">
            <v>37446200402</v>
          </cell>
          <cell r="B2211">
            <v>37446</v>
          </cell>
          <cell r="C2211" t="str">
            <v>NG</v>
          </cell>
          <cell r="D2211" t="str">
            <v>200402</v>
          </cell>
          <cell r="E2211">
            <v>4.218</v>
          </cell>
        </row>
        <row r="2212">
          <cell r="A2212" t="str">
            <v>37446200403</v>
          </cell>
          <cell r="B2212">
            <v>37446</v>
          </cell>
          <cell r="C2212" t="str">
            <v>NG</v>
          </cell>
          <cell r="D2212" t="str">
            <v>200403</v>
          </cell>
          <cell r="E2212">
            <v>4.0430000000000001</v>
          </cell>
        </row>
        <row r="2213">
          <cell r="A2213" t="str">
            <v>37446200404</v>
          </cell>
          <cell r="B2213">
            <v>37446</v>
          </cell>
          <cell r="C2213" t="str">
            <v>NG</v>
          </cell>
          <cell r="D2213" t="str">
            <v>200404</v>
          </cell>
          <cell r="E2213">
            <v>3.8029999999999999</v>
          </cell>
        </row>
        <row r="2214">
          <cell r="A2214" t="str">
            <v>37446200405</v>
          </cell>
          <cell r="B2214">
            <v>37446</v>
          </cell>
          <cell r="C2214" t="str">
            <v>NG</v>
          </cell>
          <cell r="D2214" t="str">
            <v>200405</v>
          </cell>
          <cell r="E2214">
            <v>3.778</v>
          </cell>
        </row>
        <row r="2215">
          <cell r="A2215" t="str">
            <v>37446200406</v>
          </cell>
          <cell r="B2215">
            <v>37446</v>
          </cell>
          <cell r="C2215" t="str">
            <v>NG</v>
          </cell>
          <cell r="D2215" t="str">
            <v>200406</v>
          </cell>
          <cell r="E2215">
            <v>3.8250000000000002</v>
          </cell>
        </row>
        <row r="2216">
          <cell r="A2216" t="str">
            <v>37446200407</v>
          </cell>
          <cell r="B2216">
            <v>37446</v>
          </cell>
          <cell r="C2216" t="str">
            <v>NG</v>
          </cell>
          <cell r="D2216" t="str">
            <v>200407</v>
          </cell>
          <cell r="E2216">
            <v>3.8650000000000002</v>
          </cell>
        </row>
        <row r="2217">
          <cell r="A2217" t="str">
            <v>37446200408</v>
          </cell>
          <cell r="B2217">
            <v>37446</v>
          </cell>
          <cell r="C2217" t="str">
            <v>NG</v>
          </cell>
          <cell r="D2217" t="str">
            <v>200408</v>
          </cell>
          <cell r="E2217">
            <v>3.903</v>
          </cell>
        </row>
        <row r="2218">
          <cell r="A2218" t="str">
            <v>37446200409</v>
          </cell>
          <cell r="B2218">
            <v>37446</v>
          </cell>
          <cell r="C2218" t="str">
            <v>NG</v>
          </cell>
          <cell r="D2218" t="str">
            <v>200409</v>
          </cell>
          <cell r="E2218">
            <v>3.9</v>
          </cell>
        </row>
        <row r="2219">
          <cell r="A2219" t="str">
            <v>37446200410</v>
          </cell>
          <cell r="B2219">
            <v>37446</v>
          </cell>
          <cell r="C2219" t="str">
            <v>NG</v>
          </cell>
          <cell r="D2219" t="str">
            <v>200410</v>
          </cell>
          <cell r="E2219">
            <v>3.9279999999999999</v>
          </cell>
        </row>
        <row r="2220">
          <cell r="A2220" t="str">
            <v>37446200411</v>
          </cell>
          <cell r="B2220">
            <v>37446</v>
          </cell>
          <cell r="C2220" t="str">
            <v>NG</v>
          </cell>
          <cell r="D2220" t="str">
            <v>200411</v>
          </cell>
          <cell r="E2220">
            <v>4.1280000000000001</v>
          </cell>
        </row>
        <row r="2221">
          <cell r="A2221" t="str">
            <v>37446200412</v>
          </cell>
          <cell r="B2221">
            <v>37446</v>
          </cell>
          <cell r="C2221" t="str">
            <v>NG</v>
          </cell>
          <cell r="D2221" t="str">
            <v>200412</v>
          </cell>
          <cell r="E2221">
            <v>4.3230000000000004</v>
          </cell>
        </row>
        <row r="2222">
          <cell r="A2222" t="str">
            <v>37447200401</v>
          </cell>
          <cell r="B2222">
            <v>37447</v>
          </cell>
          <cell r="C2222" t="str">
            <v>NG</v>
          </cell>
          <cell r="D2222" t="str">
            <v>200401</v>
          </cell>
          <cell r="E2222">
            <v>4.2549999999999999</v>
          </cell>
        </row>
        <row r="2223">
          <cell r="A2223" t="str">
            <v>37447200402</v>
          </cell>
          <cell r="B2223">
            <v>37447</v>
          </cell>
          <cell r="C2223" t="str">
            <v>NG</v>
          </cell>
          <cell r="D2223" t="str">
            <v>200402</v>
          </cell>
          <cell r="E2223">
            <v>4.1559999999999997</v>
          </cell>
        </row>
        <row r="2224">
          <cell r="A2224" t="str">
            <v>37447200403</v>
          </cell>
          <cell r="B2224">
            <v>37447</v>
          </cell>
          <cell r="C2224" t="str">
            <v>NG</v>
          </cell>
          <cell r="D2224" t="str">
            <v>200403</v>
          </cell>
          <cell r="E2224">
            <v>3.9910000000000001</v>
          </cell>
        </row>
        <row r="2225">
          <cell r="A2225" t="str">
            <v>37447200404</v>
          </cell>
          <cell r="B2225">
            <v>37447</v>
          </cell>
          <cell r="C2225" t="str">
            <v>NG</v>
          </cell>
          <cell r="D2225" t="str">
            <v>200404</v>
          </cell>
          <cell r="E2225">
            <v>3.7610000000000001</v>
          </cell>
        </row>
        <row r="2226">
          <cell r="A2226" t="str">
            <v>37447200405</v>
          </cell>
          <cell r="B2226">
            <v>37447</v>
          </cell>
          <cell r="C2226" t="str">
            <v>NG</v>
          </cell>
          <cell r="D2226" t="str">
            <v>200405</v>
          </cell>
          <cell r="E2226">
            <v>3.7360000000000002</v>
          </cell>
        </row>
        <row r="2227">
          <cell r="A2227" t="str">
            <v>37447200406</v>
          </cell>
          <cell r="B2227">
            <v>37447</v>
          </cell>
          <cell r="C2227" t="str">
            <v>NG</v>
          </cell>
          <cell r="D2227" t="str">
            <v>200406</v>
          </cell>
          <cell r="E2227">
            <v>3.7829999999999999</v>
          </cell>
        </row>
        <row r="2228">
          <cell r="A2228" t="str">
            <v>37447200407</v>
          </cell>
          <cell r="B2228">
            <v>37447</v>
          </cell>
          <cell r="C2228" t="str">
            <v>NG</v>
          </cell>
          <cell r="D2228" t="str">
            <v>200407</v>
          </cell>
          <cell r="E2228">
            <v>3.823</v>
          </cell>
        </row>
        <row r="2229">
          <cell r="A2229" t="str">
            <v>37447200408</v>
          </cell>
          <cell r="B2229">
            <v>37447</v>
          </cell>
          <cell r="C2229" t="str">
            <v>NG</v>
          </cell>
          <cell r="D2229" t="str">
            <v>200408</v>
          </cell>
          <cell r="E2229">
            <v>3.8610000000000002</v>
          </cell>
        </row>
        <row r="2230">
          <cell r="A2230" t="str">
            <v>37447200409</v>
          </cell>
          <cell r="B2230">
            <v>37447</v>
          </cell>
          <cell r="C2230" t="str">
            <v>NG</v>
          </cell>
          <cell r="D2230" t="str">
            <v>200409</v>
          </cell>
          <cell r="E2230">
            <v>3.8580000000000001</v>
          </cell>
        </row>
        <row r="2231">
          <cell r="A2231" t="str">
            <v>37447200410</v>
          </cell>
          <cell r="B2231">
            <v>37447</v>
          </cell>
          <cell r="C2231" t="str">
            <v>NG</v>
          </cell>
          <cell r="D2231" t="str">
            <v>200410</v>
          </cell>
          <cell r="E2231">
            <v>3.8860000000000001</v>
          </cell>
        </row>
        <row r="2232">
          <cell r="A2232" t="str">
            <v>37447200411</v>
          </cell>
          <cell r="B2232">
            <v>37447</v>
          </cell>
          <cell r="C2232" t="str">
            <v>NG</v>
          </cell>
          <cell r="D2232" t="str">
            <v>200411</v>
          </cell>
          <cell r="E2232">
            <v>4.0860000000000003</v>
          </cell>
        </row>
        <row r="2233">
          <cell r="A2233" t="str">
            <v>37447200412</v>
          </cell>
          <cell r="B2233">
            <v>37447</v>
          </cell>
          <cell r="C2233" t="str">
            <v>NG</v>
          </cell>
          <cell r="D2233" t="str">
            <v>200412</v>
          </cell>
          <cell r="E2233">
            <v>4.2809999999999997</v>
          </cell>
        </row>
        <row r="2234">
          <cell r="A2234" t="str">
            <v>37448200401</v>
          </cell>
          <cell r="B2234">
            <v>37448</v>
          </cell>
          <cell r="C2234" t="str">
            <v>NG</v>
          </cell>
          <cell r="D2234" t="str">
            <v>200401</v>
          </cell>
          <cell r="E2234">
            <v>4.2610000000000001</v>
          </cell>
        </row>
        <row r="2235">
          <cell r="A2235" t="str">
            <v>37448200402</v>
          </cell>
          <cell r="B2235">
            <v>37448</v>
          </cell>
          <cell r="C2235" t="str">
            <v>NG</v>
          </cell>
          <cell r="D2235" t="str">
            <v>200402</v>
          </cell>
          <cell r="E2235">
            <v>4.1710000000000003</v>
          </cell>
        </row>
        <row r="2236">
          <cell r="A2236" t="str">
            <v>37448200403</v>
          </cell>
          <cell r="B2236">
            <v>37448</v>
          </cell>
          <cell r="C2236" t="str">
            <v>NG</v>
          </cell>
          <cell r="D2236" t="str">
            <v>200403</v>
          </cell>
          <cell r="E2236">
            <v>4.0110000000000001</v>
          </cell>
        </row>
        <row r="2237">
          <cell r="A2237" t="str">
            <v>37448200404</v>
          </cell>
          <cell r="B2237">
            <v>37448</v>
          </cell>
          <cell r="C2237" t="str">
            <v>NG</v>
          </cell>
          <cell r="D2237" t="str">
            <v>200404</v>
          </cell>
          <cell r="E2237">
            <v>3.8010000000000002</v>
          </cell>
        </row>
        <row r="2238">
          <cell r="A2238" t="str">
            <v>37448200405</v>
          </cell>
          <cell r="B2238">
            <v>37448</v>
          </cell>
          <cell r="C2238" t="str">
            <v>NG</v>
          </cell>
          <cell r="D2238" t="str">
            <v>200405</v>
          </cell>
          <cell r="E2238">
            <v>3.786</v>
          </cell>
        </row>
        <row r="2239">
          <cell r="A2239" t="str">
            <v>37448200406</v>
          </cell>
          <cell r="B2239">
            <v>37448</v>
          </cell>
          <cell r="C2239" t="str">
            <v>NG</v>
          </cell>
          <cell r="D2239" t="str">
            <v>200406</v>
          </cell>
          <cell r="E2239">
            <v>3.8330000000000002</v>
          </cell>
        </row>
        <row r="2240">
          <cell r="A2240" t="str">
            <v>37448200407</v>
          </cell>
          <cell r="B2240">
            <v>37448</v>
          </cell>
          <cell r="C2240" t="str">
            <v>NG</v>
          </cell>
          <cell r="D2240" t="str">
            <v>200407</v>
          </cell>
          <cell r="E2240">
            <v>3.8679999999999999</v>
          </cell>
        </row>
        <row r="2241">
          <cell r="A2241" t="str">
            <v>37448200408</v>
          </cell>
          <cell r="B2241">
            <v>37448</v>
          </cell>
          <cell r="C2241" t="str">
            <v>NG</v>
          </cell>
          <cell r="D2241" t="str">
            <v>200408</v>
          </cell>
          <cell r="E2241">
            <v>3.9060000000000001</v>
          </cell>
        </row>
        <row r="2242">
          <cell r="A2242" t="str">
            <v>37448200409</v>
          </cell>
          <cell r="B2242">
            <v>37448</v>
          </cell>
          <cell r="C2242" t="str">
            <v>NG</v>
          </cell>
          <cell r="D2242" t="str">
            <v>200409</v>
          </cell>
          <cell r="E2242">
            <v>3.903</v>
          </cell>
        </row>
        <row r="2243">
          <cell r="A2243" t="str">
            <v>37448200410</v>
          </cell>
          <cell r="B2243">
            <v>37448</v>
          </cell>
          <cell r="C2243" t="str">
            <v>NG</v>
          </cell>
          <cell r="D2243" t="str">
            <v>200410</v>
          </cell>
          <cell r="E2243">
            <v>3.931</v>
          </cell>
        </row>
        <row r="2244">
          <cell r="A2244" t="str">
            <v>37448200411</v>
          </cell>
          <cell r="B2244">
            <v>37448</v>
          </cell>
          <cell r="C2244" t="str">
            <v>NG</v>
          </cell>
          <cell r="D2244" t="str">
            <v>200411</v>
          </cell>
          <cell r="E2244">
            <v>4.1310000000000002</v>
          </cell>
        </row>
        <row r="2245">
          <cell r="A2245" t="str">
            <v>37448200412</v>
          </cell>
          <cell r="B2245">
            <v>37448</v>
          </cell>
          <cell r="C2245" t="str">
            <v>NG</v>
          </cell>
          <cell r="D2245" t="str">
            <v>200412</v>
          </cell>
          <cell r="E2245">
            <v>4.3259999999999996</v>
          </cell>
        </row>
        <row r="2246">
          <cell r="A2246" t="str">
            <v>37449200401</v>
          </cell>
          <cell r="B2246">
            <v>37449</v>
          </cell>
          <cell r="C2246" t="str">
            <v>NG</v>
          </cell>
          <cell r="D2246" t="str">
            <v>200401</v>
          </cell>
          <cell r="E2246">
            <v>4.2539999999999996</v>
          </cell>
        </row>
        <row r="2247">
          <cell r="A2247" t="str">
            <v>37449200402</v>
          </cell>
          <cell r="B2247">
            <v>37449</v>
          </cell>
          <cell r="C2247" t="str">
            <v>NG</v>
          </cell>
          <cell r="D2247" t="str">
            <v>200402</v>
          </cell>
          <cell r="E2247">
            <v>4.1639999999999997</v>
          </cell>
        </row>
        <row r="2248">
          <cell r="A2248" t="str">
            <v>37449200403</v>
          </cell>
          <cell r="B2248">
            <v>37449</v>
          </cell>
          <cell r="C2248" t="str">
            <v>NG</v>
          </cell>
          <cell r="D2248" t="str">
            <v>200403</v>
          </cell>
          <cell r="E2248">
            <v>4.0090000000000003</v>
          </cell>
        </row>
        <row r="2249">
          <cell r="A2249" t="str">
            <v>37449200404</v>
          </cell>
          <cell r="B2249">
            <v>37449</v>
          </cell>
          <cell r="C2249" t="str">
            <v>NG</v>
          </cell>
          <cell r="D2249" t="str">
            <v>200404</v>
          </cell>
          <cell r="E2249">
            <v>3.7989999999999999</v>
          </cell>
        </row>
        <row r="2250">
          <cell r="A2250" t="str">
            <v>37449200405</v>
          </cell>
          <cell r="B2250">
            <v>37449</v>
          </cell>
          <cell r="C2250" t="str">
            <v>NG</v>
          </cell>
          <cell r="D2250" t="str">
            <v>200405</v>
          </cell>
          <cell r="E2250">
            <v>3.794</v>
          </cell>
        </row>
        <row r="2251">
          <cell r="A2251" t="str">
            <v>37449200406</v>
          </cell>
          <cell r="B2251">
            <v>37449</v>
          </cell>
          <cell r="C2251" t="str">
            <v>NG</v>
          </cell>
          <cell r="D2251" t="str">
            <v>200406</v>
          </cell>
          <cell r="E2251">
            <v>3.8410000000000002</v>
          </cell>
        </row>
        <row r="2252">
          <cell r="A2252" t="str">
            <v>37449200407</v>
          </cell>
          <cell r="B2252">
            <v>37449</v>
          </cell>
          <cell r="C2252" t="str">
            <v>NG</v>
          </cell>
          <cell r="D2252" t="str">
            <v>200407</v>
          </cell>
          <cell r="E2252">
            <v>3.871</v>
          </cell>
        </row>
        <row r="2253">
          <cell r="A2253" t="str">
            <v>37449200408</v>
          </cell>
          <cell r="B2253">
            <v>37449</v>
          </cell>
          <cell r="C2253" t="str">
            <v>NG</v>
          </cell>
          <cell r="D2253" t="str">
            <v>200408</v>
          </cell>
          <cell r="E2253">
            <v>3.9039999999999999</v>
          </cell>
        </row>
        <row r="2254">
          <cell r="A2254" t="str">
            <v>37449200409</v>
          </cell>
          <cell r="B2254">
            <v>37449</v>
          </cell>
          <cell r="C2254" t="str">
            <v>NG</v>
          </cell>
          <cell r="D2254" t="str">
            <v>200409</v>
          </cell>
          <cell r="E2254">
            <v>3.9009999999999998</v>
          </cell>
        </row>
        <row r="2255">
          <cell r="A2255" t="str">
            <v>37449200410</v>
          </cell>
          <cell r="B2255">
            <v>37449</v>
          </cell>
          <cell r="C2255" t="str">
            <v>NG</v>
          </cell>
          <cell r="D2255" t="str">
            <v>200410</v>
          </cell>
          <cell r="E2255">
            <v>3.9289999999999998</v>
          </cell>
        </row>
        <row r="2256">
          <cell r="A2256" t="str">
            <v>37449200411</v>
          </cell>
          <cell r="B2256">
            <v>37449</v>
          </cell>
          <cell r="C2256" t="str">
            <v>NG</v>
          </cell>
          <cell r="D2256" t="str">
            <v>200411</v>
          </cell>
          <cell r="E2256">
            <v>4.1289999999999996</v>
          </cell>
        </row>
        <row r="2257">
          <cell r="A2257" t="str">
            <v>37449200412</v>
          </cell>
          <cell r="B2257">
            <v>37449</v>
          </cell>
          <cell r="C2257" t="str">
            <v>NG</v>
          </cell>
          <cell r="D2257" t="str">
            <v>200412</v>
          </cell>
          <cell r="E2257">
            <v>4.3239999999999998</v>
          </cell>
        </row>
        <row r="2258">
          <cell r="A2258" t="str">
            <v>37450200401</v>
          </cell>
          <cell r="B2258">
            <v>37450</v>
          </cell>
          <cell r="C2258" t="str">
            <v>NG</v>
          </cell>
          <cell r="D2258" t="str">
            <v>200401</v>
          </cell>
          <cell r="E2258">
            <v>4.2539999999999996</v>
          </cell>
        </row>
        <row r="2259">
          <cell r="A2259" t="str">
            <v>37450200402</v>
          </cell>
          <cell r="B2259">
            <v>37450</v>
          </cell>
          <cell r="C2259" t="str">
            <v>NG</v>
          </cell>
          <cell r="D2259" t="str">
            <v>200402</v>
          </cell>
          <cell r="E2259">
            <v>4.1639999999999997</v>
          </cell>
        </row>
        <row r="2260">
          <cell r="A2260" t="str">
            <v>37450200403</v>
          </cell>
          <cell r="B2260">
            <v>37450</v>
          </cell>
          <cell r="C2260" t="str">
            <v>NG</v>
          </cell>
          <cell r="D2260" t="str">
            <v>200403</v>
          </cell>
          <cell r="E2260">
            <v>4.0090000000000003</v>
          </cell>
        </row>
        <row r="2261">
          <cell r="A2261" t="str">
            <v>37450200404</v>
          </cell>
          <cell r="B2261">
            <v>37450</v>
          </cell>
          <cell r="C2261" t="str">
            <v>NG</v>
          </cell>
          <cell r="D2261" t="str">
            <v>200404</v>
          </cell>
          <cell r="E2261">
            <v>3.7989999999999999</v>
          </cell>
        </row>
        <row r="2262">
          <cell r="A2262" t="str">
            <v>37450200405</v>
          </cell>
          <cell r="B2262">
            <v>37450</v>
          </cell>
          <cell r="C2262" t="str">
            <v>NG</v>
          </cell>
          <cell r="D2262" t="str">
            <v>200405</v>
          </cell>
          <cell r="E2262">
            <v>3.794</v>
          </cell>
        </row>
        <row r="2263">
          <cell r="A2263" t="str">
            <v>37450200406</v>
          </cell>
          <cell r="B2263">
            <v>37450</v>
          </cell>
          <cell r="C2263" t="str">
            <v>NG</v>
          </cell>
          <cell r="D2263" t="str">
            <v>200406</v>
          </cell>
          <cell r="E2263">
            <v>3.8410000000000002</v>
          </cell>
        </row>
        <row r="2264">
          <cell r="A2264" t="str">
            <v>37450200407</v>
          </cell>
          <cell r="B2264">
            <v>37450</v>
          </cell>
          <cell r="C2264" t="str">
            <v>NG</v>
          </cell>
          <cell r="D2264" t="str">
            <v>200407</v>
          </cell>
          <cell r="E2264">
            <v>3.871</v>
          </cell>
        </row>
        <row r="2265">
          <cell r="A2265" t="str">
            <v>37450200408</v>
          </cell>
          <cell r="B2265">
            <v>37450</v>
          </cell>
          <cell r="C2265" t="str">
            <v>NG</v>
          </cell>
          <cell r="D2265" t="str">
            <v>200408</v>
          </cell>
          <cell r="E2265">
            <v>3.9039999999999999</v>
          </cell>
        </row>
        <row r="2266">
          <cell r="A2266" t="str">
            <v>37450200409</v>
          </cell>
          <cell r="B2266">
            <v>37450</v>
          </cell>
          <cell r="C2266" t="str">
            <v>NG</v>
          </cell>
          <cell r="D2266" t="str">
            <v>200409</v>
          </cell>
          <cell r="E2266">
            <v>3.9009999999999998</v>
          </cell>
        </row>
        <row r="2267">
          <cell r="A2267" t="str">
            <v>37450200410</v>
          </cell>
          <cell r="B2267">
            <v>37450</v>
          </cell>
          <cell r="C2267" t="str">
            <v>NG</v>
          </cell>
          <cell r="D2267" t="str">
            <v>200410</v>
          </cell>
          <cell r="E2267">
            <v>3.9289999999999998</v>
          </cell>
        </row>
        <row r="2268">
          <cell r="A2268" t="str">
            <v>37450200411</v>
          </cell>
          <cell r="B2268">
            <v>37450</v>
          </cell>
          <cell r="C2268" t="str">
            <v>NG</v>
          </cell>
          <cell r="D2268" t="str">
            <v>200411</v>
          </cell>
          <cell r="E2268">
            <v>4.1289999999999996</v>
          </cell>
        </row>
        <row r="2269">
          <cell r="A2269" t="str">
            <v>37450200412</v>
          </cell>
          <cell r="B2269">
            <v>37450</v>
          </cell>
          <cell r="C2269" t="str">
            <v>NG</v>
          </cell>
          <cell r="D2269" t="str">
            <v>200412</v>
          </cell>
          <cell r="E2269">
            <v>4.3239999999999998</v>
          </cell>
        </row>
        <row r="2270">
          <cell r="A2270" t="str">
            <v>37451200401</v>
          </cell>
          <cell r="B2270">
            <v>37451</v>
          </cell>
          <cell r="C2270" t="str">
            <v>NG</v>
          </cell>
          <cell r="D2270" t="str">
            <v>200401</v>
          </cell>
          <cell r="E2270">
            <v>4.2539999999999996</v>
          </cell>
        </row>
        <row r="2271">
          <cell r="A2271" t="str">
            <v>37451200402</v>
          </cell>
          <cell r="B2271">
            <v>37451</v>
          </cell>
          <cell r="C2271" t="str">
            <v>NG</v>
          </cell>
          <cell r="D2271" t="str">
            <v>200402</v>
          </cell>
          <cell r="E2271">
            <v>4.1639999999999997</v>
          </cell>
        </row>
        <row r="2272">
          <cell r="A2272" t="str">
            <v>37451200403</v>
          </cell>
          <cell r="B2272">
            <v>37451</v>
          </cell>
          <cell r="C2272" t="str">
            <v>NG</v>
          </cell>
          <cell r="D2272" t="str">
            <v>200403</v>
          </cell>
          <cell r="E2272">
            <v>4.0090000000000003</v>
          </cell>
        </row>
        <row r="2273">
          <cell r="A2273" t="str">
            <v>37451200404</v>
          </cell>
          <cell r="B2273">
            <v>37451</v>
          </cell>
          <cell r="C2273" t="str">
            <v>NG</v>
          </cell>
          <cell r="D2273" t="str">
            <v>200404</v>
          </cell>
          <cell r="E2273">
            <v>3.7989999999999999</v>
          </cell>
        </row>
        <row r="2274">
          <cell r="A2274" t="str">
            <v>37451200405</v>
          </cell>
          <cell r="B2274">
            <v>37451</v>
          </cell>
          <cell r="C2274" t="str">
            <v>NG</v>
          </cell>
          <cell r="D2274" t="str">
            <v>200405</v>
          </cell>
          <cell r="E2274">
            <v>3.794</v>
          </cell>
        </row>
        <row r="2275">
          <cell r="A2275" t="str">
            <v>37451200406</v>
          </cell>
          <cell r="B2275">
            <v>37451</v>
          </cell>
          <cell r="C2275" t="str">
            <v>NG</v>
          </cell>
          <cell r="D2275" t="str">
            <v>200406</v>
          </cell>
          <cell r="E2275">
            <v>3.8410000000000002</v>
          </cell>
        </row>
        <row r="2276">
          <cell r="A2276" t="str">
            <v>37451200407</v>
          </cell>
          <cell r="B2276">
            <v>37451</v>
          </cell>
          <cell r="C2276" t="str">
            <v>NG</v>
          </cell>
          <cell r="D2276" t="str">
            <v>200407</v>
          </cell>
          <cell r="E2276">
            <v>3.871</v>
          </cell>
        </row>
        <row r="2277">
          <cell r="A2277" t="str">
            <v>37451200408</v>
          </cell>
          <cell r="B2277">
            <v>37451</v>
          </cell>
          <cell r="C2277" t="str">
            <v>NG</v>
          </cell>
          <cell r="D2277" t="str">
            <v>200408</v>
          </cell>
          <cell r="E2277">
            <v>3.9039999999999999</v>
          </cell>
        </row>
        <row r="2278">
          <cell r="A2278" t="str">
            <v>37451200409</v>
          </cell>
          <cell r="B2278">
            <v>37451</v>
          </cell>
          <cell r="C2278" t="str">
            <v>NG</v>
          </cell>
          <cell r="D2278" t="str">
            <v>200409</v>
          </cell>
          <cell r="E2278">
            <v>3.9009999999999998</v>
          </cell>
        </row>
        <row r="2279">
          <cell r="A2279" t="str">
            <v>37451200410</v>
          </cell>
          <cell r="B2279">
            <v>37451</v>
          </cell>
          <cell r="C2279" t="str">
            <v>NG</v>
          </cell>
          <cell r="D2279" t="str">
            <v>200410</v>
          </cell>
          <cell r="E2279">
            <v>3.9289999999999998</v>
          </cell>
        </row>
        <row r="2280">
          <cell r="A2280" t="str">
            <v>37451200411</v>
          </cell>
          <cell r="B2280">
            <v>37451</v>
          </cell>
          <cell r="C2280" t="str">
            <v>NG</v>
          </cell>
          <cell r="D2280" t="str">
            <v>200411</v>
          </cell>
          <cell r="E2280">
            <v>4.1289999999999996</v>
          </cell>
        </row>
        <row r="2281">
          <cell r="A2281" t="str">
            <v>37451200412</v>
          </cell>
          <cell r="B2281">
            <v>37451</v>
          </cell>
          <cell r="C2281" t="str">
            <v>NG</v>
          </cell>
          <cell r="D2281" t="str">
            <v>200412</v>
          </cell>
          <cell r="E2281">
            <v>4.3239999999999998</v>
          </cell>
        </row>
        <row r="2282">
          <cell r="A2282" t="str">
            <v>37452200401</v>
          </cell>
          <cell r="B2282">
            <v>37452</v>
          </cell>
          <cell r="C2282" t="str">
            <v>NG</v>
          </cell>
          <cell r="D2282" t="str">
            <v>200401</v>
          </cell>
          <cell r="E2282">
            <v>4.2450000000000001</v>
          </cell>
        </row>
        <row r="2283">
          <cell r="A2283" t="str">
            <v>37452200402</v>
          </cell>
          <cell r="B2283">
            <v>37452</v>
          </cell>
          <cell r="C2283" t="str">
            <v>NG</v>
          </cell>
          <cell r="D2283" t="str">
            <v>200402</v>
          </cell>
          <cell r="E2283">
            <v>4.1550000000000002</v>
          </cell>
        </row>
        <row r="2284">
          <cell r="A2284" t="str">
            <v>37452200403</v>
          </cell>
          <cell r="B2284">
            <v>37452</v>
          </cell>
          <cell r="C2284" t="str">
            <v>NG</v>
          </cell>
          <cell r="D2284" t="str">
            <v>200403</v>
          </cell>
          <cell r="E2284">
            <v>4</v>
          </cell>
        </row>
        <row r="2285">
          <cell r="A2285" t="str">
            <v>37452200404</v>
          </cell>
          <cell r="B2285">
            <v>37452</v>
          </cell>
          <cell r="C2285" t="str">
            <v>NG</v>
          </cell>
          <cell r="D2285" t="str">
            <v>200404</v>
          </cell>
          <cell r="E2285">
            <v>3.7949999999999999</v>
          </cell>
        </row>
        <row r="2286">
          <cell r="A2286" t="str">
            <v>37452200405</v>
          </cell>
          <cell r="B2286">
            <v>37452</v>
          </cell>
          <cell r="C2286" t="str">
            <v>NG</v>
          </cell>
          <cell r="D2286" t="str">
            <v>200405</v>
          </cell>
          <cell r="E2286">
            <v>3.79</v>
          </cell>
        </row>
        <row r="2287">
          <cell r="A2287" t="str">
            <v>37452200406</v>
          </cell>
          <cell r="B2287">
            <v>37452</v>
          </cell>
          <cell r="C2287" t="str">
            <v>NG</v>
          </cell>
          <cell r="D2287" t="str">
            <v>200406</v>
          </cell>
          <cell r="E2287">
            <v>3.8330000000000002</v>
          </cell>
        </row>
        <row r="2288">
          <cell r="A2288" t="str">
            <v>37452200407</v>
          </cell>
          <cell r="B2288">
            <v>37452</v>
          </cell>
          <cell r="C2288" t="str">
            <v>NG</v>
          </cell>
          <cell r="D2288" t="str">
            <v>200407</v>
          </cell>
          <cell r="E2288">
            <v>3.8580000000000001</v>
          </cell>
        </row>
        <row r="2289">
          <cell r="A2289" t="str">
            <v>37452200408</v>
          </cell>
          <cell r="B2289">
            <v>37452</v>
          </cell>
          <cell r="C2289" t="str">
            <v>NG</v>
          </cell>
          <cell r="D2289" t="str">
            <v>200408</v>
          </cell>
          <cell r="E2289">
            <v>3.8849999999999998</v>
          </cell>
        </row>
        <row r="2290">
          <cell r="A2290" t="str">
            <v>37452200409</v>
          </cell>
          <cell r="B2290">
            <v>37452</v>
          </cell>
          <cell r="C2290" t="str">
            <v>NG</v>
          </cell>
          <cell r="D2290" t="str">
            <v>200409</v>
          </cell>
          <cell r="E2290">
            <v>3.8820000000000001</v>
          </cell>
        </row>
        <row r="2291">
          <cell r="A2291" t="str">
            <v>37452200410</v>
          </cell>
          <cell r="B2291">
            <v>37452</v>
          </cell>
          <cell r="C2291" t="str">
            <v>NG</v>
          </cell>
          <cell r="D2291" t="str">
            <v>200410</v>
          </cell>
          <cell r="E2291">
            <v>3.91</v>
          </cell>
        </row>
        <row r="2292">
          <cell r="A2292" t="str">
            <v>37452200411</v>
          </cell>
          <cell r="B2292">
            <v>37452</v>
          </cell>
          <cell r="C2292" t="str">
            <v>NG</v>
          </cell>
          <cell r="D2292" t="str">
            <v>200411</v>
          </cell>
          <cell r="E2292">
            <v>4.1100000000000003</v>
          </cell>
        </row>
        <row r="2293">
          <cell r="A2293" t="str">
            <v>37452200412</v>
          </cell>
          <cell r="B2293">
            <v>37452</v>
          </cell>
          <cell r="C2293" t="str">
            <v>NG</v>
          </cell>
          <cell r="D2293" t="str">
            <v>200412</v>
          </cell>
          <cell r="E2293">
            <v>4.3049999999999997</v>
          </cell>
        </row>
        <row r="2294">
          <cell r="A2294" t="str">
            <v>37453200401</v>
          </cell>
          <cell r="B2294">
            <v>37453</v>
          </cell>
          <cell r="C2294" t="str">
            <v>NG</v>
          </cell>
          <cell r="D2294" t="str">
            <v>200401</v>
          </cell>
          <cell r="E2294">
            <v>4.26</v>
          </cell>
        </row>
        <row r="2295">
          <cell r="A2295" t="str">
            <v>37453200402</v>
          </cell>
          <cell r="B2295">
            <v>37453</v>
          </cell>
          <cell r="C2295" t="str">
            <v>NG</v>
          </cell>
          <cell r="D2295" t="str">
            <v>200402</v>
          </cell>
          <cell r="E2295">
            <v>4.17</v>
          </cell>
        </row>
        <row r="2296">
          <cell r="A2296" t="str">
            <v>37453200403</v>
          </cell>
          <cell r="B2296">
            <v>37453</v>
          </cell>
          <cell r="C2296" t="str">
            <v>NG</v>
          </cell>
          <cell r="D2296" t="str">
            <v>200403</v>
          </cell>
          <cell r="E2296">
            <v>4.0199999999999996</v>
          </cell>
        </row>
        <row r="2297">
          <cell r="A2297" t="str">
            <v>37453200404</v>
          </cell>
          <cell r="B2297">
            <v>37453</v>
          </cell>
          <cell r="C2297" t="str">
            <v>NG</v>
          </cell>
          <cell r="D2297" t="str">
            <v>200404</v>
          </cell>
          <cell r="E2297">
            <v>3.82</v>
          </cell>
        </row>
        <row r="2298">
          <cell r="A2298" t="str">
            <v>37453200405</v>
          </cell>
          <cell r="B2298">
            <v>37453</v>
          </cell>
          <cell r="C2298" t="str">
            <v>NG</v>
          </cell>
          <cell r="D2298" t="str">
            <v>200405</v>
          </cell>
          <cell r="E2298">
            <v>3.8149999999999999</v>
          </cell>
        </row>
        <row r="2299">
          <cell r="A2299" t="str">
            <v>37453200406</v>
          </cell>
          <cell r="B2299">
            <v>37453</v>
          </cell>
          <cell r="C2299" t="str">
            <v>NG</v>
          </cell>
          <cell r="D2299" t="str">
            <v>200406</v>
          </cell>
          <cell r="E2299">
            <v>3.855</v>
          </cell>
        </row>
        <row r="2300">
          <cell r="A2300" t="str">
            <v>37453200407</v>
          </cell>
          <cell r="B2300">
            <v>37453</v>
          </cell>
          <cell r="C2300" t="str">
            <v>NG</v>
          </cell>
          <cell r="D2300" t="str">
            <v>200407</v>
          </cell>
          <cell r="E2300">
            <v>3.875</v>
          </cell>
        </row>
        <row r="2301">
          <cell r="A2301" t="str">
            <v>37453200408</v>
          </cell>
          <cell r="B2301">
            <v>37453</v>
          </cell>
          <cell r="C2301" t="str">
            <v>NG</v>
          </cell>
          <cell r="D2301" t="str">
            <v>200408</v>
          </cell>
          <cell r="E2301">
            <v>3.895</v>
          </cell>
        </row>
        <row r="2302">
          <cell r="A2302" t="str">
            <v>37453200409</v>
          </cell>
          <cell r="B2302">
            <v>37453</v>
          </cell>
          <cell r="C2302" t="str">
            <v>NG</v>
          </cell>
          <cell r="D2302" t="str">
            <v>200409</v>
          </cell>
          <cell r="E2302">
            <v>3.895</v>
          </cell>
        </row>
        <row r="2303">
          <cell r="A2303" t="str">
            <v>37453200410</v>
          </cell>
          <cell r="B2303">
            <v>37453</v>
          </cell>
          <cell r="C2303" t="str">
            <v>NG</v>
          </cell>
          <cell r="D2303" t="str">
            <v>200410</v>
          </cell>
          <cell r="E2303">
            <v>3.923</v>
          </cell>
        </row>
        <row r="2304">
          <cell r="A2304" t="str">
            <v>37453200411</v>
          </cell>
          <cell r="B2304">
            <v>37453</v>
          </cell>
          <cell r="C2304" t="str">
            <v>NG</v>
          </cell>
          <cell r="D2304" t="str">
            <v>200411</v>
          </cell>
          <cell r="E2304">
            <v>4.1230000000000002</v>
          </cell>
        </row>
        <row r="2305">
          <cell r="A2305" t="str">
            <v>37453200412</v>
          </cell>
          <cell r="B2305">
            <v>37453</v>
          </cell>
          <cell r="C2305" t="str">
            <v>NG</v>
          </cell>
          <cell r="D2305" t="str">
            <v>200412</v>
          </cell>
          <cell r="E2305">
            <v>4.3179999999999996</v>
          </cell>
        </row>
        <row r="2306">
          <cell r="A2306" t="str">
            <v>37458200401</v>
          </cell>
          <cell r="B2306">
            <v>37458</v>
          </cell>
          <cell r="C2306" t="str">
            <v>NG</v>
          </cell>
          <cell r="D2306" t="str">
            <v>200401</v>
          </cell>
          <cell r="E2306">
            <v>4.1820000000000004</v>
          </cell>
        </row>
        <row r="2307">
          <cell r="A2307" t="str">
            <v>37458200402</v>
          </cell>
          <cell r="B2307">
            <v>37458</v>
          </cell>
          <cell r="C2307" t="str">
            <v>NG</v>
          </cell>
          <cell r="D2307" t="str">
            <v>200402</v>
          </cell>
          <cell r="E2307">
            <v>4.0890000000000004</v>
          </cell>
        </row>
        <row r="2308">
          <cell r="A2308" t="str">
            <v>37458200403</v>
          </cell>
          <cell r="B2308">
            <v>37458</v>
          </cell>
          <cell r="C2308" t="str">
            <v>NG</v>
          </cell>
          <cell r="D2308" t="str">
            <v>200403</v>
          </cell>
          <cell r="E2308">
            <v>3.9550000000000001</v>
          </cell>
        </row>
        <row r="2309">
          <cell r="A2309" t="str">
            <v>37458200404</v>
          </cell>
          <cell r="B2309">
            <v>37458</v>
          </cell>
          <cell r="C2309" t="str">
            <v>NG</v>
          </cell>
          <cell r="D2309" t="str">
            <v>200404</v>
          </cell>
          <cell r="E2309">
            <v>3.7869999999999999</v>
          </cell>
        </row>
        <row r="2310">
          <cell r="A2310" t="str">
            <v>37458200405</v>
          </cell>
          <cell r="B2310">
            <v>37458</v>
          </cell>
          <cell r="C2310" t="str">
            <v>NG</v>
          </cell>
          <cell r="D2310" t="str">
            <v>200405</v>
          </cell>
          <cell r="E2310">
            <v>3.79</v>
          </cell>
        </row>
        <row r="2311">
          <cell r="A2311" t="str">
            <v>37458200406</v>
          </cell>
          <cell r="B2311">
            <v>37458</v>
          </cell>
          <cell r="C2311" t="str">
            <v>NG</v>
          </cell>
          <cell r="D2311" t="str">
            <v>200406</v>
          </cell>
          <cell r="E2311">
            <v>3.83</v>
          </cell>
        </row>
        <row r="2312">
          <cell r="A2312" t="str">
            <v>37458200407</v>
          </cell>
          <cell r="B2312">
            <v>37458</v>
          </cell>
          <cell r="C2312" t="str">
            <v>NG</v>
          </cell>
          <cell r="D2312" t="str">
            <v>200407</v>
          </cell>
          <cell r="E2312">
            <v>3.84</v>
          </cell>
        </row>
        <row r="2313">
          <cell r="A2313" t="str">
            <v>37458200408</v>
          </cell>
          <cell r="B2313">
            <v>37458</v>
          </cell>
          <cell r="C2313" t="str">
            <v>NG</v>
          </cell>
          <cell r="D2313" t="str">
            <v>200408</v>
          </cell>
          <cell r="E2313">
            <v>3.8650000000000002</v>
          </cell>
        </row>
        <row r="2314">
          <cell r="A2314" t="str">
            <v>37458200409</v>
          </cell>
          <cell r="B2314">
            <v>37458</v>
          </cell>
          <cell r="C2314" t="str">
            <v>NG</v>
          </cell>
          <cell r="D2314" t="str">
            <v>200409</v>
          </cell>
          <cell r="E2314">
            <v>3.8650000000000002</v>
          </cell>
        </row>
        <row r="2315">
          <cell r="A2315" t="str">
            <v>37458200410</v>
          </cell>
          <cell r="B2315">
            <v>37458</v>
          </cell>
          <cell r="C2315" t="str">
            <v>NG</v>
          </cell>
          <cell r="D2315" t="str">
            <v>200410</v>
          </cell>
          <cell r="E2315">
            <v>3.895</v>
          </cell>
        </row>
        <row r="2316">
          <cell r="A2316" t="str">
            <v>37458200411</v>
          </cell>
          <cell r="B2316">
            <v>37458</v>
          </cell>
          <cell r="C2316" t="str">
            <v>NG</v>
          </cell>
          <cell r="D2316" t="str">
            <v>200411</v>
          </cell>
          <cell r="E2316">
            <v>4.0949999999999998</v>
          </cell>
        </row>
        <row r="2317">
          <cell r="A2317" t="str">
            <v>37458200412</v>
          </cell>
          <cell r="B2317">
            <v>37458</v>
          </cell>
          <cell r="C2317" t="str">
            <v>NG</v>
          </cell>
          <cell r="D2317" t="str">
            <v>200412</v>
          </cell>
          <cell r="E2317">
            <v>4.26</v>
          </cell>
        </row>
        <row r="2318">
          <cell r="A2318" t="str">
            <v>37454200401</v>
          </cell>
          <cell r="B2318">
            <v>37454</v>
          </cell>
          <cell r="C2318" t="str">
            <v>NG</v>
          </cell>
          <cell r="D2318" t="str">
            <v>200401</v>
          </cell>
          <cell r="E2318">
            <v>4.2039999999999997</v>
          </cell>
        </row>
        <row r="2319">
          <cell r="A2319" t="str">
            <v>37454200402</v>
          </cell>
          <cell r="B2319">
            <v>37454</v>
          </cell>
          <cell r="C2319" t="str">
            <v>NG</v>
          </cell>
          <cell r="D2319" t="str">
            <v>200402</v>
          </cell>
          <cell r="E2319">
            <v>4.1109999999999998</v>
          </cell>
        </row>
        <row r="2320">
          <cell r="A2320" t="str">
            <v>37454200403</v>
          </cell>
          <cell r="B2320">
            <v>37454</v>
          </cell>
          <cell r="C2320" t="str">
            <v>NG</v>
          </cell>
          <cell r="D2320" t="str">
            <v>200403</v>
          </cell>
          <cell r="E2320">
            <v>3.9710000000000001</v>
          </cell>
        </row>
        <row r="2321">
          <cell r="A2321" t="str">
            <v>37454200404</v>
          </cell>
          <cell r="B2321">
            <v>37454</v>
          </cell>
          <cell r="C2321" t="str">
            <v>NG</v>
          </cell>
          <cell r="D2321" t="str">
            <v>200404</v>
          </cell>
          <cell r="E2321">
            <v>3.7909999999999999</v>
          </cell>
        </row>
        <row r="2322">
          <cell r="A2322" t="str">
            <v>37454200405</v>
          </cell>
          <cell r="B2322">
            <v>37454</v>
          </cell>
          <cell r="C2322" t="str">
            <v>NG</v>
          </cell>
          <cell r="D2322" t="str">
            <v>200405</v>
          </cell>
          <cell r="E2322">
            <v>3.79</v>
          </cell>
        </row>
        <row r="2323">
          <cell r="A2323" t="str">
            <v>37454200406</v>
          </cell>
          <cell r="B2323">
            <v>37454</v>
          </cell>
          <cell r="C2323" t="str">
            <v>NG</v>
          </cell>
          <cell r="D2323" t="str">
            <v>200406</v>
          </cell>
          <cell r="E2323">
            <v>3.83</v>
          </cell>
        </row>
        <row r="2324">
          <cell r="A2324" t="str">
            <v>37454200407</v>
          </cell>
          <cell r="B2324">
            <v>37454</v>
          </cell>
          <cell r="C2324" t="str">
            <v>NG</v>
          </cell>
          <cell r="D2324" t="str">
            <v>200407</v>
          </cell>
          <cell r="E2324">
            <v>3.84</v>
          </cell>
        </row>
        <row r="2325">
          <cell r="A2325" t="str">
            <v>37454200408</v>
          </cell>
          <cell r="B2325">
            <v>37454</v>
          </cell>
          <cell r="C2325" t="str">
            <v>NG</v>
          </cell>
          <cell r="D2325" t="str">
            <v>200408</v>
          </cell>
          <cell r="E2325">
            <v>3.85</v>
          </cell>
        </row>
        <row r="2326">
          <cell r="A2326" t="str">
            <v>37454200409</v>
          </cell>
          <cell r="B2326">
            <v>37454</v>
          </cell>
          <cell r="C2326" t="str">
            <v>NG</v>
          </cell>
          <cell r="D2326" t="str">
            <v>200409</v>
          </cell>
          <cell r="E2326">
            <v>3.85</v>
          </cell>
        </row>
        <row r="2327">
          <cell r="A2327" t="str">
            <v>37454200410</v>
          </cell>
          <cell r="B2327">
            <v>37454</v>
          </cell>
          <cell r="C2327" t="str">
            <v>NG</v>
          </cell>
          <cell r="D2327" t="str">
            <v>200410</v>
          </cell>
          <cell r="E2327">
            <v>3.88</v>
          </cell>
        </row>
        <row r="2328">
          <cell r="A2328" t="str">
            <v>37454200411</v>
          </cell>
          <cell r="B2328">
            <v>37454</v>
          </cell>
          <cell r="C2328" t="str">
            <v>NG</v>
          </cell>
          <cell r="D2328" t="str">
            <v>200411</v>
          </cell>
          <cell r="E2328">
            <v>4.08</v>
          </cell>
        </row>
        <row r="2329">
          <cell r="A2329" t="str">
            <v>37454200412</v>
          </cell>
          <cell r="B2329">
            <v>37454</v>
          </cell>
          <cell r="C2329" t="str">
            <v>NG</v>
          </cell>
          <cell r="D2329" t="str">
            <v>200412</v>
          </cell>
          <cell r="E2329">
            <v>4.25</v>
          </cell>
        </row>
        <row r="2330">
          <cell r="A2330" t="str">
            <v>37455200401</v>
          </cell>
          <cell r="B2330">
            <v>37455</v>
          </cell>
          <cell r="C2330" t="str">
            <v>NG</v>
          </cell>
          <cell r="D2330" t="str">
            <v>200401</v>
          </cell>
          <cell r="E2330">
            <v>4.2169999999999996</v>
          </cell>
        </row>
        <row r="2331">
          <cell r="A2331" t="str">
            <v>37455200402</v>
          </cell>
          <cell r="B2331">
            <v>37455</v>
          </cell>
          <cell r="C2331" t="str">
            <v>NG</v>
          </cell>
          <cell r="D2331" t="str">
            <v>200402</v>
          </cell>
          <cell r="E2331">
            <v>4.1239999999999997</v>
          </cell>
        </row>
        <row r="2332">
          <cell r="A2332" t="str">
            <v>37455200403</v>
          </cell>
          <cell r="B2332">
            <v>37455</v>
          </cell>
          <cell r="C2332" t="str">
            <v>NG</v>
          </cell>
          <cell r="D2332" t="str">
            <v>200403</v>
          </cell>
          <cell r="E2332">
            <v>3.984</v>
          </cell>
        </row>
        <row r="2333">
          <cell r="A2333" t="str">
            <v>37455200404</v>
          </cell>
          <cell r="B2333">
            <v>37455</v>
          </cell>
          <cell r="C2333" t="str">
            <v>NG</v>
          </cell>
          <cell r="D2333" t="str">
            <v>200404</v>
          </cell>
          <cell r="E2333">
            <v>3.8039999999999998</v>
          </cell>
        </row>
        <row r="2334">
          <cell r="A2334" t="str">
            <v>37455200405</v>
          </cell>
          <cell r="B2334">
            <v>37455</v>
          </cell>
          <cell r="C2334" t="str">
            <v>NG</v>
          </cell>
          <cell r="D2334" t="str">
            <v>200405</v>
          </cell>
          <cell r="E2334">
            <v>3.8029999999999999</v>
          </cell>
        </row>
        <row r="2335">
          <cell r="A2335" t="str">
            <v>37455200406</v>
          </cell>
          <cell r="B2335">
            <v>37455</v>
          </cell>
          <cell r="C2335" t="str">
            <v>NG</v>
          </cell>
          <cell r="D2335" t="str">
            <v>200406</v>
          </cell>
          <cell r="E2335">
            <v>3.843</v>
          </cell>
        </row>
        <row r="2336">
          <cell r="A2336" t="str">
            <v>37455200407</v>
          </cell>
          <cell r="B2336">
            <v>37455</v>
          </cell>
          <cell r="C2336" t="str">
            <v>NG</v>
          </cell>
          <cell r="D2336" t="str">
            <v>200407</v>
          </cell>
          <cell r="E2336">
            <v>3.8530000000000002</v>
          </cell>
        </row>
        <row r="2337">
          <cell r="A2337" t="str">
            <v>37455200408</v>
          </cell>
          <cell r="B2337">
            <v>37455</v>
          </cell>
          <cell r="C2337" t="str">
            <v>NG</v>
          </cell>
          <cell r="D2337" t="str">
            <v>200408</v>
          </cell>
          <cell r="E2337">
            <v>3.8780000000000001</v>
          </cell>
        </row>
        <row r="2338">
          <cell r="A2338" t="str">
            <v>37455200409</v>
          </cell>
          <cell r="B2338">
            <v>37455</v>
          </cell>
          <cell r="C2338" t="str">
            <v>NG</v>
          </cell>
          <cell r="D2338" t="str">
            <v>200409</v>
          </cell>
          <cell r="E2338">
            <v>3.8780000000000001</v>
          </cell>
        </row>
        <row r="2339">
          <cell r="A2339" t="str">
            <v>37455200410</v>
          </cell>
          <cell r="B2339">
            <v>37455</v>
          </cell>
          <cell r="C2339" t="str">
            <v>NG</v>
          </cell>
          <cell r="D2339" t="str">
            <v>200410</v>
          </cell>
          <cell r="E2339">
            <v>3.907</v>
          </cell>
        </row>
        <row r="2340">
          <cell r="A2340" t="str">
            <v>37455200411</v>
          </cell>
          <cell r="B2340">
            <v>37455</v>
          </cell>
          <cell r="C2340" t="str">
            <v>NG</v>
          </cell>
          <cell r="D2340" t="str">
            <v>200411</v>
          </cell>
          <cell r="E2340">
            <v>4.1070000000000002</v>
          </cell>
        </row>
        <row r="2341">
          <cell r="A2341" t="str">
            <v>37455200412</v>
          </cell>
          <cell r="B2341">
            <v>37455</v>
          </cell>
          <cell r="C2341" t="str">
            <v>NG</v>
          </cell>
          <cell r="D2341" t="str">
            <v>200412</v>
          </cell>
          <cell r="E2341">
            <v>4.2720000000000002</v>
          </cell>
        </row>
        <row r="2342">
          <cell r="A2342" t="str">
            <v>37456200401</v>
          </cell>
          <cell r="B2342">
            <v>37456</v>
          </cell>
          <cell r="C2342" t="str">
            <v>NG</v>
          </cell>
          <cell r="D2342" t="str">
            <v>200401</v>
          </cell>
          <cell r="E2342">
            <v>4.1820000000000004</v>
          </cell>
        </row>
        <row r="2343">
          <cell r="A2343" t="str">
            <v>37456200402</v>
          </cell>
          <cell r="B2343">
            <v>37456</v>
          </cell>
          <cell r="C2343" t="str">
            <v>NG</v>
          </cell>
          <cell r="D2343" t="str">
            <v>200402</v>
          </cell>
          <cell r="E2343">
            <v>4.0890000000000004</v>
          </cell>
        </row>
        <row r="2344">
          <cell r="A2344" t="str">
            <v>37456200403</v>
          </cell>
          <cell r="B2344">
            <v>37456</v>
          </cell>
          <cell r="C2344" t="str">
            <v>NG</v>
          </cell>
          <cell r="D2344" t="str">
            <v>200403</v>
          </cell>
          <cell r="E2344">
            <v>3.9550000000000001</v>
          </cell>
        </row>
        <row r="2345">
          <cell r="A2345" t="str">
            <v>37456200404</v>
          </cell>
          <cell r="B2345">
            <v>37456</v>
          </cell>
          <cell r="C2345" t="str">
            <v>NG</v>
          </cell>
          <cell r="D2345" t="str">
            <v>200404</v>
          </cell>
          <cell r="E2345">
            <v>3.7869999999999999</v>
          </cell>
        </row>
        <row r="2346">
          <cell r="A2346" t="str">
            <v>37456200405</v>
          </cell>
          <cell r="B2346">
            <v>37456</v>
          </cell>
          <cell r="C2346" t="str">
            <v>NG</v>
          </cell>
          <cell r="D2346" t="str">
            <v>200405</v>
          </cell>
          <cell r="E2346">
            <v>3.79</v>
          </cell>
        </row>
        <row r="2347">
          <cell r="A2347" t="str">
            <v>37456200406</v>
          </cell>
          <cell r="B2347">
            <v>37456</v>
          </cell>
          <cell r="C2347" t="str">
            <v>NG</v>
          </cell>
          <cell r="D2347" t="str">
            <v>200406</v>
          </cell>
          <cell r="E2347">
            <v>3.83</v>
          </cell>
        </row>
        <row r="2348">
          <cell r="A2348" t="str">
            <v>37456200407</v>
          </cell>
          <cell r="B2348">
            <v>37456</v>
          </cell>
          <cell r="C2348" t="str">
            <v>NG</v>
          </cell>
          <cell r="D2348" t="str">
            <v>200407</v>
          </cell>
          <cell r="E2348">
            <v>3.84</v>
          </cell>
        </row>
        <row r="2349">
          <cell r="A2349" t="str">
            <v>37456200408</v>
          </cell>
          <cell r="B2349">
            <v>37456</v>
          </cell>
          <cell r="C2349" t="str">
            <v>NG</v>
          </cell>
          <cell r="D2349" t="str">
            <v>200408</v>
          </cell>
          <cell r="E2349">
            <v>3.8650000000000002</v>
          </cell>
        </row>
        <row r="2350">
          <cell r="A2350" t="str">
            <v>37456200409</v>
          </cell>
          <cell r="B2350">
            <v>37456</v>
          </cell>
          <cell r="C2350" t="str">
            <v>NG</v>
          </cell>
          <cell r="D2350" t="str">
            <v>200409</v>
          </cell>
          <cell r="E2350">
            <v>3.8650000000000002</v>
          </cell>
        </row>
        <row r="2351">
          <cell r="A2351" t="str">
            <v>37456200410</v>
          </cell>
          <cell r="B2351">
            <v>37456</v>
          </cell>
          <cell r="C2351" t="str">
            <v>NG</v>
          </cell>
          <cell r="D2351" t="str">
            <v>200410</v>
          </cell>
          <cell r="E2351">
            <v>3.895</v>
          </cell>
        </row>
        <row r="2352">
          <cell r="A2352" t="str">
            <v>37456200411</v>
          </cell>
          <cell r="B2352">
            <v>37456</v>
          </cell>
          <cell r="C2352" t="str">
            <v>NG</v>
          </cell>
          <cell r="D2352" t="str">
            <v>200411</v>
          </cell>
          <cell r="E2352">
            <v>4.0949999999999998</v>
          </cell>
        </row>
        <row r="2353">
          <cell r="A2353" t="str">
            <v>37456200412</v>
          </cell>
          <cell r="B2353">
            <v>37456</v>
          </cell>
          <cell r="C2353" t="str">
            <v>NG</v>
          </cell>
          <cell r="D2353" t="str">
            <v>200412</v>
          </cell>
          <cell r="E2353">
            <v>4.26</v>
          </cell>
        </row>
        <row r="2354">
          <cell r="A2354" t="str">
            <v>37457200401</v>
          </cell>
          <cell r="B2354">
            <v>37457</v>
          </cell>
          <cell r="C2354" t="str">
            <v>NG</v>
          </cell>
          <cell r="D2354" t="str">
            <v>200401</v>
          </cell>
          <cell r="E2354">
            <v>4.1820000000000004</v>
          </cell>
        </row>
        <row r="2355">
          <cell r="A2355" t="str">
            <v>37457200402</v>
          </cell>
          <cell r="B2355">
            <v>37457</v>
          </cell>
          <cell r="C2355" t="str">
            <v>NG</v>
          </cell>
          <cell r="D2355" t="str">
            <v>200402</v>
          </cell>
          <cell r="E2355">
            <v>4.0890000000000004</v>
          </cell>
        </row>
        <row r="2356">
          <cell r="A2356" t="str">
            <v>37457200403</v>
          </cell>
          <cell r="B2356">
            <v>37457</v>
          </cell>
          <cell r="C2356" t="str">
            <v>NG</v>
          </cell>
          <cell r="D2356" t="str">
            <v>200403</v>
          </cell>
          <cell r="E2356">
            <v>3.9550000000000001</v>
          </cell>
        </row>
        <row r="2357">
          <cell r="A2357" t="str">
            <v>37457200404</v>
          </cell>
          <cell r="B2357">
            <v>37457</v>
          </cell>
          <cell r="C2357" t="str">
            <v>NG</v>
          </cell>
          <cell r="D2357" t="str">
            <v>200404</v>
          </cell>
          <cell r="E2357">
            <v>3.7869999999999999</v>
          </cell>
        </row>
        <row r="2358">
          <cell r="A2358" t="str">
            <v>37457200405</v>
          </cell>
          <cell r="B2358">
            <v>37457</v>
          </cell>
          <cell r="C2358" t="str">
            <v>NG</v>
          </cell>
          <cell r="D2358" t="str">
            <v>200405</v>
          </cell>
          <cell r="E2358">
            <v>3.79</v>
          </cell>
        </row>
        <row r="2359">
          <cell r="A2359" t="str">
            <v>37457200406</v>
          </cell>
          <cell r="B2359">
            <v>37457</v>
          </cell>
          <cell r="C2359" t="str">
            <v>NG</v>
          </cell>
          <cell r="D2359" t="str">
            <v>200406</v>
          </cell>
          <cell r="E2359">
            <v>3.83</v>
          </cell>
        </row>
        <row r="2360">
          <cell r="A2360" t="str">
            <v>37457200407</v>
          </cell>
          <cell r="B2360">
            <v>37457</v>
          </cell>
          <cell r="C2360" t="str">
            <v>NG</v>
          </cell>
          <cell r="D2360" t="str">
            <v>200407</v>
          </cell>
          <cell r="E2360">
            <v>3.84</v>
          </cell>
        </row>
        <row r="2361">
          <cell r="A2361" t="str">
            <v>37457200408</v>
          </cell>
          <cell r="B2361">
            <v>37457</v>
          </cell>
          <cell r="C2361" t="str">
            <v>NG</v>
          </cell>
          <cell r="D2361" t="str">
            <v>200408</v>
          </cell>
          <cell r="E2361">
            <v>3.8650000000000002</v>
          </cell>
        </row>
        <row r="2362">
          <cell r="A2362" t="str">
            <v>37457200409</v>
          </cell>
          <cell r="B2362">
            <v>37457</v>
          </cell>
          <cell r="C2362" t="str">
            <v>NG</v>
          </cell>
          <cell r="D2362" t="str">
            <v>200409</v>
          </cell>
          <cell r="E2362">
            <v>3.8650000000000002</v>
          </cell>
        </row>
        <row r="2363">
          <cell r="A2363" t="str">
            <v>37457200410</v>
          </cell>
          <cell r="B2363">
            <v>37457</v>
          </cell>
          <cell r="C2363" t="str">
            <v>NG</v>
          </cell>
          <cell r="D2363" t="str">
            <v>200410</v>
          </cell>
          <cell r="E2363">
            <v>3.895</v>
          </cell>
        </row>
        <row r="2364">
          <cell r="A2364" t="str">
            <v>37457200411</v>
          </cell>
          <cell r="B2364">
            <v>37457</v>
          </cell>
          <cell r="C2364" t="str">
            <v>NG</v>
          </cell>
          <cell r="D2364" t="str">
            <v>200411</v>
          </cell>
          <cell r="E2364">
            <v>4.0949999999999998</v>
          </cell>
        </row>
        <row r="2365">
          <cell r="A2365" t="str">
            <v>37457200412</v>
          </cell>
          <cell r="B2365">
            <v>37457</v>
          </cell>
          <cell r="C2365" t="str">
            <v>NG</v>
          </cell>
          <cell r="D2365" t="str">
            <v>200412</v>
          </cell>
          <cell r="E2365">
            <v>4.26</v>
          </cell>
        </row>
        <row r="2366">
          <cell r="A2366" t="str">
            <v>37459200401</v>
          </cell>
          <cell r="B2366">
            <v>37459</v>
          </cell>
          <cell r="C2366" t="str">
            <v>NG</v>
          </cell>
          <cell r="D2366" t="str">
            <v>200401</v>
          </cell>
          <cell r="E2366">
            <v>4.1879999999999997</v>
          </cell>
        </row>
        <row r="2367">
          <cell r="A2367" t="str">
            <v>37459200402</v>
          </cell>
          <cell r="B2367">
            <v>37459</v>
          </cell>
          <cell r="C2367" t="str">
            <v>NG</v>
          </cell>
          <cell r="D2367" t="str">
            <v>200402</v>
          </cell>
          <cell r="E2367">
            <v>4.0949999999999998</v>
          </cell>
        </row>
        <row r="2368">
          <cell r="A2368" t="str">
            <v>37459200403</v>
          </cell>
          <cell r="B2368">
            <v>37459</v>
          </cell>
          <cell r="C2368" t="str">
            <v>NG</v>
          </cell>
          <cell r="D2368" t="str">
            <v>200403</v>
          </cell>
          <cell r="E2368">
            <v>3.9609999999999999</v>
          </cell>
        </row>
        <row r="2369">
          <cell r="A2369" t="str">
            <v>37459200404</v>
          </cell>
          <cell r="B2369">
            <v>37459</v>
          </cell>
          <cell r="C2369" t="str">
            <v>NG</v>
          </cell>
          <cell r="D2369" t="str">
            <v>200404</v>
          </cell>
          <cell r="E2369">
            <v>3.7930000000000001</v>
          </cell>
        </row>
        <row r="2370">
          <cell r="A2370" t="str">
            <v>37459200405</v>
          </cell>
          <cell r="B2370">
            <v>37459</v>
          </cell>
          <cell r="C2370" t="str">
            <v>NG</v>
          </cell>
          <cell r="D2370" t="str">
            <v>200405</v>
          </cell>
          <cell r="E2370">
            <v>3.7959999999999998</v>
          </cell>
        </row>
        <row r="2371">
          <cell r="A2371" t="str">
            <v>37459200406</v>
          </cell>
          <cell r="B2371">
            <v>37459</v>
          </cell>
          <cell r="C2371" t="str">
            <v>NG</v>
          </cell>
          <cell r="D2371" t="str">
            <v>200406</v>
          </cell>
          <cell r="E2371">
            <v>3.8359999999999999</v>
          </cell>
        </row>
        <row r="2372">
          <cell r="A2372" t="str">
            <v>37459200407</v>
          </cell>
          <cell r="B2372">
            <v>37459</v>
          </cell>
          <cell r="C2372" t="str">
            <v>NG</v>
          </cell>
          <cell r="D2372" t="str">
            <v>200407</v>
          </cell>
          <cell r="E2372">
            <v>3.8460000000000001</v>
          </cell>
        </row>
        <row r="2373">
          <cell r="A2373" t="str">
            <v>37459200408</v>
          </cell>
          <cell r="B2373">
            <v>37459</v>
          </cell>
          <cell r="C2373" t="str">
            <v>NG</v>
          </cell>
          <cell r="D2373" t="str">
            <v>200408</v>
          </cell>
          <cell r="E2373">
            <v>3.871</v>
          </cell>
        </row>
        <row r="2374">
          <cell r="A2374" t="str">
            <v>37459200409</v>
          </cell>
          <cell r="B2374">
            <v>37459</v>
          </cell>
          <cell r="C2374" t="str">
            <v>NG</v>
          </cell>
          <cell r="D2374" t="str">
            <v>200409</v>
          </cell>
          <cell r="E2374">
            <v>3.871</v>
          </cell>
        </row>
        <row r="2375">
          <cell r="A2375" t="str">
            <v>37459200410</v>
          </cell>
          <cell r="B2375">
            <v>37459</v>
          </cell>
          <cell r="C2375" t="str">
            <v>NG</v>
          </cell>
          <cell r="D2375" t="str">
            <v>200410</v>
          </cell>
          <cell r="E2375">
            <v>3.9009999999999998</v>
          </cell>
        </row>
        <row r="2376">
          <cell r="A2376" t="str">
            <v>37459200411</v>
          </cell>
          <cell r="B2376">
            <v>37459</v>
          </cell>
          <cell r="C2376" t="str">
            <v>NG</v>
          </cell>
          <cell r="D2376" t="str">
            <v>200411</v>
          </cell>
          <cell r="E2376">
            <v>4.0960000000000001</v>
          </cell>
        </row>
        <row r="2377">
          <cell r="A2377" t="str">
            <v>37459200412</v>
          </cell>
          <cell r="B2377">
            <v>37459</v>
          </cell>
          <cell r="C2377" t="str">
            <v>NG</v>
          </cell>
          <cell r="D2377" t="str">
            <v>200412</v>
          </cell>
          <cell r="E2377">
            <v>4.2610000000000001</v>
          </cell>
        </row>
        <row r="2378">
          <cell r="A2378" t="str">
            <v>37460200401</v>
          </cell>
          <cell r="B2378">
            <v>37460</v>
          </cell>
          <cell r="C2378" t="str">
            <v>NG</v>
          </cell>
          <cell r="D2378" t="str">
            <v>200401</v>
          </cell>
          <cell r="E2378">
            <v>4.0720000000000001</v>
          </cell>
        </row>
        <row r="2379">
          <cell r="A2379" t="str">
            <v>37460200402</v>
          </cell>
          <cell r="B2379">
            <v>37460</v>
          </cell>
          <cell r="C2379" t="str">
            <v>NG</v>
          </cell>
          <cell r="D2379" t="str">
            <v>200402</v>
          </cell>
          <cell r="E2379">
            <v>3.9809999999999999</v>
          </cell>
        </row>
        <row r="2380">
          <cell r="A2380" t="str">
            <v>37460200403</v>
          </cell>
          <cell r="B2380">
            <v>37460</v>
          </cell>
          <cell r="C2380" t="str">
            <v>NG</v>
          </cell>
          <cell r="D2380" t="str">
            <v>200403</v>
          </cell>
          <cell r="E2380">
            <v>3.847</v>
          </cell>
        </row>
        <row r="2381">
          <cell r="A2381" t="str">
            <v>37460200404</v>
          </cell>
          <cell r="B2381">
            <v>37460</v>
          </cell>
          <cell r="C2381" t="str">
            <v>NG</v>
          </cell>
          <cell r="D2381" t="str">
            <v>200404</v>
          </cell>
          <cell r="E2381">
            <v>3.6720000000000002</v>
          </cell>
        </row>
        <row r="2382">
          <cell r="A2382" t="str">
            <v>37460200405</v>
          </cell>
          <cell r="B2382">
            <v>37460</v>
          </cell>
          <cell r="C2382" t="str">
            <v>NG</v>
          </cell>
          <cell r="D2382" t="str">
            <v>200405</v>
          </cell>
          <cell r="E2382">
            <v>3.6749999999999998</v>
          </cell>
        </row>
        <row r="2383">
          <cell r="A2383" t="str">
            <v>37460200406</v>
          </cell>
          <cell r="B2383">
            <v>37460</v>
          </cell>
          <cell r="C2383" t="str">
            <v>NG</v>
          </cell>
          <cell r="D2383" t="str">
            <v>200406</v>
          </cell>
          <cell r="E2383">
            <v>3.7149999999999999</v>
          </cell>
        </row>
        <row r="2384">
          <cell r="A2384" t="str">
            <v>37460200407</v>
          </cell>
          <cell r="B2384">
            <v>37460</v>
          </cell>
          <cell r="C2384" t="str">
            <v>NG</v>
          </cell>
          <cell r="D2384" t="str">
            <v>200407</v>
          </cell>
          <cell r="E2384">
            <v>3.7250000000000001</v>
          </cell>
        </row>
        <row r="2385">
          <cell r="A2385" t="str">
            <v>37460200408</v>
          </cell>
          <cell r="B2385">
            <v>37460</v>
          </cell>
          <cell r="C2385" t="str">
            <v>NG</v>
          </cell>
          <cell r="D2385" t="str">
            <v>200408</v>
          </cell>
          <cell r="E2385">
            <v>3.75</v>
          </cell>
        </row>
        <row r="2386">
          <cell r="A2386" t="str">
            <v>37460200409</v>
          </cell>
          <cell r="B2386">
            <v>37460</v>
          </cell>
          <cell r="C2386" t="str">
            <v>NG</v>
          </cell>
          <cell r="D2386" t="str">
            <v>200409</v>
          </cell>
          <cell r="E2386">
            <v>3.75</v>
          </cell>
        </row>
        <row r="2387">
          <cell r="A2387" t="str">
            <v>37460200410</v>
          </cell>
          <cell r="B2387">
            <v>37460</v>
          </cell>
          <cell r="C2387" t="str">
            <v>NG</v>
          </cell>
          <cell r="D2387" t="str">
            <v>200410</v>
          </cell>
          <cell r="E2387">
            <v>3.78</v>
          </cell>
        </row>
        <row r="2388">
          <cell r="A2388" t="str">
            <v>37460200411</v>
          </cell>
          <cell r="B2388">
            <v>37460</v>
          </cell>
          <cell r="C2388" t="str">
            <v>NG</v>
          </cell>
          <cell r="D2388" t="str">
            <v>200411</v>
          </cell>
          <cell r="E2388">
            <v>3.9750000000000001</v>
          </cell>
        </row>
        <row r="2389">
          <cell r="A2389" t="str">
            <v>37460200412</v>
          </cell>
          <cell r="B2389">
            <v>37460</v>
          </cell>
          <cell r="C2389" t="str">
            <v>NG</v>
          </cell>
          <cell r="D2389" t="str">
            <v>200412</v>
          </cell>
          <cell r="E2389">
            <v>4.1399999999999997</v>
          </cell>
        </row>
        <row r="2390">
          <cell r="A2390" t="str">
            <v>37461200401</v>
          </cell>
          <cell r="B2390">
            <v>37461</v>
          </cell>
          <cell r="C2390" t="str">
            <v>NG</v>
          </cell>
          <cell r="D2390" t="str">
            <v>200401</v>
          </cell>
          <cell r="E2390">
            <v>4.0469999999999997</v>
          </cell>
        </row>
        <row r="2391">
          <cell r="A2391" t="str">
            <v>37461200402</v>
          </cell>
          <cell r="B2391">
            <v>37461</v>
          </cell>
          <cell r="C2391" t="str">
            <v>NG</v>
          </cell>
          <cell r="D2391" t="str">
            <v>200402</v>
          </cell>
          <cell r="E2391">
            <v>3.9369999999999998</v>
          </cell>
        </row>
        <row r="2392">
          <cell r="A2392" t="str">
            <v>37461200403</v>
          </cell>
          <cell r="B2392">
            <v>37461</v>
          </cell>
          <cell r="C2392" t="str">
            <v>NG</v>
          </cell>
          <cell r="D2392" t="str">
            <v>200403</v>
          </cell>
          <cell r="E2392">
            <v>3.7869999999999999</v>
          </cell>
        </row>
        <row r="2393">
          <cell r="A2393" t="str">
            <v>37461200404</v>
          </cell>
          <cell r="B2393">
            <v>37461</v>
          </cell>
          <cell r="C2393" t="str">
            <v>NG</v>
          </cell>
          <cell r="D2393" t="str">
            <v>200404</v>
          </cell>
          <cell r="E2393">
            <v>3.597</v>
          </cell>
        </row>
        <row r="2394">
          <cell r="A2394" t="str">
            <v>37461200405</v>
          </cell>
          <cell r="B2394">
            <v>37461</v>
          </cell>
          <cell r="C2394" t="str">
            <v>NG</v>
          </cell>
          <cell r="D2394" t="str">
            <v>200405</v>
          </cell>
          <cell r="E2394">
            <v>3.6</v>
          </cell>
        </row>
        <row r="2395">
          <cell r="A2395" t="str">
            <v>37461200406</v>
          </cell>
          <cell r="B2395">
            <v>37461</v>
          </cell>
          <cell r="C2395" t="str">
            <v>NG</v>
          </cell>
          <cell r="D2395" t="str">
            <v>200406</v>
          </cell>
          <cell r="E2395">
            <v>3.64</v>
          </cell>
        </row>
        <row r="2396">
          <cell r="A2396" t="str">
            <v>37461200407</v>
          </cell>
          <cell r="B2396">
            <v>37461</v>
          </cell>
          <cell r="C2396" t="str">
            <v>NG</v>
          </cell>
          <cell r="D2396" t="str">
            <v>200407</v>
          </cell>
          <cell r="E2396">
            <v>3.65</v>
          </cell>
        </row>
        <row r="2397">
          <cell r="A2397" t="str">
            <v>37461200408</v>
          </cell>
          <cell r="B2397">
            <v>37461</v>
          </cell>
          <cell r="C2397" t="str">
            <v>NG</v>
          </cell>
          <cell r="D2397" t="str">
            <v>200408</v>
          </cell>
          <cell r="E2397">
            <v>3.6749999999999998</v>
          </cell>
        </row>
        <row r="2398">
          <cell r="A2398" t="str">
            <v>37461200409</v>
          </cell>
          <cell r="B2398">
            <v>37461</v>
          </cell>
          <cell r="C2398" t="str">
            <v>NG</v>
          </cell>
          <cell r="D2398" t="str">
            <v>200409</v>
          </cell>
          <cell r="E2398">
            <v>3.6749999999999998</v>
          </cell>
        </row>
        <row r="2399">
          <cell r="A2399" t="str">
            <v>37461200410</v>
          </cell>
          <cell r="B2399">
            <v>37461</v>
          </cell>
          <cell r="C2399" t="str">
            <v>NG</v>
          </cell>
          <cell r="D2399" t="str">
            <v>200410</v>
          </cell>
          <cell r="E2399">
            <v>3.7050000000000001</v>
          </cell>
        </row>
        <row r="2400">
          <cell r="A2400" t="str">
            <v>37461200411</v>
          </cell>
          <cell r="B2400">
            <v>37461</v>
          </cell>
          <cell r="C2400" t="str">
            <v>NG</v>
          </cell>
          <cell r="D2400" t="str">
            <v>200411</v>
          </cell>
          <cell r="E2400">
            <v>3.8849999999999998</v>
          </cell>
        </row>
        <row r="2401">
          <cell r="A2401" t="str">
            <v>37461200412</v>
          </cell>
          <cell r="B2401">
            <v>37461</v>
          </cell>
          <cell r="C2401" t="str">
            <v>NG</v>
          </cell>
          <cell r="D2401" t="str">
            <v>200412</v>
          </cell>
          <cell r="E2401">
            <v>4.04</v>
          </cell>
        </row>
        <row r="2402">
          <cell r="A2402" t="str">
            <v>37462200401</v>
          </cell>
          <cell r="B2402">
            <v>37462</v>
          </cell>
          <cell r="C2402" t="str">
            <v>NG</v>
          </cell>
          <cell r="D2402" t="str">
            <v>200401</v>
          </cell>
          <cell r="E2402">
            <v>4.0229999999999997</v>
          </cell>
        </row>
        <row r="2403">
          <cell r="A2403" t="str">
            <v>37462200402</v>
          </cell>
          <cell r="B2403">
            <v>37462</v>
          </cell>
          <cell r="C2403" t="str">
            <v>NG</v>
          </cell>
          <cell r="D2403" t="str">
            <v>200402</v>
          </cell>
          <cell r="E2403">
            <v>3.923</v>
          </cell>
        </row>
        <row r="2404">
          <cell r="A2404" t="str">
            <v>37462200403</v>
          </cell>
          <cell r="B2404">
            <v>37462</v>
          </cell>
          <cell r="C2404" t="str">
            <v>NG</v>
          </cell>
          <cell r="D2404" t="str">
            <v>200403</v>
          </cell>
          <cell r="E2404">
            <v>3.778</v>
          </cell>
        </row>
        <row r="2405">
          <cell r="A2405" t="str">
            <v>37462200404</v>
          </cell>
          <cell r="B2405">
            <v>37462</v>
          </cell>
          <cell r="C2405" t="str">
            <v>NG</v>
          </cell>
          <cell r="D2405" t="str">
            <v>200404</v>
          </cell>
          <cell r="E2405">
            <v>3.5979999999999999</v>
          </cell>
        </row>
        <row r="2406">
          <cell r="A2406" t="str">
            <v>37462200405</v>
          </cell>
          <cell r="B2406">
            <v>37462</v>
          </cell>
          <cell r="C2406" t="str">
            <v>NG</v>
          </cell>
          <cell r="D2406" t="str">
            <v>200405</v>
          </cell>
          <cell r="E2406">
            <v>3.5880000000000001</v>
          </cell>
        </row>
        <row r="2407">
          <cell r="A2407" t="str">
            <v>37462200406</v>
          </cell>
          <cell r="B2407">
            <v>37462</v>
          </cell>
          <cell r="C2407" t="str">
            <v>NG</v>
          </cell>
          <cell r="D2407" t="str">
            <v>200406</v>
          </cell>
          <cell r="E2407">
            <v>3.6379999999999999</v>
          </cell>
        </row>
        <row r="2408">
          <cell r="A2408" t="str">
            <v>37462200407</v>
          </cell>
          <cell r="B2408">
            <v>37462</v>
          </cell>
          <cell r="C2408" t="str">
            <v>NG</v>
          </cell>
          <cell r="D2408" t="str">
            <v>200407</v>
          </cell>
          <cell r="E2408">
            <v>3.6480000000000001</v>
          </cell>
        </row>
        <row r="2409">
          <cell r="A2409" t="str">
            <v>37462200408</v>
          </cell>
          <cell r="B2409">
            <v>37462</v>
          </cell>
          <cell r="C2409" t="str">
            <v>NG</v>
          </cell>
          <cell r="D2409" t="str">
            <v>200408</v>
          </cell>
          <cell r="E2409">
            <v>3.6779999999999999</v>
          </cell>
        </row>
        <row r="2410">
          <cell r="A2410" t="str">
            <v>37462200409</v>
          </cell>
          <cell r="B2410">
            <v>37462</v>
          </cell>
          <cell r="C2410" t="str">
            <v>NG</v>
          </cell>
          <cell r="D2410" t="str">
            <v>200409</v>
          </cell>
          <cell r="E2410">
            <v>3.673</v>
          </cell>
        </row>
        <row r="2411">
          <cell r="A2411" t="str">
            <v>37462200410</v>
          </cell>
          <cell r="B2411">
            <v>37462</v>
          </cell>
          <cell r="C2411" t="str">
            <v>NG</v>
          </cell>
          <cell r="D2411" t="str">
            <v>200410</v>
          </cell>
          <cell r="E2411">
            <v>3.7029999999999998</v>
          </cell>
        </row>
        <row r="2412">
          <cell r="A2412" t="str">
            <v>37462200411</v>
          </cell>
          <cell r="B2412">
            <v>37462</v>
          </cell>
          <cell r="C2412" t="str">
            <v>NG</v>
          </cell>
          <cell r="D2412" t="str">
            <v>200411</v>
          </cell>
          <cell r="E2412">
            <v>3.883</v>
          </cell>
        </row>
        <row r="2413">
          <cell r="A2413" t="str">
            <v>37462200412</v>
          </cell>
          <cell r="B2413">
            <v>37462</v>
          </cell>
          <cell r="C2413" t="str">
            <v>NG</v>
          </cell>
          <cell r="D2413" t="str">
            <v>200412</v>
          </cell>
          <cell r="E2413">
            <v>4.0380000000000003</v>
          </cell>
        </row>
        <row r="2414">
          <cell r="A2414" t="str">
            <v>37463200401</v>
          </cell>
          <cell r="B2414">
            <v>37463</v>
          </cell>
          <cell r="C2414" t="str">
            <v>NG</v>
          </cell>
          <cell r="D2414" t="str">
            <v>200401</v>
          </cell>
          <cell r="E2414">
            <v>4.0419999999999998</v>
          </cell>
        </row>
        <row r="2415">
          <cell r="A2415" t="str">
            <v>37463200402</v>
          </cell>
          <cell r="B2415">
            <v>37463</v>
          </cell>
          <cell r="C2415" t="str">
            <v>NG</v>
          </cell>
          <cell r="D2415" t="str">
            <v>200402</v>
          </cell>
          <cell r="E2415">
            <v>3.9420000000000002</v>
          </cell>
        </row>
        <row r="2416">
          <cell r="A2416" t="str">
            <v>37463200403</v>
          </cell>
          <cell r="B2416">
            <v>37463</v>
          </cell>
          <cell r="C2416" t="str">
            <v>NG</v>
          </cell>
          <cell r="D2416" t="str">
            <v>200403</v>
          </cell>
          <cell r="E2416">
            <v>3.7970000000000002</v>
          </cell>
        </row>
        <row r="2417">
          <cell r="A2417" t="str">
            <v>37463200404</v>
          </cell>
          <cell r="B2417">
            <v>37463</v>
          </cell>
          <cell r="C2417" t="str">
            <v>NG</v>
          </cell>
          <cell r="D2417" t="str">
            <v>200404</v>
          </cell>
          <cell r="E2417">
            <v>3.617</v>
          </cell>
        </row>
        <row r="2418">
          <cell r="A2418" t="str">
            <v>37463200405</v>
          </cell>
          <cell r="B2418">
            <v>37463</v>
          </cell>
          <cell r="C2418" t="str">
            <v>NG</v>
          </cell>
          <cell r="D2418" t="str">
            <v>200405</v>
          </cell>
          <cell r="E2418">
            <v>3.617</v>
          </cell>
        </row>
        <row r="2419">
          <cell r="A2419" t="str">
            <v>37463200406</v>
          </cell>
          <cell r="B2419">
            <v>37463</v>
          </cell>
          <cell r="C2419" t="str">
            <v>NG</v>
          </cell>
          <cell r="D2419" t="str">
            <v>200406</v>
          </cell>
          <cell r="E2419">
            <v>3.657</v>
          </cell>
        </row>
        <row r="2420">
          <cell r="A2420" t="str">
            <v>37463200407</v>
          </cell>
          <cell r="B2420">
            <v>37463</v>
          </cell>
          <cell r="C2420" t="str">
            <v>NG</v>
          </cell>
          <cell r="D2420" t="str">
            <v>200407</v>
          </cell>
          <cell r="E2420">
            <v>3.6720000000000002</v>
          </cell>
        </row>
        <row r="2421">
          <cell r="A2421" t="str">
            <v>37463200408</v>
          </cell>
          <cell r="B2421">
            <v>37463</v>
          </cell>
          <cell r="C2421" t="str">
            <v>NG</v>
          </cell>
          <cell r="D2421" t="str">
            <v>200408</v>
          </cell>
          <cell r="E2421">
            <v>3.702</v>
          </cell>
        </row>
        <row r="2422">
          <cell r="A2422" t="str">
            <v>37463200409</v>
          </cell>
          <cell r="B2422">
            <v>37463</v>
          </cell>
          <cell r="C2422" t="str">
            <v>NG</v>
          </cell>
          <cell r="D2422" t="str">
            <v>200409</v>
          </cell>
          <cell r="E2422">
            <v>3.6970000000000001</v>
          </cell>
        </row>
        <row r="2423">
          <cell r="A2423" t="str">
            <v>37463200410</v>
          </cell>
          <cell r="B2423">
            <v>37463</v>
          </cell>
          <cell r="C2423" t="str">
            <v>NG</v>
          </cell>
          <cell r="D2423" t="str">
            <v>200410</v>
          </cell>
          <cell r="E2423">
            <v>3.7269999999999999</v>
          </cell>
        </row>
        <row r="2424">
          <cell r="A2424" t="str">
            <v>37463200411</v>
          </cell>
          <cell r="B2424">
            <v>37463</v>
          </cell>
          <cell r="C2424" t="str">
            <v>NG</v>
          </cell>
          <cell r="D2424" t="str">
            <v>200411</v>
          </cell>
          <cell r="E2424">
            <v>3.907</v>
          </cell>
        </row>
        <row r="2425">
          <cell r="A2425" t="str">
            <v>37463200412</v>
          </cell>
          <cell r="B2425">
            <v>37463</v>
          </cell>
          <cell r="C2425" t="str">
            <v>NG</v>
          </cell>
          <cell r="D2425" t="str">
            <v>200412</v>
          </cell>
          <cell r="E2425">
            <v>4.0620000000000003</v>
          </cell>
        </row>
        <row r="2426">
          <cell r="A2426" t="str">
            <v>37464200401</v>
          </cell>
          <cell r="B2426">
            <v>37464</v>
          </cell>
          <cell r="C2426" t="str">
            <v>NG</v>
          </cell>
          <cell r="D2426" t="str">
            <v>200401</v>
          </cell>
          <cell r="E2426">
            <v>4.0419999999999998</v>
          </cell>
        </row>
        <row r="2427">
          <cell r="A2427" t="str">
            <v>37464200402</v>
          </cell>
          <cell r="B2427">
            <v>37464</v>
          </cell>
          <cell r="C2427" t="str">
            <v>NG</v>
          </cell>
          <cell r="D2427" t="str">
            <v>200402</v>
          </cell>
          <cell r="E2427">
            <v>3.9420000000000002</v>
          </cell>
        </row>
        <row r="2428">
          <cell r="A2428" t="str">
            <v>37464200403</v>
          </cell>
          <cell r="B2428">
            <v>37464</v>
          </cell>
          <cell r="C2428" t="str">
            <v>NG</v>
          </cell>
          <cell r="D2428" t="str">
            <v>200403</v>
          </cell>
          <cell r="E2428">
            <v>3.7970000000000002</v>
          </cell>
        </row>
        <row r="2429">
          <cell r="A2429" t="str">
            <v>37464200404</v>
          </cell>
          <cell r="B2429">
            <v>37464</v>
          </cell>
          <cell r="C2429" t="str">
            <v>NG</v>
          </cell>
          <cell r="D2429" t="str">
            <v>200404</v>
          </cell>
          <cell r="E2429">
            <v>3.617</v>
          </cell>
        </row>
        <row r="2430">
          <cell r="A2430" t="str">
            <v>37464200405</v>
          </cell>
          <cell r="B2430">
            <v>37464</v>
          </cell>
          <cell r="C2430" t="str">
            <v>NG</v>
          </cell>
          <cell r="D2430" t="str">
            <v>200405</v>
          </cell>
          <cell r="E2430">
            <v>3.617</v>
          </cell>
        </row>
        <row r="2431">
          <cell r="A2431" t="str">
            <v>37464200406</v>
          </cell>
          <cell r="B2431">
            <v>37464</v>
          </cell>
          <cell r="C2431" t="str">
            <v>NG</v>
          </cell>
          <cell r="D2431" t="str">
            <v>200406</v>
          </cell>
          <cell r="E2431">
            <v>3.657</v>
          </cell>
        </row>
        <row r="2432">
          <cell r="A2432" t="str">
            <v>37464200407</v>
          </cell>
          <cell r="B2432">
            <v>37464</v>
          </cell>
          <cell r="C2432" t="str">
            <v>NG</v>
          </cell>
          <cell r="D2432" t="str">
            <v>200407</v>
          </cell>
          <cell r="E2432">
            <v>3.6720000000000002</v>
          </cell>
        </row>
        <row r="2433">
          <cell r="A2433" t="str">
            <v>37464200408</v>
          </cell>
          <cell r="B2433">
            <v>37464</v>
          </cell>
          <cell r="C2433" t="str">
            <v>NG</v>
          </cell>
          <cell r="D2433" t="str">
            <v>200408</v>
          </cell>
          <cell r="E2433">
            <v>3.702</v>
          </cell>
        </row>
        <row r="2434">
          <cell r="A2434" t="str">
            <v>37464200409</v>
          </cell>
          <cell r="B2434">
            <v>37464</v>
          </cell>
          <cell r="C2434" t="str">
            <v>NG</v>
          </cell>
          <cell r="D2434" t="str">
            <v>200409</v>
          </cell>
          <cell r="E2434">
            <v>3.6970000000000001</v>
          </cell>
        </row>
        <row r="2435">
          <cell r="A2435" t="str">
            <v>37464200410</v>
          </cell>
          <cell r="B2435">
            <v>37464</v>
          </cell>
          <cell r="C2435" t="str">
            <v>NG</v>
          </cell>
          <cell r="D2435" t="str">
            <v>200410</v>
          </cell>
          <cell r="E2435">
            <v>3.7269999999999999</v>
          </cell>
        </row>
        <row r="2436">
          <cell r="A2436" t="str">
            <v>37464200411</v>
          </cell>
          <cell r="B2436">
            <v>37464</v>
          </cell>
          <cell r="C2436" t="str">
            <v>NG</v>
          </cell>
          <cell r="D2436" t="str">
            <v>200411</v>
          </cell>
          <cell r="E2436">
            <v>3.907</v>
          </cell>
        </row>
        <row r="2437">
          <cell r="A2437" t="str">
            <v>37464200412</v>
          </cell>
          <cell r="B2437">
            <v>37464</v>
          </cell>
          <cell r="C2437" t="str">
            <v>NG</v>
          </cell>
          <cell r="D2437" t="str">
            <v>200412</v>
          </cell>
          <cell r="E2437">
            <v>4.0620000000000003</v>
          </cell>
        </row>
        <row r="2438">
          <cell r="A2438" t="str">
            <v>37465200401</v>
          </cell>
          <cell r="B2438">
            <v>37465</v>
          </cell>
          <cell r="C2438" t="str">
            <v>NG</v>
          </cell>
          <cell r="D2438" t="str">
            <v>200401</v>
          </cell>
          <cell r="E2438">
            <v>4.0419999999999998</v>
          </cell>
        </row>
        <row r="2439">
          <cell r="A2439" t="str">
            <v>37465200402</v>
          </cell>
          <cell r="B2439">
            <v>37465</v>
          </cell>
          <cell r="C2439" t="str">
            <v>NG</v>
          </cell>
          <cell r="D2439" t="str">
            <v>200402</v>
          </cell>
          <cell r="E2439">
            <v>3.9420000000000002</v>
          </cell>
        </row>
        <row r="2440">
          <cell r="A2440" t="str">
            <v>37465200403</v>
          </cell>
          <cell r="B2440">
            <v>37465</v>
          </cell>
          <cell r="C2440" t="str">
            <v>NG</v>
          </cell>
          <cell r="D2440" t="str">
            <v>200403</v>
          </cell>
          <cell r="E2440">
            <v>3.7970000000000002</v>
          </cell>
        </row>
        <row r="2441">
          <cell r="A2441" t="str">
            <v>37465200404</v>
          </cell>
          <cell r="B2441">
            <v>37465</v>
          </cell>
          <cell r="C2441" t="str">
            <v>NG</v>
          </cell>
          <cell r="D2441" t="str">
            <v>200404</v>
          </cell>
          <cell r="E2441">
            <v>3.617</v>
          </cell>
        </row>
        <row r="2442">
          <cell r="A2442" t="str">
            <v>37465200405</v>
          </cell>
          <cell r="B2442">
            <v>37465</v>
          </cell>
          <cell r="C2442" t="str">
            <v>NG</v>
          </cell>
          <cell r="D2442" t="str">
            <v>200405</v>
          </cell>
          <cell r="E2442">
            <v>3.617</v>
          </cell>
        </row>
        <row r="2443">
          <cell r="A2443" t="str">
            <v>37465200406</v>
          </cell>
          <cell r="B2443">
            <v>37465</v>
          </cell>
          <cell r="C2443" t="str">
            <v>NG</v>
          </cell>
          <cell r="D2443" t="str">
            <v>200406</v>
          </cell>
          <cell r="E2443">
            <v>3.657</v>
          </cell>
        </row>
        <row r="2444">
          <cell r="A2444" t="str">
            <v>37465200407</v>
          </cell>
          <cell r="B2444">
            <v>37465</v>
          </cell>
          <cell r="C2444" t="str">
            <v>NG</v>
          </cell>
          <cell r="D2444" t="str">
            <v>200407</v>
          </cell>
          <cell r="E2444">
            <v>3.6720000000000002</v>
          </cell>
        </row>
        <row r="2445">
          <cell r="A2445" t="str">
            <v>37465200408</v>
          </cell>
          <cell r="B2445">
            <v>37465</v>
          </cell>
          <cell r="C2445" t="str">
            <v>NG</v>
          </cell>
          <cell r="D2445" t="str">
            <v>200408</v>
          </cell>
          <cell r="E2445">
            <v>3.702</v>
          </cell>
        </row>
        <row r="2446">
          <cell r="A2446" t="str">
            <v>37465200409</v>
          </cell>
          <cell r="B2446">
            <v>37465</v>
          </cell>
          <cell r="C2446" t="str">
            <v>NG</v>
          </cell>
          <cell r="D2446" t="str">
            <v>200409</v>
          </cell>
          <cell r="E2446">
            <v>3.6970000000000001</v>
          </cell>
        </row>
        <row r="2447">
          <cell r="A2447" t="str">
            <v>37465200410</v>
          </cell>
          <cell r="B2447">
            <v>37465</v>
          </cell>
          <cell r="C2447" t="str">
            <v>NG</v>
          </cell>
          <cell r="D2447" t="str">
            <v>200410</v>
          </cell>
          <cell r="E2447">
            <v>3.7269999999999999</v>
          </cell>
        </row>
        <row r="2448">
          <cell r="A2448" t="str">
            <v>37465200411</v>
          </cell>
          <cell r="B2448">
            <v>37465</v>
          </cell>
          <cell r="C2448" t="str">
            <v>NG</v>
          </cell>
          <cell r="D2448" t="str">
            <v>200411</v>
          </cell>
          <cell r="E2448">
            <v>3.907</v>
          </cell>
        </row>
        <row r="2449">
          <cell r="A2449" t="str">
            <v>37465200412</v>
          </cell>
          <cell r="B2449">
            <v>37465</v>
          </cell>
          <cell r="C2449" t="str">
            <v>NG</v>
          </cell>
          <cell r="D2449" t="str">
            <v>200412</v>
          </cell>
          <cell r="E2449">
            <v>4.0620000000000003</v>
          </cell>
        </row>
        <row r="2450">
          <cell r="A2450" t="str">
            <v>37466200401</v>
          </cell>
          <cell r="B2450">
            <v>37466</v>
          </cell>
          <cell r="C2450" t="str">
            <v>NG</v>
          </cell>
          <cell r="D2450" t="str">
            <v>200401</v>
          </cell>
          <cell r="E2450">
            <v>3.9729999999999999</v>
          </cell>
        </row>
        <row r="2451">
          <cell r="A2451" t="str">
            <v>37466200402</v>
          </cell>
          <cell r="B2451">
            <v>37466</v>
          </cell>
          <cell r="C2451" t="str">
            <v>NG</v>
          </cell>
          <cell r="D2451" t="str">
            <v>200402</v>
          </cell>
          <cell r="E2451">
            <v>3.8730000000000002</v>
          </cell>
        </row>
        <row r="2452">
          <cell r="A2452" t="str">
            <v>37466200403</v>
          </cell>
          <cell r="B2452">
            <v>37466</v>
          </cell>
          <cell r="C2452" t="str">
            <v>NG</v>
          </cell>
          <cell r="D2452" t="str">
            <v>200403</v>
          </cell>
          <cell r="E2452">
            <v>3.7280000000000002</v>
          </cell>
        </row>
        <row r="2453">
          <cell r="A2453" t="str">
            <v>37466200404</v>
          </cell>
          <cell r="B2453">
            <v>37466</v>
          </cell>
          <cell r="C2453" t="str">
            <v>NG</v>
          </cell>
          <cell r="D2453" t="str">
            <v>200404</v>
          </cell>
          <cell r="E2453">
            <v>3.5529999999999999</v>
          </cell>
        </row>
        <row r="2454">
          <cell r="A2454" t="str">
            <v>37466200405</v>
          </cell>
          <cell r="B2454">
            <v>37466</v>
          </cell>
          <cell r="C2454" t="str">
            <v>NG</v>
          </cell>
          <cell r="D2454" t="str">
            <v>200405</v>
          </cell>
          <cell r="E2454">
            <v>3.5630000000000002</v>
          </cell>
        </row>
        <row r="2455">
          <cell r="A2455" t="str">
            <v>37466200406</v>
          </cell>
          <cell r="B2455">
            <v>37466</v>
          </cell>
          <cell r="C2455" t="str">
            <v>NG</v>
          </cell>
          <cell r="D2455" t="str">
            <v>200406</v>
          </cell>
          <cell r="E2455">
            <v>3.5979999999999999</v>
          </cell>
        </row>
        <row r="2456">
          <cell r="A2456" t="str">
            <v>37466200407</v>
          </cell>
          <cell r="B2456">
            <v>37466</v>
          </cell>
          <cell r="C2456" t="str">
            <v>NG</v>
          </cell>
          <cell r="D2456" t="str">
            <v>200407</v>
          </cell>
          <cell r="E2456">
            <v>3.613</v>
          </cell>
        </row>
        <row r="2457">
          <cell r="A2457" t="str">
            <v>37466200408</v>
          </cell>
          <cell r="B2457">
            <v>37466</v>
          </cell>
          <cell r="C2457" t="str">
            <v>NG</v>
          </cell>
          <cell r="D2457" t="str">
            <v>200408</v>
          </cell>
          <cell r="E2457">
            <v>3.6429999999999998</v>
          </cell>
        </row>
        <row r="2458">
          <cell r="A2458" t="str">
            <v>37466200409</v>
          </cell>
          <cell r="B2458">
            <v>37466</v>
          </cell>
          <cell r="C2458" t="str">
            <v>NG</v>
          </cell>
          <cell r="D2458" t="str">
            <v>200409</v>
          </cell>
          <cell r="E2458">
            <v>3.6379999999999999</v>
          </cell>
        </row>
        <row r="2459">
          <cell r="A2459" t="str">
            <v>37466200410</v>
          </cell>
          <cell r="B2459">
            <v>37466</v>
          </cell>
          <cell r="C2459" t="str">
            <v>NG</v>
          </cell>
          <cell r="D2459" t="str">
            <v>200410</v>
          </cell>
          <cell r="E2459">
            <v>3.6579999999999999</v>
          </cell>
        </row>
        <row r="2460">
          <cell r="A2460" t="str">
            <v>37466200411</v>
          </cell>
          <cell r="B2460">
            <v>37466</v>
          </cell>
          <cell r="C2460" t="str">
            <v>NG</v>
          </cell>
          <cell r="D2460" t="str">
            <v>200411</v>
          </cell>
          <cell r="E2460">
            <v>3.8279999999999998</v>
          </cell>
        </row>
        <row r="2461">
          <cell r="A2461" t="str">
            <v>37466200412</v>
          </cell>
          <cell r="B2461">
            <v>37466</v>
          </cell>
          <cell r="C2461" t="str">
            <v>NG</v>
          </cell>
          <cell r="D2461" t="str">
            <v>200412</v>
          </cell>
          <cell r="E2461">
            <v>3.9830000000000001</v>
          </cell>
        </row>
        <row r="2462">
          <cell r="A2462" t="str">
            <v>37467200401</v>
          </cell>
          <cell r="B2462">
            <v>37467</v>
          </cell>
          <cell r="C2462" t="str">
            <v>NG</v>
          </cell>
          <cell r="D2462" t="str">
            <v>200401</v>
          </cell>
          <cell r="E2462">
            <v>3.992</v>
          </cell>
        </row>
        <row r="2463">
          <cell r="A2463" t="str">
            <v>37467200402</v>
          </cell>
          <cell r="B2463">
            <v>37467</v>
          </cell>
          <cell r="C2463" t="str">
            <v>NG</v>
          </cell>
          <cell r="D2463" t="str">
            <v>200402</v>
          </cell>
          <cell r="E2463">
            <v>3.8919999999999999</v>
          </cell>
        </row>
        <row r="2464">
          <cell r="A2464" t="str">
            <v>37467200403</v>
          </cell>
          <cell r="B2464">
            <v>37467</v>
          </cell>
          <cell r="C2464" t="str">
            <v>NG</v>
          </cell>
          <cell r="D2464" t="str">
            <v>200403</v>
          </cell>
          <cell r="E2464">
            <v>3.7469999999999999</v>
          </cell>
        </row>
        <row r="2465">
          <cell r="A2465" t="str">
            <v>37467200404</v>
          </cell>
          <cell r="B2465">
            <v>37467</v>
          </cell>
          <cell r="C2465" t="str">
            <v>NG</v>
          </cell>
          <cell r="D2465" t="str">
            <v>200404</v>
          </cell>
          <cell r="E2465">
            <v>3.5720000000000001</v>
          </cell>
        </row>
        <row r="2466">
          <cell r="A2466" t="str">
            <v>37467200405</v>
          </cell>
          <cell r="B2466">
            <v>37467</v>
          </cell>
          <cell r="C2466" t="str">
            <v>NG</v>
          </cell>
          <cell r="D2466" t="str">
            <v>200405</v>
          </cell>
          <cell r="E2466">
            <v>3.5819999999999999</v>
          </cell>
        </row>
        <row r="2467">
          <cell r="A2467" t="str">
            <v>37467200406</v>
          </cell>
          <cell r="B2467">
            <v>37467</v>
          </cell>
          <cell r="C2467" t="str">
            <v>NG</v>
          </cell>
          <cell r="D2467" t="str">
            <v>200406</v>
          </cell>
          <cell r="E2467">
            <v>3.617</v>
          </cell>
        </row>
        <row r="2468">
          <cell r="A2468" t="str">
            <v>37467200407</v>
          </cell>
          <cell r="B2468">
            <v>37467</v>
          </cell>
          <cell r="C2468" t="str">
            <v>NG</v>
          </cell>
          <cell r="D2468" t="str">
            <v>200407</v>
          </cell>
          <cell r="E2468">
            <v>3.6320000000000001</v>
          </cell>
        </row>
        <row r="2469">
          <cell r="A2469" t="str">
            <v>37467200408</v>
          </cell>
          <cell r="B2469">
            <v>37467</v>
          </cell>
          <cell r="C2469" t="str">
            <v>NG</v>
          </cell>
          <cell r="D2469" t="str">
            <v>200408</v>
          </cell>
          <cell r="E2469">
            <v>3.6619999999999999</v>
          </cell>
        </row>
        <row r="2470">
          <cell r="A2470" t="str">
            <v>37467200409</v>
          </cell>
          <cell r="B2470">
            <v>37467</v>
          </cell>
          <cell r="C2470" t="str">
            <v>NG</v>
          </cell>
          <cell r="D2470" t="str">
            <v>200409</v>
          </cell>
          <cell r="E2470">
            <v>3.657</v>
          </cell>
        </row>
        <row r="2471">
          <cell r="A2471" t="str">
            <v>37467200410</v>
          </cell>
          <cell r="B2471">
            <v>37467</v>
          </cell>
          <cell r="C2471" t="str">
            <v>NG</v>
          </cell>
          <cell r="D2471" t="str">
            <v>200410</v>
          </cell>
          <cell r="E2471">
            <v>3.677</v>
          </cell>
        </row>
        <row r="2472">
          <cell r="A2472" t="str">
            <v>37467200411</v>
          </cell>
          <cell r="B2472">
            <v>37467</v>
          </cell>
          <cell r="C2472" t="str">
            <v>NG</v>
          </cell>
          <cell r="D2472" t="str">
            <v>200411</v>
          </cell>
          <cell r="E2472">
            <v>3.847</v>
          </cell>
        </row>
        <row r="2473">
          <cell r="A2473" t="str">
            <v>37467200412</v>
          </cell>
          <cell r="B2473">
            <v>37467</v>
          </cell>
          <cell r="C2473" t="str">
            <v>NG</v>
          </cell>
          <cell r="D2473" t="str">
            <v>200412</v>
          </cell>
          <cell r="E2473">
            <v>4.0019999999999998</v>
          </cell>
        </row>
        <row r="2474">
          <cell r="A2474" t="str">
            <v>37468200401</v>
          </cell>
          <cell r="B2474">
            <v>37468</v>
          </cell>
          <cell r="C2474" t="str">
            <v>NG</v>
          </cell>
          <cell r="D2474" t="str">
            <v>200401</v>
          </cell>
          <cell r="E2474">
            <v>4.0259999999999998</v>
          </cell>
        </row>
        <row r="2475">
          <cell r="A2475" t="str">
            <v>37468200402</v>
          </cell>
          <cell r="B2475">
            <v>37468</v>
          </cell>
          <cell r="C2475" t="str">
            <v>NG</v>
          </cell>
          <cell r="D2475" t="str">
            <v>200402</v>
          </cell>
          <cell r="E2475">
            <v>3.9159999999999999</v>
          </cell>
        </row>
        <row r="2476">
          <cell r="A2476" t="str">
            <v>37468200403</v>
          </cell>
          <cell r="B2476">
            <v>37468</v>
          </cell>
          <cell r="C2476" t="str">
            <v>NG</v>
          </cell>
          <cell r="D2476" t="str">
            <v>200403</v>
          </cell>
          <cell r="E2476">
            <v>3.7610000000000001</v>
          </cell>
        </row>
        <row r="2477">
          <cell r="A2477" t="str">
            <v>37468200404</v>
          </cell>
          <cell r="B2477">
            <v>37468</v>
          </cell>
          <cell r="C2477" t="str">
            <v>NG</v>
          </cell>
          <cell r="D2477" t="str">
            <v>200404</v>
          </cell>
          <cell r="E2477">
            <v>3.5859999999999999</v>
          </cell>
        </row>
        <row r="2478">
          <cell r="A2478" t="str">
            <v>37468200405</v>
          </cell>
          <cell r="B2478">
            <v>37468</v>
          </cell>
          <cell r="C2478" t="str">
            <v>NG</v>
          </cell>
          <cell r="D2478" t="str">
            <v>200405</v>
          </cell>
          <cell r="E2478">
            <v>3.5960000000000001</v>
          </cell>
        </row>
        <row r="2479">
          <cell r="A2479" t="str">
            <v>37468200406</v>
          </cell>
          <cell r="B2479">
            <v>37468</v>
          </cell>
          <cell r="C2479" t="str">
            <v>NG</v>
          </cell>
          <cell r="D2479" t="str">
            <v>200406</v>
          </cell>
          <cell r="E2479">
            <v>3.6309999999999998</v>
          </cell>
        </row>
        <row r="2480">
          <cell r="A2480" t="str">
            <v>37468200407</v>
          </cell>
          <cell r="B2480">
            <v>37468</v>
          </cell>
          <cell r="C2480" t="str">
            <v>NG</v>
          </cell>
          <cell r="D2480" t="str">
            <v>200407</v>
          </cell>
          <cell r="E2480">
            <v>3.6459999999999999</v>
          </cell>
        </row>
        <row r="2481">
          <cell r="A2481" t="str">
            <v>37468200408</v>
          </cell>
          <cell r="B2481">
            <v>37468</v>
          </cell>
          <cell r="C2481" t="str">
            <v>NG</v>
          </cell>
          <cell r="D2481" t="str">
            <v>200408</v>
          </cell>
          <cell r="E2481">
            <v>3.6760000000000002</v>
          </cell>
        </row>
        <row r="2482">
          <cell r="A2482" t="str">
            <v>37468200409</v>
          </cell>
          <cell r="B2482">
            <v>37468</v>
          </cell>
          <cell r="C2482" t="str">
            <v>NG</v>
          </cell>
          <cell r="D2482" t="str">
            <v>200409</v>
          </cell>
          <cell r="E2482">
            <v>3.6709999999999998</v>
          </cell>
        </row>
        <row r="2483">
          <cell r="A2483" t="str">
            <v>37468200410</v>
          </cell>
          <cell r="B2483">
            <v>37468</v>
          </cell>
          <cell r="C2483" t="str">
            <v>NG</v>
          </cell>
          <cell r="D2483" t="str">
            <v>200410</v>
          </cell>
          <cell r="E2483">
            <v>3.6909999999999998</v>
          </cell>
        </row>
        <row r="2484">
          <cell r="A2484" t="str">
            <v>37468200411</v>
          </cell>
          <cell r="B2484">
            <v>37468</v>
          </cell>
          <cell r="C2484" t="str">
            <v>NG</v>
          </cell>
          <cell r="D2484" t="str">
            <v>200411</v>
          </cell>
          <cell r="E2484">
            <v>3.8639999999999999</v>
          </cell>
        </row>
        <row r="2485">
          <cell r="A2485" t="str">
            <v>37468200412</v>
          </cell>
          <cell r="B2485">
            <v>37468</v>
          </cell>
          <cell r="C2485" t="str">
            <v>NG</v>
          </cell>
          <cell r="D2485" t="str">
            <v>200412</v>
          </cell>
          <cell r="E2485">
            <v>4.0209999999999999</v>
          </cell>
        </row>
        <row r="2486">
          <cell r="A2486" t="str">
            <v>37469200401</v>
          </cell>
          <cell r="B2486">
            <v>37469</v>
          </cell>
          <cell r="C2486" t="str">
            <v>NG</v>
          </cell>
          <cell r="D2486" t="str">
            <v>200401</v>
          </cell>
          <cell r="E2486">
            <v>4.0140000000000002</v>
          </cell>
        </row>
        <row r="2487">
          <cell r="A2487" t="str">
            <v>37469200402</v>
          </cell>
          <cell r="B2487">
            <v>37469</v>
          </cell>
          <cell r="C2487" t="str">
            <v>NG</v>
          </cell>
          <cell r="D2487" t="str">
            <v>200402</v>
          </cell>
          <cell r="E2487">
            <v>3.919</v>
          </cell>
        </row>
        <row r="2488">
          <cell r="A2488" t="str">
            <v>37469200403</v>
          </cell>
          <cell r="B2488">
            <v>37469</v>
          </cell>
          <cell r="C2488" t="str">
            <v>NG</v>
          </cell>
          <cell r="D2488" t="str">
            <v>200403</v>
          </cell>
          <cell r="E2488">
            <v>3.7639999999999998</v>
          </cell>
        </row>
        <row r="2489">
          <cell r="A2489" t="str">
            <v>37469200404</v>
          </cell>
          <cell r="B2489">
            <v>37469</v>
          </cell>
          <cell r="C2489" t="str">
            <v>NG</v>
          </cell>
          <cell r="D2489" t="str">
            <v>200404</v>
          </cell>
          <cell r="E2489">
            <v>3.589</v>
          </cell>
        </row>
        <row r="2490">
          <cell r="A2490" t="str">
            <v>37469200405</v>
          </cell>
          <cell r="B2490">
            <v>37469</v>
          </cell>
          <cell r="C2490" t="str">
            <v>NG</v>
          </cell>
          <cell r="D2490" t="str">
            <v>200405</v>
          </cell>
          <cell r="E2490">
            <v>3.5990000000000002</v>
          </cell>
        </row>
        <row r="2491">
          <cell r="A2491" t="str">
            <v>37469200406</v>
          </cell>
          <cell r="B2491">
            <v>37469</v>
          </cell>
          <cell r="C2491" t="str">
            <v>NG</v>
          </cell>
          <cell r="D2491" t="str">
            <v>200406</v>
          </cell>
          <cell r="E2491">
            <v>3.6320000000000001</v>
          </cell>
        </row>
        <row r="2492">
          <cell r="A2492" t="str">
            <v>37469200407</v>
          </cell>
          <cell r="B2492">
            <v>37469</v>
          </cell>
          <cell r="C2492" t="str">
            <v>NG</v>
          </cell>
          <cell r="D2492" t="str">
            <v>200407</v>
          </cell>
          <cell r="E2492">
            <v>3.6520000000000001</v>
          </cell>
        </row>
        <row r="2493">
          <cell r="A2493" t="str">
            <v>37469200408</v>
          </cell>
          <cell r="B2493">
            <v>37469</v>
          </cell>
          <cell r="C2493" t="str">
            <v>NG</v>
          </cell>
          <cell r="D2493" t="str">
            <v>200408</v>
          </cell>
          <cell r="E2493">
            <v>3.677</v>
          </cell>
        </row>
        <row r="2494">
          <cell r="A2494" t="str">
            <v>37469200409</v>
          </cell>
          <cell r="B2494">
            <v>37469</v>
          </cell>
          <cell r="C2494" t="str">
            <v>NG</v>
          </cell>
          <cell r="D2494" t="str">
            <v>200409</v>
          </cell>
          <cell r="E2494">
            <v>3.6720000000000002</v>
          </cell>
        </row>
        <row r="2495">
          <cell r="A2495" t="str">
            <v>37469200410</v>
          </cell>
          <cell r="B2495">
            <v>37469</v>
          </cell>
          <cell r="C2495" t="str">
            <v>NG</v>
          </cell>
          <cell r="D2495" t="str">
            <v>200410</v>
          </cell>
          <cell r="E2495">
            <v>3.6920000000000002</v>
          </cell>
        </row>
        <row r="2496">
          <cell r="A2496" t="str">
            <v>37469200411</v>
          </cell>
          <cell r="B2496">
            <v>37469</v>
          </cell>
          <cell r="C2496" t="str">
            <v>NG</v>
          </cell>
          <cell r="D2496" t="str">
            <v>200411</v>
          </cell>
          <cell r="E2496">
            <v>3.8650000000000002</v>
          </cell>
        </row>
        <row r="2497">
          <cell r="A2497" t="str">
            <v>37469200412</v>
          </cell>
          <cell r="B2497">
            <v>37469</v>
          </cell>
          <cell r="C2497" t="str">
            <v>NG</v>
          </cell>
          <cell r="D2497" t="str">
            <v>200412</v>
          </cell>
          <cell r="E2497">
            <v>4.0250000000000004</v>
          </cell>
        </row>
        <row r="2498">
          <cell r="A2498" t="str">
            <v>37470200401</v>
          </cell>
          <cell r="B2498">
            <v>37470</v>
          </cell>
          <cell r="C2498" t="str">
            <v>NG</v>
          </cell>
          <cell r="D2498" t="str">
            <v>200401</v>
          </cell>
          <cell r="E2498">
            <v>4.0250000000000004</v>
          </cell>
        </row>
        <row r="2499">
          <cell r="A2499" t="str">
            <v>37470200402</v>
          </cell>
          <cell r="B2499">
            <v>37470</v>
          </cell>
          <cell r="C2499" t="str">
            <v>NG</v>
          </cell>
          <cell r="D2499" t="str">
            <v>200402</v>
          </cell>
          <cell r="E2499">
            <v>3.93</v>
          </cell>
        </row>
        <row r="2500">
          <cell r="A2500" t="str">
            <v>37470200403</v>
          </cell>
          <cell r="B2500">
            <v>37470</v>
          </cell>
          <cell r="C2500" t="str">
            <v>NG</v>
          </cell>
          <cell r="D2500" t="str">
            <v>200403</v>
          </cell>
          <cell r="E2500">
            <v>3.78</v>
          </cell>
        </row>
        <row r="2501">
          <cell r="A2501" t="str">
            <v>37470200404</v>
          </cell>
          <cell r="B2501">
            <v>37470</v>
          </cell>
          <cell r="C2501" t="str">
            <v>NG</v>
          </cell>
          <cell r="D2501" t="str">
            <v>200404</v>
          </cell>
          <cell r="E2501">
            <v>3.605</v>
          </cell>
        </row>
        <row r="2502">
          <cell r="A2502" t="str">
            <v>37470200405</v>
          </cell>
          <cell r="B2502">
            <v>37470</v>
          </cell>
          <cell r="C2502" t="str">
            <v>NG</v>
          </cell>
          <cell r="D2502" t="str">
            <v>200405</v>
          </cell>
          <cell r="E2502">
            <v>3.605</v>
          </cell>
        </row>
        <row r="2503">
          <cell r="A2503" t="str">
            <v>37470200406</v>
          </cell>
          <cell r="B2503">
            <v>37470</v>
          </cell>
          <cell r="C2503" t="str">
            <v>NG</v>
          </cell>
          <cell r="D2503" t="str">
            <v>200406</v>
          </cell>
          <cell r="E2503">
            <v>3.6320000000000001</v>
          </cell>
        </row>
        <row r="2504">
          <cell r="A2504" t="str">
            <v>37470200407</v>
          </cell>
          <cell r="B2504">
            <v>37470</v>
          </cell>
          <cell r="C2504" t="str">
            <v>NG</v>
          </cell>
          <cell r="D2504" t="str">
            <v>200407</v>
          </cell>
          <cell r="E2504">
            <v>3.6509999999999998</v>
          </cell>
        </row>
        <row r="2505">
          <cell r="A2505" t="str">
            <v>37470200408</v>
          </cell>
          <cell r="B2505">
            <v>37470</v>
          </cell>
          <cell r="C2505" t="str">
            <v>NG</v>
          </cell>
          <cell r="D2505" t="str">
            <v>200408</v>
          </cell>
          <cell r="E2505">
            <v>3.6659999999999999</v>
          </cell>
        </row>
        <row r="2506">
          <cell r="A2506" t="str">
            <v>37470200409</v>
          </cell>
          <cell r="B2506">
            <v>37470</v>
          </cell>
          <cell r="C2506" t="str">
            <v>NG</v>
          </cell>
          <cell r="D2506" t="str">
            <v>200409</v>
          </cell>
          <cell r="E2506">
            <v>3.661</v>
          </cell>
        </row>
        <row r="2507">
          <cell r="A2507" t="str">
            <v>37470200410</v>
          </cell>
          <cell r="B2507">
            <v>37470</v>
          </cell>
          <cell r="C2507" t="str">
            <v>NG</v>
          </cell>
          <cell r="D2507" t="str">
            <v>200410</v>
          </cell>
          <cell r="E2507">
            <v>3.6850000000000001</v>
          </cell>
        </row>
        <row r="2508">
          <cell r="A2508" t="str">
            <v>37470200411</v>
          </cell>
          <cell r="B2508">
            <v>37470</v>
          </cell>
          <cell r="C2508" t="str">
            <v>NG</v>
          </cell>
          <cell r="D2508" t="str">
            <v>200411</v>
          </cell>
          <cell r="E2508">
            <v>3.8650000000000002</v>
          </cell>
        </row>
        <row r="2509">
          <cell r="A2509" t="str">
            <v>37470200412</v>
          </cell>
          <cell r="B2509">
            <v>37470</v>
          </cell>
          <cell r="C2509" t="str">
            <v>NG</v>
          </cell>
          <cell r="D2509" t="str">
            <v>200412</v>
          </cell>
          <cell r="E2509">
            <v>4.0250000000000004</v>
          </cell>
        </row>
        <row r="2510">
          <cell r="A2510" t="str">
            <v>37471200401</v>
          </cell>
          <cell r="B2510">
            <v>37471</v>
          </cell>
          <cell r="C2510" t="str">
            <v>NG</v>
          </cell>
          <cell r="D2510" t="str">
            <v>200401</v>
          </cell>
          <cell r="E2510">
            <v>4.0250000000000004</v>
          </cell>
        </row>
        <row r="2511">
          <cell r="A2511" t="str">
            <v>37471200402</v>
          </cell>
          <cell r="B2511">
            <v>37471</v>
          </cell>
          <cell r="C2511" t="str">
            <v>NG</v>
          </cell>
          <cell r="D2511" t="str">
            <v>200402</v>
          </cell>
          <cell r="E2511">
            <v>3.93</v>
          </cell>
        </row>
        <row r="2512">
          <cell r="A2512" t="str">
            <v>37471200403</v>
          </cell>
          <cell r="B2512">
            <v>37471</v>
          </cell>
          <cell r="C2512" t="str">
            <v>NG</v>
          </cell>
          <cell r="D2512" t="str">
            <v>200403</v>
          </cell>
          <cell r="E2512">
            <v>3.78</v>
          </cell>
        </row>
        <row r="2513">
          <cell r="A2513" t="str">
            <v>37471200404</v>
          </cell>
          <cell r="B2513">
            <v>37471</v>
          </cell>
          <cell r="C2513" t="str">
            <v>NG</v>
          </cell>
          <cell r="D2513" t="str">
            <v>200404</v>
          </cell>
          <cell r="E2513">
            <v>3.605</v>
          </cell>
        </row>
        <row r="2514">
          <cell r="A2514" t="str">
            <v>37471200405</v>
          </cell>
          <cell r="B2514">
            <v>37471</v>
          </cell>
          <cell r="C2514" t="str">
            <v>NG</v>
          </cell>
          <cell r="D2514" t="str">
            <v>200405</v>
          </cell>
          <cell r="E2514">
            <v>3.605</v>
          </cell>
        </row>
        <row r="2515">
          <cell r="A2515" t="str">
            <v>37471200406</v>
          </cell>
          <cell r="B2515">
            <v>37471</v>
          </cell>
          <cell r="C2515" t="str">
            <v>NG</v>
          </cell>
          <cell r="D2515" t="str">
            <v>200406</v>
          </cell>
          <cell r="E2515">
            <v>3.6320000000000001</v>
          </cell>
        </row>
        <row r="2516">
          <cell r="A2516" t="str">
            <v>37471200407</v>
          </cell>
          <cell r="B2516">
            <v>37471</v>
          </cell>
          <cell r="C2516" t="str">
            <v>NG</v>
          </cell>
          <cell r="D2516" t="str">
            <v>200407</v>
          </cell>
          <cell r="E2516">
            <v>3.6509999999999998</v>
          </cell>
        </row>
        <row r="2517">
          <cell r="A2517" t="str">
            <v>37471200408</v>
          </cell>
          <cell r="B2517">
            <v>37471</v>
          </cell>
          <cell r="C2517" t="str">
            <v>NG</v>
          </cell>
          <cell r="D2517" t="str">
            <v>200408</v>
          </cell>
          <cell r="E2517">
            <v>3.6659999999999999</v>
          </cell>
        </row>
        <row r="2518">
          <cell r="A2518" t="str">
            <v>37471200409</v>
          </cell>
          <cell r="B2518">
            <v>37471</v>
          </cell>
          <cell r="C2518" t="str">
            <v>NG</v>
          </cell>
          <cell r="D2518" t="str">
            <v>200409</v>
          </cell>
          <cell r="E2518">
            <v>3.661</v>
          </cell>
        </row>
        <row r="2519">
          <cell r="A2519" t="str">
            <v>37471200410</v>
          </cell>
          <cell r="B2519">
            <v>37471</v>
          </cell>
          <cell r="C2519" t="str">
            <v>NG</v>
          </cell>
          <cell r="D2519" t="str">
            <v>200410</v>
          </cell>
          <cell r="E2519">
            <v>3.6850000000000001</v>
          </cell>
        </row>
        <row r="2520">
          <cell r="A2520" t="str">
            <v>37471200411</v>
          </cell>
          <cell r="B2520">
            <v>37471</v>
          </cell>
          <cell r="C2520" t="str">
            <v>NG</v>
          </cell>
          <cell r="D2520" t="str">
            <v>200411</v>
          </cell>
          <cell r="E2520">
            <v>3.8650000000000002</v>
          </cell>
        </row>
        <row r="2521">
          <cell r="A2521" t="str">
            <v>37471200412</v>
          </cell>
          <cell r="B2521">
            <v>37471</v>
          </cell>
          <cell r="C2521" t="str">
            <v>NG</v>
          </cell>
          <cell r="D2521" t="str">
            <v>200412</v>
          </cell>
          <cell r="E2521">
            <v>4.0250000000000004</v>
          </cell>
        </row>
        <row r="2522">
          <cell r="A2522" t="str">
            <v>37472200401</v>
          </cell>
          <cell r="B2522">
            <v>37472</v>
          </cell>
          <cell r="C2522" t="str">
            <v>NG</v>
          </cell>
          <cell r="D2522" t="str">
            <v>200401</v>
          </cell>
          <cell r="E2522">
            <v>4.0250000000000004</v>
          </cell>
        </row>
        <row r="2523">
          <cell r="A2523" t="str">
            <v>37472200402</v>
          </cell>
          <cell r="B2523">
            <v>37472</v>
          </cell>
          <cell r="C2523" t="str">
            <v>NG</v>
          </cell>
          <cell r="D2523" t="str">
            <v>200402</v>
          </cell>
          <cell r="E2523">
            <v>3.93</v>
          </cell>
        </row>
        <row r="2524">
          <cell r="A2524" t="str">
            <v>37472200403</v>
          </cell>
          <cell r="B2524">
            <v>37472</v>
          </cell>
          <cell r="C2524" t="str">
            <v>NG</v>
          </cell>
          <cell r="D2524" t="str">
            <v>200403</v>
          </cell>
          <cell r="E2524">
            <v>3.78</v>
          </cell>
        </row>
        <row r="2525">
          <cell r="A2525" t="str">
            <v>37472200404</v>
          </cell>
          <cell r="B2525">
            <v>37472</v>
          </cell>
          <cell r="C2525" t="str">
            <v>NG</v>
          </cell>
          <cell r="D2525" t="str">
            <v>200404</v>
          </cell>
          <cell r="E2525">
            <v>3.605</v>
          </cell>
        </row>
        <row r="2526">
          <cell r="A2526" t="str">
            <v>37472200405</v>
          </cell>
          <cell r="B2526">
            <v>37472</v>
          </cell>
          <cell r="C2526" t="str">
            <v>NG</v>
          </cell>
          <cell r="D2526" t="str">
            <v>200405</v>
          </cell>
          <cell r="E2526">
            <v>3.605</v>
          </cell>
        </row>
        <row r="2527">
          <cell r="A2527" t="str">
            <v>37472200406</v>
          </cell>
          <cell r="B2527">
            <v>37472</v>
          </cell>
          <cell r="C2527" t="str">
            <v>NG</v>
          </cell>
          <cell r="D2527" t="str">
            <v>200406</v>
          </cell>
          <cell r="E2527">
            <v>3.6320000000000001</v>
          </cell>
        </row>
        <row r="2528">
          <cell r="A2528" t="str">
            <v>37472200407</v>
          </cell>
          <cell r="B2528">
            <v>37472</v>
          </cell>
          <cell r="C2528" t="str">
            <v>NG</v>
          </cell>
          <cell r="D2528" t="str">
            <v>200407</v>
          </cell>
          <cell r="E2528">
            <v>3.6509999999999998</v>
          </cell>
        </row>
        <row r="2529">
          <cell r="A2529" t="str">
            <v>37472200408</v>
          </cell>
          <cell r="B2529">
            <v>37472</v>
          </cell>
          <cell r="C2529" t="str">
            <v>NG</v>
          </cell>
          <cell r="D2529" t="str">
            <v>200408</v>
          </cell>
          <cell r="E2529">
            <v>3.6659999999999999</v>
          </cell>
        </row>
        <row r="2530">
          <cell r="A2530" t="str">
            <v>37472200409</v>
          </cell>
          <cell r="B2530">
            <v>37472</v>
          </cell>
          <cell r="C2530" t="str">
            <v>NG</v>
          </cell>
          <cell r="D2530" t="str">
            <v>200409</v>
          </cell>
          <cell r="E2530">
            <v>3.661</v>
          </cell>
        </row>
        <row r="2531">
          <cell r="A2531" t="str">
            <v>37472200410</v>
          </cell>
          <cell r="B2531">
            <v>37472</v>
          </cell>
          <cell r="C2531" t="str">
            <v>NG</v>
          </cell>
          <cell r="D2531" t="str">
            <v>200410</v>
          </cell>
          <cell r="E2531">
            <v>3.6850000000000001</v>
          </cell>
        </row>
        <row r="2532">
          <cell r="A2532" t="str">
            <v>37472200411</v>
          </cell>
          <cell r="B2532">
            <v>37472</v>
          </cell>
          <cell r="C2532" t="str">
            <v>NG</v>
          </cell>
          <cell r="D2532" t="str">
            <v>200411</v>
          </cell>
          <cell r="E2532">
            <v>3.8650000000000002</v>
          </cell>
        </row>
        <row r="2533">
          <cell r="A2533" t="str">
            <v>37472200412</v>
          </cell>
          <cell r="B2533">
            <v>37472</v>
          </cell>
          <cell r="C2533" t="str">
            <v>NG</v>
          </cell>
          <cell r="D2533" t="str">
            <v>200412</v>
          </cell>
          <cell r="E2533">
            <v>4.0250000000000004</v>
          </cell>
        </row>
        <row r="2534">
          <cell r="A2534" t="str">
            <v>37473200401</v>
          </cell>
          <cell r="B2534">
            <v>37473</v>
          </cell>
          <cell r="C2534" t="str">
            <v>NG</v>
          </cell>
          <cell r="D2534" t="str">
            <v>200401</v>
          </cell>
          <cell r="E2534">
            <v>3.9820000000000002</v>
          </cell>
        </row>
        <row r="2535">
          <cell r="A2535" t="str">
            <v>37473200402</v>
          </cell>
          <cell r="B2535">
            <v>37473</v>
          </cell>
          <cell r="C2535" t="str">
            <v>NG</v>
          </cell>
          <cell r="D2535" t="str">
            <v>200402</v>
          </cell>
          <cell r="E2535">
            <v>3.8969999999999998</v>
          </cell>
        </row>
        <row r="2536">
          <cell r="A2536" t="str">
            <v>37473200403</v>
          </cell>
          <cell r="B2536">
            <v>37473</v>
          </cell>
          <cell r="C2536" t="str">
            <v>NG</v>
          </cell>
          <cell r="D2536" t="str">
            <v>200403</v>
          </cell>
          <cell r="E2536">
            <v>3.7519999999999998</v>
          </cell>
        </row>
        <row r="2537">
          <cell r="A2537" t="str">
            <v>37473200404</v>
          </cell>
          <cell r="B2537">
            <v>37473</v>
          </cell>
          <cell r="C2537" t="str">
            <v>NG</v>
          </cell>
          <cell r="D2537" t="str">
            <v>200404</v>
          </cell>
          <cell r="E2537">
            <v>3.5819999999999999</v>
          </cell>
        </row>
        <row r="2538">
          <cell r="A2538" t="str">
            <v>37473200405</v>
          </cell>
          <cell r="B2538">
            <v>37473</v>
          </cell>
          <cell r="C2538" t="str">
            <v>NG</v>
          </cell>
          <cell r="D2538" t="str">
            <v>200405</v>
          </cell>
          <cell r="E2538">
            <v>3.5870000000000002</v>
          </cell>
        </row>
        <row r="2539">
          <cell r="A2539" t="str">
            <v>37473200406</v>
          </cell>
          <cell r="B2539">
            <v>37473</v>
          </cell>
          <cell r="C2539" t="str">
            <v>NG</v>
          </cell>
          <cell r="D2539" t="str">
            <v>200406</v>
          </cell>
          <cell r="E2539">
            <v>3.6190000000000002</v>
          </cell>
        </row>
        <row r="2540">
          <cell r="A2540" t="str">
            <v>37473200407</v>
          </cell>
          <cell r="B2540">
            <v>37473</v>
          </cell>
          <cell r="C2540" t="str">
            <v>NG</v>
          </cell>
          <cell r="D2540" t="str">
            <v>200407</v>
          </cell>
          <cell r="E2540">
            <v>3.6379999999999999</v>
          </cell>
        </row>
        <row r="2541">
          <cell r="A2541" t="str">
            <v>37473200408</v>
          </cell>
          <cell r="B2541">
            <v>37473</v>
          </cell>
          <cell r="C2541" t="str">
            <v>NG</v>
          </cell>
          <cell r="D2541" t="str">
            <v>200408</v>
          </cell>
          <cell r="E2541">
            <v>3.653</v>
          </cell>
        </row>
        <row r="2542">
          <cell r="A2542" t="str">
            <v>37473200409</v>
          </cell>
          <cell r="B2542">
            <v>37473</v>
          </cell>
          <cell r="C2542" t="str">
            <v>NG</v>
          </cell>
          <cell r="D2542" t="str">
            <v>200409</v>
          </cell>
          <cell r="E2542">
            <v>3.6480000000000001</v>
          </cell>
        </row>
        <row r="2543">
          <cell r="A2543" t="str">
            <v>37473200410</v>
          </cell>
          <cell r="B2543">
            <v>37473</v>
          </cell>
          <cell r="C2543" t="str">
            <v>NG</v>
          </cell>
          <cell r="D2543" t="str">
            <v>200410</v>
          </cell>
          <cell r="E2543">
            <v>3.6720000000000002</v>
          </cell>
        </row>
        <row r="2544">
          <cell r="A2544" t="str">
            <v>37473200411</v>
          </cell>
          <cell r="B2544">
            <v>37473</v>
          </cell>
          <cell r="C2544" t="str">
            <v>NG</v>
          </cell>
          <cell r="D2544" t="str">
            <v>200411</v>
          </cell>
          <cell r="E2544">
            <v>3.8570000000000002</v>
          </cell>
        </row>
        <row r="2545">
          <cell r="A2545" t="str">
            <v>37473200412</v>
          </cell>
          <cell r="B2545">
            <v>37473</v>
          </cell>
          <cell r="C2545" t="str">
            <v>NG</v>
          </cell>
          <cell r="D2545" t="str">
            <v>200412</v>
          </cell>
          <cell r="E2545">
            <v>4.0220000000000002</v>
          </cell>
        </row>
        <row r="2546">
          <cell r="A2546" t="str">
            <v>37474200401</v>
          </cell>
          <cell r="B2546">
            <v>37474</v>
          </cell>
          <cell r="C2546" t="str">
            <v>NG</v>
          </cell>
          <cell r="D2546" t="str">
            <v>200401</v>
          </cell>
          <cell r="E2546">
            <v>4.032</v>
          </cell>
        </row>
        <row r="2547">
          <cell r="A2547" t="str">
            <v>37474200402</v>
          </cell>
          <cell r="B2547">
            <v>37474</v>
          </cell>
          <cell r="C2547" t="str">
            <v>NG</v>
          </cell>
          <cell r="D2547" t="str">
            <v>200402</v>
          </cell>
          <cell r="E2547">
            <v>3.9470000000000001</v>
          </cell>
        </row>
        <row r="2548">
          <cell r="A2548" t="str">
            <v>37474200403</v>
          </cell>
          <cell r="B2548">
            <v>37474</v>
          </cell>
          <cell r="C2548" t="str">
            <v>NG</v>
          </cell>
          <cell r="D2548" t="str">
            <v>200403</v>
          </cell>
          <cell r="E2548">
            <v>3.802</v>
          </cell>
        </row>
        <row r="2549">
          <cell r="A2549" t="str">
            <v>37474200404</v>
          </cell>
          <cell r="B2549">
            <v>37474</v>
          </cell>
          <cell r="C2549" t="str">
            <v>NG</v>
          </cell>
          <cell r="D2549" t="str">
            <v>200404</v>
          </cell>
          <cell r="E2549">
            <v>3.6320000000000001</v>
          </cell>
        </row>
        <row r="2550">
          <cell r="A2550" t="str">
            <v>37474200405</v>
          </cell>
          <cell r="B2550">
            <v>37474</v>
          </cell>
          <cell r="C2550" t="str">
            <v>NG</v>
          </cell>
          <cell r="D2550" t="str">
            <v>200405</v>
          </cell>
          <cell r="E2550">
            <v>3.637</v>
          </cell>
        </row>
        <row r="2551">
          <cell r="A2551" t="str">
            <v>37474200406</v>
          </cell>
          <cell r="B2551">
            <v>37474</v>
          </cell>
          <cell r="C2551" t="str">
            <v>NG</v>
          </cell>
          <cell r="D2551" t="str">
            <v>200406</v>
          </cell>
          <cell r="E2551">
            <v>3.669</v>
          </cell>
        </row>
        <row r="2552">
          <cell r="A2552" t="str">
            <v>37474200407</v>
          </cell>
          <cell r="B2552">
            <v>37474</v>
          </cell>
          <cell r="C2552" t="str">
            <v>NG</v>
          </cell>
          <cell r="D2552" t="str">
            <v>200407</v>
          </cell>
          <cell r="E2552">
            <v>3.6880000000000002</v>
          </cell>
        </row>
        <row r="2553">
          <cell r="A2553" t="str">
            <v>37474200408</v>
          </cell>
          <cell r="B2553">
            <v>37474</v>
          </cell>
          <cell r="C2553" t="str">
            <v>NG</v>
          </cell>
          <cell r="D2553" t="str">
            <v>200408</v>
          </cell>
          <cell r="E2553">
            <v>3.7029999999999998</v>
          </cell>
        </row>
        <row r="2554">
          <cell r="A2554" t="str">
            <v>37474200409</v>
          </cell>
          <cell r="B2554">
            <v>37474</v>
          </cell>
          <cell r="C2554" t="str">
            <v>NG</v>
          </cell>
          <cell r="D2554" t="str">
            <v>200409</v>
          </cell>
          <cell r="E2554">
            <v>3.698</v>
          </cell>
        </row>
        <row r="2555">
          <cell r="A2555" t="str">
            <v>37474200410</v>
          </cell>
          <cell r="B2555">
            <v>37474</v>
          </cell>
          <cell r="C2555" t="str">
            <v>NG</v>
          </cell>
          <cell r="D2555" t="str">
            <v>200410</v>
          </cell>
          <cell r="E2555">
            <v>3.722</v>
          </cell>
        </row>
        <row r="2556">
          <cell r="A2556" t="str">
            <v>37474200411</v>
          </cell>
          <cell r="B2556">
            <v>37474</v>
          </cell>
          <cell r="C2556" t="str">
            <v>NG</v>
          </cell>
          <cell r="D2556" t="str">
            <v>200411</v>
          </cell>
          <cell r="E2556">
            <v>3.907</v>
          </cell>
        </row>
        <row r="2557">
          <cell r="A2557" t="str">
            <v>37474200412</v>
          </cell>
          <cell r="B2557">
            <v>37474</v>
          </cell>
          <cell r="C2557" t="str">
            <v>NG</v>
          </cell>
          <cell r="D2557" t="str">
            <v>200412</v>
          </cell>
          <cell r="E2557">
            <v>4.0720000000000001</v>
          </cell>
        </row>
        <row r="2558">
          <cell r="A2558" t="str">
            <v>37475200401</v>
          </cell>
          <cell r="B2558">
            <v>37475</v>
          </cell>
          <cell r="C2558" t="str">
            <v>NG</v>
          </cell>
          <cell r="D2558" t="str">
            <v>200401</v>
          </cell>
          <cell r="E2558">
            <v>4.0439999999999996</v>
          </cell>
        </row>
        <row r="2559">
          <cell r="A2559" t="str">
            <v>37475200402</v>
          </cell>
          <cell r="B2559">
            <v>37475</v>
          </cell>
          <cell r="C2559" t="str">
            <v>NG</v>
          </cell>
          <cell r="D2559" t="str">
            <v>200402</v>
          </cell>
          <cell r="E2559">
            <v>3.9590000000000001</v>
          </cell>
        </row>
        <row r="2560">
          <cell r="A2560" t="str">
            <v>37475200403</v>
          </cell>
          <cell r="B2560">
            <v>37475</v>
          </cell>
          <cell r="C2560" t="str">
            <v>NG</v>
          </cell>
          <cell r="D2560" t="str">
            <v>200403</v>
          </cell>
          <cell r="E2560">
            <v>3.8140000000000001</v>
          </cell>
        </row>
        <row r="2561">
          <cell r="A2561" t="str">
            <v>37475200404</v>
          </cell>
          <cell r="B2561">
            <v>37475</v>
          </cell>
          <cell r="C2561" t="str">
            <v>NG</v>
          </cell>
          <cell r="D2561" t="str">
            <v>200404</v>
          </cell>
          <cell r="E2561">
            <v>3.6440000000000001</v>
          </cell>
        </row>
        <row r="2562">
          <cell r="A2562" t="str">
            <v>37475200405</v>
          </cell>
          <cell r="B2562">
            <v>37475</v>
          </cell>
          <cell r="C2562" t="str">
            <v>NG</v>
          </cell>
          <cell r="D2562" t="str">
            <v>200405</v>
          </cell>
          <cell r="E2562">
            <v>3.649</v>
          </cell>
        </row>
        <row r="2563">
          <cell r="A2563" t="str">
            <v>37475200406</v>
          </cell>
          <cell r="B2563">
            <v>37475</v>
          </cell>
          <cell r="C2563" t="str">
            <v>NG</v>
          </cell>
          <cell r="D2563" t="str">
            <v>200406</v>
          </cell>
          <cell r="E2563">
            <v>3.681</v>
          </cell>
        </row>
        <row r="2564">
          <cell r="A2564" t="str">
            <v>37475200407</v>
          </cell>
          <cell r="B2564">
            <v>37475</v>
          </cell>
          <cell r="C2564" t="str">
            <v>NG</v>
          </cell>
          <cell r="D2564" t="str">
            <v>200407</v>
          </cell>
          <cell r="E2564">
            <v>3.7</v>
          </cell>
        </row>
        <row r="2565">
          <cell r="A2565" t="str">
            <v>37475200408</v>
          </cell>
          <cell r="B2565">
            <v>37475</v>
          </cell>
          <cell r="C2565" t="str">
            <v>NG</v>
          </cell>
          <cell r="D2565" t="str">
            <v>200408</v>
          </cell>
          <cell r="E2565">
            <v>3.7149999999999999</v>
          </cell>
        </row>
        <row r="2566">
          <cell r="A2566" t="str">
            <v>37475200409</v>
          </cell>
          <cell r="B2566">
            <v>37475</v>
          </cell>
          <cell r="C2566" t="str">
            <v>NG</v>
          </cell>
          <cell r="D2566" t="str">
            <v>200409</v>
          </cell>
          <cell r="E2566">
            <v>3.71</v>
          </cell>
        </row>
        <row r="2567">
          <cell r="A2567" t="str">
            <v>37475200410</v>
          </cell>
          <cell r="B2567">
            <v>37475</v>
          </cell>
          <cell r="C2567" t="str">
            <v>NG</v>
          </cell>
          <cell r="D2567" t="str">
            <v>200410</v>
          </cell>
          <cell r="E2567">
            <v>3.734</v>
          </cell>
        </row>
        <row r="2568">
          <cell r="A2568" t="str">
            <v>37475200411</v>
          </cell>
          <cell r="B2568">
            <v>37475</v>
          </cell>
          <cell r="C2568" t="str">
            <v>NG</v>
          </cell>
          <cell r="D2568" t="str">
            <v>200411</v>
          </cell>
          <cell r="E2568">
            <v>3.9209999999999998</v>
          </cell>
        </row>
        <row r="2569">
          <cell r="A2569" t="str">
            <v>37475200412</v>
          </cell>
          <cell r="B2569">
            <v>37475</v>
          </cell>
          <cell r="C2569" t="str">
            <v>NG</v>
          </cell>
          <cell r="D2569" t="str">
            <v>200412</v>
          </cell>
          <cell r="E2569">
            <v>4.0890000000000004</v>
          </cell>
        </row>
        <row r="2570">
          <cell r="A2570" t="str">
            <v>37476200401</v>
          </cell>
          <cell r="B2570">
            <v>37476</v>
          </cell>
          <cell r="C2570" t="str">
            <v>NG</v>
          </cell>
          <cell r="D2570" t="str">
            <v>200401</v>
          </cell>
          <cell r="E2570">
            <v>4.0640000000000001</v>
          </cell>
        </row>
        <row r="2571">
          <cell r="A2571" t="str">
            <v>37476200402</v>
          </cell>
          <cell r="B2571">
            <v>37476</v>
          </cell>
          <cell r="C2571" t="str">
            <v>NG</v>
          </cell>
          <cell r="D2571" t="str">
            <v>200402</v>
          </cell>
          <cell r="E2571">
            <v>3.9740000000000002</v>
          </cell>
        </row>
        <row r="2572">
          <cell r="A2572" t="str">
            <v>37476200403</v>
          </cell>
          <cell r="B2572">
            <v>37476</v>
          </cell>
          <cell r="C2572" t="str">
            <v>NG</v>
          </cell>
          <cell r="D2572" t="str">
            <v>200403</v>
          </cell>
          <cell r="E2572">
            <v>3.8290000000000002</v>
          </cell>
        </row>
        <row r="2573">
          <cell r="A2573" t="str">
            <v>37476200404</v>
          </cell>
          <cell r="B2573">
            <v>37476</v>
          </cell>
          <cell r="C2573" t="str">
            <v>NG</v>
          </cell>
          <cell r="D2573" t="str">
            <v>200404</v>
          </cell>
          <cell r="E2573">
            <v>3.6539999999999999</v>
          </cell>
        </row>
        <row r="2574">
          <cell r="A2574" t="str">
            <v>37476200405</v>
          </cell>
          <cell r="B2574">
            <v>37476</v>
          </cell>
          <cell r="C2574" t="str">
            <v>NG</v>
          </cell>
          <cell r="D2574" t="str">
            <v>200405</v>
          </cell>
          <cell r="E2574">
            <v>3.6539999999999999</v>
          </cell>
        </row>
        <row r="2575">
          <cell r="A2575" t="str">
            <v>37476200406</v>
          </cell>
          <cell r="B2575">
            <v>37476</v>
          </cell>
          <cell r="C2575" t="str">
            <v>NG</v>
          </cell>
          <cell r="D2575" t="str">
            <v>200406</v>
          </cell>
          <cell r="E2575">
            <v>3.6840000000000002</v>
          </cell>
        </row>
        <row r="2576">
          <cell r="A2576" t="str">
            <v>37476200407</v>
          </cell>
          <cell r="B2576">
            <v>37476</v>
          </cell>
          <cell r="C2576" t="str">
            <v>NG</v>
          </cell>
          <cell r="D2576" t="str">
            <v>200407</v>
          </cell>
          <cell r="E2576">
            <v>3.6989999999999998</v>
          </cell>
        </row>
        <row r="2577">
          <cell r="A2577" t="str">
            <v>37476200408</v>
          </cell>
          <cell r="B2577">
            <v>37476</v>
          </cell>
          <cell r="C2577" t="str">
            <v>NG</v>
          </cell>
          <cell r="D2577" t="str">
            <v>200408</v>
          </cell>
          <cell r="E2577">
            <v>3.7109999999999999</v>
          </cell>
        </row>
        <row r="2578">
          <cell r="A2578" t="str">
            <v>37476200409</v>
          </cell>
          <cell r="B2578">
            <v>37476</v>
          </cell>
          <cell r="C2578" t="str">
            <v>NG</v>
          </cell>
          <cell r="D2578" t="str">
            <v>200409</v>
          </cell>
          <cell r="E2578">
            <v>3.706</v>
          </cell>
        </row>
        <row r="2579">
          <cell r="A2579" t="str">
            <v>37476200410</v>
          </cell>
          <cell r="B2579">
            <v>37476</v>
          </cell>
          <cell r="C2579" t="str">
            <v>NG</v>
          </cell>
          <cell r="D2579" t="str">
            <v>200410</v>
          </cell>
          <cell r="E2579">
            <v>3.73</v>
          </cell>
        </row>
        <row r="2580">
          <cell r="A2580" t="str">
            <v>37476200411</v>
          </cell>
          <cell r="B2580">
            <v>37476</v>
          </cell>
          <cell r="C2580" t="str">
            <v>NG</v>
          </cell>
          <cell r="D2580" t="str">
            <v>200411</v>
          </cell>
          <cell r="E2580">
            <v>3.9169999999999998</v>
          </cell>
        </row>
        <row r="2581">
          <cell r="A2581" t="str">
            <v>37476200412</v>
          </cell>
          <cell r="B2581">
            <v>37476</v>
          </cell>
          <cell r="C2581" t="str">
            <v>NG</v>
          </cell>
          <cell r="D2581" t="str">
            <v>200412</v>
          </cell>
          <cell r="E2581">
            <v>4.0869999999999997</v>
          </cell>
        </row>
        <row r="2582">
          <cell r="A2582" t="str">
            <v>37477200401</v>
          </cell>
          <cell r="B2582">
            <v>37477</v>
          </cell>
          <cell r="C2582" t="str">
            <v>NG</v>
          </cell>
          <cell r="D2582" t="str">
            <v>200401</v>
          </cell>
          <cell r="E2582">
            <v>4.0609999999999999</v>
          </cell>
        </row>
        <row r="2583">
          <cell r="A2583" t="str">
            <v>37477200402</v>
          </cell>
          <cell r="B2583">
            <v>37477</v>
          </cell>
          <cell r="C2583" t="str">
            <v>NG</v>
          </cell>
          <cell r="D2583" t="str">
            <v>200402</v>
          </cell>
          <cell r="E2583">
            <v>3.9660000000000002</v>
          </cell>
        </row>
        <row r="2584">
          <cell r="A2584" t="str">
            <v>37477200403</v>
          </cell>
          <cell r="B2584">
            <v>37477</v>
          </cell>
          <cell r="C2584" t="str">
            <v>NG</v>
          </cell>
          <cell r="D2584" t="str">
            <v>200403</v>
          </cell>
          <cell r="E2584">
            <v>3.8180000000000001</v>
          </cell>
        </row>
        <row r="2585">
          <cell r="A2585" t="str">
            <v>37477200404</v>
          </cell>
          <cell r="B2585">
            <v>37477</v>
          </cell>
          <cell r="C2585" t="str">
            <v>NG</v>
          </cell>
          <cell r="D2585" t="str">
            <v>200404</v>
          </cell>
          <cell r="E2585">
            <v>3.6379999999999999</v>
          </cell>
        </row>
        <row r="2586">
          <cell r="A2586" t="str">
            <v>37477200405</v>
          </cell>
          <cell r="B2586">
            <v>37477</v>
          </cell>
          <cell r="C2586" t="str">
            <v>NG</v>
          </cell>
          <cell r="D2586" t="str">
            <v>200405</v>
          </cell>
          <cell r="E2586">
            <v>3.6379999999999999</v>
          </cell>
        </row>
        <row r="2587">
          <cell r="A2587" t="str">
            <v>37477200406</v>
          </cell>
          <cell r="B2587">
            <v>37477</v>
          </cell>
          <cell r="C2587" t="str">
            <v>NG</v>
          </cell>
          <cell r="D2587" t="str">
            <v>200406</v>
          </cell>
          <cell r="E2587">
            <v>3.6680000000000001</v>
          </cell>
        </row>
        <row r="2588">
          <cell r="A2588" t="str">
            <v>37477200407</v>
          </cell>
          <cell r="B2588">
            <v>37477</v>
          </cell>
          <cell r="C2588" t="str">
            <v>NG</v>
          </cell>
          <cell r="D2588" t="str">
            <v>200407</v>
          </cell>
          <cell r="E2588">
            <v>3.6829999999999998</v>
          </cell>
        </row>
        <row r="2589">
          <cell r="A2589" t="str">
            <v>37477200408</v>
          </cell>
          <cell r="B2589">
            <v>37477</v>
          </cell>
          <cell r="C2589" t="str">
            <v>NG</v>
          </cell>
          <cell r="D2589" t="str">
            <v>200408</v>
          </cell>
          <cell r="E2589">
            <v>3.698</v>
          </cell>
        </row>
        <row r="2590">
          <cell r="A2590" t="str">
            <v>37477200409</v>
          </cell>
          <cell r="B2590">
            <v>37477</v>
          </cell>
          <cell r="C2590" t="str">
            <v>NG</v>
          </cell>
          <cell r="D2590" t="str">
            <v>200409</v>
          </cell>
          <cell r="E2590">
            <v>3.6930000000000001</v>
          </cell>
        </row>
        <row r="2591">
          <cell r="A2591" t="str">
            <v>37477200410</v>
          </cell>
          <cell r="B2591">
            <v>37477</v>
          </cell>
          <cell r="C2591" t="str">
            <v>NG</v>
          </cell>
          <cell r="D2591" t="str">
            <v>200410</v>
          </cell>
          <cell r="E2591">
            <v>3.7170000000000001</v>
          </cell>
        </row>
        <row r="2592">
          <cell r="A2592" t="str">
            <v>37477200411</v>
          </cell>
          <cell r="B2592">
            <v>37477</v>
          </cell>
          <cell r="C2592" t="str">
            <v>NG</v>
          </cell>
          <cell r="D2592" t="str">
            <v>200411</v>
          </cell>
          <cell r="E2592">
            <v>3.9039999999999999</v>
          </cell>
        </row>
        <row r="2593">
          <cell r="A2593" t="str">
            <v>37477200412</v>
          </cell>
          <cell r="B2593">
            <v>37477</v>
          </cell>
          <cell r="C2593" t="str">
            <v>NG</v>
          </cell>
          <cell r="D2593" t="str">
            <v>200412</v>
          </cell>
          <cell r="E2593">
            <v>4.0739999999999998</v>
          </cell>
        </row>
        <row r="2594">
          <cell r="A2594" t="str">
            <v>37478200401</v>
          </cell>
          <cell r="B2594">
            <v>37478</v>
          </cell>
          <cell r="C2594" t="str">
            <v>NG</v>
          </cell>
          <cell r="D2594" t="str">
            <v>200401</v>
          </cell>
          <cell r="E2594">
            <v>4.0609999999999999</v>
          </cell>
        </row>
        <row r="2595">
          <cell r="A2595" t="str">
            <v>37478200402</v>
          </cell>
          <cell r="B2595">
            <v>37478</v>
          </cell>
          <cell r="C2595" t="str">
            <v>NG</v>
          </cell>
          <cell r="D2595" t="str">
            <v>200402</v>
          </cell>
          <cell r="E2595">
            <v>3.9660000000000002</v>
          </cell>
        </row>
        <row r="2596">
          <cell r="A2596" t="str">
            <v>37478200403</v>
          </cell>
          <cell r="B2596">
            <v>37478</v>
          </cell>
          <cell r="C2596" t="str">
            <v>NG</v>
          </cell>
          <cell r="D2596" t="str">
            <v>200403</v>
          </cell>
          <cell r="E2596">
            <v>3.8180000000000001</v>
          </cell>
        </row>
        <row r="2597">
          <cell r="A2597" t="str">
            <v>37478200404</v>
          </cell>
          <cell r="B2597">
            <v>37478</v>
          </cell>
          <cell r="C2597" t="str">
            <v>NG</v>
          </cell>
          <cell r="D2597" t="str">
            <v>200404</v>
          </cell>
          <cell r="E2597">
            <v>3.6379999999999999</v>
          </cell>
        </row>
        <row r="2598">
          <cell r="A2598" t="str">
            <v>37478200405</v>
          </cell>
          <cell r="B2598">
            <v>37478</v>
          </cell>
          <cell r="C2598" t="str">
            <v>NG</v>
          </cell>
          <cell r="D2598" t="str">
            <v>200405</v>
          </cell>
          <cell r="E2598">
            <v>3.6379999999999999</v>
          </cell>
        </row>
        <row r="2599">
          <cell r="A2599" t="str">
            <v>37478200406</v>
          </cell>
          <cell r="B2599">
            <v>37478</v>
          </cell>
          <cell r="C2599" t="str">
            <v>NG</v>
          </cell>
          <cell r="D2599" t="str">
            <v>200406</v>
          </cell>
          <cell r="E2599">
            <v>3.6680000000000001</v>
          </cell>
        </row>
        <row r="2600">
          <cell r="A2600" t="str">
            <v>37478200407</v>
          </cell>
          <cell r="B2600">
            <v>37478</v>
          </cell>
          <cell r="C2600" t="str">
            <v>NG</v>
          </cell>
          <cell r="D2600" t="str">
            <v>200407</v>
          </cell>
          <cell r="E2600">
            <v>3.6829999999999998</v>
          </cell>
        </row>
        <row r="2601">
          <cell r="A2601" t="str">
            <v>37478200408</v>
          </cell>
          <cell r="B2601">
            <v>37478</v>
          </cell>
          <cell r="C2601" t="str">
            <v>NG</v>
          </cell>
          <cell r="D2601" t="str">
            <v>200408</v>
          </cell>
          <cell r="E2601">
            <v>3.698</v>
          </cell>
        </row>
        <row r="2602">
          <cell r="A2602" t="str">
            <v>37478200409</v>
          </cell>
          <cell r="B2602">
            <v>37478</v>
          </cell>
          <cell r="C2602" t="str">
            <v>NG</v>
          </cell>
          <cell r="D2602" t="str">
            <v>200409</v>
          </cell>
          <cell r="E2602">
            <v>3.6930000000000001</v>
          </cell>
        </row>
        <row r="2603">
          <cell r="A2603" t="str">
            <v>37478200410</v>
          </cell>
          <cell r="B2603">
            <v>37478</v>
          </cell>
          <cell r="C2603" t="str">
            <v>NG</v>
          </cell>
          <cell r="D2603" t="str">
            <v>200410</v>
          </cell>
          <cell r="E2603">
            <v>3.7170000000000001</v>
          </cell>
        </row>
        <row r="2604">
          <cell r="A2604" t="str">
            <v>37478200411</v>
          </cell>
          <cell r="B2604">
            <v>37478</v>
          </cell>
          <cell r="C2604" t="str">
            <v>NG</v>
          </cell>
          <cell r="D2604" t="str">
            <v>200411</v>
          </cell>
          <cell r="E2604">
            <v>3.9039999999999999</v>
          </cell>
        </row>
        <row r="2605">
          <cell r="A2605" t="str">
            <v>37478200412</v>
          </cell>
          <cell r="B2605">
            <v>37478</v>
          </cell>
          <cell r="C2605" t="str">
            <v>NG</v>
          </cell>
          <cell r="D2605" t="str">
            <v>200412</v>
          </cell>
          <cell r="E2605">
            <v>4.0739999999999998</v>
          </cell>
        </row>
        <row r="2606">
          <cell r="A2606" t="str">
            <v>37479200401</v>
          </cell>
          <cell r="B2606">
            <v>37479</v>
          </cell>
          <cell r="C2606" t="str">
            <v>NG</v>
          </cell>
          <cell r="D2606" t="str">
            <v>200401</v>
          </cell>
          <cell r="E2606">
            <v>4.0609999999999999</v>
          </cell>
        </row>
        <row r="2607">
          <cell r="A2607" t="str">
            <v>37479200402</v>
          </cell>
          <cell r="B2607">
            <v>37479</v>
          </cell>
          <cell r="C2607" t="str">
            <v>NG</v>
          </cell>
          <cell r="D2607" t="str">
            <v>200402</v>
          </cell>
          <cell r="E2607">
            <v>3.9660000000000002</v>
          </cell>
        </row>
        <row r="2608">
          <cell r="A2608" t="str">
            <v>37479200403</v>
          </cell>
          <cell r="B2608">
            <v>37479</v>
          </cell>
          <cell r="C2608" t="str">
            <v>NG</v>
          </cell>
          <cell r="D2608" t="str">
            <v>200403</v>
          </cell>
          <cell r="E2608">
            <v>3.8180000000000001</v>
          </cell>
        </row>
        <row r="2609">
          <cell r="A2609" t="str">
            <v>37479200404</v>
          </cell>
          <cell r="B2609">
            <v>37479</v>
          </cell>
          <cell r="C2609" t="str">
            <v>NG</v>
          </cell>
          <cell r="D2609" t="str">
            <v>200404</v>
          </cell>
          <cell r="E2609">
            <v>3.6379999999999999</v>
          </cell>
        </row>
        <row r="2610">
          <cell r="A2610" t="str">
            <v>37479200405</v>
          </cell>
          <cell r="B2610">
            <v>37479</v>
          </cell>
          <cell r="C2610" t="str">
            <v>NG</v>
          </cell>
          <cell r="D2610" t="str">
            <v>200405</v>
          </cell>
          <cell r="E2610">
            <v>3.6379999999999999</v>
          </cell>
        </row>
        <row r="2611">
          <cell r="A2611" t="str">
            <v>37479200406</v>
          </cell>
          <cell r="B2611">
            <v>37479</v>
          </cell>
          <cell r="C2611" t="str">
            <v>NG</v>
          </cell>
          <cell r="D2611" t="str">
            <v>200406</v>
          </cell>
          <cell r="E2611">
            <v>3.6680000000000001</v>
          </cell>
        </row>
        <row r="2612">
          <cell r="A2612" t="str">
            <v>37479200407</v>
          </cell>
          <cell r="B2612">
            <v>37479</v>
          </cell>
          <cell r="C2612" t="str">
            <v>NG</v>
          </cell>
          <cell r="D2612" t="str">
            <v>200407</v>
          </cell>
          <cell r="E2612">
            <v>3.6829999999999998</v>
          </cell>
        </row>
        <row r="2613">
          <cell r="A2613" t="str">
            <v>37479200408</v>
          </cell>
          <cell r="B2613">
            <v>37479</v>
          </cell>
          <cell r="C2613" t="str">
            <v>NG</v>
          </cell>
          <cell r="D2613" t="str">
            <v>200408</v>
          </cell>
          <cell r="E2613">
            <v>3.698</v>
          </cell>
        </row>
        <row r="2614">
          <cell r="A2614" t="str">
            <v>37479200409</v>
          </cell>
          <cell r="B2614">
            <v>37479</v>
          </cell>
          <cell r="C2614" t="str">
            <v>NG</v>
          </cell>
          <cell r="D2614" t="str">
            <v>200409</v>
          </cell>
          <cell r="E2614">
            <v>3.6930000000000001</v>
          </cell>
        </row>
        <row r="2615">
          <cell r="A2615" t="str">
            <v>37479200410</v>
          </cell>
          <cell r="B2615">
            <v>37479</v>
          </cell>
          <cell r="C2615" t="str">
            <v>NG</v>
          </cell>
          <cell r="D2615" t="str">
            <v>200410</v>
          </cell>
          <cell r="E2615">
            <v>3.7170000000000001</v>
          </cell>
        </row>
        <row r="2616">
          <cell r="A2616" t="str">
            <v>37479200411</v>
          </cell>
          <cell r="B2616">
            <v>37479</v>
          </cell>
          <cell r="C2616" t="str">
            <v>NG</v>
          </cell>
          <cell r="D2616" t="str">
            <v>200411</v>
          </cell>
          <cell r="E2616">
            <v>3.9039999999999999</v>
          </cell>
        </row>
        <row r="2617">
          <cell r="A2617" t="str">
            <v>37479200412</v>
          </cell>
          <cell r="B2617">
            <v>37479</v>
          </cell>
          <cell r="C2617" t="str">
            <v>NG</v>
          </cell>
          <cell r="D2617" t="str">
            <v>200412</v>
          </cell>
          <cell r="E2617">
            <v>4.0739999999999998</v>
          </cell>
        </row>
        <row r="2618">
          <cell r="A2618" t="str">
            <v>37480200401</v>
          </cell>
          <cell r="B2618">
            <v>37480</v>
          </cell>
          <cell r="C2618" t="str">
            <v>NG</v>
          </cell>
          <cell r="D2618" t="str">
            <v>200401</v>
          </cell>
          <cell r="E2618">
            <v>4.141</v>
          </cell>
        </row>
        <row r="2619">
          <cell r="A2619" t="str">
            <v>37480200402</v>
          </cell>
          <cell r="B2619">
            <v>37480</v>
          </cell>
          <cell r="C2619" t="str">
            <v>NG</v>
          </cell>
          <cell r="D2619" t="str">
            <v>200402</v>
          </cell>
          <cell r="E2619">
            <v>4.0359999999999996</v>
          </cell>
        </row>
        <row r="2620">
          <cell r="A2620" t="str">
            <v>37480200403</v>
          </cell>
          <cell r="B2620">
            <v>37480</v>
          </cell>
          <cell r="C2620" t="str">
            <v>NG</v>
          </cell>
          <cell r="D2620" t="str">
            <v>200403</v>
          </cell>
          <cell r="E2620">
            <v>3.8759999999999999</v>
          </cell>
        </row>
        <row r="2621">
          <cell r="A2621" t="str">
            <v>37480200404</v>
          </cell>
          <cell r="B2621">
            <v>37480</v>
          </cell>
          <cell r="C2621" t="str">
            <v>NG</v>
          </cell>
          <cell r="D2621" t="str">
            <v>200404</v>
          </cell>
          <cell r="E2621">
            <v>3.681</v>
          </cell>
        </row>
        <row r="2622">
          <cell r="A2622" t="str">
            <v>37480200405</v>
          </cell>
          <cell r="B2622">
            <v>37480</v>
          </cell>
          <cell r="C2622" t="str">
            <v>NG</v>
          </cell>
          <cell r="D2622" t="str">
            <v>200405</v>
          </cell>
          <cell r="E2622">
            <v>3.681</v>
          </cell>
        </row>
        <row r="2623">
          <cell r="A2623" t="str">
            <v>37480200406</v>
          </cell>
          <cell r="B2623">
            <v>37480</v>
          </cell>
          <cell r="C2623" t="str">
            <v>NG</v>
          </cell>
          <cell r="D2623" t="str">
            <v>200406</v>
          </cell>
          <cell r="E2623">
            <v>3.7109999999999999</v>
          </cell>
        </row>
        <row r="2624">
          <cell r="A2624" t="str">
            <v>37480200407</v>
          </cell>
          <cell r="B2624">
            <v>37480</v>
          </cell>
          <cell r="C2624" t="str">
            <v>NG</v>
          </cell>
          <cell r="D2624" t="str">
            <v>200407</v>
          </cell>
          <cell r="E2624">
            <v>3.7210000000000001</v>
          </cell>
        </row>
        <row r="2625">
          <cell r="A2625" t="str">
            <v>37480200408</v>
          </cell>
          <cell r="B2625">
            <v>37480</v>
          </cell>
          <cell r="C2625" t="str">
            <v>NG</v>
          </cell>
          <cell r="D2625" t="str">
            <v>200408</v>
          </cell>
          <cell r="E2625">
            <v>3.7360000000000002</v>
          </cell>
        </row>
        <row r="2626">
          <cell r="A2626" t="str">
            <v>37480200409</v>
          </cell>
          <cell r="B2626">
            <v>37480</v>
          </cell>
          <cell r="C2626" t="str">
            <v>NG</v>
          </cell>
          <cell r="D2626" t="str">
            <v>200409</v>
          </cell>
          <cell r="E2626">
            <v>3.7309999999999999</v>
          </cell>
        </row>
        <row r="2627">
          <cell r="A2627" t="str">
            <v>37480200410</v>
          </cell>
          <cell r="B2627">
            <v>37480</v>
          </cell>
          <cell r="C2627" t="str">
            <v>NG</v>
          </cell>
          <cell r="D2627" t="str">
            <v>200410</v>
          </cell>
          <cell r="E2627">
            <v>3.7549999999999999</v>
          </cell>
        </row>
        <row r="2628">
          <cell r="A2628" t="str">
            <v>37480200411</v>
          </cell>
          <cell r="B2628">
            <v>37480</v>
          </cell>
          <cell r="C2628" t="str">
            <v>NG</v>
          </cell>
          <cell r="D2628" t="str">
            <v>200411</v>
          </cell>
          <cell r="E2628">
            <v>3.9420000000000002</v>
          </cell>
        </row>
        <row r="2629">
          <cell r="A2629" t="str">
            <v>37480200412</v>
          </cell>
          <cell r="B2629">
            <v>37480</v>
          </cell>
          <cell r="C2629" t="str">
            <v>NG</v>
          </cell>
          <cell r="D2629" t="str">
            <v>200412</v>
          </cell>
          <cell r="E2629">
            <v>4.1120000000000001</v>
          </cell>
        </row>
        <row r="2630">
          <cell r="A2630" t="str">
            <v>37481200401</v>
          </cell>
          <cell r="B2630">
            <v>37481</v>
          </cell>
          <cell r="C2630" t="str">
            <v>NG</v>
          </cell>
          <cell r="D2630" t="str">
            <v>200401</v>
          </cell>
          <cell r="E2630">
            <v>4.1029999999999998</v>
          </cell>
        </row>
        <row r="2631">
          <cell r="A2631" t="str">
            <v>37481200402</v>
          </cell>
          <cell r="B2631">
            <v>37481</v>
          </cell>
          <cell r="C2631" t="str">
            <v>NG</v>
          </cell>
          <cell r="D2631" t="str">
            <v>200402</v>
          </cell>
          <cell r="E2631">
            <v>3.9929999999999999</v>
          </cell>
        </row>
        <row r="2632">
          <cell r="A2632" t="str">
            <v>37481200403</v>
          </cell>
          <cell r="B2632">
            <v>37481</v>
          </cell>
          <cell r="C2632" t="str">
            <v>NG</v>
          </cell>
          <cell r="D2632" t="str">
            <v>200403</v>
          </cell>
          <cell r="E2632">
            <v>3.831</v>
          </cell>
        </row>
        <row r="2633">
          <cell r="A2633" t="str">
            <v>37481200404</v>
          </cell>
          <cell r="B2633">
            <v>37481</v>
          </cell>
          <cell r="C2633" t="str">
            <v>NG</v>
          </cell>
          <cell r="D2633" t="str">
            <v>200404</v>
          </cell>
          <cell r="E2633">
            <v>3.6360000000000001</v>
          </cell>
        </row>
        <row r="2634">
          <cell r="A2634" t="str">
            <v>37481200405</v>
          </cell>
          <cell r="B2634">
            <v>37481</v>
          </cell>
          <cell r="C2634" t="str">
            <v>NG</v>
          </cell>
          <cell r="D2634" t="str">
            <v>200405</v>
          </cell>
          <cell r="E2634">
            <v>3.6360000000000001</v>
          </cell>
        </row>
        <row r="2635">
          <cell r="A2635" t="str">
            <v>37481200406</v>
          </cell>
          <cell r="B2635">
            <v>37481</v>
          </cell>
          <cell r="C2635" t="str">
            <v>NG</v>
          </cell>
          <cell r="D2635" t="str">
            <v>200406</v>
          </cell>
          <cell r="E2635">
            <v>3.6709999999999998</v>
          </cell>
        </row>
        <row r="2636">
          <cell r="A2636" t="str">
            <v>37481200407</v>
          </cell>
          <cell r="B2636">
            <v>37481</v>
          </cell>
          <cell r="C2636" t="str">
            <v>NG</v>
          </cell>
          <cell r="D2636" t="str">
            <v>200407</v>
          </cell>
          <cell r="E2636">
            <v>3.681</v>
          </cell>
        </row>
        <row r="2637">
          <cell r="A2637" t="str">
            <v>37481200408</v>
          </cell>
          <cell r="B2637">
            <v>37481</v>
          </cell>
          <cell r="C2637" t="str">
            <v>NG</v>
          </cell>
          <cell r="D2637" t="str">
            <v>200408</v>
          </cell>
          <cell r="E2637">
            <v>3.6960000000000002</v>
          </cell>
        </row>
        <row r="2638">
          <cell r="A2638" t="str">
            <v>37481200409</v>
          </cell>
          <cell r="B2638">
            <v>37481</v>
          </cell>
          <cell r="C2638" t="str">
            <v>NG</v>
          </cell>
          <cell r="D2638" t="str">
            <v>200409</v>
          </cell>
          <cell r="E2638">
            <v>3.6909999999999998</v>
          </cell>
        </row>
        <row r="2639">
          <cell r="A2639" t="str">
            <v>37481200410</v>
          </cell>
          <cell r="B2639">
            <v>37481</v>
          </cell>
          <cell r="C2639" t="str">
            <v>NG</v>
          </cell>
          <cell r="D2639" t="str">
            <v>200410</v>
          </cell>
          <cell r="E2639">
            <v>3.7149999999999999</v>
          </cell>
        </row>
        <row r="2640">
          <cell r="A2640" t="str">
            <v>37481200411</v>
          </cell>
          <cell r="B2640">
            <v>37481</v>
          </cell>
          <cell r="C2640" t="str">
            <v>NG</v>
          </cell>
          <cell r="D2640" t="str">
            <v>200411</v>
          </cell>
          <cell r="E2640">
            <v>3.9020000000000001</v>
          </cell>
        </row>
        <row r="2641">
          <cell r="A2641" t="str">
            <v>37481200412</v>
          </cell>
          <cell r="B2641">
            <v>37481</v>
          </cell>
          <cell r="C2641" t="str">
            <v>NG</v>
          </cell>
          <cell r="D2641" t="str">
            <v>200412</v>
          </cell>
          <cell r="E2641">
            <v>4.0720000000000001</v>
          </cell>
        </row>
        <row r="2642">
          <cell r="A2642" t="str">
            <v>37482200401</v>
          </cell>
          <cell r="B2642">
            <v>37482</v>
          </cell>
          <cell r="C2642" t="str">
            <v>NG</v>
          </cell>
          <cell r="D2642" t="str">
            <v>200401</v>
          </cell>
          <cell r="E2642">
            <v>4.0490000000000004</v>
          </cell>
        </row>
        <row r="2643">
          <cell r="A2643" t="str">
            <v>37482200402</v>
          </cell>
          <cell r="B2643">
            <v>37482</v>
          </cell>
          <cell r="C2643" t="str">
            <v>NG</v>
          </cell>
          <cell r="D2643" t="str">
            <v>200402</v>
          </cell>
          <cell r="E2643">
            <v>3.9390000000000001</v>
          </cell>
        </row>
        <row r="2644">
          <cell r="A2644" t="str">
            <v>37482200403</v>
          </cell>
          <cell r="B2644">
            <v>37482</v>
          </cell>
          <cell r="C2644" t="str">
            <v>NG</v>
          </cell>
          <cell r="D2644" t="str">
            <v>200403</v>
          </cell>
          <cell r="E2644">
            <v>3.7770000000000001</v>
          </cell>
        </row>
        <row r="2645">
          <cell r="A2645" t="str">
            <v>37482200404</v>
          </cell>
          <cell r="B2645">
            <v>37482</v>
          </cell>
          <cell r="C2645" t="str">
            <v>NG</v>
          </cell>
          <cell r="D2645" t="str">
            <v>200404</v>
          </cell>
          <cell r="E2645">
            <v>3.5819999999999999</v>
          </cell>
        </row>
        <row r="2646">
          <cell r="A2646" t="str">
            <v>37482200405</v>
          </cell>
          <cell r="B2646">
            <v>37482</v>
          </cell>
          <cell r="C2646" t="str">
            <v>NG</v>
          </cell>
          <cell r="D2646" t="str">
            <v>200405</v>
          </cell>
          <cell r="E2646">
            <v>3.5819999999999999</v>
          </cell>
        </row>
        <row r="2647">
          <cell r="A2647" t="str">
            <v>37482200406</v>
          </cell>
          <cell r="B2647">
            <v>37482</v>
          </cell>
          <cell r="C2647" t="str">
            <v>NG</v>
          </cell>
          <cell r="D2647" t="str">
            <v>200406</v>
          </cell>
          <cell r="E2647">
            <v>3.617</v>
          </cell>
        </row>
        <row r="2648">
          <cell r="A2648" t="str">
            <v>37482200407</v>
          </cell>
          <cell r="B2648">
            <v>37482</v>
          </cell>
          <cell r="C2648" t="str">
            <v>NG</v>
          </cell>
          <cell r="D2648" t="str">
            <v>200407</v>
          </cell>
          <cell r="E2648">
            <v>3.6269999999999998</v>
          </cell>
        </row>
        <row r="2649">
          <cell r="A2649" t="str">
            <v>37482200408</v>
          </cell>
          <cell r="B2649">
            <v>37482</v>
          </cell>
          <cell r="C2649" t="str">
            <v>NG</v>
          </cell>
          <cell r="D2649" t="str">
            <v>200408</v>
          </cell>
          <cell r="E2649">
            <v>3.6419999999999999</v>
          </cell>
        </row>
        <row r="2650">
          <cell r="A2650" t="str">
            <v>37482200409</v>
          </cell>
          <cell r="B2650">
            <v>37482</v>
          </cell>
          <cell r="C2650" t="str">
            <v>NG</v>
          </cell>
          <cell r="D2650" t="str">
            <v>200409</v>
          </cell>
          <cell r="E2650">
            <v>3.637</v>
          </cell>
        </row>
        <row r="2651">
          <cell r="A2651" t="str">
            <v>37482200410</v>
          </cell>
          <cell r="B2651">
            <v>37482</v>
          </cell>
          <cell r="C2651" t="str">
            <v>NG</v>
          </cell>
          <cell r="D2651" t="str">
            <v>200410</v>
          </cell>
          <cell r="E2651">
            <v>3.6669999999999998</v>
          </cell>
        </row>
        <row r="2652">
          <cell r="A2652" t="str">
            <v>37482200411</v>
          </cell>
          <cell r="B2652">
            <v>37482</v>
          </cell>
          <cell r="C2652" t="str">
            <v>NG</v>
          </cell>
          <cell r="D2652" t="str">
            <v>200411</v>
          </cell>
          <cell r="E2652">
            <v>3.8540000000000001</v>
          </cell>
        </row>
        <row r="2653">
          <cell r="A2653" t="str">
            <v>37482200412</v>
          </cell>
          <cell r="B2653">
            <v>37482</v>
          </cell>
          <cell r="C2653" t="str">
            <v>NG</v>
          </cell>
          <cell r="D2653" t="str">
            <v>200412</v>
          </cell>
          <cell r="E2653">
            <v>4.0259999999999998</v>
          </cell>
        </row>
        <row r="2654">
          <cell r="A2654" t="str">
            <v>37483200401</v>
          </cell>
          <cell r="B2654">
            <v>37483</v>
          </cell>
          <cell r="C2654" t="str">
            <v>NG</v>
          </cell>
          <cell r="D2654" t="str">
            <v>200401</v>
          </cell>
          <cell r="E2654">
            <v>4.1120000000000001</v>
          </cell>
        </row>
        <row r="2655">
          <cell r="A2655" t="str">
            <v>37483200402</v>
          </cell>
          <cell r="B2655">
            <v>37483</v>
          </cell>
          <cell r="C2655" t="str">
            <v>NG</v>
          </cell>
          <cell r="D2655" t="str">
            <v>200402</v>
          </cell>
          <cell r="E2655">
            <v>4.0019999999999998</v>
          </cell>
        </row>
        <row r="2656">
          <cell r="A2656" t="str">
            <v>37483200403</v>
          </cell>
          <cell r="B2656">
            <v>37483</v>
          </cell>
          <cell r="C2656" t="str">
            <v>NG</v>
          </cell>
          <cell r="D2656" t="str">
            <v>200403</v>
          </cell>
          <cell r="E2656">
            <v>3.827</v>
          </cell>
        </row>
        <row r="2657">
          <cell r="A2657" t="str">
            <v>37483200404</v>
          </cell>
          <cell r="B2657">
            <v>37483</v>
          </cell>
          <cell r="C2657" t="str">
            <v>NG</v>
          </cell>
          <cell r="D2657" t="str">
            <v>200404</v>
          </cell>
          <cell r="E2657">
            <v>3.6219999999999999</v>
          </cell>
        </row>
        <row r="2658">
          <cell r="A2658" t="str">
            <v>37483200405</v>
          </cell>
          <cell r="B2658">
            <v>37483</v>
          </cell>
          <cell r="C2658" t="str">
            <v>NG</v>
          </cell>
          <cell r="D2658" t="str">
            <v>200405</v>
          </cell>
          <cell r="E2658">
            <v>3.6070000000000002</v>
          </cell>
        </row>
        <row r="2659">
          <cell r="A2659" t="str">
            <v>37483200406</v>
          </cell>
          <cell r="B2659">
            <v>37483</v>
          </cell>
          <cell r="C2659" t="str">
            <v>NG</v>
          </cell>
          <cell r="D2659" t="str">
            <v>200406</v>
          </cell>
          <cell r="E2659">
            <v>3.6419999999999999</v>
          </cell>
        </row>
        <row r="2660">
          <cell r="A2660" t="str">
            <v>37483200407</v>
          </cell>
          <cell r="B2660">
            <v>37483</v>
          </cell>
          <cell r="C2660" t="str">
            <v>NG</v>
          </cell>
          <cell r="D2660" t="str">
            <v>200407</v>
          </cell>
          <cell r="E2660">
            <v>3.6520000000000001</v>
          </cell>
        </row>
        <row r="2661">
          <cell r="A2661" t="str">
            <v>37483200408</v>
          </cell>
          <cell r="B2661">
            <v>37483</v>
          </cell>
          <cell r="C2661" t="str">
            <v>NG</v>
          </cell>
          <cell r="D2661" t="str">
            <v>200408</v>
          </cell>
          <cell r="E2661">
            <v>3.6720000000000002</v>
          </cell>
        </row>
        <row r="2662">
          <cell r="A2662" t="str">
            <v>37483200409</v>
          </cell>
          <cell r="B2662">
            <v>37483</v>
          </cell>
          <cell r="C2662" t="str">
            <v>NG</v>
          </cell>
          <cell r="D2662" t="str">
            <v>200409</v>
          </cell>
          <cell r="E2662">
            <v>3.6669999999999998</v>
          </cell>
        </row>
        <row r="2663">
          <cell r="A2663" t="str">
            <v>37483200410</v>
          </cell>
          <cell r="B2663">
            <v>37483</v>
          </cell>
          <cell r="C2663" t="str">
            <v>NG</v>
          </cell>
          <cell r="D2663" t="str">
            <v>200410</v>
          </cell>
          <cell r="E2663">
            <v>3.6970000000000001</v>
          </cell>
        </row>
        <row r="2664">
          <cell r="A2664" t="str">
            <v>37483200411</v>
          </cell>
          <cell r="B2664">
            <v>37483</v>
          </cell>
          <cell r="C2664" t="str">
            <v>NG</v>
          </cell>
          <cell r="D2664" t="str">
            <v>200411</v>
          </cell>
          <cell r="E2664">
            <v>3.8839999999999999</v>
          </cell>
        </row>
        <row r="2665">
          <cell r="A2665" t="str">
            <v>37483200412</v>
          </cell>
          <cell r="B2665">
            <v>37483</v>
          </cell>
          <cell r="C2665" t="str">
            <v>NG</v>
          </cell>
          <cell r="D2665" t="str">
            <v>200412</v>
          </cell>
          <cell r="E2665">
            <v>4.056</v>
          </cell>
        </row>
        <row r="2666">
          <cell r="A2666" t="str">
            <v>37484200401</v>
          </cell>
          <cell r="B2666">
            <v>37484</v>
          </cell>
          <cell r="C2666" t="str">
            <v>NG</v>
          </cell>
          <cell r="D2666" t="str">
            <v>200401</v>
          </cell>
          <cell r="E2666">
            <v>4.1379999999999999</v>
          </cell>
        </row>
        <row r="2667">
          <cell r="A2667" t="str">
            <v>37484200402</v>
          </cell>
          <cell r="B2667">
            <v>37484</v>
          </cell>
          <cell r="C2667" t="str">
            <v>NG</v>
          </cell>
          <cell r="D2667" t="str">
            <v>200402</v>
          </cell>
          <cell r="E2667">
            <v>4.0279999999999996</v>
          </cell>
        </row>
        <row r="2668">
          <cell r="A2668" t="str">
            <v>37484200403</v>
          </cell>
          <cell r="B2668">
            <v>37484</v>
          </cell>
          <cell r="C2668" t="str">
            <v>NG</v>
          </cell>
          <cell r="D2668" t="str">
            <v>200403</v>
          </cell>
          <cell r="E2668">
            <v>3.8530000000000002</v>
          </cell>
        </row>
        <row r="2669">
          <cell r="A2669" t="str">
            <v>37484200404</v>
          </cell>
          <cell r="B2669">
            <v>37484</v>
          </cell>
          <cell r="C2669" t="str">
            <v>NG</v>
          </cell>
          <cell r="D2669" t="str">
            <v>200404</v>
          </cell>
          <cell r="E2669">
            <v>3.653</v>
          </cell>
        </row>
        <row r="2670">
          <cell r="A2670" t="str">
            <v>37484200405</v>
          </cell>
          <cell r="B2670">
            <v>37484</v>
          </cell>
          <cell r="C2670" t="str">
            <v>NG</v>
          </cell>
          <cell r="D2670" t="str">
            <v>200405</v>
          </cell>
          <cell r="E2670">
            <v>3.6379999999999999</v>
          </cell>
        </row>
        <row r="2671">
          <cell r="A2671" t="str">
            <v>37484200406</v>
          </cell>
          <cell r="B2671">
            <v>37484</v>
          </cell>
          <cell r="C2671" t="str">
            <v>NG</v>
          </cell>
          <cell r="D2671" t="str">
            <v>200406</v>
          </cell>
          <cell r="E2671">
            <v>3.66</v>
          </cell>
        </row>
        <row r="2672">
          <cell r="A2672" t="str">
            <v>37484200407</v>
          </cell>
          <cell r="B2672">
            <v>37484</v>
          </cell>
          <cell r="C2672" t="str">
            <v>NG</v>
          </cell>
          <cell r="D2672" t="str">
            <v>200407</v>
          </cell>
          <cell r="E2672">
            <v>3.67</v>
          </cell>
        </row>
        <row r="2673">
          <cell r="A2673" t="str">
            <v>37484200408</v>
          </cell>
          <cell r="B2673">
            <v>37484</v>
          </cell>
          <cell r="C2673" t="str">
            <v>NG</v>
          </cell>
          <cell r="D2673" t="str">
            <v>200408</v>
          </cell>
          <cell r="E2673">
            <v>3.69</v>
          </cell>
        </row>
        <row r="2674">
          <cell r="A2674" t="str">
            <v>37484200409</v>
          </cell>
          <cell r="B2674">
            <v>37484</v>
          </cell>
          <cell r="C2674" t="str">
            <v>NG</v>
          </cell>
          <cell r="D2674" t="str">
            <v>200409</v>
          </cell>
          <cell r="E2674">
            <v>3.6850000000000001</v>
          </cell>
        </row>
        <row r="2675">
          <cell r="A2675" t="str">
            <v>37484200410</v>
          </cell>
          <cell r="B2675">
            <v>37484</v>
          </cell>
          <cell r="C2675" t="str">
            <v>NG</v>
          </cell>
          <cell r="D2675" t="str">
            <v>200410</v>
          </cell>
          <cell r="E2675">
            <v>3.7149999999999999</v>
          </cell>
        </row>
        <row r="2676">
          <cell r="A2676" t="str">
            <v>37484200411</v>
          </cell>
          <cell r="B2676">
            <v>37484</v>
          </cell>
          <cell r="C2676" t="str">
            <v>NG</v>
          </cell>
          <cell r="D2676" t="str">
            <v>200411</v>
          </cell>
          <cell r="E2676">
            <v>3.9180000000000001</v>
          </cell>
        </row>
        <row r="2677">
          <cell r="A2677" t="str">
            <v>37484200412</v>
          </cell>
          <cell r="B2677">
            <v>37484</v>
          </cell>
          <cell r="C2677" t="str">
            <v>NG</v>
          </cell>
          <cell r="D2677" t="str">
            <v>200412</v>
          </cell>
          <cell r="E2677">
            <v>4.093</v>
          </cell>
        </row>
        <row r="2678">
          <cell r="A2678" t="str">
            <v>37485200401</v>
          </cell>
          <cell r="B2678">
            <v>37485</v>
          </cell>
          <cell r="C2678" t="str">
            <v>NG</v>
          </cell>
          <cell r="D2678" t="str">
            <v>200401</v>
          </cell>
          <cell r="E2678">
            <v>4.1379999999999999</v>
          </cell>
        </row>
        <row r="2679">
          <cell r="A2679" t="str">
            <v>37485200402</v>
          </cell>
          <cell r="B2679">
            <v>37485</v>
          </cell>
          <cell r="C2679" t="str">
            <v>NG</v>
          </cell>
          <cell r="D2679" t="str">
            <v>200402</v>
          </cell>
          <cell r="E2679">
            <v>4.0279999999999996</v>
          </cell>
        </row>
        <row r="2680">
          <cell r="A2680" t="str">
            <v>37485200403</v>
          </cell>
          <cell r="B2680">
            <v>37485</v>
          </cell>
          <cell r="C2680" t="str">
            <v>NG</v>
          </cell>
          <cell r="D2680" t="str">
            <v>200403</v>
          </cell>
          <cell r="E2680">
            <v>3.8530000000000002</v>
          </cell>
        </row>
        <row r="2681">
          <cell r="A2681" t="str">
            <v>37485200404</v>
          </cell>
          <cell r="B2681">
            <v>37485</v>
          </cell>
          <cell r="C2681" t="str">
            <v>NG</v>
          </cell>
          <cell r="D2681" t="str">
            <v>200404</v>
          </cell>
          <cell r="E2681">
            <v>3.653</v>
          </cell>
        </row>
        <row r="2682">
          <cell r="A2682" t="str">
            <v>37485200405</v>
          </cell>
          <cell r="B2682">
            <v>37485</v>
          </cell>
          <cell r="C2682" t="str">
            <v>NG</v>
          </cell>
          <cell r="D2682" t="str">
            <v>200405</v>
          </cell>
          <cell r="E2682">
            <v>3.6379999999999999</v>
          </cell>
        </row>
        <row r="2683">
          <cell r="A2683" t="str">
            <v>37485200406</v>
          </cell>
          <cell r="B2683">
            <v>37485</v>
          </cell>
          <cell r="C2683" t="str">
            <v>NG</v>
          </cell>
          <cell r="D2683" t="str">
            <v>200406</v>
          </cell>
          <cell r="E2683">
            <v>3.66</v>
          </cell>
        </row>
        <row r="2684">
          <cell r="A2684" t="str">
            <v>37485200407</v>
          </cell>
          <cell r="B2684">
            <v>37485</v>
          </cell>
          <cell r="C2684" t="str">
            <v>NG</v>
          </cell>
          <cell r="D2684" t="str">
            <v>200407</v>
          </cell>
          <cell r="E2684">
            <v>3.67</v>
          </cell>
        </row>
        <row r="2685">
          <cell r="A2685" t="str">
            <v>37485200408</v>
          </cell>
          <cell r="B2685">
            <v>37485</v>
          </cell>
          <cell r="C2685" t="str">
            <v>NG</v>
          </cell>
          <cell r="D2685" t="str">
            <v>200408</v>
          </cell>
          <cell r="E2685">
            <v>3.69</v>
          </cell>
        </row>
        <row r="2686">
          <cell r="A2686" t="str">
            <v>37485200409</v>
          </cell>
          <cell r="B2686">
            <v>37485</v>
          </cell>
          <cell r="C2686" t="str">
            <v>NG</v>
          </cell>
          <cell r="D2686" t="str">
            <v>200409</v>
          </cell>
          <cell r="E2686">
            <v>3.6850000000000001</v>
          </cell>
        </row>
        <row r="2687">
          <cell r="A2687" t="str">
            <v>37485200410</v>
          </cell>
          <cell r="B2687">
            <v>37485</v>
          </cell>
          <cell r="C2687" t="str">
            <v>NG</v>
          </cell>
          <cell r="D2687" t="str">
            <v>200410</v>
          </cell>
          <cell r="E2687">
            <v>3.7149999999999999</v>
          </cell>
        </row>
        <row r="2688">
          <cell r="A2688" t="str">
            <v>37485200411</v>
          </cell>
          <cell r="B2688">
            <v>37485</v>
          </cell>
          <cell r="C2688" t="str">
            <v>NG</v>
          </cell>
          <cell r="D2688" t="str">
            <v>200411</v>
          </cell>
          <cell r="E2688">
            <v>3.9180000000000001</v>
          </cell>
        </row>
        <row r="2689">
          <cell r="A2689" t="str">
            <v>37485200412</v>
          </cell>
          <cell r="B2689">
            <v>37485</v>
          </cell>
          <cell r="C2689" t="str">
            <v>NG</v>
          </cell>
          <cell r="D2689" t="str">
            <v>200412</v>
          </cell>
          <cell r="E2689">
            <v>4.093</v>
          </cell>
        </row>
        <row r="2690">
          <cell r="A2690" t="str">
            <v>37486200401</v>
          </cell>
          <cell r="B2690">
            <v>37486</v>
          </cell>
          <cell r="C2690" t="str">
            <v>NG</v>
          </cell>
          <cell r="D2690" t="str">
            <v>200401</v>
          </cell>
          <cell r="E2690">
            <v>4.1379999999999999</v>
          </cell>
        </row>
        <row r="2691">
          <cell r="A2691" t="str">
            <v>37486200402</v>
          </cell>
          <cell r="B2691">
            <v>37486</v>
          </cell>
          <cell r="C2691" t="str">
            <v>NG</v>
          </cell>
          <cell r="D2691" t="str">
            <v>200402</v>
          </cell>
          <cell r="E2691">
            <v>4.0279999999999996</v>
          </cell>
        </row>
        <row r="2692">
          <cell r="A2692" t="str">
            <v>37486200403</v>
          </cell>
          <cell r="B2692">
            <v>37486</v>
          </cell>
          <cell r="C2692" t="str">
            <v>NG</v>
          </cell>
          <cell r="D2692" t="str">
            <v>200403</v>
          </cell>
          <cell r="E2692">
            <v>3.8530000000000002</v>
          </cell>
        </row>
        <row r="2693">
          <cell r="A2693" t="str">
            <v>37486200404</v>
          </cell>
          <cell r="B2693">
            <v>37486</v>
          </cell>
          <cell r="C2693" t="str">
            <v>NG</v>
          </cell>
          <cell r="D2693" t="str">
            <v>200404</v>
          </cell>
          <cell r="E2693">
            <v>3.653</v>
          </cell>
        </row>
        <row r="2694">
          <cell r="A2694" t="str">
            <v>37486200405</v>
          </cell>
          <cell r="B2694">
            <v>37486</v>
          </cell>
          <cell r="C2694" t="str">
            <v>NG</v>
          </cell>
          <cell r="D2694" t="str">
            <v>200405</v>
          </cell>
          <cell r="E2694">
            <v>3.6379999999999999</v>
          </cell>
        </row>
        <row r="2695">
          <cell r="A2695" t="str">
            <v>37486200406</v>
          </cell>
          <cell r="B2695">
            <v>37486</v>
          </cell>
          <cell r="C2695" t="str">
            <v>NG</v>
          </cell>
          <cell r="D2695" t="str">
            <v>200406</v>
          </cell>
          <cell r="E2695">
            <v>3.66</v>
          </cell>
        </row>
        <row r="2696">
          <cell r="A2696" t="str">
            <v>37486200407</v>
          </cell>
          <cell r="B2696">
            <v>37486</v>
          </cell>
          <cell r="C2696" t="str">
            <v>NG</v>
          </cell>
          <cell r="D2696" t="str">
            <v>200407</v>
          </cell>
          <cell r="E2696">
            <v>3.67</v>
          </cell>
        </row>
        <row r="2697">
          <cell r="A2697" t="str">
            <v>37486200408</v>
          </cell>
          <cell r="B2697">
            <v>37486</v>
          </cell>
          <cell r="C2697" t="str">
            <v>NG</v>
          </cell>
          <cell r="D2697" t="str">
            <v>200408</v>
          </cell>
          <cell r="E2697">
            <v>3.69</v>
          </cell>
        </row>
        <row r="2698">
          <cell r="A2698" t="str">
            <v>37486200409</v>
          </cell>
          <cell r="B2698">
            <v>37486</v>
          </cell>
          <cell r="C2698" t="str">
            <v>NG</v>
          </cell>
          <cell r="D2698" t="str">
            <v>200409</v>
          </cell>
          <cell r="E2698">
            <v>3.6850000000000001</v>
          </cell>
        </row>
        <row r="2699">
          <cell r="A2699" t="str">
            <v>37486200410</v>
          </cell>
          <cell r="B2699">
            <v>37486</v>
          </cell>
          <cell r="C2699" t="str">
            <v>NG</v>
          </cell>
          <cell r="D2699" t="str">
            <v>200410</v>
          </cell>
          <cell r="E2699">
            <v>3.7149999999999999</v>
          </cell>
        </row>
        <row r="2700">
          <cell r="A2700" t="str">
            <v>37486200411</v>
          </cell>
          <cell r="B2700">
            <v>37486</v>
          </cell>
          <cell r="C2700" t="str">
            <v>NG</v>
          </cell>
          <cell r="D2700" t="str">
            <v>200411</v>
          </cell>
          <cell r="E2700">
            <v>3.9180000000000001</v>
          </cell>
        </row>
        <row r="2701">
          <cell r="A2701" t="str">
            <v>37486200412</v>
          </cell>
          <cell r="B2701">
            <v>37486</v>
          </cell>
          <cell r="C2701" t="str">
            <v>NG</v>
          </cell>
          <cell r="D2701" t="str">
            <v>200412</v>
          </cell>
          <cell r="E2701">
            <v>4.093</v>
          </cell>
        </row>
        <row r="2702">
          <cell r="A2702" t="str">
            <v>37487200401</v>
          </cell>
          <cell r="B2702">
            <v>37487</v>
          </cell>
          <cell r="C2702" t="str">
            <v>NG</v>
          </cell>
          <cell r="D2702" t="str">
            <v>200401</v>
          </cell>
          <cell r="E2702">
            <v>4.2249999999999996</v>
          </cell>
        </row>
        <row r="2703">
          <cell r="A2703" t="str">
            <v>37487200402</v>
          </cell>
          <cell r="B2703">
            <v>37487</v>
          </cell>
          <cell r="C2703" t="str">
            <v>NG</v>
          </cell>
          <cell r="D2703" t="str">
            <v>200402</v>
          </cell>
          <cell r="E2703">
            <v>4.1050000000000004</v>
          </cell>
        </row>
        <row r="2704">
          <cell r="A2704" t="str">
            <v>37487200403</v>
          </cell>
          <cell r="B2704">
            <v>37487</v>
          </cell>
          <cell r="C2704" t="str">
            <v>NG</v>
          </cell>
          <cell r="D2704" t="str">
            <v>200403</v>
          </cell>
          <cell r="E2704">
            <v>3.9209999999999998</v>
          </cell>
        </row>
        <row r="2705">
          <cell r="A2705" t="str">
            <v>37487200404</v>
          </cell>
          <cell r="B2705">
            <v>37487</v>
          </cell>
          <cell r="C2705" t="str">
            <v>NG</v>
          </cell>
          <cell r="D2705" t="str">
            <v>200404</v>
          </cell>
          <cell r="E2705">
            <v>3.7160000000000002</v>
          </cell>
        </row>
        <row r="2706">
          <cell r="A2706" t="str">
            <v>37487200405</v>
          </cell>
          <cell r="B2706">
            <v>37487</v>
          </cell>
          <cell r="C2706" t="str">
            <v>NG</v>
          </cell>
          <cell r="D2706" t="str">
            <v>200405</v>
          </cell>
          <cell r="E2706">
            <v>3.6909999999999998</v>
          </cell>
        </row>
        <row r="2707">
          <cell r="A2707" t="str">
            <v>37487200406</v>
          </cell>
          <cell r="B2707">
            <v>37487</v>
          </cell>
          <cell r="C2707" t="str">
            <v>NG</v>
          </cell>
          <cell r="D2707" t="str">
            <v>200406</v>
          </cell>
          <cell r="E2707">
            <v>3.706</v>
          </cell>
        </row>
        <row r="2708">
          <cell r="A2708" t="str">
            <v>37487200407</v>
          </cell>
          <cell r="B2708">
            <v>37487</v>
          </cell>
          <cell r="C2708" t="str">
            <v>NG</v>
          </cell>
          <cell r="D2708" t="str">
            <v>200407</v>
          </cell>
          <cell r="E2708">
            <v>3.7160000000000002</v>
          </cell>
        </row>
        <row r="2709">
          <cell r="A2709" t="str">
            <v>37487200408</v>
          </cell>
          <cell r="B2709">
            <v>37487</v>
          </cell>
          <cell r="C2709" t="str">
            <v>NG</v>
          </cell>
          <cell r="D2709" t="str">
            <v>200408</v>
          </cell>
          <cell r="E2709">
            <v>3.726</v>
          </cell>
        </row>
        <row r="2710">
          <cell r="A2710" t="str">
            <v>37487200409</v>
          </cell>
          <cell r="B2710">
            <v>37487</v>
          </cell>
          <cell r="C2710" t="str">
            <v>NG</v>
          </cell>
          <cell r="D2710" t="str">
            <v>200409</v>
          </cell>
          <cell r="E2710">
            <v>3.7210000000000001</v>
          </cell>
        </row>
        <row r="2711">
          <cell r="A2711" t="str">
            <v>37487200410</v>
          </cell>
          <cell r="B2711">
            <v>37487</v>
          </cell>
          <cell r="C2711" t="str">
            <v>NG</v>
          </cell>
          <cell r="D2711" t="str">
            <v>200410</v>
          </cell>
          <cell r="E2711">
            <v>3.7509999999999999</v>
          </cell>
        </row>
        <row r="2712">
          <cell r="A2712" t="str">
            <v>37487200411</v>
          </cell>
          <cell r="B2712">
            <v>37487</v>
          </cell>
          <cell r="C2712" t="str">
            <v>NG</v>
          </cell>
          <cell r="D2712" t="str">
            <v>200411</v>
          </cell>
          <cell r="E2712">
            <v>3.9540000000000002</v>
          </cell>
        </row>
        <row r="2713">
          <cell r="A2713" t="str">
            <v>37487200412</v>
          </cell>
          <cell r="B2713">
            <v>37487</v>
          </cell>
          <cell r="C2713" t="str">
            <v>NG</v>
          </cell>
          <cell r="D2713" t="str">
            <v>200412</v>
          </cell>
          <cell r="E2713">
            <v>4.1289999999999996</v>
          </cell>
        </row>
        <row r="2714">
          <cell r="A2714" t="str">
            <v>37488200401</v>
          </cell>
          <cell r="B2714">
            <v>37488</v>
          </cell>
          <cell r="C2714" t="str">
            <v>NG</v>
          </cell>
          <cell r="D2714" t="str">
            <v>200401</v>
          </cell>
          <cell r="E2714">
            <v>4.1230000000000002</v>
          </cell>
        </row>
        <row r="2715">
          <cell r="A2715" t="str">
            <v>37488200402</v>
          </cell>
          <cell r="B2715">
            <v>37488</v>
          </cell>
          <cell r="C2715" t="str">
            <v>NG</v>
          </cell>
          <cell r="D2715" t="str">
            <v>200402</v>
          </cell>
          <cell r="E2715">
            <v>4.01</v>
          </cell>
        </row>
        <row r="2716">
          <cell r="A2716" t="str">
            <v>37488200403</v>
          </cell>
          <cell r="B2716">
            <v>37488</v>
          </cell>
          <cell r="C2716" t="str">
            <v>NG</v>
          </cell>
          <cell r="D2716" t="str">
            <v>200403</v>
          </cell>
          <cell r="E2716">
            <v>3.83</v>
          </cell>
        </row>
        <row r="2717">
          <cell r="A2717" t="str">
            <v>37488200404</v>
          </cell>
          <cell r="B2717">
            <v>37488</v>
          </cell>
          <cell r="C2717" t="str">
            <v>NG</v>
          </cell>
          <cell r="D2717" t="str">
            <v>200404</v>
          </cell>
          <cell r="E2717">
            <v>3.63</v>
          </cell>
        </row>
        <row r="2718">
          <cell r="A2718" t="str">
            <v>37488200405</v>
          </cell>
          <cell r="B2718">
            <v>37488</v>
          </cell>
          <cell r="C2718" t="str">
            <v>NG</v>
          </cell>
          <cell r="D2718" t="str">
            <v>200405</v>
          </cell>
          <cell r="E2718">
            <v>3.605</v>
          </cell>
        </row>
        <row r="2719">
          <cell r="A2719" t="str">
            <v>37488200406</v>
          </cell>
          <cell r="B2719">
            <v>37488</v>
          </cell>
          <cell r="C2719" t="str">
            <v>NG</v>
          </cell>
          <cell r="D2719" t="str">
            <v>200406</v>
          </cell>
          <cell r="E2719">
            <v>3.6150000000000002</v>
          </cell>
        </row>
        <row r="2720">
          <cell r="A2720" t="str">
            <v>37488200407</v>
          </cell>
          <cell r="B2720">
            <v>37488</v>
          </cell>
          <cell r="C2720" t="str">
            <v>NG</v>
          </cell>
          <cell r="D2720" t="str">
            <v>200407</v>
          </cell>
          <cell r="E2720">
            <v>3.625</v>
          </cell>
        </row>
        <row r="2721">
          <cell r="A2721" t="str">
            <v>37488200408</v>
          </cell>
          <cell r="B2721">
            <v>37488</v>
          </cell>
          <cell r="C2721" t="str">
            <v>NG</v>
          </cell>
          <cell r="D2721" t="str">
            <v>200408</v>
          </cell>
          <cell r="E2721">
            <v>3.6349999999999998</v>
          </cell>
        </row>
        <row r="2722">
          <cell r="A2722" t="str">
            <v>37488200409</v>
          </cell>
          <cell r="B2722">
            <v>37488</v>
          </cell>
          <cell r="C2722" t="str">
            <v>NG</v>
          </cell>
          <cell r="D2722" t="str">
            <v>200409</v>
          </cell>
          <cell r="E2722">
            <v>3.63</v>
          </cell>
        </row>
        <row r="2723">
          <cell r="A2723" t="str">
            <v>37488200410</v>
          </cell>
          <cell r="B2723">
            <v>37488</v>
          </cell>
          <cell r="C2723" t="str">
            <v>NG</v>
          </cell>
          <cell r="D2723" t="str">
            <v>200410</v>
          </cell>
          <cell r="E2723">
            <v>3.6549999999999998</v>
          </cell>
        </row>
        <row r="2724">
          <cell r="A2724" t="str">
            <v>37488200411</v>
          </cell>
          <cell r="B2724">
            <v>37488</v>
          </cell>
          <cell r="C2724" t="str">
            <v>NG</v>
          </cell>
          <cell r="D2724" t="str">
            <v>200411</v>
          </cell>
          <cell r="E2724">
            <v>3.8580000000000001</v>
          </cell>
        </row>
        <row r="2725">
          <cell r="A2725" t="str">
            <v>37488200412</v>
          </cell>
          <cell r="B2725">
            <v>37488</v>
          </cell>
          <cell r="C2725" t="str">
            <v>NG</v>
          </cell>
          <cell r="D2725" t="str">
            <v>200412</v>
          </cell>
          <cell r="E2725">
            <v>4.0330000000000004</v>
          </cell>
        </row>
        <row r="2726">
          <cell r="A2726" t="str">
            <v>37489200401</v>
          </cell>
          <cell r="B2726">
            <v>37489</v>
          </cell>
          <cell r="C2726" t="str">
            <v>NG</v>
          </cell>
          <cell r="D2726" t="str">
            <v>200401</v>
          </cell>
          <cell r="E2726">
            <v>4.1740000000000004</v>
          </cell>
        </row>
        <row r="2727">
          <cell r="A2727" t="str">
            <v>37489200402</v>
          </cell>
          <cell r="B2727">
            <v>37489</v>
          </cell>
          <cell r="C2727" t="str">
            <v>NG</v>
          </cell>
          <cell r="D2727" t="str">
            <v>200402</v>
          </cell>
          <cell r="E2727">
            <v>4.0609999999999999</v>
          </cell>
        </row>
        <row r="2728">
          <cell r="A2728" t="str">
            <v>37489200403</v>
          </cell>
          <cell r="B2728">
            <v>37489</v>
          </cell>
          <cell r="C2728" t="str">
            <v>NG</v>
          </cell>
          <cell r="D2728" t="str">
            <v>200403</v>
          </cell>
          <cell r="E2728">
            <v>3.8809999999999998</v>
          </cell>
        </row>
        <row r="2729">
          <cell r="A2729" t="str">
            <v>37489200404</v>
          </cell>
          <cell r="B2729">
            <v>37489</v>
          </cell>
          <cell r="C2729" t="str">
            <v>NG</v>
          </cell>
          <cell r="D2729" t="str">
            <v>200404</v>
          </cell>
          <cell r="E2729">
            <v>3.681</v>
          </cell>
        </row>
        <row r="2730">
          <cell r="A2730" t="str">
            <v>37489200405</v>
          </cell>
          <cell r="B2730">
            <v>37489</v>
          </cell>
          <cell r="C2730" t="str">
            <v>NG</v>
          </cell>
          <cell r="D2730" t="str">
            <v>200405</v>
          </cell>
          <cell r="E2730">
            <v>3.661</v>
          </cell>
        </row>
        <row r="2731">
          <cell r="A2731" t="str">
            <v>37489200406</v>
          </cell>
          <cell r="B2731">
            <v>37489</v>
          </cell>
          <cell r="C2731" t="str">
            <v>NG</v>
          </cell>
          <cell r="D2731" t="str">
            <v>200406</v>
          </cell>
          <cell r="E2731">
            <v>3.673</v>
          </cell>
        </row>
        <row r="2732">
          <cell r="A2732" t="str">
            <v>37489200407</v>
          </cell>
          <cell r="B2732">
            <v>37489</v>
          </cell>
          <cell r="C2732" t="str">
            <v>NG</v>
          </cell>
          <cell r="D2732" t="str">
            <v>200407</v>
          </cell>
          <cell r="E2732">
            <v>3.6850000000000001</v>
          </cell>
        </row>
        <row r="2733">
          <cell r="A2733" t="str">
            <v>37489200408</v>
          </cell>
          <cell r="B2733">
            <v>37489</v>
          </cell>
          <cell r="C2733" t="str">
            <v>NG</v>
          </cell>
          <cell r="D2733" t="str">
            <v>200408</v>
          </cell>
          <cell r="E2733">
            <v>3.6970000000000001</v>
          </cell>
        </row>
        <row r="2734">
          <cell r="A2734" t="str">
            <v>37489200409</v>
          </cell>
          <cell r="B2734">
            <v>37489</v>
          </cell>
          <cell r="C2734" t="str">
            <v>NG</v>
          </cell>
          <cell r="D2734" t="str">
            <v>200409</v>
          </cell>
          <cell r="E2734">
            <v>3.6920000000000002</v>
          </cell>
        </row>
        <row r="2735">
          <cell r="A2735" t="str">
            <v>37489200410</v>
          </cell>
          <cell r="B2735">
            <v>37489</v>
          </cell>
          <cell r="C2735" t="str">
            <v>NG</v>
          </cell>
          <cell r="D2735" t="str">
            <v>200410</v>
          </cell>
          <cell r="E2735">
            <v>3.714</v>
          </cell>
        </row>
        <row r="2736">
          <cell r="A2736" t="str">
            <v>37489200411</v>
          </cell>
          <cell r="B2736">
            <v>37489</v>
          </cell>
          <cell r="C2736" t="str">
            <v>NG</v>
          </cell>
          <cell r="D2736" t="str">
            <v>200411</v>
          </cell>
          <cell r="E2736">
            <v>3.9039999999999999</v>
          </cell>
        </row>
        <row r="2737">
          <cell r="A2737" t="str">
            <v>37489200412</v>
          </cell>
          <cell r="B2737">
            <v>37489</v>
          </cell>
          <cell r="C2737" t="str">
            <v>NG</v>
          </cell>
          <cell r="D2737" t="str">
            <v>200412</v>
          </cell>
          <cell r="E2737">
            <v>4.0789999999999997</v>
          </cell>
        </row>
        <row r="2738">
          <cell r="A2738" t="str">
            <v>37490200401</v>
          </cell>
          <cell r="B2738">
            <v>37490</v>
          </cell>
          <cell r="C2738" t="str">
            <v>NG</v>
          </cell>
          <cell r="D2738" t="str">
            <v>200401</v>
          </cell>
          <cell r="E2738">
            <v>4.2770000000000001</v>
          </cell>
        </row>
        <row r="2739">
          <cell r="A2739" t="str">
            <v>37490200402</v>
          </cell>
          <cell r="B2739">
            <v>37490</v>
          </cell>
          <cell r="C2739" t="str">
            <v>NG</v>
          </cell>
          <cell r="D2739" t="str">
            <v>200402</v>
          </cell>
          <cell r="E2739">
            <v>4.1520000000000001</v>
          </cell>
        </row>
        <row r="2740">
          <cell r="A2740" t="str">
            <v>37490200403</v>
          </cell>
          <cell r="B2740">
            <v>37490</v>
          </cell>
          <cell r="C2740" t="str">
            <v>NG</v>
          </cell>
          <cell r="D2740" t="str">
            <v>200403</v>
          </cell>
          <cell r="E2740">
            <v>3.9590000000000001</v>
          </cell>
        </row>
        <row r="2741">
          <cell r="A2741" t="str">
            <v>37490200404</v>
          </cell>
          <cell r="B2741">
            <v>37490</v>
          </cell>
          <cell r="C2741" t="str">
            <v>NG</v>
          </cell>
          <cell r="D2741" t="str">
            <v>200404</v>
          </cell>
          <cell r="E2741">
            <v>3.734</v>
          </cell>
        </row>
        <row r="2742">
          <cell r="A2742" t="str">
            <v>37490200405</v>
          </cell>
          <cell r="B2742">
            <v>37490</v>
          </cell>
          <cell r="C2742" t="str">
            <v>NG</v>
          </cell>
          <cell r="D2742" t="str">
            <v>200405</v>
          </cell>
          <cell r="E2742">
            <v>3.7090000000000001</v>
          </cell>
        </row>
        <row r="2743">
          <cell r="A2743" t="str">
            <v>37490200406</v>
          </cell>
          <cell r="B2743">
            <v>37490</v>
          </cell>
          <cell r="C2743" t="str">
            <v>NG</v>
          </cell>
          <cell r="D2743" t="str">
            <v>200406</v>
          </cell>
          <cell r="E2743">
            <v>3.7090000000000001</v>
          </cell>
        </row>
        <row r="2744">
          <cell r="A2744" t="str">
            <v>37490200407</v>
          </cell>
          <cell r="B2744">
            <v>37490</v>
          </cell>
          <cell r="C2744" t="str">
            <v>NG</v>
          </cell>
          <cell r="D2744" t="str">
            <v>200407</v>
          </cell>
          <cell r="E2744">
            <v>3.7210000000000001</v>
          </cell>
        </row>
        <row r="2745">
          <cell r="A2745" t="str">
            <v>37490200408</v>
          </cell>
          <cell r="B2745">
            <v>37490</v>
          </cell>
          <cell r="C2745" t="str">
            <v>NG</v>
          </cell>
          <cell r="D2745" t="str">
            <v>200408</v>
          </cell>
          <cell r="E2745">
            <v>3.726</v>
          </cell>
        </row>
        <row r="2746">
          <cell r="A2746" t="str">
            <v>37490200409</v>
          </cell>
          <cell r="B2746">
            <v>37490</v>
          </cell>
          <cell r="C2746" t="str">
            <v>NG</v>
          </cell>
          <cell r="D2746" t="str">
            <v>200409</v>
          </cell>
          <cell r="E2746">
            <v>3.7160000000000002</v>
          </cell>
        </row>
        <row r="2747">
          <cell r="A2747" t="str">
            <v>37490200410</v>
          </cell>
          <cell r="B2747">
            <v>37490</v>
          </cell>
          <cell r="C2747" t="str">
            <v>NG</v>
          </cell>
          <cell r="D2747" t="str">
            <v>200410</v>
          </cell>
          <cell r="E2747">
            <v>3.738</v>
          </cell>
        </row>
        <row r="2748">
          <cell r="A2748" t="str">
            <v>37490200411</v>
          </cell>
          <cell r="B2748">
            <v>37490</v>
          </cell>
          <cell r="C2748" t="str">
            <v>NG</v>
          </cell>
          <cell r="D2748" t="str">
            <v>200411</v>
          </cell>
          <cell r="E2748">
            <v>3.9279999999999999</v>
          </cell>
        </row>
        <row r="2749">
          <cell r="A2749" t="str">
            <v>37490200412</v>
          </cell>
          <cell r="B2749">
            <v>37490</v>
          </cell>
          <cell r="C2749" t="str">
            <v>NG</v>
          </cell>
          <cell r="D2749" t="str">
            <v>200412</v>
          </cell>
          <cell r="E2749">
            <v>4.1029999999999998</v>
          </cell>
        </row>
        <row r="2750">
          <cell r="A2750" t="str">
            <v>37491200401</v>
          </cell>
          <cell r="B2750">
            <v>37491</v>
          </cell>
          <cell r="C2750" t="str">
            <v>NG</v>
          </cell>
          <cell r="D2750" t="str">
            <v>200401</v>
          </cell>
          <cell r="E2750">
            <v>4.2649999999999997</v>
          </cell>
        </row>
        <row r="2751">
          <cell r="A2751" t="str">
            <v>37491200402</v>
          </cell>
          <cell r="B2751">
            <v>37491</v>
          </cell>
          <cell r="C2751" t="str">
            <v>NG</v>
          </cell>
          <cell r="D2751" t="str">
            <v>200402</v>
          </cell>
          <cell r="E2751">
            <v>4.1449999999999996</v>
          </cell>
        </row>
        <row r="2752">
          <cell r="A2752" t="str">
            <v>37491200403</v>
          </cell>
          <cell r="B2752">
            <v>37491</v>
          </cell>
          <cell r="C2752" t="str">
            <v>NG</v>
          </cell>
          <cell r="D2752" t="str">
            <v>200403</v>
          </cell>
          <cell r="E2752">
            <v>3.9649999999999999</v>
          </cell>
        </row>
        <row r="2753">
          <cell r="A2753" t="str">
            <v>37491200404</v>
          </cell>
          <cell r="B2753">
            <v>37491</v>
          </cell>
          <cell r="C2753" t="str">
            <v>NG</v>
          </cell>
          <cell r="D2753" t="str">
            <v>200404</v>
          </cell>
          <cell r="E2753">
            <v>3.75</v>
          </cell>
        </row>
        <row r="2754">
          <cell r="A2754" t="str">
            <v>37491200405</v>
          </cell>
          <cell r="B2754">
            <v>37491</v>
          </cell>
          <cell r="C2754" t="str">
            <v>NG</v>
          </cell>
          <cell r="D2754" t="str">
            <v>200405</v>
          </cell>
          <cell r="E2754">
            <v>3.7250000000000001</v>
          </cell>
        </row>
        <row r="2755">
          <cell r="A2755" t="str">
            <v>37491200406</v>
          </cell>
          <cell r="B2755">
            <v>37491</v>
          </cell>
          <cell r="C2755" t="str">
            <v>NG</v>
          </cell>
          <cell r="D2755" t="str">
            <v>200406</v>
          </cell>
          <cell r="E2755">
            <v>3.7349999999999999</v>
          </cell>
        </row>
        <row r="2756">
          <cell r="A2756" t="str">
            <v>37491200407</v>
          </cell>
          <cell r="B2756">
            <v>37491</v>
          </cell>
          <cell r="C2756" t="str">
            <v>NG</v>
          </cell>
          <cell r="D2756" t="str">
            <v>200407</v>
          </cell>
          <cell r="E2756">
            <v>3.7469999999999999</v>
          </cell>
        </row>
        <row r="2757">
          <cell r="A2757" t="str">
            <v>37491200408</v>
          </cell>
          <cell r="B2757">
            <v>37491</v>
          </cell>
          <cell r="C2757" t="str">
            <v>NG</v>
          </cell>
          <cell r="D2757" t="str">
            <v>200408</v>
          </cell>
          <cell r="E2757">
            <v>3.7519999999999998</v>
          </cell>
        </row>
        <row r="2758">
          <cell r="A2758" t="str">
            <v>37491200409</v>
          </cell>
          <cell r="B2758">
            <v>37491</v>
          </cell>
          <cell r="C2758" t="str">
            <v>NG</v>
          </cell>
          <cell r="D2758" t="str">
            <v>200409</v>
          </cell>
          <cell r="E2758">
            <v>3.742</v>
          </cell>
        </row>
        <row r="2759">
          <cell r="A2759" t="str">
            <v>37491200410</v>
          </cell>
          <cell r="B2759">
            <v>37491</v>
          </cell>
          <cell r="C2759" t="str">
            <v>NG</v>
          </cell>
          <cell r="D2759" t="str">
            <v>200410</v>
          </cell>
          <cell r="E2759">
            <v>3.7749999999999999</v>
          </cell>
        </row>
        <row r="2760">
          <cell r="A2760" t="str">
            <v>37491200411</v>
          </cell>
          <cell r="B2760">
            <v>37491</v>
          </cell>
          <cell r="C2760" t="str">
            <v>NG</v>
          </cell>
          <cell r="D2760" t="str">
            <v>200411</v>
          </cell>
          <cell r="E2760">
            <v>3.9550000000000001</v>
          </cell>
        </row>
        <row r="2761">
          <cell r="A2761" t="str">
            <v>37491200412</v>
          </cell>
          <cell r="B2761">
            <v>37491</v>
          </cell>
          <cell r="C2761" t="str">
            <v>NG</v>
          </cell>
          <cell r="D2761" t="str">
            <v>200412</v>
          </cell>
          <cell r="E2761">
            <v>4.13</v>
          </cell>
        </row>
        <row r="2762">
          <cell r="A2762" t="str">
            <v>37492200401</v>
          </cell>
          <cell r="B2762">
            <v>37492</v>
          </cell>
          <cell r="C2762" t="str">
            <v>NG</v>
          </cell>
          <cell r="D2762" t="str">
            <v>200401</v>
          </cell>
          <cell r="E2762">
            <v>4.2649999999999997</v>
          </cell>
        </row>
        <row r="2763">
          <cell r="A2763" t="str">
            <v>37492200402</v>
          </cell>
          <cell r="B2763">
            <v>37492</v>
          </cell>
          <cell r="C2763" t="str">
            <v>NG</v>
          </cell>
          <cell r="D2763" t="str">
            <v>200402</v>
          </cell>
          <cell r="E2763">
            <v>4.1449999999999996</v>
          </cell>
        </row>
        <row r="2764">
          <cell r="A2764" t="str">
            <v>37492200403</v>
          </cell>
          <cell r="B2764">
            <v>37492</v>
          </cell>
          <cell r="C2764" t="str">
            <v>NG</v>
          </cell>
          <cell r="D2764" t="str">
            <v>200403</v>
          </cell>
          <cell r="E2764">
            <v>3.9649999999999999</v>
          </cell>
        </row>
        <row r="2765">
          <cell r="A2765" t="str">
            <v>37492200404</v>
          </cell>
          <cell r="B2765">
            <v>37492</v>
          </cell>
          <cell r="C2765" t="str">
            <v>NG</v>
          </cell>
          <cell r="D2765" t="str">
            <v>200404</v>
          </cell>
          <cell r="E2765">
            <v>3.75</v>
          </cell>
        </row>
        <row r="2766">
          <cell r="A2766" t="str">
            <v>37492200405</v>
          </cell>
          <cell r="B2766">
            <v>37492</v>
          </cell>
          <cell r="C2766" t="str">
            <v>NG</v>
          </cell>
          <cell r="D2766" t="str">
            <v>200405</v>
          </cell>
          <cell r="E2766">
            <v>3.7250000000000001</v>
          </cell>
        </row>
        <row r="2767">
          <cell r="A2767" t="str">
            <v>37492200406</v>
          </cell>
          <cell r="B2767">
            <v>37492</v>
          </cell>
          <cell r="C2767" t="str">
            <v>NG</v>
          </cell>
          <cell r="D2767" t="str">
            <v>200406</v>
          </cell>
          <cell r="E2767">
            <v>3.7349999999999999</v>
          </cell>
        </row>
        <row r="2768">
          <cell r="A2768" t="str">
            <v>37492200407</v>
          </cell>
          <cell r="B2768">
            <v>37492</v>
          </cell>
          <cell r="C2768" t="str">
            <v>NG</v>
          </cell>
          <cell r="D2768" t="str">
            <v>200407</v>
          </cell>
          <cell r="E2768">
            <v>3.7469999999999999</v>
          </cell>
        </row>
        <row r="2769">
          <cell r="A2769" t="str">
            <v>37492200408</v>
          </cell>
          <cell r="B2769">
            <v>37492</v>
          </cell>
          <cell r="C2769" t="str">
            <v>NG</v>
          </cell>
          <cell r="D2769" t="str">
            <v>200408</v>
          </cell>
          <cell r="E2769">
            <v>3.7519999999999998</v>
          </cell>
        </row>
        <row r="2770">
          <cell r="A2770" t="str">
            <v>37492200409</v>
          </cell>
          <cell r="B2770">
            <v>37492</v>
          </cell>
          <cell r="C2770" t="str">
            <v>NG</v>
          </cell>
          <cell r="D2770" t="str">
            <v>200409</v>
          </cell>
          <cell r="E2770">
            <v>3.742</v>
          </cell>
        </row>
        <row r="2771">
          <cell r="A2771" t="str">
            <v>37492200410</v>
          </cell>
          <cell r="B2771">
            <v>37492</v>
          </cell>
          <cell r="C2771" t="str">
            <v>NG</v>
          </cell>
          <cell r="D2771" t="str">
            <v>200410</v>
          </cell>
          <cell r="E2771">
            <v>3.7749999999999999</v>
          </cell>
        </row>
        <row r="2772">
          <cell r="A2772" t="str">
            <v>37492200411</v>
          </cell>
          <cell r="B2772">
            <v>37492</v>
          </cell>
          <cell r="C2772" t="str">
            <v>NG</v>
          </cell>
          <cell r="D2772" t="str">
            <v>200411</v>
          </cell>
          <cell r="E2772">
            <v>3.9550000000000001</v>
          </cell>
        </row>
        <row r="2773">
          <cell r="A2773" t="str">
            <v>37492200412</v>
          </cell>
          <cell r="B2773">
            <v>37492</v>
          </cell>
          <cell r="C2773" t="str">
            <v>NG</v>
          </cell>
          <cell r="D2773" t="str">
            <v>200412</v>
          </cell>
          <cell r="E2773">
            <v>4.13</v>
          </cell>
        </row>
        <row r="2774">
          <cell r="A2774" t="str">
            <v>37493200401</v>
          </cell>
          <cell r="B2774">
            <v>37493</v>
          </cell>
          <cell r="C2774" t="str">
            <v>NG</v>
          </cell>
          <cell r="D2774" t="str">
            <v>200401</v>
          </cell>
          <cell r="E2774">
            <v>4.2649999999999997</v>
          </cell>
        </row>
        <row r="2775">
          <cell r="A2775" t="str">
            <v>37493200402</v>
          </cell>
          <cell r="B2775">
            <v>37493</v>
          </cell>
          <cell r="C2775" t="str">
            <v>NG</v>
          </cell>
          <cell r="D2775" t="str">
            <v>200402</v>
          </cell>
          <cell r="E2775">
            <v>4.1449999999999996</v>
          </cell>
        </row>
        <row r="2776">
          <cell r="A2776" t="str">
            <v>37493200403</v>
          </cell>
          <cell r="B2776">
            <v>37493</v>
          </cell>
          <cell r="C2776" t="str">
            <v>NG</v>
          </cell>
          <cell r="D2776" t="str">
            <v>200403</v>
          </cell>
          <cell r="E2776">
            <v>3.9649999999999999</v>
          </cell>
        </row>
        <row r="2777">
          <cell r="A2777" t="str">
            <v>37493200404</v>
          </cell>
          <cell r="B2777">
            <v>37493</v>
          </cell>
          <cell r="C2777" t="str">
            <v>NG</v>
          </cell>
          <cell r="D2777" t="str">
            <v>200404</v>
          </cell>
          <cell r="E2777">
            <v>3.75</v>
          </cell>
        </row>
        <row r="2778">
          <cell r="A2778" t="str">
            <v>37493200405</v>
          </cell>
          <cell r="B2778">
            <v>37493</v>
          </cell>
          <cell r="C2778" t="str">
            <v>NG</v>
          </cell>
          <cell r="D2778" t="str">
            <v>200405</v>
          </cell>
          <cell r="E2778">
            <v>3.7250000000000001</v>
          </cell>
        </row>
        <row r="2779">
          <cell r="A2779" t="str">
            <v>37493200406</v>
          </cell>
          <cell r="B2779">
            <v>37493</v>
          </cell>
          <cell r="C2779" t="str">
            <v>NG</v>
          </cell>
          <cell r="D2779" t="str">
            <v>200406</v>
          </cell>
          <cell r="E2779">
            <v>3.7349999999999999</v>
          </cell>
        </row>
        <row r="2780">
          <cell r="A2780" t="str">
            <v>37493200407</v>
          </cell>
          <cell r="B2780">
            <v>37493</v>
          </cell>
          <cell r="C2780" t="str">
            <v>NG</v>
          </cell>
          <cell r="D2780" t="str">
            <v>200407</v>
          </cell>
          <cell r="E2780">
            <v>3.7469999999999999</v>
          </cell>
        </row>
        <row r="2781">
          <cell r="A2781" t="str">
            <v>37493200408</v>
          </cell>
          <cell r="B2781">
            <v>37493</v>
          </cell>
          <cell r="C2781" t="str">
            <v>NG</v>
          </cell>
          <cell r="D2781" t="str">
            <v>200408</v>
          </cell>
          <cell r="E2781">
            <v>3.7519999999999998</v>
          </cell>
        </row>
        <row r="2782">
          <cell r="A2782" t="str">
            <v>37493200409</v>
          </cell>
          <cell r="B2782">
            <v>37493</v>
          </cell>
          <cell r="C2782" t="str">
            <v>NG</v>
          </cell>
          <cell r="D2782" t="str">
            <v>200409</v>
          </cell>
          <cell r="E2782">
            <v>3.742</v>
          </cell>
        </row>
        <row r="2783">
          <cell r="A2783" t="str">
            <v>37493200410</v>
          </cell>
          <cell r="B2783">
            <v>37493</v>
          </cell>
          <cell r="C2783" t="str">
            <v>NG</v>
          </cell>
          <cell r="D2783" t="str">
            <v>200410</v>
          </cell>
          <cell r="E2783">
            <v>3.7749999999999999</v>
          </cell>
        </row>
        <row r="2784">
          <cell r="A2784" t="str">
            <v>37493200411</v>
          </cell>
          <cell r="B2784">
            <v>37493</v>
          </cell>
          <cell r="C2784" t="str">
            <v>NG</v>
          </cell>
          <cell r="D2784" t="str">
            <v>200411</v>
          </cell>
          <cell r="E2784">
            <v>3.9550000000000001</v>
          </cell>
        </row>
        <row r="2785">
          <cell r="A2785" t="str">
            <v>37493200412</v>
          </cell>
          <cell r="B2785">
            <v>37493</v>
          </cell>
          <cell r="C2785" t="str">
            <v>NG</v>
          </cell>
          <cell r="D2785" t="str">
            <v>200412</v>
          </cell>
          <cell r="E2785">
            <v>4.13</v>
          </cell>
        </row>
        <row r="2786">
          <cell r="A2786" t="str">
            <v>37494200401</v>
          </cell>
          <cell r="B2786">
            <v>37494</v>
          </cell>
          <cell r="C2786" t="str">
            <v>NG</v>
          </cell>
          <cell r="D2786" t="str">
            <v>200401</v>
          </cell>
          <cell r="E2786">
            <v>4.3810000000000002</v>
          </cell>
        </row>
        <row r="2787">
          <cell r="A2787" t="str">
            <v>37494200402</v>
          </cell>
          <cell r="B2787">
            <v>37494</v>
          </cell>
          <cell r="C2787" t="str">
            <v>NG</v>
          </cell>
          <cell r="D2787" t="str">
            <v>200402</v>
          </cell>
          <cell r="E2787">
            <v>4.2610000000000001</v>
          </cell>
        </row>
        <row r="2788">
          <cell r="A2788" t="str">
            <v>37494200403</v>
          </cell>
          <cell r="B2788">
            <v>37494</v>
          </cell>
          <cell r="C2788" t="str">
            <v>NG</v>
          </cell>
          <cell r="D2788" t="str">
            <v>200403</v>
          </cell>
          <cell r="E2788">
            <v>4.0810000000000004</v>
          </cell>
        </row>
        <row r="2789">
          <cell r="A2789" t="str">
            <v>37494200404</v>
          </cell>
          <cell r="B2789">
            <v>37494</v>
          </cell>
          <cell r="C2789" t="str">
            <v>NG</v>
          </cell>
          <cell r="D2789" t="str">
            <v>200404</v>
          </cell>
          <cell r="E2789">
            <v>3.8559999999999999</v>
          </cell>
        </row>
        <row r="2790">
          <cell r="A2790" t="str">
            <v>37494200405</v>
          </cell>
          <cell r="B2790">
            <v>37494</v>
          </cell>
          <cell r="C2790" t="str">
            <v>NG</v>
          </cell>
          <cell r="D2790" t="str">
            <v>200405</v>
          </cell>
          <cell r="E2790">
            <v>3.831</v>
          </cell>
        </row>
        <row r="2791">
          <cell r="A2791" t="str">
            <v>37494200406</v>
          </cell>
          <cell r="B2791">
            <v>37494</v>
          </cell>
          <cell r="C2791" t="str">
            <v>NG</v>
          </cell>
          <cell r="D2791" t="str">
            <v>200406</v>
          </cell>
          <cell r="E2791">
            <v>3.8410000000000002</v>
          </cell>
        </row>
        <row r="2792">
          <cell r="A2792" t="str">
            <v>37494200407</v>
          </cell>
          <cell r="B2792">
            <v>37494</v>
          </cell>
          <cell r="C2792" t="str">
            <v>NG</v>
          </cell>
          <cell r="D2792" t="str">
            <v>200407</v>
          </cell>
          <cell r="E2792">
            <v>3.8559999999999999</v>
          </cell>
        </row>
        <row r="2793">
          <cell r="A2793" t="str">
            <v>37494200408</v>
          </cell>
          <cell r="B2793">
            <v>37494</v>
          </cell>
          <cell r="C2793" t="str">
            <v>NG</v>
          </cell>
          <cell r="D2793" t="str">
            <v>200408</v>
          </cell>
          <cell r="E2793">
            <v>3.8610000000000002</v>
          </cell>
        </row>
        <row r="2794">
          <cell r="A2794" t="str">
            <v>37494200409</v>
          </cell>
          <cell r="B2794">
            <v>37494</v>
          </cell>
          <cell r="C2794" t="str">
            <v>NG</v>
          </cell>
          <cell r="D2794" t="str">
            <v>200409</v>
          </cell>
          <cell r="E2794">
            <v>3.851</v>
          </cell>
        </row>
        <row r="2795">
          <cell r="A2795" t="str">
            <v>37494200410</v>
          </cell>
          <cell r="B2795">
            <v>37494</v>
          </cell>
          <cell r="C2795" t="str">
            <v>NG</v>
          </cell>
          <cell r="D2795" t="str">
            <v>200410</v>
          </cell>
          <cell r="E2795">
            <v>3.8839999999999999</v>
          </cell>
        </row>
        <row r="2796">
          <cell r="A2796" t="str">
            <v>37494200411</v>
          </cell>
          <cell r="B2796">
            <v>37494</v>
          </cell>
          <cell r="C2796" t="str">
            <v>NG</v>
          </cell>
          <cell r="D2796" t="str">
            <v>200411</v>
          </cell>
          <cell r="E2796">
            <v>4.0640000000000001</v>
          </cell>
        </row>
        <row r="2797">
          <cell r="A2797" t="str">
            <v>37494200412</v>
          </cell>
          <cell r="B2797">
            <v>37494</v>
          </cell>
          <cell r="C2797" t="str">
            <v>NG</v>
          </cell>
          <cell r="D2797" t="str">
            <v>200412</v>
          </cell>
          <cell r="E2797">
            <v>4.2389999999999999</v>
          </cell>
        </row>
        <row r="2798">
          <cell r="A2798" t="str">
            <v>37495200401</v>
          </cell>
          <cell r="B2798">
            <v>37495</v>
          </cell>
          <cell r="C2798" t="str">
            <v>NG</v>
          </cell>
          <cell r="D2798" t="str">
            <v>200401</v>
          </cell>
          <cell r="E2798">
            <v>4.2910000000000004</v>
          </cell>
        </row>
        <row r="2799">
          <cell r="A2799" t="str">
            <v>37495200402</v>
          </cell>
          <cell r="B2799">
            <v>37495</v>
          </cell>
          <cell r="C2799" t="str">
            <v>NG</v>
          </cell>
          <cell r="D2799" t="str">
            <v>200402</v>
          </cell>
          <cell r="E2799">
            <v>4.1760000000000002</v>
          </cell>
        </row>
        <row r="2800">
          <cell r="A2800" t="str">
            <v>37495200403</v>
          </cell>
          <cell r="B2800">
            <v>37495</v>
          </cell>
          <cell r="C2800" t="str">
            <v>NG</v>
          </cell>
          <cell r="D2800" t="str">
            <v>200403</v>
          </cell>
          <cell r="E2800">
            <v>4.0060000000000002</v>
          </cell>
        </row>
        <row r="2801">
          <cell r="A2801" t="str">
            <v>37495200404</v>
          </cell>
          <cell r="B2801">
            <v>37495</v>
          </cell>
          <cell r="C2801" t="str">
            <v>NG</v>
          </cell>
          <cell r="D2801" t="str">
            <v>200404</v>
          </cell>
          <cell r="E2801">
            <v>3.786</v>
          </cell>
        </row>
        <row r="2802">
          <cell r="A2802" t="str">
            <v>37495200405</v>
          </cell>
          <cell r="B2802">
            <v>37495</v>
          </cell>
          <cell r="C2802" t="str">
            <v>NG</v>
          </cell>
          <cell r="D2802" t="str">
            <v>200405</v>
          </cell>
          <cell r="E2802">
            <v>3.7610000000000001</v>
          </cell>
        </row>
        <row r="2803">
          <cell r="A2803" t="str">
            <v>37495200406</v>
          </cell>
          <cell r="B2803">
            <v>37495</v>
          </cell>
          <cell r="C2803" t="str">
            <v>NG</v>
          </cell>
          <cell r="D2803" t="str">
            <v>200406</v>
          </cell>
          <cell r="E2803">
            <v>3.7759999999999998</v>
          </cell>
        </row>
        <row r="2804">
          <cell r="A2804" t="str">
            <v>37495200407</v>
          </cell>
          <cell r="B2804">
            <v>37495</v>
          </cell>
          <cell r="C2804" t="str">
            <v>NG</v>
          </cell>
          <cell r="D2804" t="str">
            <v>200407</v>
          </cell>
          <cell r="E2804">
            <v>3.7909999999999999</v>
          </cell>
        </row>
        <row r="2805">
          <cell r="A2805" t="str">
            <v>37495200408</v>
          </cell>
          <cell r="B2805">
            <v>37495</v>
          </cell>
          <cell r="C2805" t="str">
            <v>NG</v>
          </cell>
          <cell r="D2805" t="str">
            <v>200408</v>
          </cell>
          <cell r="E2805">
            <v>3.8010000000000002</v>
          </cell>
        </row>
        <row r="2806">
          <cell r="A2806" t="str">
            <v>37495200409</v>
          </cell>
          <cell r="B2806">
            <v>37495</v>
          </cell>
          <cell r="C2806" t="str">
            <v>NG</v>
          </cell>
          <cell r="D2806" t="str">
            <v>200409</v>
          </cell>
          <cell r="E2806">
            <v>3.7909999999999999</v>
          </cell>
        </row>
        <row r="2807">
          <cell r="A2807" t="str">
            <v>37495200410</v>
          </cell>
          <cell r="B2807">
            <v>37495</v>
          </cell>
          <cell r="C2807" t="str">
            <v>NG</v>
          </cell>
          <cell r="D2807" t="str">
            <v>200410</v>
          </cell>
          <cell r="E2807">
            <v>3.8210000000000002</v>
          </cell>
        </row>
        <row r="2808">
          <cell r="A2808" t="str">
            <v>37495200411</v>
          </cell>
          <cell r="B2808">
            <v>37495</v>
          </cell>
          <cell r="C2808" t="str">
            <v>NG</v>
          </cell>
          <cell r="D2808" t="str">
            <v>200411</v>
          </cell>
          <cell r="E2808">
            <v>4.0010000000000003</v>
          </cell>
        </row>
        <row r="2809">
          <cell r="A2809" t="str">
            <v>37495200412</v>
          </cell>
          <cell r="B2809">
            <v>37495</v>
          </cell>
          <cell r="C2809" t="str">
            <v>NG</v>
          </cell>
          <cell r="D2809" t="str">
            <v>200412</v>
          </cell>
          <cell r="E2809">
            <v>4.1710000000000003</v>
          </cell>
        </row>
        <row r="2810">
          <cell r="A2810" t="str">
            <v>37496200401</v>
          </cell>
          <cell r="B2810">
            <v>37496</v>
          </cell>
          <cell r="C2810" t="str">
            <v>NG</v>
          </cell>
          <cell r="D2810" t="str">
            <v>200401</v>
          </cell>
          <cell r="E2810">
            <v>4.2329999999999997</v>
          </cell>
        </row>
        <row r="2811">
          <cell r="A2811" t="str">
            <v>37496200402</v>
          </cell>
          <cell r="B2811">
            <v>37496</v>
          </cell>
          <cell r="C2811" t="str">
            <v>NG</v>
          </cell>
          <cell r="D2811" t="str">
            <v>200402</v>
          </cell>
          <cell r="E2811">
            <v>4.1180000000000003</v>
          </cell>
        </row>
        <row r="2812">
          <cell r="A2812" t="str">
            <v>37496200403</v>
          </cell>
          <cell r="B2812">
            <v>37496</v>
          </cell>
          <cell r="C2812" t="str">
            <v>NG</v>
          </cell>
          <cell r="D2812" t="str">
            <v>200403</v>
          </cell>
          <cell r="E2812">
            <v>3.948</v>
          </cell>
        </row>
        <row r="2813">
          <cell r="A2813" t="str">
            <v>37496200404</v>
          </cell>
          <cell r="B2813">
            <v>37496</v>
          </cell>
          <cell r="C2813" t="str">
            <v>NG</v>
          </cell>
          <cell r="D2813" t="str">
            <v>200404</v>
          </cell>
          <cell r="E2813">
            <v>3.7280000000000002</v>
          </cell>
        </row>
        <row r="2814">
          <cell r="A2814" t="str">
            <v>37496200405</v>
          </cell>
          <cell r="B2814">
            <v>37496</v>
          </cell>
          <cell r="C2814" t="str">
            <v>NG</v>
          </cell>
          <cell r="D2814" t="str">
            <v>200405</v>
          </cell>
          <cell r="E2814">
            <v>3.7029999999999998</v>
          </cell>
        </row>
        <row r="2815">
          <cell r="A2815" t="str">
            <v>37496200406</v>
          </cell>
          <cell r="B2815">
            <v>37496</v>
          </cell>
          <cell r="C2815" t="str">
            <v>NG</v>
          </cell>
          <cell r="D2815" t="str">
            <v>200406</v>
          </cell>
          <cell r="E2815">
            <v>3.7280000000000002</v>
          </cell>
        </row>
        <row r="2816">
          <cell r="A2816" t="str">
            <v>37496200407</v>
          </cell>
          <cell r="B2816">
            <v>37496</v>
          </cell>
          <cell r="C2816" t="str">
            <v>NG</v>
          </cell>
          <cell r="D2816" t="str">
            <v>200407</v>
          </cell>
          <cell r="E2816">
            <v>3.7429999999999999</v>
          </cell>
        </row>
        <row r="2817">
          <cell r="A2817" t="str">
            <v>37496200408</v>
          </cell>
          <cell r="B2817">
            <v>37496</v>
          </cell>
          <cell r="C2817" t="str">
            <v>NG</v>
          </cell>
          <cell r="D2817" t="str">
            <v>200408</v>
          </cell>
          <cell r="E2817">
            <v>3.7530000000000001</v>
          </cell>
        </row>
        <row r="2818">
          <cell r="A2818" t="str">
            <v>37496200409</v>
          </cell>
          <cell r="B2818">
            <v>37496</v>
          </cell>
          <cell r="C2818" t="str">
            <v>NG</v>
          </cell>
          <cell r="D2818" t="str">
            <v>200409</v>
          </cell>
          <cell r="E2818">
            <v>3.7530000000000001</v>
          </cell>
        </row>
        <row r="2819">
          <cell r="A2819" t="str">
            <v>37496200410</v>
          </cell>
          <cell r="B2819">
            <v>37496</v>
          </cell>
          <cell r="C2819" t="str">
            <v>NG</v>
          </cell>
          <cell r="D2819" t="str">
            <v>200410</v>
          </cell>
          <cell r="E2819">
            <v>3.7829999999999999</v>
          </cell>
        </row>
        <row r="2820">
          <cell r="A2820" t="str">
            <v>37496200411</v>
          </cell>
          <cell r="B2820">
            <v>37496</v>
          </cell>
          <cell r="C2820" t="str">
            <v>NG</v>
          </cell>
          <cell r="D2820" t="str">
            <v>200411</v>
          </cell>
          <cell r="E2820">
            <v>3.9630000000000001</v>
          </cell>
        </row>
        <row r="2821">
          <cell r="A2821" t="str">
            <v>37496200412</v>
          </cell>
          <cell r="B2821">
            <v>37496</v>
          </cell>
          <cell r="C2821" t="str">
            <v>NG</v>
          </cell>
          <cell r="D2821" t="str">
            <v>200412</v>
          </cell>
          <cell r="E2821">
            <v>4.133</v>
          </cell>
        </row>
        <row r="2822">
          <cell r="A2822" t="str">
            <v>37497200401</v>
          </cell>
          <cell r="B2822">
            <v>37497</v>
          </cell>
          <cell r="C2822" t="str">
            <v>NG</v>
          </cell>
          <cell r="D2822" t="str">
            <v>200401</v>
          </cell>
          <cell r="E2822">
            <v>4.1829999999999998</v>
          </cell>
        </row>
        <row r="2823">
          <cell r="A2823" t="str">
            <v>37497200402</v>
          </cell>
          <cell r="B2823">
            <v>37497</v>
          </cell>
          <cell r="C2823" t="str">
            <v>NG</v>
          </cell>
          <cell r="D2823" t="str">
            <v>200402</v>
          </cell>
          <cell r="E2823">
            <v>4.0750000000000002</v>
          </cell>
        </row>
        <row r="2824">
          <cell r="A2824" t="str">
            <v>37497200403</v>
          </cell>
          <cell r="B2824">
            <v>37497</v>
          </cell>
          <cell r="C2824" t="str">
            <v>NG</v>
          </cell>
          <cell r="D2824" t="str">
            <v>200403</v>
          </cell>
          <cell r="E2824">
            <v>3.91</v>
          </cell>
        </row>
        <row r="2825">
          <cell r="A2825" t="str">
            <v>37497200404</v>
          </cell>
          <cell r="B2825">
            <v>37497</v>
          </cell>
          <cell r="C2825" t="str">
            <v>NG</v>
          </cell>
          <cell r="D2825" t="str">
            <v>200404</v>
          </cell>
          <cell r="E2825">
            <v>3.6949999999999998</v>
          </cell>
        </row>
        <row r="2826">
          <cell r="A2826" t="str">
            <v>37497200405</v>
          </cell>
          <cell r="B2826">
            <v>37497</v>
          </cell>
          <cell r="C2826" t="str">
            <v>NG</v>
          </cell>
          <cell r="D2826" t="str">
            <v>200405</v>
          </cell>
          <cell r="E2826">
            <v>3.673</v>
          </cell>
        </row>
        <row r="2827">
          <cell r="A2827" t="str">
            <v>37497200406</v>
          </cell>
          <cell r="B2827">
            <v>37497</v>
          </cell>
          <cell r="C2827" t="str">
            <v>NG</v>
          </cell>
          <cell r="D2827" t="str">
            <v>200406</v>
          </cell>
          <cell r="E2827">
            <v>3.698</v>
          </cell>
        </row>
        <row r="2828">
          <cell r="A2828" t="str">
            <v>37497200407</v>
          </cell>
          <cell r="B2828">
            <v>37497</v>
          </cell>
          <cell r="C2828" t="str">
            <v>NG</v>
          </cell>
          <cell r="D2828" t="str">
            <v>200407</v>
          </cell>
          <cell r="E2828">
            <v>3.7130000000000001</v>
          </cell>
        </row>
        <row r="2829">
          <cell r="A2829" t="str">
            <v>37497200408</v>
          </cell>
          <cell r="B2829">
            <v>37497</v>
          </cell>
          <cell r="C2829" t="str">
            <v>NG</v>
          </cell>
          <cell r="D2829" t="str">
            <v>200408</v>
          </cell>
          <cell r="E2829">
            <v>3.7229999999999999</v>
          </cell>
        </row>
        <row r="2830">
          <cell r="A2830" t="str">
            <v>37497200409</v>
          </cell>
          <cell r="B2830">
            <v>37497</v>
          </cell>
          <cell r="C2830" t="str">
            <v>NG</v>
          </cell>
          <cell r="D2830" t="str">
            <v>200409</v>
          </cell>
          <cell r="E2830">
            <v>3.7229999999999999</v>
          </cell>
        </row>
        <row r="2831">
          <cell r="A2831" t="str">
            <v>37497200410</v>
          </cell>
          <cell r="B2831">
            <v>37497</v>
          </cell>
          <cell r="C2831" t="str">
            <v>NG</v>
          </cell>
          <cell r="D2831" t="str">
            <v>200410</v>
          </cell>
          <cell r="E2831">
            <v>3.7530000000000001</v>
          </cell>
        </row>
        <row r="2832">
          <cell r="A2832" t="str">
            <v>37497200411</v>
          </cell>
          <cell r="B2832">
            <v>37497</v>
          </cell>
          <cell r="C2832" t="str">
            <v>NG</v>
          </cell>
          <cell r="D2832" t="str">
            <v>200411</v>
          </cell>
          <cell r="E2832">
            <v>3.9329999999999998</v>
          </cell>
        </row>
        <row r="2833">
          <cell r="A2833" t="str">
            <v>37497200412</v>
          </cell>
          <cell r="B2833">
            <v>37497</v>
          </cell>
          <cell r="C2833" t="str">
            <v>NG</v>
          </cell>
          <cell r="D2833" t="str">
            <v>200412</v>
          </cell>
          <cell r="E2833">
            <v>4.1029999999999998</v>
          </cell>
        </row>
        <row r="2834">
          <cell r="A2834" t="str">
            <v>37498200401</v>
          </cell>
          <cell r="B2834">
            <v>37498</v>
          </cell>
          <cell r="C2834" t="str">
            <v>NG</v>
          </cell>
          <cell r="D2834" t="str">
            <v>200401</v>
          </cell>
          <cell r="E2834">
            <v>4.2619999999999996</v>
          </cell>
        </row>
        <row r="2835">
          <cell r="A2835" t="str">
            <v>37498200402</v>
          </cell>
          <cell r="B2835">
            <v>37498</v>
          </cell>
          <cell r="C2835" t="str">
            <v>NG</v>
          </cell>
          <cell r="D2835" t="str">
            <v>200402</v>
          </cell>
          <cell r="E2835">
            <v>4.1539999999999999</v>
          </cell>
        </row>
        <row r="2836">
          <cell r="A2836" t="str">
            <v>37498200403</v>
          </cell>
          <cell r="B2836">
            <v>37498</v>
          </cell>
          <cell r="C2836" t="str">
            <v>NG</v>
          </cell>
          <cell r="D2836" t="str">
            <v>200403</v>
          </cell>
          <cell r="E2836">
            <v>3.9889999999999999</v>
          </cell>
        </row>
        <row r="2837">
          <cell r="A2837" t="str">
            <v>37498200404</v>
          </cell>
          <cell r="B2837">
            <v>37498</v>
          </cell>
          <cell r="C2837" t="str">
            <v>NG</v>
          </cell>
          <cell r="D2837" t="str">
            <v>200404</v>
          </cell>
          <cell r="E2837">
            <v>3.774</v>
          </cell>
        </row>
        <row r="2838">
          <cell r="A2838" t="str">
            <v>37498200405</v>
          </cell>
          <cell r="B2838">
            <v>37498</v>
          </cell>
          <cell r="C2838" t="str">
            <v>NG</v>
          </cell>
          <cell r="D2838" t="str">
            <v>200405</v>
          </cell>
          <cell r="E2838">
            <v>3.7519999999999998</v>
          </cell>
        </row>
        <row r="2839">
          <cell r="A2839" t="str">
            <v>37498200406</v>
          </cell>
          <cell r="B2839">
            <v>37498</v>
          </cell>
          <cell r="C2839" t="str">
            <v>NG</v>
          </cell>
          <cell r="D2839" t="str">
            <v>200406</v>
          </cell>
          <cell r="E2839">
            <v>3.7770000000000001</v>
          </cell>
        </row>
        <row r="2840">
          <cell r="A2840" t="str">
            <v>37498200407</v>
          </cell>
          <cell r="B2840">
            <v>37498</v>
          </cell>
          <cell r="C2840" t="str">
            <v>NG</v>
          </cell>
          <cell r="D2840" t="str">
            <v>200407</v>
          </cell>
          <cell r="E2840">
            <v>3.782</v>
          </cell>
        </row>
        <row r="2841">
          <cell r="A2841" t="str">
            <v>37498200408</v>
          </cell>
          <cell r="B2841">
            <v>37498</v>
          </cell>
          <cell r="C2841" t="str">
            <v>NG</v>
          </cell>
          <cell r="D2841" t="str">
            <v>200408</v>
          </cell>
          <cell r="E2841">
            <v>3.7949999999999999</v>
          </cell>
        </row>
        <row r="2842">
          <cell r="A2842" t="str">
            <v>37498200409</v>
          </cell>
          <cell r="B2842">
            <v>37498</v>
          </cell>
          <cell r="C2842" t="str">
            <v>NG</v>
          </cell>
          <cell r="D2842" t="str">
            <v>200409</v>
          </cell>
          <cell r="E2842">
            <v>3.7949999999999999</v>
          </cell>
        </row>
        <row r="2843">
          <cell r="A2843" t="str">
            <v>37498200410</v>
          </cell>
          <cell r="B2843">
            <v>37498</v>
          </cell>
          <cell r="C2843" t="str">
            <v>NG</v>
          </cell>
          <cell r="D2843" t="str">
            <v>200410</v>
          </cell>
          <cell r="E2843">
            <v>3.8250000000000002</v>
          </cell>
        </row>
        <row r="2844">
          <cell r="A2844" t="str">
            <v>37498200411</v>
          </cell>
          <cell r="B2844">
            <v>37498</v>
          </cell>
          <cell r="C2844" t="str">
            <v>NG</v>
          </cell>
          <cell r="D2844" t="str">
            <v>200411</v>
          </cell>
          <cell r="E2844">
            <v>4.0049999999999999</v>
          </cell>
        </row>
        <row r="2845">
          <cell r="A2845" t="str">
            <v>37498200412</v>
          </cell>
          <cell r="B2845">
            <v>37498</v>
          </cell>
          <cell r="C2845" t="str">
            <v>NG</v>
          </cell>
          <cell r="D2845" t="str">
            <v>200412</v>
          </cell>
          <cell r="E2845">
            <v>4.1749999999999998</v>
          </cell>
        </row>
        <row r="2846">
          <cell r="A2846" t="str">
            <v>37499200401</v>
          </cell>
          <cell r="B2846">
            <v>37499</v>
          </cell>
          <cell r="C2846" t="str">
            <v>NG</v>
          </cell>
          <cell r="D2846" t="str">
            <v>200401</v>
          </cell>
          <cell r="E2846">
            <v>4.2619999999999996</v>
          </cell>
        </row>
        <row r="2847">
          <cell r="A2847" t="str">
            <v>37499200402</v>
          </cell>
          <cell r="B2847">
            <v>37499</v>
          </cell>
          <cell r="C2847" t="str">
            <v>NG</v>
          </cell>
          <cell r="D2847" t="str">
            <v>200402</v>
          </cell>
          <cell r="E2847">
            <v>4.1539999999999999</v>
          </cell>
        </row>
        <row r="2848">
          <cell r="A2848" t="str">
            <v>37499200403</v>
          </cell>
          <cell r="B2848">
            <v>37499</v>
          </cell>
          <cell r="C2848" t="str">
            <v>NG</v>
          </cell>
          <cell r="D2848" t="str">
            <v>200403</v>
          </cell>
          <cell r="E2848">
            <v>3.9889999999999999</v>
          </cell>
        </row>
        <row r="2849">
          <cell r="A2849" t="str">
            <v>37499200404</v>
          </cell>
          <cell r="B2849">
            <v>37499</v>
          </cell>
          <cell r="C2849" t="str">
            <v>NG</v>
          </cell>
          <cell r="D2849" t="str">
            <v>200404</v>
          </cell>
          <cell r="E2849">
            <v>3.774</v>
          </cell>
        </row>
        <row r="2850">
          <cell r="A2850" t="str">
            <v>37499200405</v>
          </cell>
          <cell r="B2850">
            <v>37499</v>
          </cell>
          <cell r="C2850" t="str">
            <v>NG</v>
          </cell>
          <cell r="D2850" t="str">
            <v>200405</v>
          </cell>
          <cell r="E2850">
            <v>3.7519999999999998</v>
          </cell>
        </row>
        <row r="2851">
          <cell r="A2851" t="str">
            <v>37499200406</v>
          </cell>
          <cell r="B2851">
            <v>37499</v>
          </cell>
          <cell r="C2851" t="str">
            <v>NG</v>
          </cell>
          <cell r="D2851" t="str">
            <v>200406</v>
          </cell>
          <cell r="E2851">
            <v>3.7770000000000001</v>
          </cell>
        </row>
        <row r="2852">
          <cell r="A2852" t="str">
            <v>37499200407</v>
          </cell>
          <cell r="B2852">
            <v>37499</v>
          </cell>
          <cell r="C2852" t="str">
            <v>NG</v>
          </cell>
          <cell r="D2852" t="str">
            <v>200407</v>
          </cell>
          <cell r="E2852">
            <v>3.782</v>
          </cell>
        </row>
        <row r="2853">
          <cell r="A2853" t="str">
            <v>37499200408</v>
          </cell>
          <cell r="B2853">
            <v>37499</v>
          </cell>
          <cell r="C2853" t="str">
            <v>NG</v>
          </cell>
          <cell r="D2853" t="str">
            <v>200408</v>
          </cell>
          <cell r="E2853">
            <v>3.7949999999999999</v>
          </cell>
        </row>
        <row r="2854">
          <cell r="A2854" t="str">
            <v>37499200409</v>
          </cell>
          <cell r="B2854">
            <v>37499</v>
          </cell>
          <cell r="C2854" t="str">
            <v>NG</v>
          </cell>
          <cell r="D2854" t="str">
            <v>200409</v>
          </cell>
          <cell r="E2854">
            <v>3.7949999999999999</v>
          </cell>
        </row>
        <row r="2855">
          <cell r="A2855" t="str">
            <v>37499200410</v>
          </cell>
          <cell r="B2855">
            <v>37499</v>
          </cell>
          <cell r="C2855" t="str">
            <v>NG</v>
          </cell>
          <cell r="D2855" t="str">
            <v>200410</v>
          </cell>
          <cell r="E2855">
            <v>3.8250000000000002</v>
          </cell>
        </row>
        <row r="2856">
          <cell r="A2856" t="str">
            <v>37499200411</v>
          </cell>
          <cell r="B2856">
            <v>37499</v>
          </cell>
          <cell r="C2856" t="str">
            <v>NG</v>
          </cell>
          <cell r="D2856" t="str">
            <v>200411</v>
          </cell>
          <cell r="E2856">
            <v>4.0049999999999999</v>
          </cell>
        </row>
        <row r="2857">
          <cell r="A2857" t="str">
            <v>37499200412</v>
          </cell>
          <cell r="B2857">
            <v>37499</v>
          </cell>
          <cell r="C2857" t="str">
            <v>NG</v>
          </cell>
          <cell r="D2857" t="str">
            <v>200412</v>
          </cell>
          <cell r="E2857">
            <v>4.1749999999999998</v>
          </cell>
        </row>
        <row r="2858">
          <cell r="A2858" t="str">
            <v>37500200401</v>
          </cell>
          <cell r="B2858">
            <v>37500</v>
          </cell>
          <cell r="C2858" t="str">
            <v>NG</v>
          </cell>
          <cell r="D2858" t="str">
            <v>200401</v>
          </cell>
          <cell r="E2858">
            <v>4.2619999999999996</v>
          </cell>
        </row>
        <row r="2859">
          <cell r="A2859" t="str">
            <v>37500200402</v>
          </cell>
          <cell r="B2859">
            <v>37500</v>
          </cell>
          <cell r="C2859" t="str">
            <v>NG</v>
          </cell>
          <cell r="D2859" t="str">
            <v>200402</v>
          </cell>
          <cell r="E2859">
            <v>4.1539999999999999</v>
          </cell>
        </row>
        <row r="2860">
          <cell r="A2860" t="str">
            <v>37500200403</v>
          </cell>
          <cell r="B2860">
            <v>37500</v>
          </cell>
          <cell r="C2860" t="str">
            <v>NG</v>
          </cell>
          <cell r="D2860" t="str">
            <v>200403</v>
          </cell>
          <cell r="E2860">
            <v>3.9889999999999999</v>
          </cell>
        </row>
        <row r="2861">
          <cell r="A2861" t="str">
            <v>37500200404</v>
          </cell>
          <cell r="B2861">
            <v>37500</v>
          </cell>
          <cell r="C2861" t="str">
            <v>NG</v>
          </cell>
          <cell r="D2861" t="str">
            <v>200404</v>
          </cell>
          <cell r="E2861">
            <v>3.774</v>
          </cell>
        </row>
        <row r="2862">
          <cell r="A2862" t="str">
            <v>37500200405</v>
          </cell>
          <cell r="B2862">
            <v>37500</v>
          </cell>
          <cell r="C2862" t="str">
            <v>NG</v>
          </cell>
          <cell r="D2862" t="str">
            <v>200405</v>
          </cell>
          <cell r="E2862">
            <v>3.7519999999999998</v>
          </cell>
        </row>
        <row r="2863">
          <cell r="A2863" t="str">
            <v>37500200406</v>
          </cell>
          <cell r="B2863">
            <v>37500</v>
          </cell>
          <cell r="C2863" t="str">
            <v>NG</v>
          </cell>
          <cell r="D2863" t="str">
            <v>200406</v>
          </cell>
          <cell r="E2863">
            <v>3.7770000000000001</v>
          </cell>
        </row>
        <row r="2864">
          <cell r="A2864" t="str">
            <v>37500200407</v>
          </cell>
          <cell r="B2864">
            <v>37500</v>
          </cell>
          <cell r="C2864" t="str">
            <v>NG</v>
          </cell>
          <cell r="D2864" t="str">
            <v>200407</v>
          </cell>
          <cell r="E2864">
            <v>3.782</v>
          </cell>
        </row>
        <row r="2865">
          <cell r="A2865" t="str">
            <v>37500200408</v>
          </cell>
          <cell r="B2865">
            <v>37500</v>
          </cell>
          <cell r="C2865" t="str">
            <v>NG</v>
          </cell>
          <cell r="D2865" t="str">
            <v>200408</v>
          </cell>
          <cell r="E2865">
            <v>3.7949999999999999</v>
          </cell>
        </row>
        <row r="2866">
          <cell r="A2866" t="str">
            <v>37500200409</v>
          </cell>
          <cell r="B2866">
            <v>37500</v>
          </cell>
          <cell r="C2866" t="str">
            <v>NG</v>
          </cell>
          <cell r="D2866" t="str">
            <v>200409</v>
          </cell>
          <cell r="E2866">
            <v>3.7949999999999999</v>
          </cell>
        </row>
        <row r="2867">
          <cell r="A2867" t="str">
            <v>37500200410</v>
          </cell>
          <cell r="B2867">
            <v>37500</v>
          </cell>
          <cell r="C2867" t="str">
            <v>NG</v>
          </cell>
          <cell r="D2867" t="str">
            <v>200410</v>
          </cell>
          <cell r="E2867">
            <v>3.8250000000000002</v>
          </cell>
        </row>
        <row r="2868">
          <cell r="A2868" t="str">
            <v>37500200411</v>
          </cell>
          <cell r="B2868">
            <v>37500</v>
          </cell>
          <cell r="C2868" t="str">
            <v>NG</v>
          </cell>
          <cell r="D2868" t="str">
            <v>200411</v>
          </cell>
          <cell r="E2868">
            <v>4.0049999999999999</v>
          </cell>
        </row>
        <row r="2869">
          <cell r="A2869" t="str">
            <v>37500200412</v>
          </cell>
          <cell r="B2869">
            <v>37500</v>
          </cell>
          <cell r="C2869" t="str">
            <v>NG</v>
          </cell>
          <cell r="D2869" t="str">
            <v>200412</v>
          </cell>
          <cell r="E2869">
            <v>4.1749999999999998</v>
          </cell>
        </row>
        <row r="2870">
          <cell r="A2870" t="str">
            <v>37501200401</v>
          </cell>
          <cell r="B2870">
            <v>37501</v>
          </cell>
          <cell r="C2870" t="str">
            <v>NG</v>
          </cell>
          <cell r="D2870" t="str">
            <v>200401</v>
          </cell>
          <cell r="E2870">
            <v>4.2619999999999996</v>
          </cell>
        </row>
        <row r="2871">
          <cell r="A2871" t="str">
            <v>37501200402</v>
          </cell>
          <cell r="B2871">
            <v>37501</v>
          </cell>
          <cell r="C2871" t="str">
            <v>NG</v>
          </cell>
          <cell r="D2871" t="str">
            <v>200402</v>
          </cell>
          <cell r="E2871">
            <v>4.1539999999999999</v>
          </cell>
        </row>
        <row r="2872">
          <cell r="A2872" t="str">
            <v>37501200403</v>
          </cell>
          <cell r="B2872">
            <v>37501</v>
          </cell>
          <cell r="C2872" t="str">
            <v>NG</v>
          </cell>
          <cell r="D2872" t="str">
            <v>200403</v>
          </cell>
          <cell r="E2872">
            <v>3.9889999999999999</v>
          </cell>
        </row>
        <row r="2873">
          <cell r="A2873" t="str">
            <v>37501200404</v>
          </cell>
          <cell r="B2873">
            <v>37501</v>
          </cell>
          <cell r="C2873" t="str">
            <v>NG</v>
          </cell>
          <cell r="D2873" t="str">
            <v>200404</v>
          </cell>
          <cell r="E2873">
            <v>3.774</v>
          </cell>
        </row>
        <row r="2874">
          <cell r="A2874" t="str">
            <v>37501200405</v>
          </cell>
          <cell r="B2874">
            <v>37501</v>
          </cell>
          <cell r="C2874" t="str">
            <v>NG</v>
          </cell>
          <cell r="D2874" t="str">
            <v>200405</v>
          </cell>
          <cell r="E2874">
            <v>3.7519999999999998</v>
          </cell>
        </row>
        <row r="2875">
          <cell r="A2875" t="str">
            <v>37501200406</v>
          </cell>
          <cell r="B2875">
            <v>37501</v>
          </cell>
          <cell r="C2875" t="str">
            <v>NG</v>
          </cell>
          <cell r="D2875" t="str">
            <v>200406</v>
          </cell>
          <cell r="E2875">
            <v>3.7770000000000001</v>
          </cell>
        </row>
        <row r="2876">
          <cell r="A2876" t="str">
            <v>37501200407</v>
          </cell>
          <cell r="B2876">
            <v>37501</v>
          </cell>
          <cell r="C2876" t="str">
            <v>NG</v>
          </cell>
          <cell r="D2876" t="str">
            <v>200407</v>
          </cell>
          <cell r="E2876">
            <v>3.782</v>
          </cell>
        </row>
        <row r="2877">
          <cell r="A2877" t="str">
            <v>37501200408</v>
          </cell>
          <cell r="B2877">
            <v>37501</v>
          </cell>
          <cell r="C2877" t="str">
            <v>NG</v>
          </cell>
          <cell r="D2877" t="str">
            <v>200408</v>
          </cell>
          <cell r="E2877">
            <v>3.7949999999999999</v>
          </cell>
        </row>
        <row r="2878">
          <cell r="A2878" t="str">
            <v>37501200409</v>
          </cell>
          <cell r="B2878">
            <v>37501</v>
          </cell>
          <cell r="C2878" t="str">
            <v>NG</v>
          </cell>
          <cell r="D2878" t="str">
            <v>200409</v>
          </cell>
          <cell r="E2878">
            <v>3.7949999999999999</v>
          </cell>
        </row>
        <row r="2879">
          <cell r="A2879" t="str">
            <v>37501200410</v>
          </cell>
          <cell r="B2879">
            <v>37501</v>
          </cell>
          <cell r="C2879" t="str">
            <v>NG</v>
          </cell>
          <cell r="D2879" t="str">
            <v>200410</v>
          </cell>
          <cell r="E2879">
            <v>3.8250000000000002</v>
          </cell>
        </row>
        <row r="2880">
          <cell r="A2880" t="str">
            <v>37501200411</v>
          </cell>
          <cell r="B2880">
            <v>37501</v>
          </cell>
          <cell r="C2880" t="str">
            <v>NG</v>
          </cell>
          <cell r="D2880" t="str">
            <v>200411</v>
          </cell>
          <cell r="E2880">
            <v>4.0049999999999999</v>
          </cell>
        </row>
        <row r="2881">
          <cell r="A2881" t="str">
            <v>37501200412</v>
          </cell>
          <cell r="B2881">
            <v>37501</v>
          </cell>
          <cell r="C2881" t="str">
            <v>NG</v>
          </cell>
          <cell r="D2881" t="str">
            <v>200412</v>
          </cell>
          <cell r="E2881">
            <v>4.1749999999999998</v>
          </cell>
        </row>
        <row r="2882">
          <cell r="A2882" t="str">
            <v>37502200401</v>
          </cell>
          <cell r="B2882">
            <v>37502</v>
          </cell>
          <cell r="C2882" t="str">
            <v>NG</v>
          </cell>
          <cell r="D2882" t="str">
            <v>200401</v>
          </cell>
          <cell r="E2882">
            <v>4.1760000000000002</v>
          </cell>
        </row>
        <row r="2883">
          <cell r="A2883" t="str">
            <v>37502200402</v>
          </cell>
          <cell r="B2883">
            <v>37502</v>
          </cell>
          <cell r="C2883" t="str">
            <v>NG</v>
          </cell>
          <cell r="D2883" t="str">
            <v>200402</v>
          </cell>
          <cell r="E2883">
            <v>4.0709999999999997</v>
          </cell>
        </row>
        <row r="2884">
          <cell r="A2884" t="str">
            <v>37502200403</v>
          </cell>
          <cell r="B2884">
            <v>37502</v>
          </cell>
          <cell r="C2884" t="str">
            <v>NG</v>
          </cell>
          <cell r="D2884" t="str">
            <v>200403</v>
          </cell>
          <cell r="E2884">
            <v>3.9129999999999998</v>
          </cell>
        </row>
        <row r="2885">
          <cell r="A2885" t="str">
            <v>37502200404</v>
          </cell>
          <cell r="B2885">
            <v>37502</v>
          </cell>
          <cell r="C2885" t="str">
            <v>NG</v>
          </cell>
          <cell r="D2885" t="str">
            <v>200404</v>
          </cell>
          <cell r="E2885">
            <v>3.7029999999999998</v>
          </cell>
        </row>
        <row r="2886">
          <cell r="A2886" t="str">
            <v>37502200405</v>
          </cell>
          <cell r="B2886">
            <v>37502</v>
          </cell>
          <cell r="C2886" t="str">
            <v>NG</v>
          </cell>
          <cell r="D2886" t="str">
            <v>200405</v>
          </cell>
          <cell r="E2886">
            <v>3.6779999999999999</v>
          </cell>
        </row>
        <row r="2887">
          <cell r="A2887" t="str">
            <v>37502200406</v>
          </cell>
          <cell r="B2887">
            <v>37502</v>
          </cell>
          <cell r="C2887" t="str">
            <v>NG</v>
          </cell>
          <cell r="D2887" t="str">
            <v>200406</v>
          </cell>
          <cell r="E2887">
            <v>3.7029999999999998</v>
          </cell>
        </row>
        <row r="2888">
          <cell r="A2888" t="str">
            <v>37502200407</v>
          </cell>
          <cell r="B2888">
            <v>37502</v>
          </cell>
          <cell r="C2888" t="str">
            <v>NG</v>
          </cell>
          <cell r="D2888" t="str">
            <v>200407</v>
          </cell>
          <cell r="E2888">
            <v>3.7130000000000001</v>
          </cell>
        </row>
        <row r="2889">
          <cell r="A2889" t="str">
            <v>37502200408</v>
          </cell>
          <cell r="B2889">
            <v>37502</v>
          </cell>
          <cell r="C2889" t="str">
            <v>NG</v>
          </cell>
          <cell r="D2889" t="str">
            <v>200408</v>
          </cell>
          <cell r="E2889">
            <v>3.726</v>
          </cell>
        </row>
        <row r="2890">
          <cell r="A2890" t="str">
            <v>37502200409</v>
          </cell>
          <cell r="B2890">
            <v>37502</v>
          </cell>
          <cell r="C2890" t="str">
            <v>NG</v>
          </cell>
          <cell r="D2890" t="str">
            <v>200409</v>
          </cell>
          <cell r="E2890">
            <v>3.726</v>
          </cell>
        </row>
        <row r="2891">
          <cell r="A2891" t="str">
            <v>37502200410</v>
          </cell>
          <cell r="B2891">
            <v>37502</v>
          </cell>
          <cell r="C2891" t="str">
            <v>NG</v>
          </cell>
          <cell r="D2891" t="str">
            <v>200410</v>
          </cell>
          <cell r="E2891">
            <v>3.7559999999999998</v>
          </cell>
        </row>
        <row r="2892">
          <cell r="A2892" t="str">
            <v>37502200411</v>
          </cell>
          <cell r="B2892">
            <v>37502</v>
          </cell>
          <cell r="C2892" t="str">
            <v>NG</v>
          </cell>
          <cell r="D2892" t="str">
            <v>200411</v>
          </cell>
          <cell r="E2892">
            <v>3.9319999999999999</v>
          </cell>
        </row>
        <row r="2893">
          <cell r="A2893" t="str">
            <v>37502200412</v>
          </cell>
          <cell r="B2893">
            <v>37502</v>
          </cell>
          <cell r="C2893" t="str">
            <v>NG</v>
          </cell>
          <cell r="D2893" t="str">
            <v>200412</v>
          </cell>
          <cell r="E2893">
            <v>4.1020000000000003</v>
          </cell>
        </row>
        <row r="2894">
          <cell r="A2894" t="str">
            <v>37503200401</v>
          </cell>
          <cell r="B2894">
            <v>37503</v>
          </cell>
          <cell r="C2894" t="str">
            <v>NG</v>
          </cell>
          <cell r="D2894" t="str">
            <v>200401</v>
          </cell>
          <cell r="E2894">
            <v>4.2270000000000003</v>
          </cell>
        </row>
        <row r="2895">
          <cell r="A2895" t="str">
            <v>37503200402</v>
          </cell>
          <cell r="B2895">
            <v>37503</v>
          </cell>
          <cell r="C2895" t="str">
            <v>NG</v>
          </cell>
          <cell r="D2895" t="str">
            <v>200402</v>
          </cell>
          <cell r="E2895">
            <v>4.1219999999999999</v>
          </cell>
        </row>
        <row r="2896">
          <cell r="A2896" t="str">
            <v>37503200403</v>
          </cell>
          <cell r="B2896">
            <v>37503</v>
          </cell>
          <cell r="C2896" t="str">
            <v>NG</v>
          </cell>
          <cell r="D2896" t="str">
            <v>200403</v>
          </cell>
          <cell r="E2896">
            <v>3.964</v>
          </cell>
        </row>
        <row r="2897">
          <cell r="A2897" t="str">
            <v>37503200404</v>
          </cell>
          <cell r="B2897">
            <v>37503</v>
          </cell>
          <cell r="C2897" t="str">
            <v>NG</v>
          </cell>
          <cell r="D2897" t="str">
            <v>200404</v>
          </cell>
          <cell r="E2897">
            <v>3.7490000000000001</v>
          </cell>
        </row>
        <row r="2898">
          <cell r="A2898" t="str">
            <v>37503200405</v>
          </cell>
          <cell r="B2898">
            <v>37503</v>
          </cell>
          <cell r="C2898" t="str">
            <v>NG</v>
          </cell>
          <cell r="D2898" t="str">
            <v>200405</v>
          </cell>
          <cell r="E2898">
            <v>3.7240000000000002</v>
          </cell>
        </row>
        <row r="2899">
          <cell r="A2899" t="str">
            <v>37503200406</v>
          </cell>
          <cell r="B2899">
            <v>37503</v>
          </cell>
          <cell r="C2899" t="str">
            <v>NG</v>
          </cell>
          <cell r="D2899" t="str">
            <v>200406</v>
          </cell>
          <cell r="E2899">
            <v>3.7490000000000001</v>
          </cell>
        </row>
        <row r="2900">
          <cell r="A2900" t="str">
            <v>37503200407</v>
          </cell>
          <cell r="B2900">
            <v>37503</v>
          </cell>
          <cell r="C2900" t="str">
            <v>NG</v>
          </cell>
          <cell r="D2900" t="str">
            <v>200407</v>
          </cell>
          <cell r="E2900">
            <v>3.7589999999999999</v>
          </cell>
        </row>
        <row r="2901">
          <cell r="A2901" t="str">
            <v>37503200408</v>
          </cell>
          <cell r="B2901">
            <v>37503</v>
          </cell>
          <cell r="C2901" t="str">
            <v>NG</v>
          </cell>
          <cell r="D2901" t="str">
            <v>200408</v>
          </cell>
          <cell r="E2901">
            <v>3.7719999999999998</v>
          </cell>
        </row>
        <row r="2902">
          <cell r="A2902" t="str">
            <v>37503200409</v>
          </cell>
          <cell r="B2902">
            <v>37503</v>
          </cell>
          <cell r="C2902" t="str">
            <v>NG</v>
          </cell>
          <cell r="D2902" t="str">
            <v>200409</v>
          </cell>
          <cell r="E2902">
            <v>3.7719999999999998</v>
          </cell>
        </row>
        <row r="2903">
          <cell r="A2903" t="str">
            <v>37503200410</v>
          </cell>
          <cell r="B2903">
            <v>37503</v>
          </cell>
          <cell r="C2903" t="str">
            <v>NG</v>
          </cell>
          <cell r="D2903" t="str">
            <v>200410</v>
          </cell>
          <cell r="E2903">
            <v>3.802</v>
          </cell>
        </row>
        <row r="2904">
          <cell r="A2904" t="str">
            <v>37503200411</v>
          </cell>
          <cell r="B2904">
            <v>37503</v>
          </cell>
          <cell r="C2904" t="str">
            <v>NG</v>
          </cell>
          <cell r="D2904" t="str">
            <v>200411</v>
          </cell>
          <cell r="E2904">
            <v>3.9780000000000002</v>
          </cell>
        </row>
        <row r="2905">
          <cell r="A2905" t="str">
            <v>37503200412</v>
          </cell>
          <cell r="B2905">
            <v>37503</v>
          </cell>
          <cell r="C2905" t="str">
            <v>NG</v>
          </cell>
          <cell r="D2905" t="str">
            <v>200412</v>
          </cell>
          <cell r="E2905">
            <v>4.1479999999999997</v>
          </cell>
        </row>
        <row r="2906">
          <cell r="A2906" t="str">
            <v>37504200401</v>
          </cell>
          <cell r="B2906">
            <v>37504</v>
          </cell>
          <cell r="C2906" t="str">
            <v>NG</v>
          </cell>
          <cell r="D2906" t="str">
            <v>200401</v>
          </cell>
          <cell r="E2906">
            <v>4.2549999999999999</v>
          </cell>
        </row>
        <row r="2907">
          <cell r="A2907" t="str">
            <v>37504200402</v>
          </cell>
          <cell r="B2907">
            <v>37504</v>
          </cell>
          <cell r="C2907" t="str">
            <v>NG</v>
          </cell>
          <cell r="D2907" t="str">
            <v>200402</v>
          </cell>
          <cell r="E2907">
            <v>4.1449999999999996</v>
          </cell>
        </row>
        <row r="2908">
          <cell r="A2908" t="str">
            <v>37504200403</v>
          </cell>
          <cell r="B2908">
            <v>37504</v>
          </cell>
          <cell r="C2908" t="str">
            <v>NG</v>
          </cell>
          <cell r="D2908" t="str">
            <v>200403</v>
          </cell>
          <cell r="E2908">
            <v>3.9849999999999999</v>
          </cell>
        </row>
        <row r="2909">
          <cell r="A2909" t="str">
            <v>37504200404</v>
          </cell>
          <cell r="B2909">
            <v>37504</v>
          </cell>
          <cell r="C2909" t="str">
            <v>NG</v>
          </cell>
          <cell r="D2909" t="str">
            <v>200404</v>
          </cell>
          <cell r="E2909">
            <v>3.7549999999999999</v>
          </cell>
        </row>
        <row r="2910">
          <cell r="A2910" t="str">
            <v>37504200405</v>
          </cell>
          <cell r="B2910">
            <v>37504</v>
          </cell>
          <cell r="C2910" t="str">
            <v>NG</v>
          </cell>
          <cell r="D2910" t="str">
            <v>200405</v>
          </cell>
          <cell r="E2910">
            <v>3.7250000000000001</v>
          </cell>
        </row>
        <row r="2911">
          <cell r="A2911" t="str">
            <v>37504200406</v>
          </cell>
          <cell r="B2911">
            <v>37504</v>
          </cell>
          <cell r="C2911" t="str">
            <v>NG</v>
          </cell>
          <cell r="D2911" t="str">
            <v>200406</v>
          </cell>
          <cell r="E2911">
            <v>3.75</v>
          </cell>
        </row>
        <row r="2912">
          <cell r="A2912" t="str">
            <v>37504200407</v>
          </cell>
          <cell r="B2912">
            <v>37504</v>
          </cell>
          <cell r="C2912" t="str">
            <v>NG</v>
          </cell>
          <cell r="D2912" t="str">
            <v>200407</v>
          </cell>
          <cell r="E2912">
            <v>3.76</v>
          </cell>
        </row>
        <row r="2913">
          <cell r="A2913" t="str">
            <v>37504200408</v>
          </cell>
          <cell r="B2913">
            <v>37504</v>
          </cell>
          <cell r="C2913" t="str">
            <v>NG</v>
          </cell>
          <cell r="D2913" t="str">
            <v>200408</v>
          </cell>
          <cell r="E2913">
            <v>3.7730000000000001</v>
          </cell>
        </row>
        <row r="2914">
          <cell r="A2914" t="str">
            <v>37504200409</v>
          </cell>
          <cell r="B2914">
            <v>37504</v>
          </cell>
          <cell r="C2914" t="str">
            <v>NG</v>
          </cell>
          <cell r="D2914" t="str">
            <v>200409</v>
          </cell>
          <cell r="E2914">
            <v>3.7730000000000001</v>
          </cell>
        </row>
        <row r="2915">
          <cell r="A2915" t="str">
            <v>37504200410</v>
          </cell>
          <cell r="B2915">
            <v>37504</v>
          </cell>
          <cell r="C2915" t="str">
            <v>NG</v>
          </cell>
          <cell r="D2915" t="str">
            <v>200410</v>
          </cell>
          <cell r="E2915">
            <v>3.8029999999999999</v>
          </cell>
        </row>
        <row r="2916">
          <cell r="A2916" t="str">
            <v>37504200411</v>
          </cell>
          <cell r="B2916">
            <v>37504</v>
          </cell>
          <cell r="C2916" t="str">
            <v>NG</v>
          </cell>
          <cell r="D2916" t="str">
            <v>200411</v>
          </cell>
          <cell r="E2916">
            <v>3.9790000000000001</v>
          </cell>
        </row>
        <row r="2917">
          <cell r="A2917" t="str">
            <v>37504200412</v>
          </cell>
          <cell r="B2917">
            <v>37504</v>
          </cell>
          <cell r="C2917" t="str">
            <v>NG</v>
          </cell>
          <cell r="D2917" t="str">
            <v>200412</v>
          </cell>
          <cell r="E2917">
            <v>4.149</v>
          </cell>
        </row>
        <row r="2918">
          <cell r="A2918" t="str">
            <v>37505200401</v>
          </cell>
          <cell r="B2918">
            <v>37505</v>
          </cell>
          <cell r="C2918" t="str">
            <v>NG</v>
          </cell>
          <cell r="D2918" t="str">
            <v>200401</v>
          </cell>
          <cell r="E2918">
            <v>4.17</v>
          </cell>
        </row>
        <row r="2919">
          <cell r="A2919" t="str">
            <v>37505200402</v>
          </cell>
          <cell r="B2919">
            <v>37505</v>
          </cell>
          <cell r="C2919" t="str">
            <v>NG</v>
          </cell>
          <cell r="D2919" t="str">
            <v>200402</v>
          </cell>
          <cell r="E2919">
            <v>4.0599999999999996</v>
          </cell>
        </row>
        <row r="2920">
          <cell r="A2920" t="str">
            <v>37505200403</v>
          </cell>
          <cell r="B2920">
            <v>37505</v>
          </cell>
          <cell r="C2920" t="str">
            <v>NG</v>
          </cell>
          <cell r="D2920" t="str">
            <v>200403</v>
          </cell>
          <cell r="E2920">
            <v>3.9</v>
          </cell>
        </row>
        <row r="2921">
          <cell r="A2921" t="str">
            <v>37505200404</v>
          </cell>
          <cell r="B2921">
            <v>37505</v>
          </cell>
          <cell r="C2921" t="str">
            <v>NG</v>
          </cell>
          <cell r="D2921" t="str">
            <v>200404</v>
          </cell>
          <cell r="E2921">
            <v>3.67</v>
          </cell>
        </row>
        <row r="2922">
          <cell r="A2922" t="str">
            <v>37505200405</v>
          </cell>
          <cell r="B2922">
            <v>37505</v>
          </cell>
          <cell r="C2922" t="str">
            <v>NG</v>
          </cell>
          <cell r="D2922" t="str">
            <v>200405</v>
          </cell>
          <cell r="E2922">
            <v>3.64</v>
          </cell>
        </row>
        <row r="2923">
          <cell r="A2923" t="str">
            <v>37505200406</v>
          </cell>
          <cell r="B2923">
            <v>37505</v>
          </cell>
          <cell r="C2923" t="str">
            <v>NG</v>
          </cell>
          <cell r="D2923" t="str">
            <v>200406</v>
          </cell>
          <cell r="E2923">
            <v>3.67</v>
          </cell>
        </row>
        <row r="2924">
          <cell r="A2924" t="str">
            <v>37505200407</v>
          </cell>
          <cell r="B2924">
            <v>37505</v>
          </cell>
          <cell r="C2924" t="str">
            <v>NG</v>
          </cell>
          <cell r="D2924" t="str">
            <v>200407</v>
          </cell>
          <cell r="E2924">
            <v>3.68</v>
          </cell>
        </row>
        <row r="2925">
          <cell r="A2925" t="str">
            <v>37505200408</v>
          </cell>
          <cell r="B2925">
            <v>37505</v>
          </cell>
          <cell r="C2925" t="str">
            <v>NG</v>
          </cell>
          <cell r="D2925" t="str">
            <v>200408</v>
          </cell>
          <cell r="E2925">
            <v>3.6930000000000001</v>
          </cell>
        </row>
        <row r="2926">
          <cell r="A2926" t="str">
            <v>37505200409</v>
          </cell>
          <cell r="B2926">
            <v>37505</v>
          </cell>
          <cell r="C2926" t="str">
            <v>NG</v>
          </cell>
          <cell r="D2926" t="str">
            <v>200409</v>
          </cell>
          <cell r="E2926">
            <v>3.6930000000000001</v>
          </cell>
        </row>
        <row r="2927">
          <cell r="A2927" t="str">
            <v>37505200410</v>
          </cell>
          <cell r="B2927">
            <v>37505</v>
          </cell>
          <cell r="C2927" t="str">
            <v>NG</v>
          </cell>
          <cell r="D2927" t="str">
            <v>200410</v>
          </cell>
          <cell r="E2927">
            <v>3.7229999999999999</v>
          </cell>
        </row>
        <row r="2928">
          <cell r="A2928" t="str">
            <v>37505200411</v>
          </cell>
          <cell r="B2928">
            <v>37505</v>
          </cell>
          <cell r="C2928" t="str">
            <v>NG</v>
          </cell>
          <cell r="D2928" t="str">
            <v>200411</v>
          </cell>
          <cell r="E2928">
            <v>3.899</v>
          </cell>
        </row>
        <row r="2929">
          <cell r="A2929" t="str">
            <v>37505200412</v>
          </cell>
          <cell r="B2929">
            <v>37505</v>
          </cell>
          <cell r="C2929" t="str">
            <v>NG</v>
          </cell>
          <cell r="D2929" t="str">
            <v>200412</v>
          </cell>
          <cell r="E2929">
            <v>4.069</v>
          </cell>
        </row>
        <row r="2930">
          <cell r="A2930" t="str">
            <v>37506200401</v>
          </cell>
          <cell r="B2930">
            <v>37506</v>
          </cell>
          <cell r="C2930" t="str">
            <v>NG</v>
          </cell>
          <cell r="D2930" t="str">
            <v>200401</v>
          </cell>
          <cell r="E2930">
            <v>4.17</v>
          </cell>
        </row>
        <row r="2931">
          <cell r="A2931" t="str">
            <v>37506200402</v>
          </cell>
          <cell r="B2931">
            <v>37506</v>
          </cell>
          <cell r="C2931" t="str">
            <v>NG</v>
          </cell>
          <cell r="D2931" t="str">
            <v>200402</v>
          </cell>
          <cell r="E2931">
            <v>4.0599999999999996</v>
          </cell>
        </row>
        <row r="2932">
          <cell r="A2932" t="str">
            <v>37506200403</v>
          </cell>
          <cell r="B2932">
            <v>37506</v>
          </cell>
          <cell r="C2932" t="str">
            <v>NG</v>
          </cell>
          <cell r="D2932" t="str">
            <v>200403</v>
          </cell>
          <cell r="E2932">
            <v>3.9</v>
          </cell>
        </row>
        <row r="2933">
          <cell r="A2933" t="str">
            <v>37506200404</v>
          </cell>
          <cell r="B2933">
            <v>37506</v>
          </cell>
          <cell r="C2933" t="str">
            <v>NG</v>
          </cell>
          <cell r="D2933" t="str">
            <v>200404</v>
          </cell>
          <cell r="E2933">
            <v>3.67</v>
          </cell>
        </row>
        <row r="2934">
          <cell r="A2934" t="str">
            <v>37506200405</v>
          </cell>
          <cell r="B2934">
            <v>37506</v>
          </cell>
          <cell r="C2934" t="str">
            <v>NG</v>
          </cell>
          <cell r="D2934" t="str">
            <v>200405</v>
          </cell>
          <cell r="E2934">
            <v>3.64</v>
          </cell>
        </row>
        <row r="2935">
          <cell r="A2935" t="str">
            <v>37506200406</v>
          </cell>
          <cell r="B2935">
            <v>37506</v>
          </cell>
          <cell r="C2935" t="str">
            <v>NG</v>
          </cell>
          <cell r="D2935" t="str">
            <v>200406</v>
          </cell>
          <cell r="E2935">
            <v>3.67</v>
          </cell>
        </row>
        <row r="2936">
          <cell r="A2936" t="str">
            <v>37506200407</v>
          </cell>
          <cell r="B2936">
            <v>37506</v>
          </cell>
          <cell r="C2936" t="str">
            <v>NG</v>
          </cell>
          <cell r="D2936" t="str">
            <v>200407</v>
          </cell>
          <cell r="E2936">
            <v>3.68</v>
          </cell>
        </row>
        <row r="2937">
          <cell r="A2937" t="str">
            <v>37506200408</v>
          </cell>
          <cell r="B2937">
            <v>37506</v>
          </cell>
          <cell r="C2937" t="str">
            <v>NG</v>
          </cell>
          <cell r="D2937" t="str">
            <v>200408</v>
          </cell>
          <cell r="E2937">
            <v>3.6930000000000001</v>
          </cell>
        </row>
        <row r="2938">
          <cell r="A2938" t="str">
            <v>37506200409</v>
          </cell>
          <cell r="B2938">
            <v>37506</v>
          </cell>
          <cell r="C2938" t="str">
            <v>NG</v>
          </cell>
          <cell r="D2938" t="str">
            <v>200409</v>
          </cell>
          <cell r="E2938">
            <v>3.6930000000000001</v>
          </cell>
        </row>
        <row r="2939">
          <cell r="A2939" t="str">
            <v>37506200410</v>
          </cell>
          <cell r="B2939">
            <v>37506</v>
          </cell>
          <cell r="C2939" t="str">
            <v>NG</v>
          </cell>
          <cell r="D2939" t="str">
            <v>200410</v>
          </cell>
          <cell r="E2939">
            <v>3.7229999999999999</v>
          </cell>
        </row>
        <row r="2940">
          <cell r="A2940" t="str">
            <v>37506200411</v>
          </cell>
          <cell r="B2940">
            <v>37506</v>
          </cell>
          <cell r="C2940" t="str">
            <v>NG</v>
          </cell>
          <cell r="D2940" t="str">
            <v>200411</v>
          </cell>
          <cell r="E2940">
            <v>3.899</v>
          </cell>
        </row>
        <row r="2941">
          <cell r="A2941" t="str">
            <v>37506200412</v>
          </cell>
          <cell r="B2941">
            <v>37506</v>
          </cell>
          <cell r="C2941" t="str">
            <v>NG</v>
          </cell>
          <cell r="D2941" t="str">
            <v>200412</v>
          </cell>
          <cell r="E2941">
            <v>4.069</v>
          </cell>
        </row>
        <row r="2942">
          <cell r="A2942" t="str">
            <v>37507200401</v>
          </cell>
          <cell r="B2942">
            <v>37507</v>
          </cell>
          <cell r="C2942" t="str">
            <v>NG</v>
          </cell>
          <cell r="D2942" t="str">
            <v>200401</v>
          </cell>
          <cell r="E2942">
            <v>4.17</v>
          </cell>
        </row>
        <row r="2943">
          <cell r="A2943" t="str">
            <v>37507200402</v>
          </cell>
          <cell r="B2943">
            <v>37507</v>
          </cell>
          <cell r="C2943" t="str">
            <v>NG</v>
          </cell>
          <cell r="D2943" t="str">
            <v>200402</v>
          </cell>
          <cell r="E2943">
            <v>4.0599999999999996</v>
          </cell>
        </row>
        <row r="2944">
          <cell r="A2944" t="str">
            <v>37507200403</v>
          </cell>
          <cell r="B2944">
            <v>37507</v>
          </cell>
          <cell r="C2944" t="str">
            <v>NG</v>
          </cell>
          <cell r="D2944" t="str">
            <v>200403</v>
          </cell>
          <cell r="E2944">
            <v>3.9</v>
          </cell>
        </row>
        <row r="2945">
          <cell r="A2945" t="str">
            <v>37507200404</v>
          </cell>
          <cell r="B2945">
            <v>37507</v>
          </cell>
          <cell r="C2945" t="str">
            <v>NG</v>
          </cell>
          <cell r="D2945" t="str">
            <v>200404</v>
          </cell>
          <cell r="E2945">
            <v>3.67</v>
          </cell>
        </row>
        <row r="2946">
          <cell r="A2946" t="str">
            <v>37507200405</v>
          </cell>
          <cell r="B2946">
            <v>37507</v>
          </cell>
          <cell r="C2946" t="str">
            <v>NG</v>
          </cell>
          <cell r="D2946" t="str">
            <v>200405</v>
          </cell>
          <cell r="E2946">
            <v>3.64</v>
          </cell>
        </row>
        <row r="2947">
          <cell r="A2947" t="str">
            <v>37507200406</v>
          </cell>
          <cell r="B2947">
            <v>37507</v>
          </cell>
          <cell r="C2947" t="str">
            <v>NG</v>
          </cell>
          <cell r="D2947" t="str">
            <v>200406</v>
          </cell>
          <cell r="E2947">
            <v>3.67</v>
          </cell>
        </row>
        <row r="2948">
          <cell r="A2948" t="str">
            <v>37507200407</v>
          </cell>
          <cell r="B2948">
            <v>37507</v>
          </cell>
          <cell r="C2948" t="str">
            <v>NG</v>
          </cell>
          <cell r="D2948" t="str">
            <v>200407</v>
          </cell>
          <cell r="E2948">
            <v>3.68</v>
          </cell>
        </row>
        <row r="2949">
          <cell r="A2949" t="str">
            <v>37507200408</v>
          </cell>
          <cell r="B2949">
            <v>37507</v>
          </cell>
          <cell r="C2949" t="str">
            <v>NG</v>
          </cell>
          <cell r="D2949" t="str">
            <v>200408</v>
          </cell>
          <cell r="E2949">
            <v>3.6930000000000001</v>
          </cell>
        </row>
        <row r="2950">
          <cell r="A2950" t="str">
            <v>37507200409</v>
          </cell>
          <cell r="B2950">
            <v>37507</v>
          </cell>
          <cell r="C2950" t="str">
            <v>NG</v>
          </cell>
          <cell r="D2950" t="str">
            <v>200409</v>
          </cell>
          <cell r="E2950">
            <v>3.6930000000000001</v>
          </cell>
        </row>
        <row r="2951">
          <cell r="A2951" t="str">
            <v>37507200410</v>
          </cell>
          <cell r="B2951">
            <v>37507</v>
          </cell>
          <cell r="C2951" t="str">
            <v>NG</v>
          </cell>
          <cell r="D2951" t="str">
            <v>200410</v>
          </cell>
          <cell r="E2951">
            <v>3.7229999999999999</v>
          </cell>
        </row>
        <row r="2952">
          <cell r="A2952" t="str">
            <v>37507200411</v>
          </cell>
          <cell r="B2952">
            <v>37507</v>
          </cell>
          <cell r="C2952" t="str">
            <v>NG</v>
          </cell>
          <cell r="D2952" t="str">
            <v>200411</v>
          </cell>
          <cell r="E2952">
            <v>3.899</v>
          </cell>
        </row>
        <row r="2953">
          <cell r="A2953" t="str">
            <v>37507200412</v>
          </cell>
          <cell r="B2953">
            <v>37507</v>
          </cell>
          <cell r="C2953" t="str">
            <v>NG</v>
          </cell>
          <cell r="D2953" t="str">
            <v>200412</v>
          </cell>
          <cell r="E2953">
            <v>4.069</v>
          </cell>
        </row>
        <row r="2954">
          <cell r="A2954" t="str">
            <v>37508200401</v>
          </cell>
          <cell r="B2954">
            <v>37508</v>
          </cell>
          <cell r="C2954" t="str">
            <v>NG</v>
          </cell>
          <cell r="D2954" t="str">
            <v>200401</v>
          </cell>
          <cell r="E2954">
            <v>4.2590000000000003</v>
          </cell>
        </row>
        <row r="2955">
          <cell r="A2955" t="str">
            <v>37508200402</v>
          </cell>
          <cell r="B2955">
            <v>37508</v>
          </cell>
          <cell r="C2955" t="str">
            <v>NG</v>
          </cell>
          <cell r="D2955" t="str">
            <v>200402</v>
          </cell>
          <cell r="E2955">
            <v>4.149</v>
          </cell>
        </row>
        <row r="2956">
          <cell r="A2956" t="str">
            <v>37508200403</v>
          </cell>
          <cell r="B2956">
            <v>37508</v>
          </cell>
          <cell r="C2956" t="str">
            <v>NG</v>
          </cell>
          <cell r="D2956" t="str">
            <v>200403</v>
          </cell>
          <cell r="E2956">
            <v>3.984</v>
          </cell>
        </row>
        <row r="2957">
          <cell r="A2957" t="str">
            <v>37508200404</v>
          </cell>
          <cell r="B2957">
            <v>37508</v>
          </cell>
          <cell r="C2957" t="str">
            <v>NG</v>
          </cell>
          <cell r="D2957" t="str">
            <v>200404</v>
          </cell>
          <cell r="E2957">
            <v>3.7490000000000001</v>
          </cell>
        </row>
        <row r="2958">
          <cell r="A2958" t="str">
            <v>37508200405</v>
          </cell>
          <cell r="B2958">
            <v>37508</v>
          </cell>
          <cell r="C2958" t="str">
            <v>NG</v>
          </cell>
          <cell r="D2958" t="str">
            <v>200405</v>
          </cell>
          <cell r="E2958">
            <v>3.714</v>
          </cell>
        </row>
        <row r="2959">
          <cell r="A2959" t="str">
            <v>37508200406</v>
          </cell>
          <cell r="B2959">
            <v>37508</v>
          </cell>
          <cell r="C2959" t="str">
            <v>NG</v>
          </cell>
          <cell r="D2959" t="str">
            <v>200406</v>
          </cell>
          <cell r="E2959">
            <v>3.7440000000000002</v>
          </cell>
        </row>
        <row r="2960">
          <cell r="A2960" t="str">
            <v>37508200407</v>
          </cell>
          <cell r="B2960">
            <v>37508</v>
          </cell>
          <cell r="C2960" t="str">
            <v>NG</v>
          </cell>
          <cell r="D2960" t="str">
            <v>200407</v>
          </cell>
          <cell r="E2960">
            <v>3.754</v>
          </cell>
        </row>
        <row r="2961">
          <cell r="A2961" t="str">
            <v>37508200408</v>
          </cell>
          <cell r="B2961">
            <v>37508</v>
          </cell>
          <cell r="C2961" t="str">
            <v>NG</v>
          </cell>
          <cell r="D2961" t="str">
            <v>200408</v>
          </cell>
          <cell r="E2961">
            <v>3.7669999999999999</v>
          </cell>
        </row>
        <row r="2962">
          <cell r="A2962" t="str">
            <v>37508200409</v>
          </cell>
          <cell r="B2962">
            <v>37508</v>
          </cell>
          <cell r="C2962" t="str">
            <v>NG</v>
          </cell>
          <cell r="D2962" t="str">
            <v>200409</v>
          </cell>
          <cell r="E2962">
            <v>3.7669999999999999</v>
          </cell>
        </row>
        <row r="2963">
          <cell r="A2963" t="str">
            <v>37508200410</v>
          </cell>
          <cell r="B2963">
            <v>37508</v>
          </cell>
          <cell r="C2963" t="str">
            <v>NG</v>
          </cell>
          <cell r="D2963" t="str">
            <v>200410</v>
          </cell>
          <cell r="E2963">
            <v>3.7970000000000002</v>
          </cell>
        </row>
        <row r="2964">
          <cell r="A2964" t="str">
            <v>37508200411</v>
          </cell>
          <cell r="B2964">
            <v>37508</v>
          </cell>
          <cell r="C2964" t="str">
            <v>NG</v>
          </cell>
          <cell r="D2964" t="str">
            <v>200411</v>
          </cell>
          <cell r="E2964">
            <v>3.9729999999999999</v>
          </cell>
        </row>
        <row r="2965">
          <cell r="A2965" t="str">
            <v>37508200412</v>
          </cell>
          <cell r="B2965">
            <v>37508</v>
          </cell>
          <cell r="C2965" t="str">
            <v>NG</v>
          </cell>
          <cell r="D2965" t="str">
            <v>200412</v>
          </cell>
          <cell r="E2965">
            <v>4.1429999999999998</v>
          </cell>
        </row>
        <row r="2966">
          <cell r="A2966" t="str">
            <v>37509200401</v>
          </cell>
          <cell r="B2966">
            <v>37509</v>
          </cell>
          <cell r="C2966" t="str">
            <v>NG</v>
          </cell>
          <cell r="D2966" t="str">
            <v>200401</v>
          </cell>
          <cell r="E2966">
            <v>4.25</v>
          </cell>
        </row>
        <row r="2967">
          <cell r="A2967" t="str">
            <v>37509200402</v>
          </cell>
          <cell r="B2967">
            <v>37509</v>
          </cell>
          <cell r="C2967" t="str">
            <v>NG</v>
          </cell>
          <cell r="D2967" t="str">
            <v>200402</v>
          </cell>
          <cell r="E2967">
            <v>4.1349999999999998</v>
          </cell>
        </row>
        <row r="2968">
          <cell r="A2968" t="str">
            <v>37509200403</v>
          </cell>
          <cell r="B2968">
            <v>37509</v>
          </cell>
          <cell r="C2968" t="str">
            <v>NG</v>
          </cell>
          <cell r="D2968" t="str">
            <v>200403</v>
          </cell>
          <cell r="E2968">
            <v>3.9649999999999999</v>
          </cell>
        </row>
        <row r="2969">
          <cell r="A2969" t="str">
            <v>37509200404</v>
          </cell>
          <cell r="B2969">
            <v>37509</v>
          </cell>
          <cell r="C2969" t="str">
            <v>NG</v>
          </cell>
          <cell r="D2969" t="str">
            <v>200404</v>
          </cell>
          <cell r="E2969">
            <v>3.72</v>
          </cell>
        </row>
        <row r="2970">
          <cell r="A2970" t="str">
            <v>37509200405</v>
          </cell>
          <cell r="B2970">
            <v>37509</v>
          </cell>
          <cell r="C2970" t="str">
            <v>NG</v>
          </cell>
          <cell r="D2970" t="str">
            <v>200405</v>
          </cell>
          <cell r="E2970">
            <v>3.6850000000000001</v>
          </cell>
        </row>
        <row r="2971">
          <cell r="A2971" t="str">
            <v>37509200406</v>
          </cell>
          <cell r="B2971">
            <v>37509</v>
          </cell>
          <cell r="C2971" t="str">
            <v>NG</v>
          </cell>
          <cell r="D2971" t="str">
            <v>200406</v>
          </cell>
          <cell r="E2971">
            <v>3.71</v>
          </cell>
        </row>
        <row r="2972">
          <cell r="A2972" t="str">
            <v>37509200407</v>
          </cell>
          <cell r="B2972">
            <v>37509</v>
          </cell>
          <cell r="C2972" t="str">
            <v>NG</v>
          </cell>
          <cell r="D2972" t="str">
            <v>200407</v>
          </cell>
          <cell r="E2972">
            <v>3.73</v>
          </cell>
        </row>
        <row r="2973">
          <cell r="A2973" t="str">
            <v>37509200408</v>
          </cell>
          <cell r="B2973">
            <v>37509</v>
          </cell>
          <cell r="C2973" t="str">
            <v>NG</v>
          </cell>
          <cell r="D2973" t="str">
            <v>200408</v>
          </cell>
          <cell r="E2973">
            <v>3.75</v>
          </cell>
        </row>
        <row r="2974">
          <cell r="A2974" t="str">
            <v>37509200409</v>
          </cell>
          <cell r="B2974">
            <v>37509</v>
          </cell>
          <cell r="C2974" t="str">
            <v>NG</v>
          </cell>
          <cell r="D2974" t="str">
            <v>200409</v>
          </cell>
          <cell r="E2974">
            <v>3.75</v>
          </cell>
        </row>
        <row r="2975">
          <cell r="A2975" t="str">
            <v>37509200410</v>
          </cell>
          <cell r="B2975">
            <v>37509</v>
          </cell>
          <cell r="C2975" t="str">
            <v>NG</v>
          </cell>
          <cell r="D2975" t="str">
            <v>200410</v>
          </cell>
          <cell r="E2975">
            <v>3.78</v>
          </cell>
        </row>
        <row r="2976">
          <cell r="A2976" t="str">
            <v>37509200411</v>
          </cell>
          <cell r="B2976">
            <v>37509</v>
          </cell>
          <cell r="C2976" t="str">
            <v>NG</v>
          </cell>
          <cell r="D2976" t="str">
            <v>200411</v>
          </cell>
          <cell r="E2976">
            <v>3.956</v>
          </cell>
        </row>
        <row r="2977">
          <cell r="A2977" t="str">
            <v>37509200412</v>
          </cell>
          <cell r="B2977">
            <v>37509</v>
          </cell>
          <cell r="C2977" t="str">
            <v>NG</v>
          </cell>
          <cell r="D2977" t="str">
            <v>200412</v>
          </cell>
          <cell r="E2977">
            <v>4.1260000000000003</v>
          </cell>
        </row>
        <row r="2978">
          <cell r="A2978" t="str">
            <v>37510200401</v>
          </cell>
          <cell r="B2978">
            <v>37510</v>
          </cell>
          <cell r="C2978" t="str">
            <v>NG</v>
          </cell>
          <cell r="D2978" t="str">
            <v>200401</v>
          </cell>
          <cell r="E2978">
            <v>4.2110000000000003</v>
          </cell>
        </row>
        <row r="2979">
          <cell r="A2979" t="str">
            <v>37510200402</v>
          </cell>
          <cell r="B2979">
            <v>37510</v>
          </cell>
          <cell r="C2979" t="str">
            <v>NG</v>
          </cell>
          <cell r="D2979" t="str">
            <v>200402</v>
          </cell>
          <cell r="E2979">
            <v>4.0960000000000001</v>
          </cell>
        </row>
        <row r="2980">
          <cell r="A2980" t="str">
            <v>37510200403</v>
          </cell>
          <cell r="B2980">
            <v>37510</v>
          </cell>
          <cell r="C2980" t="str">
            <v>NG</v>
          </cell>
          <cell r="D2980" t="str">
            <v>200403</v>
          </cell>
          <cell r="E2980">
            <v>3.9260000000000002</v>
          </cell>
        </row>
        <row r="2981">
          <cell r="A2981" t="str">
            <v>37510200404</v>
          </cell>
          <cell r="B2981">
            <v>37510</v>
          </cell>
          <cell r="C2981" t="str">
            <v>NG</v>
          </cell>
          <cell r="D2981" t="str">
            <v>200404</v>
          </cell>
          <cell r="E2981">
            <v>3.6949999999999998</v>
          </cell>
        </row>
        <row r="2982">
          <cell r="A2982" t="str">
            <v>37510200405</v>
          </cell>
          <cell r="B2982">
            <v>37510</v>
          </cell>
          <cell r="C2982" t="str">
            <v>NG</v>
          </cell>
          <cell r="D2982" t="str">
            <v>200405</v>
          </cell>
          <cell r="E2982">
            <v>3.665</v>
          </cell>
        </row>
        <row r="2983">
          <cell r="A2983" t="str">
            <v>37510200406</v>
          </cell>
          <cell r="B2983">
            <v>37510</v>
          </cell>
          <cell r="C2983" t="str">
            <v>NG</v>
          </cell>
          <cell r="D2983" t="str">
            <v>200406</v>
          </cell>
          <cell r="E2983">
            <v>3.69</v>
          </cell>
        </row>
        <row r="2984">
          <cell r="A2984" t="str">
            <v>37510200407</v>
          </cell>
          <cell r="B2984">
            <v>37510</v>
          </cell>
          <cell r="C2984" t="str">
            <v>NG</v>
          </cell>
          <cell r="D2984" t="str">
            <v>200407</v>
          </cell>
          <cell r="E2984">
            <v>3.7050000000000001</v>
          </cell>
        </row>
        <row r="2985">
          <cell r="A2985" t="str">
            <v>37510200408</v>
          </cell>
          <cell r="B2985">
            <v>37510</v>
          </cell>
          <cell r="C2985" t="str">
            <v>NG</v>
          </cell>
          <cell r="D2985" t="str">
            <v>200408</v>
          </cell>
          <cell r="E2985">
            <v>3.72</v>
          </cell>
        </row>
        <row r="2986">
          <cell r="A2986" t="str">
            <v>37510200409</v>
          </cell>
          <cell r="B2986">
            <v>37510</v>
          </cell>
          <cell r="C2986" t="str">
            <v>NG</v>
          </cell>
          <cell r="D2986" t="str">
            <v>200409</v>
          </cell>
          <cell r="E2986">
            <v>3.72</v>
          </cell>
        </row>
        <row r="2987">
          <cell r="A2987" t="str">
            <v>37510200410</v>
          </cell>
          <cell r="B2987">
            <v>37510</v>
          </cell>
          <cell r="C2987" t="str">
            <v>NG</v>
          </cell>
          <cell r="D2987" t="str">
            <v>200410</v>
          </cell>
          <cell r="E2987">
            <v>3.75</v>
          </cell>
        </row>
        <row r="2988">
          <cell r="A2988" t="str">
            <v>37510200411</v>
          </cell>
          <cell r="B2988">
            <v>37510</v>
          </cell>
          <cell r="C2988" t="str">
            <v>NG</v>
          </cell>
          <cell r="D2988" t="str">
            <v>200411</v>
          </cell>
          <cell r="E2988">
            <v>3.9260000000000002</v>
          </cell>
        </row>
        <row r="2989">
          <cell r="A2989" t="str">
            <v>37510200412</v>
          </cell>
          <cell r="B2989">
            <v>37510</v>
          </cell>
          <cell r="C2989" t="str">
            <v>NG</v>
          </cell>
          <cell r="D2989" t="str">
            <v>200412</v>
          </cell>
          <cell r="E2989">
            <v>4.0960000000000001</v>
          </cell>
        </row>
        <row r="2990">
          <cell r="A2990" t="str">
            <v>37511200401</v>
          </cell>
          <cell r="B2990">
            <v>37511</v>
          </cell>
          <cell r="C2990" t="str">
            <v>NG</v>
          </cell>
          <cell r="D2990" t="str">
            <v>200401</v>
          </cell>
          <cell r="E2990">
            <v>4.2350000000000003</v>
          </cell>
        </row>
        <row r="2991">
          <cell r="A2991" t="str">
            <v>37511200402</v>
          </cell>
          <cell r="B2991">
            <v>37511</v>
          </cell>
          <cell r="C2991" t="str">
            <v>NG</v>
          </cell>
          <cell r="D2991" t="str">
            <v>200402</v>
          </cell>
          <cell r="E2991">
            <v>4.117</v>
          </cell>
        </row>
        <row r="2992">
          <cell r="A2992" t="str">
            <v>37511200403</v>
          </cell>
          <cell r="B2992">
            <v>37511</v>
          </cell>
          <cell r="C2992" t="str">
            <v>NG</v>
          </cell>
          <cell r="D2992" t="str">
            <v>200403</v>
          </cell>
          <cell r="E2992">
            <v>3.944</v>
          </cell>
        </row>
        <row r="2993">
          <cell r="A2993" t="str">
            <v>37511200404</v>
          </cell>
          <cell r="B2993">
            <v>37511</v>
          </cell>
          <cell r="C2993" t="str">
            <v>NG</v>
          </cell>
          <cell r="D2993" t="str">
            <v>200404</v>
          </cell>
          <cell r="E2993">
            <v>3.71</v>
          </cell>
        </row>
        <row r="2994">
          <cell r="A2994" t="str">
            <v>37511200405</v>
          </cell>
          <cell r="B2994">
            <v>37511</v>
          </cell>
          <cell r="C2994" t="str">
            <v>NG</v>
          </cell>
          <cell r="D2994" t="str">
            <v>200405</v>
          </cell>
          <cell r="E2994">
            <v>3.6749999999999998</v>
          </cell>
        </row>
        <row r="2995">
          <cell r="A2995" t="str">
            <v>37511200406</v>
          </cell>
          <cell r="B2995">
            <v>37511</v>
          </cell>
          <cell r="C2995" t="str">
            <v>NG</v>
          </cell>
          <cell r="D2995" t="str">
            <v>200406</v>
          </cell>
          <cell r="E2995">
            <v>3.7</v>
          </cell>
        </row>
        <row r="2996">
          <cell r="A2996" t="str">
            <v>37511200407</v>
          </cell>
          <cell r="B2996">
            <v>37511</v>
          </cell>
          <cell r="C2996" t="str">
            <v>NG</v>
          </cell>
          <cell r="D2996" t="str">
            <v>200407</v>
          </cell>
          <cell r="E2996">
            <v>3.7149999999999999</v>
          </cell>
        </row>
        <row r="2997">
          <cell r="A2997" t="str">
            <v>37511200408</v>
          </cell>
          <cell r="B2997">
            <v>37511</v>
          </cell>
          <cell r="C2997" t="str">
            <v>NG</v>
          </cell>
          <cell r="D2997" t="str">
            <v>200408</v>
          </cell>
          <cell r="E2997">
            <v>3.73</v>
          </cell>
        </row>
        <row r="2998">
          <cell r="A2998" t="str">
            <v>37511200409</v>
          </cell>
          <cell r="B2998">
            <v>37511</v>
          </cell>
          <cell r="C2998" t="str">
            <v>NG</v>
          </cell>
          <cell r="D2998" t="str">
            <v>200409</v>
          </cell>
          <cell r="E2998">
            <v>3.73</v>
          </cell>
        </row>
        <row r="2999">
          <cell r="A2999" t="str">
            <v>37511200410</v>
          </cell>
          <cell r="B2999">
            <v>37511</v>
          </cell>
          <cell r="C2999" t="str">
            <v>NG</v>
          </cell>
          <cell r="D2999" t="str">
            <v>200410</v>
          </cell>
          <cell r="E2999">
            <v>3.76</v>
          </cell>
        </row>
        <row r="3000">
          <cell r="A3000" t="str">
            <v>37511200411</v>
          </cell>
          <cell r="B3000">
            <v>37511</v>
          </cell>
          <cell r="C3000" t="str">
            <v>NG</v>
          </cell>
          <cell r="D3000" t="str">
            <v>200411</v>
          </cell>
          <cell r="E3000">
            <v>3.9359999999999999</v>
          </cell>
        </row>
        <row r="3001">
          <cell r="A3001" t="str">
            <v>37511200412</v>
          </cell>
          <cell r="B3001">
            <v>37511</v>
          </cell>
          <cell r="C3001" t="str">
            <v>NG</v>
          </cell>
          <cell r="D3001" t="str">
            <v>200412</v>
          </cell>
          <cell r="E3001">
            <v>4.1059999999999999</v>
          </cell>
        </row>
        <row r="3002">
          <cell r="A3002" t="str">
            <v>37512200401</v>
          </cell>
          <cell r="B3002">
            <v>37512</v>
          </cell>
          <cell r="C3002" t="str">
            <v>NG</v>
          </cell>
          <cell r="D3002" t="str">
            <v>200401</v>
          </cell>
          <cell r="E3002">
            <v>4.3090000000000002</v>
          </cell>
        </row>
        <row r="3003">
          <cell r="A3003" t="str">
            <v>37512200402</v>
          </cell>
          <cell r="B3003">
            <v>37512</v>
          </cell>
          <cell r="C3003" t="str">
            <v>NG</v>
          </cell>
          <cell r="D3003" t="str">
            <v>200402</v>
          </cell>
          <cell r="E3003">
            <v>4.1870000000000003</v>
          </cell>
        </row>
        <row r="3004">
          <cell r="A3004" t="str">
            <v>37512200403</v>
          </cell>
          <cell r="B3004">
            <v>37512</v>
          </cell>
          <cell r="C3004" t="str">
            <v>NG</v>
          </cell>
          <cell r="D3004" t="str">
            <v>200403</v>
          </cell>
          <cell r="E3004">
            <v>4.0119999999999996</v>
          </cell>
        </row>
        <row r="3005">
          <cell r="A3005" t="str">
            <v>37512200404</v>
          </cell>
          <cell r="B3005">
            <v>37512</v>
          </cell>
          <cell r="C3005" t="str">
            <v>NG</v>
          </cell>
          <cell r="D3005" t="str">
            <v>200404</v>
          </cell>
          <cell r="E3005">
            <v>3.7719999999999998</v>
          </cell>
        </row>
        <row r="3006">
          <cell r="A3006" t="str">
            <v>37512200405</v>
          </cell>
          <cell r="B3006">
            <v>37512</v>
          </cell>
          <cell r="C3006" t="str">
            <v>NG</v>
          </cell>
          <cell r="D3006" t="str">
            <v>200405</v>
          </cell>
          <cell r="E3006">
            <v>3.7370000000000001</v>
          </cell>
        </row>
        <row r="3007">
          <cell r="A3007" t="str">
            <v>37512200406</v>
          </cell>
          <cell r="B3007">
            <v>37512</v>
          </cell>
          <cell r="C3007" t="str">
            <v>NG</v>
          </cell>
          <cell r="D3007" t="str">
            <v>200406</v>
          </cell>
          <cell r="E3007">
            <v>3.762</v>
          </cell>
        </row>
        <row r="3008">
          <cell r="A3008" t="str">
            <v>37512200407</v>
          </cell>
          <cell r="B3008">
            <v>37512</v>
          </cell>
          <cell r="C3008" t="str">
            <v>NG</v>
          </cell>
          <cell r="D3008" t="str">
            <v>200407</v>
          </cell>
          <cell r="E3008">
            <v>3.7770000000000001</v>
          </cell>
        </row>
        <row r="3009">
          <cell r="A3009" t="str">
            <v>37512200408</v>
          </cell>
          <cell r="B3009">
            <v>37512</v>
          </cell>
          <cell r="C3009" t="str">
            <v>NG</v>
          </cell>
          <cell r="D3009" t="str">
            <v>200408</v>
          </cell>
          <cell r="E3009">
            <v>3.7919999999999998</v>
          </cell>
        </row>
        <row r="3010">
          <cell r="A3010" t="str">
            <v>37512200409</v>
          </cell>
          <cell r="B3010">
            <v>37512</v>
          </cell>
          <cell r="C3010" t="str">
            <v>NG</v>
          </cell>
          <cell r="D3010" t="str">
            <v>200409</v>
          </cell>
          <cell r="E3010">
            <v>3.7919999999999998</v>
          </cell>
        </row>
        <row r="3011">
          <cell r="A3011" t="str">
            <v>37512200410</v>
          </cell>
          <cell r="B3011">
            <v>37512</v>
          </cell>
          <cell r="C3011" t="str">
            <v>NG</v>
          </cell>
          <cell r="D3011" t="str">
            <v>200410</v>
          </cell>
          <cell r="E3011">
            <v>3.8220000000000001</v>
          </cell>
        </row>
        <row r="3012">
          <cell r="A3012" t="str">
            <v>37512200411</v>
          </cell>
          <cell r="B3012">
            <v>37512</v>
          </cell>
          <cell r="C3012" t="str">
            <v>NG</v>
          </cell>
          <cell r="D3012" t="str">
            <v>200411</v>
          </cell>
          <cell r="E3012">
            <v>3.9980000000000002</v>
          </cell>
        </row>
        <row r="3013">
          <cell r="A3013" t="str">
            <v>37512200412</v>
          </cell>
          <cell r="B3013">
            <v>37512</v>
          </cell>
          <cell r="C3013" t="str">
            <v>NG</v>
          </cell>
          <cell r="D3013" t="str">
            <v>200412</v>
          </cell>
          <cell r="E3013">
            <v>4.1680000000000001</v>
          </cell>
        </row>
        <row r="3014">
          <cell r="A3014" t="str">
            <v>37515200401</v>
          </cell>
          <cell r="B3014">
            <v>37515</v>
          </cell>
          <cell r="C3014" t="str">
            <v>NG</v>
          </cell>
          <cell r="D3014" t="str">
            <v>200401</v>
          </cell>
          <cell r="E3014">
            <v>4.2770000000000001</v>
          </cell>
        </row>
        <row r="3015">
          <cell r="A3015" t="str">
            <v>37515200402</v>
          </cell>
          <cell r="B3015">
            <v>37515</v>
          </cell>
          <cell r="C3015" t="str">
            <v>NG</v>
          </cell>
          <cell r="D3015" t="str">
            <v>200402</v>
          </cell>
          <cell r="E3015">
            <v>4.1529999999999996</v>
          </cell>
        </row>
        <row r="3016">
          <cell r="A3016" t="str">
            <v>37515200403</v>
          </cell>
          <cell r="B3016">
            <v>37515</v>
          </cell>
          <cell r="C3016" t="str">
            <v>NG</v>
          </cell>
          <cell r="D3016" t="str">
            <v>200403</v>
          </cell>
          <cell r="E3016">
            <v>3.9750000000000001</v>
          </cell>
        </row>
        <row r="3017">
          <cell r="A3017" t="str">
            <v>37515200404</v>
          </cell>
          <cell r="B3017">
            <v>37515</v>
          </cell>
          <cell r="C3017" t="str">
            <v>NG</v>
          </cell>
          <cell r="D3017" t="str">
            <v>200404</v>
          </cell>
          <cell r="E3017">
            <v>3.72</v>
          </cell>
        </row>
        <row r="3018">
          <cell r="A3018" t="str">
            <v>37515200405</v>
          </cell>
          <cell r="B3018">
            <v>37515</v>
          </cell>
          <cell r="C3018" t="str">
            <v>NG</v>
          </cell>
          <cell r="D3018" t="str">
            <v>200405</v>
          </cell>
          <cell r="E3018">
            <v>3.6850000000000001</v>
          </cell>
        </row>
        <row r="3019">
          <cell r="A3019" t="str">
            <v>37515200406</v>
          </cell>
          <cell r="B3019">
            <v>37515</v>
          </cell>
          <cell r="C3019" t="str">
            <v>NG</v>
          </cell>
          <cell r="D3019" t="str">
            <v>200406</v>
          </cell>
          <cell r="E3019">
            <v>3.6989999999999998</v>
          </cell>
        </row>
        <row r="3020">
          <cell r="A3020" t="str">
            <v>37515200407</v>
          </cell>
          <cell r="B3020">
            <v>37515</v>
          </cell>
          <cell r="C3020" t="str">
            <v>NG</v>
          </cell>
          <cell r="D3020" t="str">
            <v>200407</v>
          </cell>
          <cell r="E3020">
            <v>3.714</v>
          </cell>
        </row>
        <row r="3021">
          <cell r="A3021" t="str">
            <v>37515200408</v>
          </cell>
          <cell r="B3021">
            <v>37515</v>
          </cell>
          <cell r="C3021" t="str">
            <v>NG</v>
          </cell>
          <cell r="D3021" t="str">
            <v>200408</v>
          </cell>
          <cell r="E3021">
            <v>3.7309999999999999</v>
          </cell>
        </row>
        <row r="3022">
          <cell r="A3022" t="str">
            <v>37515200409</v>
          </cell>
          <cell r="B3022">
            <v>37515</v>
          </cell>
          <cell r="C3022" t="str">
            <v>NG</v>
          </cell>
          <cell r="D3022" t="str">
            <v>200409</v>
          </cell>
          <cell r="E3022">
            <v>3.7309999999999999</v>
          </cell>
        </row>
        <row r="3023">
          <cell r="A3023" t="str">
            <v>37515200410</v>
          </cell>
          <cell r="B3023">
            <v>37515</v>
          </cell>
          <cell r="C3023" t="str">
            <v>NG</v>
          </cell>
          <cell r="D3023" t="str">
            <v>200410</v>
          </cell>
          <cell r="E3023">
            <v>3.7610000000000001</v>
          </cell>
        </row>
        <row r="3024">
          <cell r="A3024" t="str">
            <v>37515200411</v>
          </cell>
          <cell r="B3024">
            <v>37515</v>
          </cell>
          <cell r="C3024" t="str">
            <v>NG</v>
          </cell>
          <cell r="D3024" t="str">
            <v>200411</v>
          </cell>
          <cell r="E3024">
            <v>3.9369999999999998</v>
          </cell>
        </row>
        <row r="3025">
          <cell r="A3025" t="str">
            <v>37515200412</v>
          </cell>
          <cell r="B3025">
            <v>37515</v>
          </cell>
          <cell r="C3025" t="str">
            <v>NG</v>
          </cell>
          <cell r="D3025" t="str">
            <v>200412</v>
          </cell>
          <cell r="E3025">
            <v>4.1070000000000002</v>
          </cell>
        </row>
        <row r="3026">
          <cell r="A3026" t="str">
            <v>37516200401</v>
          </cell>
          <cell r="B3026">
            <v>37516</v>
          </cell>
          <cell r="C3026" t="str">
            <v>NG</v>
          </cell>
          <cell r="D3026" t="str">
            <v>200401</v>
          </cell>
          <cell r="E3026">
            <v>4.3250000000000002</v>
          </cell>
        </row>
        <row r="3027">
          <cell r="A3027" t="str">
            <v>37516200402</v>
          </cell>
          <cell r="B3027">
            <v>37516</v>
          </cell>
          <cell r="C3027" t="str">
            <v>NG</v>
          </cell>
          <cell r="D3027" t="str">
            <v>200402</v>
          </cell>
          <cell r="E3027">
            <v>4.1950000000000003</v>
          </cell>
        </row>
        <row r="3028">
          <cell r="A3028" t="str">
            <v>37516200403</v>
          </cell>
          <cell r="B3028">
            <v>37516</v>
          </cell>
          <cell r="C3028" t="str">
            <v>NG</v>
          </cell>
          <cell r="D3028" t="str">
            <v>200403</v>
          </cell>
          <cell r="E3028">
            <v>4.0149999999999997</v>
          </cell>
        </row>
        <row r="3029">
          <cell r="A3029" t="str">
            <v>37516200404</v>
          </cell>
          <cell r="B3029">
            <v>37516</v>
          </cell>
          <cell r="C3029" t="str">
            <v>NG</v>
          </cell>
          <cell r="D3029" t="str">
            <v>200404</v>
          </cell>
          <cell r="E3029">
            <v>3.7549999999999999</v>
          </cell>
        </row>
        <row r="3030">
          <cell r="A3030" t="str">
            <v>37516200405</v>
          </cell>
          <cell r="B3030">
            <v>37516</v>
          </cell>
          <cell r="C3030" t="str">
            <v>NG</v>
          </cell>
          <cell r="D3030" t="str">
            <v>200405</v>
          </cell>
          <cell r="E3030">
            <v>3.7130000000000001</v>
          </cell>
        </row>
        <row r="3031">
          <cell r="A3031" t="str">
            <v>37516200406</v>
          </cell>
          <cell r="B3031">
            <v>37516</v>
          </cell>
          <cell r="C3031" t="str">
            <v>NG</v>
          </cell>
          <cell r="D3031" t="str">
            <v>200406</v>
          </cell>
          <cell r="E3031">
            <v>3.7269999999999999</v>
          </cell>
        </row>
        <row r="3032">
          <cell r="A3032" t="str">
            <v>37516200407</v>
          </cell>
          <cell r="B3032">
            <v>37516</v>
          </cell>
          <cell r="C3032" t="str">
            <v>NG</v>
          </cell>
          <cell r="D3032" t="str">
            <v>200407</v>
          </cell>
          <cell r="E3032">
            <v>3.742</v>
          </cell>
        </row>
        <row r="3033">
          <cell r="A3033" t="str">
            <v>37516200408</v>
          </cell>
          <cell r="B3033">
            <v>37516</v>
          </cell>
          <cell r="C3033" t="str">
            <v>NG</v>
          </cell>
          <cell r="D3033" t="str">
            <v>200408</v>
          </cell>
          <cell r="E3033">
            <v>3.7519999999999998</v>
          </cell>
        </row>
        <row r="3034">
          <cell r="A3034" t="str">
            <v>37516200409</v>
          </cell>
          <cell r="B3034">
            <v>37516</v>
          </cell>
          <cell r="C3034" t="str">
            <v>NG</v>
          </cell>
          <cell r="D3034" t="str">
            <v>200409</v>
          </cell>
          <cell r="E3034">
            <v>3.7469999999999999</v>
          </cell>
        </row>
        <row r="3035">
          <cell r="A3035" t="str">
            <v>37516200410</v>
          </cell>
          <cell r="B3035">
            <v>37516</v>
          </cell>
          <cell r="C3035" t="str">
            <v>NG</v>
          </cell>
          <cell r="D3035" t="str">
            <v>200410</v>
          </cell>
          <cell r="E3035">
            <v>3.7770000000000001</v>
          </cell>
        </row>
        <row r="3036">
          <cell r="A3036" t="str">
            <v>37516200411</v>
          </cell>
          <cell r="B3036">
            <v>37516</v>
          </cell>
          <cell r="C3036" t="str">
            <v>NG</v>
          </cell>
          <cell r="D3036" t="str">
            <v>200411</v>
          </cell>
          <cell r="E3036">
            <v>3.9529999999999998</v>
          </cell>
        </row>
        <row r="3037">
          <cell r="A3037" t="str">
            <v>37516200412</v>
          </cell>
          <cell r="B3037">
            <v>37516</v>
          </cell>
          <cell r="C3037" t="str">
            <v>NG</v>
          </cell>
          <cell r="D3037" t="str">
            <v>200412</v>
          </cell>
          <cell r="E3037">
            <v>4.1230000000000002</v>
          </cell>
        </row>
        <row r="3038">
          <cell r="A3038" t="str">
            <v>37517200401</v>
          </cell>
          <cell r="B3038">
            <v>37517</v>
          </cell>
          <cell r="C3038" t="str">
            <v>NG</v>
          </cell>
          <cell r="D3038" t="str">
            <v>200401</v>
          </cell>
          <cell r="E3038">
            <v>4.37</v>
          </cell>
        </row>
        <row r="3039">
          <cell r="A3039" t="str">
            <v>37517200402</v>
          </cell>
          <cell r="B3039">
            <v>37517</v>
          </cell>
          <cell r="C3039" t="str">
            <v>NG</v>
          </cell>
          <cell r="D3039" t="str">
            <v>200402</v>
          </cell>
          <cell r="E3039">
            <v>4.24</v>
          </cell>
        </row>
        <row r="3040">
          <cell r="A3040" t="str">
            <v>37517200403</v>
          </cell>
          <cell r="B3040">
            <v>37517</v>
          </cell>
          <cell r="C3040" t="str">
            <v>NG</v>
          </cell>
          <cell r="D3040" t="str">
            <v>200403</v>
          </cell>
          <cell r="E3040">
            <v>4.0549999999999997</v>
          </cell>
        </row>
        <row r="3041">
          <cell r="A3041" t="str">
            <v>37517200404</v>
          </cell>
          <cell r="B3041">
            <v>37517</v>
          </cell>
          <cell r="C3041" t="str">
            <v>NG</v>
          </cell>
          <cell r="D3041" t="str">
            <v>200404</v>
          </cell>
          <cell r="E3041">
            <v>3.79</v>
          </cell>
        </row>
        <row r="3042">
          <cell r="A3042" t="str">
            <v>37517200405</v>
          </cell>
          <cell r="B3042">
            <v>37517</v>
          </cell>
          <cell r="C3042" t="str">
            <v>NG</v>
          </cell>
          <cell r="D3042" t="str">
            <v>200405</v>
          </cell>
          <cell r="E3042">
            <v>3.7450000000000001</v>
          </cell>
        </row>
        <row r="3043">
          <cell r="A3043" t="str">
            <v>37517200406</v>
          </cell>
          <cell r="B3043">
            <v>37517</v>
          </cell>
          <cell r="C3043" t="str">
            <v>NG</v>
          </cell>
          <cell r="D3043" t="str">
            <v>200406</v>
          </cell>
          <cell r="E3043">
            <v>3.7589999999999999</v>
          </cell>
        </row>
        <row r="3044">
          <cell r="A3044" t="str">
            <v>37517200407</v>
          </cell>
          <cell r="B3044">
            <v>37517</v>
          </cell>
          <cell r="C3044" t="str">
            <v>NG</v>
          </cell>
          <cell r="D3044" t="str">
            <v>200407</v>
          </cell>
          <cell r="E3044">
            <v>3.774</v>
          </cell>
        </row>
        <row r="3045">
          <cell r="A3045" t="str">
            <v>37517200408</v>
          </cell>
          <cell r="B3045">
            <v>37517</v>
          </cell>
          <cell r="C3045" t="str">
            <v>NG</v>
          </cell>
          <cell r="D3045" t="str">
            <v>200408</v>
          </cell>
          <cell r="E3045">
            <v>3.7839999999999998</v>
          </cell>
        </row>
        <row r="3046">
          <cell r="A3046" t="str">
            <v>37517200409</v>
          </cell>
          <cell r="B3046">
            <v>37517</v>
          </cell>
          <cell r="C3046" t="str">
            <v>NG</v>
          </cell>
          <cell r="D3046" t="str">
            <v>200409</v>
          </cell>
          <cell r="E3046">
            <v>3.7789999999999999</v>
          </cell>
        </row>
        <row r="3047">
          <cell r="A3047" t="str">
            <v>37517200410</v>
          </cell>
          <cell r="B3047">
            <v>37517</v>
          </cell>
          <cell r="C3047" t="str">
            <v>NG</v>
          </cell>
          <cell r="D3047" t="str">
            <v>200410</v>
          </cell>
          <cell r="E3047">
            <v>3.8090000000000002</v>
          </cell>
        </row>
        <row r="3048">
          <cell r="A3048" t="str">
            <v>37517200411</v>
          </cell>
          <cell r="B3048">
            <v>37517</v>
          </cell>
          <cell r="C3048" t="str">
            <v>NG</v>
          </cell>
          <cell r="D3048" t="str">
            <v>200411</v>
          </cell>
          <cell r="E3048">
            <v>3.9849999999999999</v>
          </cell>
        </row>
        <row r="3049">
          <cell r="A3049" t="str">
            <v>37517200412</v>
          </cell>
          <cell r="B3049">
            <v>37517</v>
          </cell>
          <cell r="C3049" t="str">
            <v>NG</v>
          </cell>
          <cell r="D3049" t="str">
            <v>200412</v>
          </cell>
          <cell r="E3049">
            <v>4.1550000000000002</v>
          </cell>
        </row>
        <row r="3050">
          <cell r="A3050" t="str">
            <v>37518200401</v>
          </cell>
          <cell r="B3050">
            <v>37518</v>
          </cell>
          <cell r="C3050" t="str">
            <v>NG</v>
          </cell>
          <cell r="D3050" t="str">
            <v>200401</v>
          </cell>
          <cell r="E3050">
            <v>4.3250000000000002</v>
          </cell>
        </row>
        <row r="3051">
          <cell r="A3051" t="str">
            <v>37518200402</v>
          </cell>
          <cell r="B3051">
            <v>37518</v>
          </cell>
          <cell r="C3051" t="str">
            <v>NG</v>
          </cell>
          <cell r="D3051" t="str">
            <v>200402</v>
          </cell>
          <cell r="E3051">
            <v>4.1950000000000003</v>
          </cell>
        </row>
        <row r="3052">
          <cell r="A3052" t="str">
            <v>37518200403</v>
          </cell>
          <cell r="B3052">
            <v>37518</v>
          </cell>
          <cell r="C3052" t="str">
            <v>NG</v>
          </cell>
          <cell r="D3052" t="str">
            <v>200403</v>
          </cell>
          <cell r="E3052">
            <v>4.01</v>
          </cell>
        </row>
        <row r="3053">
          <cell r="A3053" t="str">
            <v>37518200404</v>
          </cell>
          <cell r="B3053">
            <v>37518</v>
          </cell>
          <cell r="C3053" t="str">
            <v>NG</v>
          </cell>
          <cell r="D3053" t="str">
            <v>200404</v>
          </cell>
          <cell r="E3053">
            <v>3.7450000000000001</v>
          </cell>
        </row>
        <row r="3054">
          <cell r="A3054" t="str">
            <v>37518200405</v>
          </cell>
          <cell r="B3054">
            <v>37518</v>
          </cell>
          <cell r="C3054" t="str">
            <v>NG</v>
          </cell>
          <cell r="D3054" t="str">
            <v>200405</v>
          </cell>
          <cell r="E3054">
            <v>3.6949999999999998</v>
          </cell>
        </row>
        <row r="3055">
          <cell r="A3055" t="str">
            <v>37518200406</v>
          </cell>
          <cell r="B3055">
            <v>37518</v>
          </cell>
          <cell r="C3055" t="str">
            <v>NG</v>
          </cell>
          <cell r="D3055" t="str">
            <v>200406</v>
          </cell>
          <cell r="E3055">
            <v>3.7050000000000001</v>
          </cell>
        </row>
        <row r="3056">
          <cell r="A3056" t="str">
            <v>37518200407</v>
          </cell>
          <cell r="B3056">
            <v>37518</v>
          </cell>
          <cell r="C3056" t="str">
            <v>NG</v>
          </cell>
          <cell r="D3056" t="str">
            <v>200407</v>
          </cell>
          <cell r="E3056">
            <v>3.7170000000000001</v>
          </cell>
        </row>
        <row r="3057">
          <cell r="A3057" t="str">
            <v>37518200408</v>
          </cell>
          <cell r="B3057">
            <v>37518</v>
          </cell>
          <cell r="C3057" t="str">
            <v>NG</v>
          </cell>
          <cell r="D3057" t="str">
            <v>200408</v>
          </cell>
          <cell r="E3057">
            <v>3.7269999999999999</v>
          </cell>
        </row>
        <row r="3058">
          <cell r="A3058" t="str">
            <v>37518200409</v>
          </cell>
          <cell r="B3058">
            <v>37518</v>
          </cell>
          <cell r="C3058" t="str">
            <v>NG</v>
          </cell>
          <cell r="D3058" t="str">
            <v>200409</v>
          </cell>
          <cell r="E3058">
            <v>3.7189999999999999</v>
          </cell>
        </row>
        <row r="3059">
          <cell r="A3059" t="str">
            <v>37518200410</v>
          </cell>
          <cell r="B3059">
            <v>37518</v>
          </cell>
          <cell r="C3059" t="str">
            <v>NG</v>
          </cell>
          <cell r="D3059" t="str">
            <v>200410</v>
          </cell>
          <cell r="E3059">
            <v>3.7490000000000001</v>
          </cell>
        </row>
        <row r="3060">
          <cell r="A3060" t="str">
            <v>37518200411</v>
          </cell>
          <cell r="B3060">
            <v>37518</v>
          </cell>
          <cell r="C3060" t="str">
            <v>NG</v>
          </cell>
          <cell r="D3060" t="str">
            <v>200411</v>
          </cell>
          <cell r="E3060">
            <v>3.9249999999999998</v>
          </cell>
        </row>
        <row r="3061">
          <cell r="A3061" t="str">
            <v>37518200412</v>
          </cell>
          <cell r="B3061">
            <v>37518</v>
          </cell>
          <cell r="C3061" t="str">
            <v>NG</v>
          </cell>
          <cell r="D3061" t="str">
            <v>200412</v>
          </cell>
          <cell r="E3061">
            <v>4.0949999999999998</v>
          </cell>
        </row>
        <row r="3062">
          <cell r="A3062" t="str">
            <v>37519200401</v>
          </cell>
          <cell r="B3062">
            <v>37519</v>
          </cell>
          <cell r="C3062" t="str">
            <v>NG</v>
          </cell>
          <cell r="D3062" t="str">
            <v>200401</v>
          </cell>
          <cell r="E3062">
            <v>4.3250000000000002</v>
          </cell>
        </row>
        <row r="3063">
          <cell r="A3063" t="str">
            <v>37519200402</v>
          </cell>
          <cell r="B3063">
            <v>37519</v>
          </cell>
          <cell r="C3063" t="str">
            <v>NG</v>
          </cell>
          <cell r="D3063" t="str">
            <v>200402</v>
          </cell>
          <cell r="E3063">
            <v>4.1950000000000003</v>
          </cell>
        </row>
        <row r="3064">
          <cell r="A3064" t="str">
            <v>37519200403</v>
          </cell>
          <cell r="B3064">
            <v>37519</v>
          </cell>
          <cell r="C3064" t="str">
            <v>NG</v>
          </cell>
          <cell r="D3064" t="str">
            <v>200403</v>
          </cell>
          <cell r="E3064">
            <v>4.01</v>
          </cell>
        </row>
        <row r="3065">
          <cell r="A3065" t="str">
            <v>37519200404</v>
          </cell>
          <cell r="B3065">
            <v>37519</v>
          </cell>
          <cell r="C3065" t="str">
            <v>NG</v>
          </cell>
          <cell r="D3065" t="str">
            <v>200404</v>
          </cell>
          <cell r="E3065">
            <v>3.7450000000000001</v>
          </cell>
        </row>
        <row r="3066">
          <cell r="A3066" t="str">
            <v>37519200405</v>
          </cell>
          <cell r="B3066">
            <v>37519</v>
          </cell>
          <cell r="C3066" t="str">
            <v>NG</v>
          </cell>
          <cell r="D3066" t="str">
            <v>200405</v>
          </cell>
          <cell r="E3066">
            <v>3.6949999999999998</v>
          </cell>
        </row>
        <row r="3067">
          <cell r="A3067" t="str">
            <v>37519200406</v>
          </cell>
          <cell r="B3067">
            <v>37519</v>
          </cell>
          <cell r="C3067" t="str">
            <v>NG</v>
          </cell>
          <cell r="D3067" t="str">
            <v>200406</v>
          </cell>
          <cell r="E3067">
            <v>3.7050000000000001</v>
          </cell>
        </row>
        <row r="3068">
          <cell r="A3068" t="str">
            <v>37519200407</v>
          </cell>
          <cell r="B3068">
            <v>37519</v>
          </cell>
          <cell r="C3068" t="str">
            <v>NG</v>
          </cell>
          <cell r="D3068" t="str">
            <v>200407</v>
          </cell>
          <cell r="E3068">
            <v>3.7170000000000001</v>
          </cell>
        </row>
        <row r="3069">
          <cell r="A3069" t="str">
            <v>37519200408</v>
          </cell>
          <cell r="B3069">
            <v>37519</v>
          </cell>
          <cell r="C3069" t="str">
            <v>NG</v>
          </cell>
          <cell r="D3069" t="str">
            <v>200408</v>
          </cell>
          <cell r="E3069">
            <v>3.7269999999999999</v>
          </cell>
        </row>
        <row r="3070">
          <cell r="A3070" t="str">
            <v>37519200409</v>
          </cell>
          <cell r="B3070">
            <v>37519</v>
          </cell>
          <cell r="C3070" t="str">
            <v>NG</v>
          </cell>
          <cell r="D3070" t="str">
            <v>200409</v>
          </cell>
          <cell r="E3070">
            <v>3.7189999999999999</v>
          </cell>
        </row>
        <row r="3071">
          <cell r="A3071" t="str">
            <v>37519200410</v>
          </cell>
          <cell r="B3071">
            <v>37519</v>
          </cell>
          <cell r="C3071" t="str">
            <v>NG</v>
          </cell>
          <cell r="D3071" t="str">
            <v>200410</v>
          </cell>
          <cell r="E3071">
            <v>3.7490000000000001</v>
          </cell>
        </row>
        <row r="3072">
          <cell r="A3072" t="str">
            <v>37519200411</v>
          </cell>
          <cell r="B3072">
            <v>37519</v>
          </cell>
          <cell r="C3072" t="str">
            <v>NG</v>
          </cell>
          <cell r="D3072" t="str">
            <v>200411</v>
          </cell>
          <cell r="E3072">
            <v>3.9249999999999998</v>
          </cell>
        </row>
        <row r="3073">
          <cell r="A3073" t="str">
            <v>37519200412</v>
          </cell>
          <cell r="B3073">
            <v>37519</v>
          </cell>
          <cell r="C3073" t="str">
            <v>NG</v>
          </cell>
          <cell r="D3073" t="str">
            <v>200412</v>
          </cell>
          <cell r="E3073">
            <v>4.0949999999999998</v>
          </cell>
        </row>
        <row r="3074">
          <cell r="A3074" t="str">
            <v>37520200401</v>
          </cell>
          <cell r="B3074">
            <v>37520</v>
          </cell>
          <cell r="C3074" t="str">
            <v>NG</v>
          </cell>
          <cell r="D3074" t="str">
            <v>200401</v>
          </cell>
          <cell r="E3074">
            <v>4.3250000000000002</v>
          </cell>
        </row>
        <row r="3075">
          <cell r="A3075" t="str">
            <v>37520200402</v>
          </cell>
          <cell r="B3075">
            <v>37520</v>
          </cell>
          <cell r="C3075" t="str">
            <v>NG</v>
          </cell>
          <cell r="D3075" t="str">
            <v>200402</v>
          </cell>
          <cell r="E3075">
            <v>4.1950000000000003</v>
          </cell>
        </row>
        <row r="3076">
          <cell r="A3076" t="str">
            <v>37520200403</v>
          </cell>
          <cell r="B3076">
            <v>37520</v>
          </cell>
          <cell r="C3076" t="str">
            <v>NG</v>
          </cell>
          <cell r="D3076" t="str">
            <v>200403</v>
          </cell>
          <cell r="E3076">
            <v>4.01</v>
          </cell>
        </row>
        <row r="3077">
          <cell r="A3077" t="str">
            <v>37520200404</v>
          </cell>
          <cell r="B3077">
            <v>37520</v>
          </cell>
          <cell r="C3077" t="str">
            <v>NG</v>
          </cell>
          <cell r="D3077" t="str">
            <v>200404</v>
          </cell>
          <cell r="E3077">
            <v>3.7450000000000001</v>
          </cell>
        </row>
        <row r="3078">
          <cell r="A3078" t="str">
            <v>37520200405</v>
          </cell>
          <cell r="B3078">
            <v>37520</v>
          </cell>
          <cell r="C3078" t="str">
            <v>NG</v>
          </cell>
          <cell r="D3078" t="str">
            <v>200405</v>
          </cell>
          <cell r="E3078">
            <v>3.6949999999999998</v>
          </cell>
        </row>
        <row r="3079">
          <cell r="A3079" t="str">
            <v>37520200406</v>
          </cell>
          <cell r="B3079">
            <v>37520</v>
          </cell>
          <cell r="C3079" t="str">
            <v>NG</v>
          </cell>
          <cell r="D3079" t="str">
            <v>200406</v>
          </cell>
          <cell r="E3079">
            <v>3.7050000000000001</v>
          </cell>
        </row>
        <row r="3080">
          <cell r="A3080" t="str">
            <v>37520200407</v>
          </cell>
          <cell r="B3080">
            <v>37520</v>
          </cell>
          <cell r="C3080" t="str">
            <v>NG</v>
          </cell>
          <cell r="D3080" t="str">
            <v>200407</v>
          </cell>
          <cell r="E3080">
            <v>3.7170000000000001</v>
          </cell>
        </row>
        <row r="3081">
          <cell r="A3081" t="str">
            <v>37520200408</v>
          </cell>
          <cell r="B3081">
            <v>37520</v>
          </cell>
          <cell r="C3081" t="str">
            <v>NG</v>
          </cell>
          <cell r="D3081" t="str">
            <v>200408</v>
          </cell>
          <cell r="E3081">
            <v>3.7269999999999999</v>
          </cell>
        </row>
        <row r="3082">
          <cell r="A3082" t="str">
            <v>37520200409</v>
          </cell>
          <cell r="B3082">
            <v>37520</v>
          </cell>
          <cell r="C3082" t="str">
            <v>NG</v>
          </cell>
          <cell r="D3082" t="str">
            <v>200409</v>
          </cell>
          <cell r="E3082">
            <v>3.7189999999999999</v>
          </cell>
        </row>
        <row r="3083">
          <cell r="A3083" t="str">
            <v>37520200410</v>
          </cell>
          <cell r="B3083">
            <v>37520</v>
          </cell>
          <cell r="C3083" t="str">
            <v>NG</v>
          </cell>
          <cell r="D3083" t="str">
            <v>200410</v>
          </cell>
          <cell r="E3083">
            <v>3.7490000000000001</v>
          </cell>
        </row>
        <row r="3084">
          <cell r="A3084" t="str">
            <v>37520200411</v>
          </cell>
          <cell r="B3084">
            <v>37520</v>
          </cell>
          <cell r="C3084" t="str">
            <v>NG</v>
          </cell>
          <cell r="D3084" t="str">
            <v>200411</v>
          </cell>
          <cell r="E3084">
            <v>3.9249999999999998</v>
          </cell>
        </row>
        <row r="3085">
          <cell r="A3085" t="str">
            <v>37520200412</v>
          </cell>
          <cell r="B3085">
            <v>37520</v>
          </cell>
          <cell r="C3085" t="str">
            <v>NG</v>
          </cell>
          <cell r="D3085" t="str">
            <v>200412</v>
          </cell>
          <cell r="E3085">
            <v>4.0949999999999998</v>
          </cell>
        </row>
        <row r="3086">
          <cell r="A3086" t="str">
            <v>37521200401</v>
          </cell>
          <cell r="B3086">
            <v>37521</v>
          </cell>
          <cell r="C3086" t="str">
            <v>NG</v>
          </cell>
          <cell r="D3086" t="str">
            <v>200401</v>
          </cell>
          <cell r="E3086">
            <v>4.3250000000000002</v>
          </cell>
        </row>
        <row r="3087">
          <cell r="A3087" t="str">
            <v>37521200402</v>
          </cell>
          <cell r="B3087">
            <v>37521</v>
          </cell>
          <cell r="C3087" t="str">
            <v>NG</v>
          </cell>
          <cell r="D3087" t="str">
            <v>200402</v>
          </cell>
          <cell r="E3087">
            <v>4.1950000000000003</v>
          </cell>
        </row>
        <row r="3088">
          <cell r="A3088" t="str">
            <v>37521200403</v>
          </cell>
          <cell r="B3088">
            <v>37521</v>
          </cell>
          <cell r="C3088" t="str">
            <v>NG</v>
          </cell>
          <cell r="D3088" t="str">
            <v>200403</v>
          </cell>
          <cell r="E3088">
            <v>4.01</v>
          </cell>
        </row>
        <row r="3089">
          <cell r="A3089" t="str">
            <v>37521200404</v>
          </cell>
          <cell r="B3089">
            <v>37521</v>
          </cell>
          <cell r="C3089" t="str">
            <v>NG</v>
          </cell>
          <cell r="D3089" t="str">
            <v>200404</v>
          </cell>
          <cell r="E3089">
            <v>3.7450000000000001</v>
          </cell>
        </row>
        <row r="3090">
          <cell r="A3090" t="str">
            <v>37521200405</v>
          </cell>
          <cell r="B3090">
            <v>37521</v>
          </cell>
          <cell r="C3090" t="str">
            <v>NG</v>
          </cell>
          <cell r="D3090" t="str">
            <v>200405</v>
          </cell>
          <cell r="E3090">
            <v>3.6949999999999998</v>
          </cell>
        </row>
        <row r="3091">
          <cell r="A3091" t="str">
            <v>37521200406</v>
          </cell>
          <cell r="B3091">
            <v>37521</v>
          </cell>
          <cell r="C3091" t="str">
            <v>NG</v>
          </cell>
          <cell r="D3091" t="str">
            <v>200406</v>
          </cell>
          <cell r="E3091">
            <v>3.7050000000000001</v>
          </cell>
        </row>
        <row r="3092">
          <cell r="A3092" t="str">
            <v>37521200407</v>
          </cell>
          <cell r="B3092">
            <v>37521</v>
          </cell>
          <cell r="C3092" t="str">
            <v>NG</v>
          </cell>
          <cell r="D3092" t="str">
            <v>200407</v>
          </cell>
          <cell r="E3092">
            <v>3.7170000000000001</v>
          </cell>
        </row>
        <row r="3093">
          <cell r="A3093" t="str">
            <v>37521200408</v>
          </cell>
          <cell r="B3093">
            <v>37521</v>
          </cell>
          <cell r="C3093" t="str">
            <v>NG</v>
          </cell>
          <cell r="D3093" t="str">
            <v>200408</v>
          </cell>
          <cell r="E3093">
            <v>3.7269999999999999</v>
          </cell>
        </row>
        <row r="3094">
          <cell r="A3094" t="str">
            <v>37521200409</v>
          </cell>
          <cell r="B3094">
            <v>37521</v>
          </cell>
          <cell r="C3094" t="str">
            <v>NG</v>
          </cell>
          <cell r="D3094" t="str">
            <v>200409</v>
          </cell>
          <cell r="E3094">
            <v>3.7189999999999999</v>
          </cell>
        </row>
        <row r="3095">
          <cell r="A3095" t="str">
            <v>37521200410</v>
          </cell>
          <cell r="B3095">
            <v>37521</v>
          </cell>
          <cell r="C3095" t="str">
            <v>NG</v>
          </cell>
          <cell r="D3095" t="str">
            <v>200410</v>
          </cell>
          <cell r="E3095">
            <v>3.7490000000000001</v>
          </cell>
        </row>
        <row r="3096">
          <cell r="A3096" t="str">
            <v>37521200411</v>
          </cell>
          <cell r="B3096">
            <v>37521</v>
          </cell>
          <cell r="C3096" t="str">
            <v>NG</v>
          </cell>
          <cell r="D3096" t="str">
            <v>200411</v>
          </cell>
          <cell r="E3096">
            <v>3.9249999999999998</v>
          </cell>
        </row>
        <row r="3097">
          <cell r="A3097" t="str">
            <v>37521200412</v>
          </cell>
          <cell r="B3097">
            <v>37521</v>
          </cell>
          <cell r="C3097" t="str">
            <v>NG</v>
          </cell>
          <cell r="D3097" t="str">
            <v>200412</v>
          </cell>
          <cell r="E3097">
            <v>4.0949999999999998</v>
          </cell>
        </row>
        <row r="3098">
          <cell r="A3098" t="str">
            <v>37522200401</v>
          </cell>
          <cell r="B3098">
            <v>37522</v>
          </cell>
          <cell r="C3098" t="str">
            <v>NG</v>
          </cell>
          <cell r="D3098" t="str">
            <v>200401</v>
          </cell>
          <cell r="E3098">
            <v>4.3499999999999996</v>
          </cell>
        </row>
        <row r="3099">
          <cell r="A3099" t="str">
            <v>37522200402</v>
          </cell>
          <cell r="B3099">
            <v>37522</v>
          </cell>
          <cell r="C3099" t="str">
            <v>NG</v>
          </cell>
          <cell r="D3099" t="str">
            <v>200402</v>
          </cell>
          <cell r="E3099">
            <v>4.2220000000000004</v>
          </cell>
        </row>
        <row r="3100">
          <cell r="A3100" t="str">
            <v>37522200403</v>
          </cell>
          <cell r="B3100">
            <v>37522</v>
          </cell>
          <cell r="C3100" t="str">
            <v>NG</v>
          </cell>
          <cell r="D3100" t="str">
            <v>200403</v>
          </cell>
          <cell r="E3100">
            <v>4.04</v>
          </cell>
        </row>
        <row r="3101">
          <cell r="A3101" t="str">
            <v>37522200404</v>
          </cell>
          <cell r="B3101">
            <v>37522</v>
          </cell>
          <cell r="C3101" t="str">
            <v>NG</v>
          </cell>
          <cell r="D3101" t="str">
            <v>200404</v>
          </cell>
          <cell r="E3101">
            <v>3.78</v>
          </cell>
        </row>
        <row r="3102">
          <cell r="A3102" t="str">
            <v>37522200405</v>
          </cell>
          <cell r="B3102">
            <v>37522</v>
          </cell>
          <cell r="C3102" t="str">
            <v>NG</v>
          </cell>
          <cell r="D3102" t="str">
            <v>200405</v>
          </cell>
          <cell r="E3102">
            <v>3.73</v>
          </cell>
        </row>
        <row r="3103">
          <cell r="A3103" t="str">
            <v>37522200406</v>
          </cell>
          <cell r="B3103">
            <v>37522</v>
          </cell>
          <cell r="C3103" t="str">
            <v>NG</v>
          </cell>
          <cell r="D3103" t="str">
            <v>200406</v>
          </cell>
          <cell r="E3103">
            <v>3.74</v>
          </cell>
        </row>
        <row r="3104">
          <cell r="A3104" t="str">
            <v>37522200407</v>
          </cell>
          <cell r="B3104">
            <v>37522</v>
          </cell>
          <cell r="C3104" t="str">
            <v>NG</v>
          </cell>
          <cell r="D3104" t="str">
            <v>200407</v>
          </cell>
          <cell r="E3104">
            <v>3.75</v>
          </cell>
        </row>
        <row r="3105">
          <cell r="A3105" t="str">
            <v>37522200408</v>
          </cell>
          <cell r="B3105">
            <v>37522</v>
          </cell>
          <cell r="C3105" t="str">
            <v>NG</v>
          </cell>
          <cell r="D3105" t="str">
            <v>200408</v>
          </cell>
          <cell r="E3105">
            <v>3.76</v>
          </cell>
        </row>
        <row r="3106">
          <cell r="A3106" t="str">
            <v>37522200409</v>
          </cell>
          <cell r="B3106">
            <v>37522</v>
          </cell>
          <cell r="C3106" t="str">
            <v>NG</v>
          </cell>
          <cell r="D3106" t="str">
            <v>200409</v>
          </cell>
          <cell r="E3106">
            <v>3.7519999999999998</v>
          </cell>
        </row>
        <row r="3107">
          <cell r="A3107" t="str">
            <v>37522200410</v>
          </cell>
          <cell r="B3107">
            <v>37522</v>
          </cell>
          <cell r="C3107" t="str">
            <v>NG</v>
          </cell>
          <cell r="D3107" t="str">
            <v>200410</v>
          </cell>
          <cell r="E3107">
            <v>3.7789999999999999</v>
          </cell>
        </row>
        <row r="3108">
          <cell r="A3108" t="str">
            <v>37522200411</v>
          </cell>
          <cell r="B3108">
            <v>37522</v>
          </cell>
          <cell r="C3108" t="str">
            <v>NG</v>
          </cell>
          <cell r="D3108" t="str">
            <v>200411</v>
          </cell>
          <cell r="E3108">
            <v>3.9550000000000001</v>
          </cell>
        </row>
        <row r="3109">
          <cell r="A3109" t="str">
            <v>37522200412</v>
          </cell>
          <cell r="B3109">
            <v>37522</v>
          </cell>
          <cell r="C3109" t="str">
            <v>NG</v>
          </cell>
          <cell r="D3109" t="str">
            <v>200412</v>
          </cell>
          <cell r="E3109">
            <v>4.125</v>
          </cell>
        </row>
        <row r="3110">
          <cell r="A3110" t="str">
            <v>37523200401</v>
          </cell>
          <cell r="B3110">
            <v>37523</v>
          </cell>
          <cell r="C3110" t="str">
            <v>NG</v>
          </cell>
          <cell r="D3110" t="str">
            <v>200401</v>
          </cell>
          <cell r="E3110">
            <v>4.25</v>
          </cell>
        </row>
        <row r="3111">
          <cell r="A3111" t="str">
            <v>37523200402</v>
          </cell>
          <cell r="B3111">
            <v>37523</v>
          </cell>
          <cell r="C3111" t="str">
            <v>NG</v>
          </cell>
          <cell r="D3111" t="str">
            <v>200402</v>
          </cell>
          <cell r="E3111">
            <v>4.125</v>
          </cell>
        </row>
        <row r="3112">
          <cell r="A3112" t="str">
            <v>37523200403</v>
          </cell>
          <cell r="B3112">
            <v>37523</v>
          </cell>
          <cell r="C3112" t="str">
            <v>NG</v>
          </cell>
          <cell r="D3112" t="str">
            <v>200403</v>
          </cell>
          <cell r="E3112">
            <v>3.95</v>
          </cell>
        </row>
        <row r="3113">
          <cell r="A3113" t="str">
            <v>37523200404</v>
          </cell>
          <cell r="B3113">
            <v>37523</v>
          </cell>
          <cell r="C3113" t="str">
            <v>NG</v>
          </cell>
          <cell r="D3113" t="str">
            <v>200404</v>
          </cell>
          <cell r="E3113">
            <v>3.6949999999999998</v>
          </cell>
        </row>
        <row r="3114">
          <cell r="A3114" t="str">
            <v>37523200405</v>
          </cell>
          <cell r="B3114">
            <v>37523</v>
          </cell>
          <cell r="C3114" t="str">
            <v>NG</v>
          </cell>
          <cell r="D3114" t="str">
            <v>200405</v>
          </cell>
          <cell r="E3114">
            <v>3.65</v>
          </cell>
        </row>
        <row r="3115">
          <cell r="A3115" t="str">
            <v>37523200406</v>
          </cell>
          <cell r="B3115">
            <v>37523</v>
          </cell>
          <cell r="C3115" t="str">
            <v>NG</v>
          </cell>
          <cell r="D3115" t="str">
            <v>200406</v>
          </cell>
          <cell r="E3115">
            <v>3.66</v>
          </cell>
        </row>
        <row r="3116">
          <cell r="A3116" t="str">
            <v>37523200407</v>
          </cell>
          <cell r="B3116">
            <v>37523</v>
          </cell>
          <cell r="C3116" t="str">
            <v>NG</v>
          </cell>
          <cell r="D3116" t="str">
            <v>200407</v>
          </cell>
          <cell r="E3116">
            <v>3.67</v>
          </cell>
        </row>
        <row r="3117">
          <cell r="A3117" t="str">
            <v>37523200408</v>
          </cell>
          <cell r="B3117">
            <v>37523</v>
          </cell>
          <cell r="C3117" t="str">
            <v>NG</v>
          </cell>
          <cell r="D3117" t="str">
            <v>200408</v>
          </cell>
          <cell r="E3117">
            <v>3.68</v>
          </cell>
        </row>
        <row r="3118">
          <cell r="A3118" t="str">
            <v>37523200409</v>
          </cell>
          <cell r="B3118">
            <v>37523</v>
          </cell>
          <cell r="C3118" t="str">
            <v>NG</v>
          </cell>
          <cell r="D3118" t="str">
            <v>200409</v>
          </cell>
          <cell r="E3118">
            <v>3.6720000000000002</v>
          </cell>
        </row>
        <row r="3119">
          <cell r="A3119" t="str">
            <v>37523200410</v>
          </cell>
          <cell r="B3119">
            <v>37523</v>
          </cell>
          <cell r="C3119" t="str">
            <v>NG</v>
          </cell>
          <cell r="D3119" t="str">
            <v>200410</v>
          </cell>
          <cell r="E3119">
            <v>3.6989999999999998</v>
          </cell>
        </row>
        <row r="3120">
          <cell r="A3120" t="str">
            <v>37523200411</v>
          </cell>
          <cell r="B3120">
            <v>37523</v>
          </cell>
          <cell r="C3120" t="str">
            <v>NG</v>
          </cell>
          <cell r="D3120" t="str">
            <v>200411</v>
          </cell>
          <cell r="E3120">
            <v>3.8719999999999999</v>
          </cell>
        </row>
        <row r="3121">
          <cell r="A3121" t="str">
            <v>37523200412</v>
          </cell>
          <cell r="B3121">
            <v>37523</v>
          </cell>
          <cell r="C3121" t="str">
            <v>NG</v>
          </cell>
          <cell r="D3121" t="str">
            <v>200412</v>
          </cell>
          <cell r="E3121">
            <v>4.0449999999999999</v>
          </cell>
        </row>
        <row r="3122">
          <cell r="A3122" t="str">
            <v>37524200401</v>
          </cell>
          <cell r="B3122">
            <v>37524</v>
          </cell>
          <cell r="C3122" t="str">
            <v>NG</v>
          </cell>
          <cell r="D3122" t="str">
            <v>200401</v>
          </cell>
          <cell r="E3122">
            <v>4.2629999999999999</v>
          </cell>
        </row>
        <row r="3123">
          <cell r="A3123" t="str">
            <v>37524200402</v>
          </cell>
          <cell r="B3123">
            <v>37524</v>
          </cell>
          <cell r="C3123" t="str">
            <v>NG</v>
          </cell>
          <cell r="D3123" t="str">
            <v>200402</v>
          </cell>
          <cell r="E3123">
            <v>4.1479999999999997</v>
          </cell>
        </row>
        <row r="3124">
          <cell r="A3124" t="str">
            <v>37524200403</v>
          </cell>
          <cell r="B3124">
            <v>37524</v>
          </cell>
          <cell r="C3124" t="str">
            <v>NG</v>
          </cell>
          <cell r="D3124" t="str">
            <v>200403</v>
          </cell>
          <cell r="E3124">
            <v>3.9830000000000001</v>
          </cell>
        </row>
        <row r="3125">
          <cell r="A3125" t="str">
            <v>37524200404</v>
          </cell>
          <cell r="B3125">
            <v>37524</v>
          </cell>
          <cell r="C3125" t="str">
            <v>NG</v>
          </cell>
          <cell r="D3125" t="str">
            <v>200404</v>
          </cell>
          <cell r="E3125">
            <v>3.738</v>
          </cell>
        </row>
        <row r="3126">
          <cell r="A3126" t="str">
            <v>37524200405</v>
          </cell>
          <cell r="B3126">
            <v>37524</v>
          </cell>
          <cell r="C3126" t="str">
            <v>NG</v>
          </cell>
          <cell r="D3126" t="str">
            <v>200405</v>
          </cell>
          <cell r="E3126">
            <v>3.698</v>
          </cell>
        </row>
        <row r="3127">
          <cell r="A3127" t="str">
            <v>37524200406</v>
          </cell>
          <cell r="B3127">
            <v>37524</v>
          </cell>
          <cell r="C3127" t="str">
            <v>NG</v>
          </cell>
          <cell r="D3127" t="str">
            <v>200406</v>
          </cell>
          <cell r="E3127">
            <v>3.7080000000000002</v>
          </cell>
        </row>
        <row r="3128">
          <cell r="A3128" t="str">
            <v>37524200407</v>
          </cell>
          <cell r="B3128">
            <v>37524</v>
          </cell>
          <cell r="C3128" t="str">
            <v>NG</v>
          </cell>
          <cell r="D3128" t="str">
            <v>200407</v>
          </cell>
          <cell r="E3128">
            <v>3.718</v>
          </cell>
        </row>
        <row r="3129">
          <cell r="A3129" t="str">
            <v>37524200408</v>
          </cell>
          <cell r="B3129">
            <v>37524</v>
          </cell>
          <cell r="C3129" t="str">
            <v>NG</v>
          </cell>
          <cell r="D3129" t="str">
            <v>200408</v>
          </cell>
          <cell r="E3129">
            <v>3.7280000000000002</v>
          </cell>
        </row>
        <row r="3130">
          <cell r="A3130" t="str">
            <v>37524200409</v>
          </cell>
          <cell r="B3130">
            <v>37524</v>
          </cell>
          <cell r="C3130" t="str">
            <v>NG</v>
          </cell>
          <cell r="D3130" t="str">
            <v>200409</v>
          </cell>
          <cell r="E3130">
            <v>3.72</v>
          </cell>
        </row>
        <row r="3131">
          <cell r="A3131" t="str">
            <v>37524200410</v>
          </cell>
          <cell r="B3131">
            <v>37524</v>
          </cell>
          <cell r="C3131" t="str">
            <v>NG</v>
          </cell>
          <cell r="D3131" t="str">
            <v>200410</v>
          </cell>
          <cell r="E3131">
            <v>3.7469999999999999</v>
          </cell>
        </row>
        <row r="3132">
          <cell r="A3132" t="str">
            <v>37524200411</v>
          </cell>
          <cell r="B3132">
            <v>37524</v>
          </cell>
          <cell r="C3132" t="str">
            <v>NG</v>
          </cell>
          <cell r="D3132" t="str">
            <v>200411</v>
          </cell>
          <cell r="E3132">
            <v>3.92</v>
          </cell>
        </row>
        <row r="3133">
          <cell r="A3133" t="str">
            <v>37524200412</v>
          </cell>
          <cell r="B3133">
            <v>37524</v>
          </cell>
          <cell r="C3133" t="str">
            <v>NG</v>
          </cell>
          <cell r="D3133" t="str">
            <v>200412</v>
          </cell>
          <cell r="E3133">
            <v>4.0979999999999999</v>
          </cell>
        </row>
        <row r="3134">
          <cell r="A3134" t="str">
            <v>37525200401</v>
          </cell>
          <cell r="B3134">
            <v>37525</v>
          </cell>
          <cell r="C3134" t="str">
            <v>NG</v>
          </cell>
          <cell r="D3134" t="str">
            <v>200401</v>
          </cell>
          <cell r="E3134">
            <v>4.2729999999999997</v>
          </cell>
        </row>
        <row r="3135">
          <cell r="A3135" t="str">
            <v>37525200402</v>
          </cell>
          <cell r="B3135">
            <v>37525</v>
          </cell>
          <cell r="C3135" t="str">
            <v>NG</v>
          </cell>
          <cell r="D3135" t="str">
            <v>200402</v>
          </cell>
          <cell r="E3135">
            <v>4.1580000000000004</v>
          </cell>
        </row>
        <row r="3136">
          <cell r="A3136" t="str">
            <v>37525200403</v>
          </cell>
          <cell r="B3136">
            <v>37525</v>
          </cell>
          <cell r="C3136" t="str">
            <v>NG</v>
          </cell>
          <cell r="D3136" t="str">
            <v>200403</v>
          </cell>
          <cell r="E3136">
            <v>3.9929999999999999</v>
          </cell>
        </row>
        <row r="3137">
          <cell r="A3137" t="str">
            <v>37525200404</v>
          </cell>
          <cell r="B3137">
            <v>37525</v>
          </cell>
          <cell r="C3137" t="str">
            <v>NG</v>
          </cell>
          <cell r="D3137" t="str">
            <v>200404</v>
          </cell>
          <cell r="E3137">
            <v>3.7429999999999999</v>
          </cell>
        </row>
        <row r="3138">
          <cell r="A3138" t="str">
            <v>37525200405</v>
          </cell>
          <cell r="B3138">
            <v>37525</v>
          </cell>
          <cell r="C3138" t="str">
            <v>NG</v>
          </cell>
          <cell r="D3138" t="str">
            <v>200405</v>
          </cell>
          <cell r="E3138">
            <v>3.6890000000000001</v>
          </cell>
        </row>
        <row r="3139">
          <cell r="A3139" t="str">
            <v>37525200406</v>
          </cell>
          <cell r="B3139">
            <v>37525</v>
          </cell>
          <cell r="C3139" t="str">
            <v>NG</v>
          </cell>
          <cell r="D3139" t="str">
            <v>200406</v>
          </cell>
          <cell r="E3139">
            <v>3.6989999999999998</v>
          </cell>
        </row>
        <row r="3140">
          <cell r="A3140" t="str">
            <v>37525200407</v>
          </cell>
          <cell r="B3140">
            <v>37525</v>
          </cell>
          <cell r="C3140" t="str">
            <v>NG</v>
          </cell>
          <cell r="D3140" t="str">
            <v>200407</v>
          </cell>
          <cell r="E3140">
            <v>3.7090000000000001</v>
          </cell>
        </row>
        <row r="3141">
          <cell r="A3141" t="str">
            <v>37525200408</v>
          </cell>
          <cell r="B3141">
            <v>37525</v>
          </cell>
          <cell r="C3141" t="str">
            <v>NG</v>
          </cell>
          <cell r="D3141" t="str">
            <v>200408</v>
          </cell>
          <cell r="E3141">
            <v>3.7189999999999999</v>
          </cell>
        </row>
        <row r="3142">
          <cell r="A3142" t="str">
            <v>37525200409</v>
          </cell>
          <cell r="B3142">
            <v>37525</v>
          </cell>
          <cell r="C3142" t="str">
            <v>NG</v>
          </cell>
          <cell r="D3142" t="str">
            <v>200409</v>
          </cell>
          <cell r="E3142">
            <v>3.7010000000000001</v>
          </cell>
        </row>
        <row r="3143">
          <cell r="A3143" t="str">
            <v>37525200410</v>
          </cell>
          <cell r="B3143">
            <v>37525</v>
          </cell>
          <cell r="C3143" t="str">
            <v>NG</v>
          </cell>
          <cell r="D3143" t="str">
            <v>200410</v>
          </cell>
          <cell r="E3143">
            <v>3.7280000000000002</v>
          </cell>
        </row>
        <row r="3144">
          <cell r="A3144" t="str">
            <v>37525200411</v>
          </cell>
          <cell r="B3144">
            <v>37525</v>
          </cell>
          <cell r="C3144" t="str">
            <v>NG</v>
          </cell>
          <cell r="D3144" t="str">
            <v>200411</v>
          </cell>
          <cell r="E3144">
            <v>3.9079999999999999</v>
          </cell>
        </row>
        <row r="3145">
          <cell r="A3145" t="str">
            <v>37525200412</v>
          </cell>
          <cell r="B3145">
            <v>37525</v>
          </cell>
          <cell r="C3145" t="str">
            <v>NG</v>
          </cell>
          <cell r="D3145" t="str">
            <v>200412</v>
          </cell>
          <cell r="E3145">
            <v>4.093</v>
          </cell>
        </row>
        <row r="3146">
          <cell r="A3146" t="str">
            <v>37526200401</v>
          </cell>
          <cell r="B3146">
            <v>37526</v>
          </cell>
          <cell r="C3146" t="str">
            <v>NG</v>
          </cell>
          <cell r="D3146" t="str">
            <v>200401</v>
          </cell>
          <cell r="E3146">
            <v>4.2939999999999996</v>
          </cell>
        </row>
        <row r="3147">
          <cell r="A3147" t="str">
            <v>37526200402</v>
          </cell>
          <cell r="B3147">
            <v>37526</v>
          </cell>
          <cell r="C3147" t="str">
            <v>NG</v>
          </cell>
          <cell r="D3147" t="str">
            <v>200402</v>
          </cell>
          <cell r="E3147">
            <v>4.1740000000000004</v>
          </cell>
        </row>
        <row r="3148">
          <cell r="A3148" t="str">
            <v>37526200403</v>
          </cell>
          <cell r="B3148">
            <v>37526</v>
          </cell>
          <cell r="C3148" t="str">
            <v>NG</v>
          </cell>
          <cell r="D3148" t="str">
            <v>200403</v>
          </cell>
          <cell r="E3148">
            <v>3.9990000000000001</v>
          </cell>
        </row>
        <row r="3149">
          <cell r="A3149" t="str">
            <v>37526200404</v>
          </cell>
          <cell r="B3149">
            <v>37526</v>
          </cell>
          <cell r="C3149" t="str">
            <v>NG</v>
          </cell>
          <cell r="D3149" t="str">
            <v>200404</v>
          </cell>
          <cell r="E3149">
            <v>3.7490000000000001</v>
          </cell>
        </row>
        <row r="3150">
          <cell r="A3150" t="str">
            <v>37526200405</v>
          </cell>
          <cell r="B3150">
            <v>37526</v>
          </cell>
          <cell r="C3150" t="str">
            <v>NG</v>
          </cell>
          <cell r="D3150" t="str">
            <v>200405</v>
          </cell>
          <cell r="E3150">
            <v>3.6890000000000001</v>
          </cell>
        </row>
        <row r="3151">
          <cell r="A3151" t="str">
            <v>37526200406</v>
          </cell>
          <cell r="B3151">
            <v>37526</v>
          </cell>
          <cell r="C3151" t="str">
            <v>NG</v>
          </cell>
          <cell r="D3151" t="str">
            <v>200406</v>
          </cell>
          <cell r="E3151">
            <v>3.6970000000000001</v>
          </cell>
        </row>
        <row r="3152">
          <cell r="A3152" t="str">
            <v>37526200407</v>
          </cell>
          <cell r="B3152">
            <v>37526</v>
          </cell>
          <cell r="C3152" t="str">
            <v>NG</v>
          </cell>
          <cell r="D3152" t="str">
            <v>200407</v>
          </cell>
          <cell r="E3152">
            <v>3.702</v>
          </cell>
        </row>
        <row r="3153">
          <cell r="A3153" t="str">
            <v>37526200408</v>
          </cell>
          <cell r="B3153">
            <v>37526</v>
          </cell>
          <cell r="C3153" t="str">
            <v>NG</v>
          </cell>
          <cell r="D3153" t="str">
            <v>200408</v>
          </cell>
          <cell r="E3153">
            <v>3.7090000000000001</v>
          </cell>
        </row>
        <row r="3154">
          <cell r="A3154" t="str">
            <v>37526200409</v>
          </cell>
          <cell r="B3154">
            <v>37526</v>
          </cell>
          <cell r="C3154" t="str">
            <v>NG</v>
          </cell>
          <cell r="D3154" t="str">
            <v>200409</v>
          </cell>
          <cell r="E3154">
            <v>3.6890000000000001</v>
          </cell>
        </row>
        <row r="3155">
          <cell r="A3155" t="str">
            <v>37526200410</v>
          </cell>
          <cell r="B3155">
            <v>37526</v>
          </cell>
          <cell r="C3155" t="str">
            <v>NG</v>
          </cell>
          <cell r="D3155" t="str">
            <v>200410</v>
          </cell>
          <cell r="E3155">
            <v>3.714</v>
          </cell>
        </row>
        <row r="3156">
          <cell r="A3156" t="str">
            <v>37526200411</v>
          </cell>
          <cell r="B3156">
            <v>37526</v>
          </cell>
          <cell r="C3156" t="str">
            <v>NG</v>
          </cell>
          <cell r="D3156" t="str">
            <v>200411</v>
          </cell>
          <cell r="E3156">
            <v>3.8940000000000001</v>
          </cell>
        </row>
        <row r="3157">
          <cell r="A3157" t="str">
            <v>37526200412</v>
          </cell>
          <cell r="B3157">
            <v>37526</v>
          </cell>
          <cell r="C3157" t="str">
            <v>NG</v>
          </cell>
          <cell r="D3157" t="str">
            <v>200412</v>
          </cell>
          <cell r="E3157">
            <v>4.0789999999999997</v>
          </cell>
        </row>
        <row r="3158">
          <cell r="A3158" t="str">
            <v>37527200401</v>
          </cell>
          <cell r="B3158">
            <v>37527</v>
          </cell>
          <cell r="C3158" t="str">
            <v>NG</v>
          </cell>
          <cell r="D3158" t="str">
            <v>200401</v>
          </cell>
          <cell r="E3158">
            <v>4.2939999999999996</v>
          </cell>
        </row>
        <row r="3159">
          <cell r="A3159" t="str">
            <v>37527200402</v>
          </cell>
          <cell r="B3159">
            <v>37527</v>
          </cell>
          <cell r="C3159" t="str">
            <v>NG</v>
          </cell>
          <cell r="D3159" t="str">
            <v>200402</v>
          </cell>
          <cell r="E3159">
            <v>4.1740000000000004</v>
          </cell>
        </row>
        <row r="3160">
          <cell r="A3160" t="str">
            <v>37527200403</v>
          </cell>
          <cell r="B3160">
            <v>37527</v>
          </cell>
          <cell r="C3160" t="str">
            <v>NG</v>
          </cell>
          <cell r="D3160" t="str">
            <v>200403</v>
          </cell>
          <cell r="E3160">
            <v>3.9990000000000001</v>
          </cell>
        </row>
        <row r="3161">
          <cell r="A3161" t="str">
            <v>37527200404</v>
          </cell>
          <cell r="B3161">
            <v>37527</v>
          </cell>
          <cell r="C3161" t="str">
            <v>NG</v>
          </cell>
          <cell r="D3161" t="str">
            <v>200404</v>
          </cell>
          <cell r="E3161">
            <v>3.7490000000000001</v>
          </cell>
        </row>
        <row r="3162">
          <cell r="A3162" t="str">
            <v>37527200405</v>
          </cell>
          <cell r="B3162">
            <v>37527</v>
          </cell>
          <cell r="C3162" t="str">
            <v>NG</v>
          </cell>
          <cell r="D3162" t="str">
            <v>200405</v>
          </cell>
          <cell r="E3162">
            <v>3.6890000000000001</v>
          </cell>
        </row>
        <row r="3163">
          <cell r="A3163" t="str">
            <v>37527200406</v>
          </cell>
          <cell r="B3163">
            <v>37527</v>
          </cell>
          <cell r="C3163" t="str">
            <v>NG</v>
          </cell>
          <cell r="D3163" t="str">
            <v>200406</v>
          </cell>
          <cell r="E3163">
            <v>3.6970000000000001</v>
          </cell>
        </row>
        <row r="3164">
          <cell r="A3164" t="str">
            <v>37527200407</v>
          </cell>
          <cell r="B3164">
            <v>37527</v>
          </cell>
          <cell r="C3164" t="str">
            <v>NG</v>
          </cell>
          <cell r="D3164" t="str">
            <v>200407</v>
          </cell>
          <cell r="E3164">
            <v>3.702</v>
          </cell>
        </row>
        <row r="3165">
          <cell r="A3165" t="str">
            <v>37527200408</v>
          </cell>
          <cell r="B3165">
            <v>37527</v>
          </cell>
          <cell r="C3165" t="str">
            <v>NG</v>
          </cell>
          <cell r="D3165" t="str">
            <v>200408</v>
          </cell>
          <cell r="E3165">
            <v>3.7090000000000001</v>
          </cell>
        </row>
        <row r="3166">
          <cell r="A3166" t="str">
            <v>37527200409</v>
          </cell>
          <cell r="B3166">
            <v>37527</v>
          </cell>
          <cell r="C3166" t="str">
            <v>NG</v>
          </cell>
          <cell r="D3166" t="str">
            <v>200409</v>
          </cell>
          <cell r="E3166">
            <v>3.6890000000000001</v>
          </cell>
        </row>
        <row r="3167">
          <cell r="A3167" t="str">
            <v>37527200410</v>
          </cell>
          <cell r="B3167">
            <v>37527</v>
          </cell>
          <cell r="C3167" t="str">
            <v>NG</v>
          </cell>
          <cell r="D3167" t="str">
            <v>200410</v>
          </cell>
          <cell r="E3167">
            <v>3.714</v>
          </cell>
        </row>
        <row r="3168">
          <cell r="A3168" t="str">
            <v>37527200411</v>
          </cell>
          <cell r="B3168">
            <v>37527</v>
          </cell>
          <cell r="C3168" t="str">
            <v>NG</v>
          </cell>
          <cell r="D3168" t="str">
            <v>200411</v>
          </cell>
          <cell r="E3168">
            <v>3.8940000000000001</v>
          </cell>
        </row>
        <row r="3169">
          <cell r="A3169" t="str">
            <v>37527200412</v>
          </cell>
          <cell r="B3169">
            <v>37527</v>
          </cell>
          <cell r="C3169" t="str">
            <v>NG</v>
          </cell>
          <cell r="D3169" t="str">
            <v>200412</v>
          </cell>
          <cell r="E3169">
            <v>4.0789999999999997</v>
          </cell>
        </row>
        <row r="3170">
          <cell r="A3170" t="str">
            <v>37528200401</v>
          </cell>
          <cell r="B3170">
            <v>37528</v>
          </cell>
          <cell r="C3170" t="str">
            <v>NG</v>
          </cell>
          <cell r="D3170" t="str">
            <v>200401</v>
          </cell>
          <cell r="E3170">
            <v>4.2939999999999996</v>
          </cell>
        </row>
        <row r="3171">
          <cell r="A3171" t="str">
            <v>37528200402</v>
          </cell>
          <cell r="B3171">
            <v>37528</v>
          </cell>
          <cell r="C3171" t="str">
            <v>NG</v>
          </cell>
          <cell r="D3171" t="str">
            <v>200402</v>
          </cell>
          <cell r="E3171">
            <v>4.1740000000000004</v>
          </cell>
        </row>
        <row r="3172">
          <cell r="A3172" t="str">
            <v>37528200403</v>
          </cell>
          <cell r="B3172">
            <v>37528</v>
          </cell>
          <cell r="C3172" t="str">
            <v>NG</v>
          </cell>
          <cell r="D3172" t="str">
            <v>200403</v>
          </cell>
          <cell r="E3172">
            <v>3.9990000000000001</v>
          </cell>
        </row>
        <row r="3173">
          <cell r="A3173" t="str">
            <v>37528200404</v>
          </cell>
          <cell r="B3173">
            <v>37528</v>
          </cell>
          <cell r="C3173" t="str">
            <v>NG</v>
          </cell>
          <cell r="D3173" t="str">
            <v>200404</v>
          </cell>
          <cell r="E3173">
            <v>3.7490000000000001</v>
          </cell>
        </row>
        <row r="3174">
          <cell r="A3174" t="str">
            <v>37528200405</v>
          </cell>
          <cell r="B3174">
            <v>37528</v>
          </cell>
          <cell r="C3174" t="str">
            <v>NG</v>
          </cell>
          <cell r="D3174" t="str">
            <v>200405</v>
          </cell>
          <cell r="E3174">
            <v>3.6890000000000001</v>
          </cell>
        </row>
        <row r="3175">
          <cell r="A3175" t="str">
            <v>37528200406</v>
          </cell>
          <cell r="B3175">
            <v>37528</v>
          </cell>
          <cell r="C3175" t="str">
            <v>NG</v>
          </cell>
          <cell r="D3175" t="str">
            <v>200406</v>
          </cell>
          <cell r="E3175">
            <v>3.6970000000000001</v>
          </cell>
        </row>
        <row r="3176">
          <cell r="A3176" t="str">
            <v>37528200407</v>
          </cell>
          <cell r="B3176">
            <v>37528</v>
          </cell>
          <cell r="C3176" t="str">
            <v>NG</v>
          </cell>
          <cell r="D3176" t="str">
            <v>200407</v>
          </cell>
          <cell r="E3176">
            <v>3.702</v>
          </cell>
        </row>
        <row r="3177">
          <cell r="A3177" t="str">
            <v>37528200408</v>
          </cell>
          <cell r="B3177">
            <v>37528</v>
          </cell>
          <cell r="C3177" t="str">
            <v>NG</v>
          </cell>
          <cell r="D3177" t="str">
            <v>200408</v>
          </cell>
          <cell r="E3177">
            <v>3.7090000000000001</v>
          </cell>
        </row>
        <row r="3178">
          <cell r="A3178" t="str">
            <v>37528200409</v>
          </cell>
          <cell r="B3178">
            <v>37528</v>
          </cell>
          <cell r="C3178" t="str">
            <v>NG</v>
          </cell>
          <cell r="D3178" t="str">
            <v>200409</v>
          </cell>
          <cell r="E3178">
            <v>3.6890000000000001</v>
          </cell>
        </row>
        <row r="3179">
          <cell r="A3179" t="str">
            <v>37528200410</v>
          </cell>
          <cell r="B3179">
            <v>37528</v>
          </cell>
          <cell r="C3179" t="str">
            <v>NG</v>
          </cell>
          <cell r="D3179" t="str">
            <v>200410</v>
          </cell>
          <cell r="E3179">
            <v>3.714</v>
          </cell>
        </row>
        <row r="3180">
          <cell r="A3180" t="str">
            <v>37528200411</v>
          </cell>
          <cell r="B3180">
            <v>37528</v>
          </cell>
          <cell r="C3180" t="str">
            <v>NG</v>
          </cell>
          <cell r="D3180" t="str">
            <v>200411</v>
          </cell>
          <cell r="E3180">
            <v>3.8940000000000001</v>
          </cell>
        </row>
        <row r="3181">
          <cell r="A3181" t="str">
            <v>37528200412</v>
          </cell>
          <cell r="B3181">
            <v>37528</v>
          </cell>
          <cell r="C3181" t="str">
            <v>NG</v>
          </cell>
          <cell r="D3181" t="str">
            <v>200412</v>
          </cell>
          <cell r="E3181">
            <v>4.0789999999999997</v>
          </cell>
        </row>
        <row r="3182">
          <cell r="A3182" t="str">
            <v>37529200401</v>
          </cell>
          <cell r="B3182">
            <v>37529</v>
          </cell>
          <cell r="C3182" t="str">
            <v>NG</v>
          </cell>
          <cell r="D3182" t="str">
            <v>200401</v>
          </cell>
          <cell r="E3182">
            <v>4.3179999999999996</v>
          </cell>
        </row>
        <row r="3183">
          <cell r="A3183" t="str">
            <v>37529200402</v>
          </cell>
          <cell r="B3183">
            <v>37529</v>
          </cell>
          <cell r="C3183" t="str">
            <v>NG</v>
          </cell>
          <cell r="D3183" t="str">
            <v>200402</v>
          </cell>
          <cell r="E3183">
            <v>4.1980000000000004</v>
          </cell>
        </row>
        <row r="3184">
          <cell r="A3184" t="str">
            <v>37529200403</v>
          </cell>
          <cell r="B3184">
            <v>37529</v>
          </cell>
          <cell r="C3184" t="str">
            <v>NG</v>
          </cell>
          <cell r="D3184" t="str">
            <v>200403</v>
          </cell>
          <cell r="E3184">
            <v>4.0179999999999998</v>
          </cell>
        </row>
        <row r="3185">
          <cell r="A3185" t="str">
            <v>37529200404</v>
          </cell>
          <cell r="B3185">
            <v>37529</v>
          </cell>
          <cell r="C3185" t="str">
            <v>NG</v>
          </cell>
          <cell r="D3185" t="str">
            <v>200404</v>
          </cell>
          <cell r="E3185">
            <v>3.7679999999999998</v>
          </cell>
        </row>
        <row r="3186">
          <cell r="A3186" t="str">
            <v>37529200405</v>
          </cell>
          <cell r="B3186">
            <v>37529</v>
          </cell>
          <cell r="C3186" t="str">
            <v>NG</v>
          </cell>
          <cell r="D3186" t="str">
            <v>200405</v>
          </cell>
          <cell r="E3186">
            <v>3.7080000000000002</v>
          </cell>
        </row>
        <row r="3187">
          <cell r="A3187" t="str">
            <v>37529200406</v>
          </cell>
          <cell r="B3187">
            <v>37529</v>
          </cell>
          <cell r="C3187" t="str">
            <v>NG</v>
          </cell>
          <cell r="D3187" t="str">
            <v>200406</v>
          </cell>
          <cell r="E3187">
            <v>3.7130000000000001</v>
          </cell>
        </row>
        <row r="3188">
          <cell r="A3188" t="str">
            <v>37529200407</v>
          </cell>
          <cell r="B3188">
            <v>37529</v>
          </cell>
          <cell r="C3188" t="str">
            <v>NG</v>
          </cell>
          <cell r="D3188" t="str">
            <v>200407</v>
          </cell>
          <cell r="E3188">
            <v>3.718</v>
          </cell>
        </row>
        <row r="3189">
          <cell r="A3189" t="str">
            <v>37529200408</v>
          </cell>
          <cell r="B3189">
            <v>37529</v>
          </cell>
          <cell r="C3189" t="str">
            <v>NG</v>
          </cell>
          <cell r="D3189" t="str">
            <v>200408</v>
          </cell>
          <cell r="E3189">
            <v>3.7229999999999999</v>
          </cell>
        </row>
        <row r="3190">
          <cell r="A3190" t="str">
            <v>37529200409</v>
          </cell>
          <cell r="B3190">
            <v>37529</v>
          </cell>
          <cell r="C3190" t="str">
            <v>NG</v>
          </cell>
          <cell r="D3190" t="str">
            <v>200409</v>
          </cell>
          <cell r="E3190">
            <v>3.7029999999999998</v>
          </cell>
        </row>
        <row r="3191">
          <cell r="A3191" t="str">
            <v>37529200410</v>
          </cell>
          <cell r="B3191">
            <v>37529</v>
          </cell>
          <cell r="C3191" t="str">
            <v>NG</v>
          </cell>
          <cell r="D3191" t="str">
            <v>200410</v>
          </cell>
          <cell r="E3191">
            <v>3.7229999999999999</v>
          </cell>
        </row>
        <row r="3192">
          <cell r="A3192" t="str">
            <v>37529200411</v>
          </cell>
          <cell r="B3192">
            <v>37529</v>
          </cell>
          <cell r="C3192" t="str">
            <v>NG</v>
          </cell>
          <cell r="D3192" t="str">
            <v>200411</v>
          </cell>
          <cell r="E3192">
            <v>3.9009999999999998</v>
          </cell>
        </row>
        <row r="3193">
          <cell r="A3193" t="str">
            <v>37529200412</v>
          </cell>
          <cell r="B3193">
            <v>37529</v>
          </cell>
          <cell r="C3193" t="str">
            <v>NG</v>
          </cell>
          <cell r="D3193" t="str">
            <v>200412</v>
          </cell>
          <cell r="E3193">
            <v>4.0860000000000003</v>
          </cell>
        </row>
        <row r="3194">
          <cell r="A3194" t="str">
            <v>37530200401</v>
          </cell>
          <cell r="B3194">
            <v>37530</v>
          </cell>
          <cell r="C3194" t="str">
            <v>NG</v>
          </cell>
          <cell r="D3194" t="str">
            <v>200401</v>
          </cell>
          <cell r="E3194">
            <v>4.2560000000000002</v>
          </cell>
        </row>
        <row r="3195">
          <cell r="A3195" t="str">
            <v>37530200402</v>
          </cell>
          <cell r="B3195">
            <v>37530</v>
          </cell>
          <cell r="C3195" t="str">
            <v>NG</v>
          </cell>
          <cell r="D3195" t="str">
            <v>200402</v>
          </cell>
          <cell r="E3195">
            <v>4.1360000000000001</v>
          </cell>
        </row>
        <row r="3196">
          <cell r="A3196" t="str">
            <v>37530200403</v>
          </cell>
          <cell r="B3196">
            <v>37530</v>
          </cell>
          <cell r="C3196" t="str">
            <v>NG</v>
          </cell>
          <cell r="D3196" t="str">
            <v>200403</v>
          </cell>
          <cell r="E3196">
            <v>3.9580000000000002</v>
          </cell>
        </row>
        <row r="3197">
          <cell r="A3197" t="str">
            <v>37530200404</v>
          </cell>
          <cell r="B3197">
            <v>37530</v>
          </cell>
          <cell r="C3197" t="str">
            <v>NG</v>
          </cell>
          <cell r="D3197" t="str">
            <v>200404</v>
          </cell>
          <cell r="E3197">
            <v>3.7130000000000001</v>
          </cell>
        </row>
        <row r="3198">
          <cell r="A3198" t="str">
            <v>37530200405</v>
          </cell>
          <cell r="B3198">
            <v>37530</v>
          </cell>
          <cell r="C3198" t="str">
            <v>NG</v>
          </cell>
          <cell r="D3198" t="str">
            <v>200405</v>
          </cell>
          <cell r="E3198">
            <v>3.6579999999999999</v>
          </cell>
        </row>
        <row r="3199">
          <cell r="A3199" t="str">
            <v>37530200406</v>
          </cell>
          <cell r="B3199">
            <v>37530</v>
          </cell>
          <cell r="C3199" t="str">
            <v>NG</v>
          </cell>
          <cell r="D3199" t="str">
            <v>200406</v>
          </cell>
          <cell r="E3199">
            <v>3.6579999999999999</v>
          </cell>
        </row>
        <row r="3200">
          <cell r="A3200" t="str">
            <v>37530200407</v>
          </cell>
          <cell r="B3200">
            <v>37530</v>
          </cell>
          <cell r="C3200" t="str">
            <v>NG</v>
          </cell>
          <cell r="D3200" t="str">
            <v>200407</v>
          </cell>
          <cell r="E3200">
            <v>3.6680000000000001</v>
          </cell>
        </row>
        <row r="3201">
          <cell r="A3201" t="str">
            <v>37530200408</v>
          </cell>
          <cell r="B3201">
            <v>37530</v>
          </cell>
          <cell r="C3201" t="str">
            <v>NG</v>
          </cell>
          <cell r="D3201" t="str">
            <v>200408</v>
          </cell>
          <cell r="E3201">
            <v>3.6779999999999999</v>
          </cell>
        </row>
        <row r="3202">
          <cell r="A3202" t="str">
            <v>37530200409</v>
          </cell>
          <cell r="B3202">
            <v>37530</v>
          </cell>
          <cell r="C3202" t="str">
            <v>NG</v>
          </cell>
          <cell r="D3202" t="str">
            <v>200409</v>
          </cell>
          <cell r="E3202">
            <v>3.6579999999999999</v>
          </cell>
        </row>
        <row r="3203">
          <cell r="A3203" t="str">
            <v>37530200410</v>
          </cell>
          <cell r="B3203">
            <v>37530</v>
          </cell>
          <cell r="C3203" t="str">
            <v>NG</v>
          </cell>
          <cell r="D3203" t="str">
            <v>200410</v>
          </cell>
          <cell r="E3203">
            <v>3.673</v>
          </cell>
        </row>
        <row r="3204">
          <cell r="A3204" t="str">
            <v>37530200411</v>
          </cell>
          <cell r="B3204">
            <v>37530</v>
          </cell>
          <cell r="C3204" t="str">
            <v>NG</v>
          </cell>
          <cell r="D3204" t="str">
            <v>200411</v>
          </cell>
          <cell r="E3204">
            <v>3.851</v>
          </cell>
        </row>
        <row r="3205">
          <cell r="A3205" t="str">
            <v>37530200412</v>
          </cell>
          <cell r="B3205">
            <v>37530</v>
          </cell>
          <cell r="C3205" t="str">
            <v>NG</v>
          </cell>
          <cell r="D3205" t="str">
            <v>200412</v>
          </cell>
          <cell r="E3205">
            <v>4.0359999999999996</v>
          </cell>
        </row>
        <row r="3206">
          <cell r="A3206" t="str">
            <v>37531200401</v>
          </cell>
          <cell r="B3206">
            <v>37531</v>
          </cell>
          <cell r="C3206" t="str">
            <v>NG</v>
          </cell>
          <cell r="D3206" t="str">
            <v>200401</v>
          </cell>
          <cell r="E3206">
            <v>4.2889999999999997</v>
          </cell>
        </row>
        <row r="3207">
          <cell r="A3207" t="str">
            <v>37531200402</v>
          </cell>
          <cell r="B3207">
            <v>37531</v>
          </cell>
          <cell r="C3207" t="str">
            <v>NG</v>
          </cell>
          <cell r="D3207" t="str">
            <v>200402</v>
          </cell>
          <cell r="E3207">
            <v>4.1689999999999996</v>
          </cell>
        </row>
        <row r="3208">
          <cell r="A3208" t="str">
            <v>37531200403</v>
          </cell>
          <cell r="B3208">
            <v>37531</v>
          </cell>
          <cell r="C3208" t="str">
            <v>NG</v>
          </cell>
          <cell r="D3208" t="str">
            <v>200403</v>
          </cell>
          <cell r="E3208">
            <v>3.9990000000000001</v>
          </cell>
        </row>
        <row r="3209">
          <cell r="A3209" t="str">
            <v>37531200404</v>
          </cell>
          <cell r="B3209">
            <v>37531</v>
          </cell>
          <cell r="C3209" t="str">
            <v>NG</v>
          </cell>
          <cell r="D3209" t="str">
            <v>200404</v>
          </cell>
          <cell r="E3209">
            <v>3.7490000000000001</v>
          </cell>
        </row>
        <row r="3210">
          <cell r="A3210" t="str">
            <v>37531200405</v>
          </cell>
          <cell r="B3210">
            <v>37531</v>
          </cell>
          <cell r="C3210" t="str">
            <v>NG</v>
          </cell>
          <cell r="D3210" t="str">
            <v>200405</v>
          </cell>
          <cell r="E3210">
            <v>3.694</v>
          </cell>
        </row>
        <row r="3211">
          <cell r="A3211" t="str">
            <v>37531200406</v>
          </cell>
          <cell r="B3211">
            <v>37531</v>
          </cell>
          <cell r="C3211" t="str">
            <v>NG</v>
          </cell>
          <cell r="D3211" t="str">
            <v>200406</v>
          </cell>
          <cell r="E3211">
            <v>3.694</v>
          </cell>
        </row>
        <row r="3212">
          <cell r="A3212" t="str">
            <v>37531200407</v>
          </cell>
          <cell r="B3212">
            <v>37531</v>
          </cell>
          <cell r="C3212" t="str">
            <v>NG</v>
          </cell>
          <cell r="D3212" t="str">
            <v>200407</v>
          </cell>
          <cell r="E3212">
            <v>3.6989999999999998</v>
          </cell>
        </row>
        <row r="3213">
          <cell r="A3213" t="str">
            <v>37531200408</v>
          </cell>
          <cell r="B3213">
            <v>37531</v>
          </cell>
          <cell r="C3213" t="str">
            <v>NG</v>
          </cell>
          <cell r="D3213" t="str">
            <v>200408</v>
          </cell>
          <cell r="E3213">
            <v>3.7040000000000002</v>
          </cell>
        </row>
        <row r="3214">
          <cell r="A3214" t="str">
            <v>37531200409</v>
          </cell>
          <cell r="B3214">
            <v>37531</v>
          </cell>
          <cell r="C3214" t="str">
            <v>NG</v>
          </cell>
          <cell r="D3214" t="str">
            <v>200409</v>
          </cell>
          <cell r="E3214">
            <v>3.6789999999999998</v>
          </cell>
        </row>
        <row r="3215">
          <cell r="A3215" t="str">
            <v>37531200410</v>
          </cell>
          <cell r="B3215">
            <v>37531</v>
          </cell>
          <cell r="C3215" t="str">
            <v>NG</v>
          </cell>
          <cell r="D3215" t="str">
            <v>200410</v>
          </cell>
          <cell r="E3215">
            <v>3.6840000000000002</v>
          </cell>
        </row>
        <row r="3216">
          <cell r="A3216" t="str">
            <v>37531200411</v>
          </cell>
          <cell r="B3216">
            <v>37531</v>
          </cell>
          <cell r="C3216" t="str">
            <v>NG</v>
          </cell>
          <cell r="D3216" t="str">
            <v>200411</v>
          </cell>
          <cell r="E3216">
            <v>3.86</v>
          </cell>
        </row>
        <row r="3217">
          <cell r="A3217" t="str">
            <v>37531200412</v>
          </cell>
          <cell r="B3217">
            <v>37531</v>
          </cell>
          <cell r="C3217" t="str">
            <v>NG</v>
          </cell>
          <cell r="D3217" t="str">
            <v>200412</v>
          </cell>
          <cell r="E3217">
            <v>4.0449999999999999</v>
          </cell>
        </row>
        <row r="3218">
          <cell r="A3218" t="str">
            <v>37532200401</v>
          </cell>
          <cell r="B3218">
            <v>37532</v>
          </cell>
          <cell r="C3218" t="str">
            <v>NG</v>
          </cell>
          <cell r="D3218" t="str">
            <v>200401</v>
          </cell>
          <cell r="E3218">
            <v>4.1840000000000002</v>
          </cell>
        </row>
        <row r="3219">
          <cell r="A3219" t="str">
            <v>37532200402</v>
          </cell>
          <cell r="B3219">
            <v>37532</v>
          </cell>
          <cell r="C3219" t="str">
            <v>NG</v>
          </cell>
          <cell r="D3219" t="str">
            <v>200402</v>
          </cell>
          <cell r="E3219">
            <v>4.069</v>
          </cell>
        </row>
        <row r="3220">
          <cell r="A3220" t="str">
            <v>37532200403</v>
          </cell>
          <cell r="B3220">
            <v>37532</v>
          </cell>
          <cell r="C3220" t="str">
            <v>NG</v>
          </cell>
          <cell r="D3220" t="str">
            <v>200403</v>
          </cell>
          <cell r="E3220">
            <v>3.9089999999999998</v>
          </cell>
        </row>
        <row r="3221">
          <cell r="A3221" t="str">
            <v>37532200404</v>
          </cell>
          <cell r="B3221">
            <v>37532</v>
          </cell>
          <cell r="C3221" t="str">
            <v>NG</v>
          </cell>
          <cell r="D3221" t="str">
            <v>200404</v>
          </cell>
          <cell r="E3221">
            <v>3.669</v>
          </cell>
        </row>
        <row r="3222">
          <cell r="A3222" t="str">
            <v>37532200405</v>
          </cell>
          <cell r="B3222">
            <v>37532</v>
          </cell>
          <cell r="C3222" t="str">
            <v>NG</v>
          </cell>
          <cell r="D3222" t="str">
            <v>200405</v>
          </cell>
          <cell r="E3222">
            <v>3.6240000000000001</v>
          </cell>
        </row>
        <row r="3223">
          <cell r="A3223" t="str">
            <v>37532200406</v>
          </cell>
          <cell r="B3223">
            <v>37532</v>
          </cell>
          <cell r="C3223" t="str">
            <v>NG</v>
          </cell>
          <cell r="D3223" t="str">
            <v>200406</v>
          </cell>
          <cell r="E3223">
            <v>3.6339999999999999</v>
          </cell>
        </row>
        <row r="3224">
          <cell r="A3224" t="str">
            <v>37532200407</v>
          </cell>
          <cell r="B3224">
            <v>37532</v>
          </cell>
          <cell r="C3224" t="str">
            <v>NG</v>
          </cell>
          <cell r="D3224" t="str">
            <v>200407</v>
          </cell>
          <cell r="E3224">
            <v>3.641</v>
          </cell>
        </row>
        <row r="3225">
          <cell r="A3225" t="str">
            <v>37532200408</v>
          </cell>
          <cell r="B3225">
            <v>37532</v>
          </cell>
          <cell r="C3225" t="str">
            <v>NG</v>
          </cell>
          <cell r="D3225" t="str">
            <v>200408</v>
          </cell>
          <cell r="E3225">
            <v>3.649</v>
          </cell>
        </row>
        <row r="3226">
          <cell r="A3226" t="str">
            <v>37532200409</v>
          </cell>
          <cell r="B3226">
            <v>37532</v>
          </cell>
          <cell r="C3226" t="str">
            <v>NG</v>
          </cell>
          <cell r="D3226" t="str">
            <v>200409</v>
          </cell>
          <cell r="E3226">
            <v>3.629</v>
          </cell>
        </row>
        <row r="3227">
          <cell r="A3227" t="str">
            <v>37532200410</v>
          </cell>
          <cell r="B3227">
            <v>37532</v>
          </cell>
          <cell r="C3227" t="str">
            <v>NG</v>
          </cell>
          <cell r="D3227" t="str">
            <v>200410</v>
          </cell>
          <cell r="E3227">
            <v>3.6339999999999999</v>
          </cell>
        </row>
        <row r="3228">
          <cell r="A3228" t="str">
            <v>37532200411</v>
          </cell>
          <cell r="B3228">
            <v>37532</v>
          </cell>
          <cell r="C3228" t="str">
            <v>NG</v>
          </cell>
          <cell r="D3228" t="str">
            <v>200411</v>
          </cell>
          <cell r="E3228">
            <v>3.81</v>
          </cell>
        </row>
        <row r="3229">
          <cell r="A3229" t="str">
            <v>37532200412</v>
          </cell>
          <cell r="B3229">
            <v>37532</v>
          </cell>
          <cell r="C3229" t="str">
            <v>NG</v>
          </cell>
          <cell r="D3229" t="str">
            <v>200412</v>
          </cell>
          <cell r="E3229">
            <v>3.9950000000000001</v>
          </cell>
        </row>
        <row r="3230">
          <cell r="A3230" t="str">
            <v>37533200401</v>
          </cell>
          <cell r="B3230">
            <v>37533</v>
          </cell>
          <cell r="C3230" t="str">
            <v>NG</v>
          </cell>
          <cell r="D3230" t="str">
            <v>200401</v>
          </cell>
          <cell r="E3230">
            <v>4.2080000000000002</v>
          </cell>
        </row>
        <row r="3231">
          <cell r="A3231" t="str">
            <v>37533200402</v>
          </cell>
          <cell r="B3231">
            <v>37533</v>
          </cell>
          <cell r="C3231" t="str">
            <v>NG</v>
          </cell>
          <cell r="D3231" t="str">
            <v>200402</v>
          </cell>
          <cell r="E3231">
            <v>4.093</v>
          </cell>
        </row>
        <row r="3232">
          <cell r="A3232" t="str">
            <v>37533200403</v>
          </cell>
          <cell r="B3232">
            <v>37533</v>
          </cell>
          <cell r="C3232" t="str">
            <v>NG</v>
          </cell>
          <cell r="D3232" t="str">
            <v>200403</v>
          </cell>
          <cell r="E3232">
            <v>3.9329999999999998</v>
          </cell>
        </row>
        <row r="3233">
          <cell r="A3233" t="str">
            <v>37533200404</v>
          </cell>
          <cell r="B3233">
            <v>37533</v>
          </cell>
          <cell r="C3233" t="str">
            <v>NG</v>
          </cell>
          <cell r="D3233" t="str">
            <v>200404</v>
          </cell>
          <cell r="E3233">
            <v>3.6930000000000001</v>
          </cell>
        </row>
        <row r="3234">
          <cell r="A3234" t="str">
            <v>37533200405</v>
          </cell>
          <cell r="B3234">
            <v>37533</v>
          </cell>
          <cell r="C3234" t="str">
            <v>NG</v>
          </cell>
          <cell r="D3234" t="str">
            <v>200405</v>
          </cell>
          <cell r="E3234">
            <v>3.6480000000000001</v>
          </cell>
        </row>
        <row r="3235">
          <cell r="A3235" t="str">
            <v>37533200406</v>
          </cell>
          <cell r="B3235">
            <v>37533</v>
          </cell>
          <cell r="C3235" t="str">
            <v>NG</v>
          </cell>
          <cell r="D3235" t="str">
            <v>200406</v>
          </cell>
          <cell r="E3235">
            <v>3.6579999999999999</v>
          </cell>
        </row>
        <row r="3236">
          <cell r="A3236" t="str">
            <v>37533200407</v>
          </cell>
          <cell r="B3236">
            <v>37533</v>
          </cell>
          <cell r="C3236" t="str">
            <v>NG</v>
          </cell>
          <cell r="D3236" t="str">
            <v>200407</v>
          </cell>
          <cell r="E3236">
            <v>3.665</v>
          </cell>
        </row>
        <row r="3237">
          <cell r="A3237" t="str">
            <v>37533200408</v>
          </cell>
          <cell r="B3237">
            <v>37533</v>
          </cell>
          <cell r="C3237" t="str">
            <v>NG</v>
          </cell>
          <cell r="D3237" t="str">
            <v>200408</v>
          </cell>
          <cell r="E3237">
            <v>3.673</v>
          </cell>
        </row>
        <row r="3238">
          <cell r="A3238" t="str">
            <v>37533200409</v>
          </cell>
          <cell r="B3238">
            <v>37533</v>
          </cell>
          <cell r="C3238" t="str">
            <v>NG</v>
          </cell>
          <cell r="D3238" t="str">
            <v>200409</v>
          </cell>
          <cell r="E3238">
            <v>3.653</v>
          </cell>
        </row>
        <row r="3239">
          <cell r="A3239" t="str">
            <v>37533200410</v>
          </cell>
          <cell r="B3239">
            <v>37533</v>
          </cell>
          <cell r="C3239" t="str">
            <v>NG</v>
          </cell>
          <cell r="D3239" t="str">
            <v>200410</v>
          </cell>
          <cell r="E3239">
            <v>3.6579999999999999</v>
          </cell>
        </row>
        <row r="3240">
          <cell r="A3240" t="str">
            <v>37533200411</v>
          </cell>
          <cell r="B3240">
            <v>37533</v>
          </cell>
          <cell r="C3240" t="str">
            <v>NG</v>
          </cell>
          <cell r="D3240" t="str">
            <v>200411</v>
          </cell>
          <cell r="E3240">
            <v>3.8340000000000001</v>
          </cell>
        </row>
        <row r="3241">
          <cell r="A3241" t="str">
            <v>37533200412</v>
          </cell>
          <cell r="B3241">
            <v>37533</v>
          </cell>
          <cell r="C3241" t="str">
            <v>NG</v>
          </cell>
          <cell r="D3241" t="str">
            <v>200412</v>
          </cell>
          <cell r="E3241">
            <v>4.0190000000000001</v>
          </cell>
        </row>
        <row r="3242">
          <cell r="A3242" t="str">
            <v>37534200401</v>
          </cell>
          <cell r="B3242">
            <v>37534</v>
          </cell>
          <cell r="C3242" t="str">
            <v>NG</v>
          </cell>
          <cell r="D3242" t="str">
            <v>200401</v>
          </cell>
          <cell r="E3242">
            <v>4.2080000000000002</v>
          </cell>
        </row>
        <row r="3243">
          <cell r="A3243" t="str">
            <v>37534200402</v>
          </cell>
          <cell r="B3243">
            <v>37534</v>
          </cell>
          <cell r="C3243" t="str">
            <v>NG</v>
          </cell>
          <cell r="D3243" t="str">
            <v>200402</v>
          </cell>
          <cell r="E3243">
            <v>4.093</v>
          </cell>
        </row>
        <row r="3244">
          <cell r="A3244" t="str">
            <v>37534200403</v>
          </cell>
          <cell r="B3244">
            <v>37534</v>
          </cell>
          <cell r="C3244" t="str">
            <v>NG</v>
          </cell>
          <cell r="D3244" t="str">
            <v>200403</v>
          </cell>
          <cell r="E3244">
            <v>3.9329999999999998</v>
          </cell>
        </row>
        <row r="3245">
          <cell r="A3245" t="str">
            <v>37534200404</v>
          </cell>
          <cell r="B3245">
            <v>37534</v>
          </cell>
          <cell r="C3245" t="str">
            <v>NG</v>
          </cell>
          <cell r="D3245" t="str">
            <v>200404</v>
          </cell>
          <cell r="E3245">
            <v>3.6930000000000001</v>
          </cell>
        </row>
        <row r="3246">
          <cell r="A3246" t="str">
            <v>37534200405</v>
          </cell>
          <cell r="B3246">
            <v>37534</v>
          </cell>
          <cell r="C3246" t="str">
            <v>NG</v>
          </cell>
          <cell r="D3246" t="str">
            <v>200405</v>
          </cell>
          <cell r="E3246">
            <v>3.6480000000000001</v>
          </cell>
        </row>
        <row r="3247">
          <cell r="A3247" t="str">
            <v>37534200406</v>
          </cell>
          <cell r="B3247">
            <v>37534</v>
          </cell>
          <cell r="C3247" t="str">
            <v>NG</v>
          </cell>
          <cell r="D3247" t="str">
            <v>200406</v>
          </cell>
          <cell r="E3247">
            <v>3.6579999999999999</v>
          </cell>
        </row>
        <row r="3248">
          <cell r="A3248" t="str">
            <v>37534200407</v>
          </cell>
          <cell r="B3248">
            <v>37534</v>
          </cell>
          <cell r="C3248" t="str">
            <v>NG</v>
          </cell>
          <cell r="D3248" t="str">
            <v>200407</v>
          </cell>
          <cell r="E3248">
            <v>3.665</v>
          </cell>
        </row>
        <row r="3249">
          <cell r="A3249" t="str">
            <v>37534200408</v>
          </cell>
          <cell r="B3249">
            <v>37534</v>
          </cell>
          <cell r="C3249" t="str">
            <v>NG</v>
          </cell>
          <cell r="D3249" t="str">
            <v>200408</v>
          </cell>
          <cell r="E3249">
            <v>3.673</v>
          </cell>
        </row>
        <row r="3250">
          <cell r="A3250" t="str">
            <v>37534200409</v>
          </cell>
          <cell r="B3250">
            <v>37534</v>
          </cell>
          <cell r="C3250" t="str">
            <v>NG</v>
          </cell>
          <cell r="D3250" t="str">
            <v>200409</v>
          </cell>
          <cell r="E3250">
            <v>3.653</v>
          </cell>
        </row>
        <row r="3251">
          <cell r="A3251" t="str">
            <v>37534200410</v>
          </cell>
          <cell r="B3251">
            <v>37534</v>
          </cell>
          <cell r="C3251" t="str">
            <v>NG</v>
          </cell>
          <cell r="D3251" t="str">
            <v>200410</v>
          </cell>
          <cell r="E3251">
            <v>3.6579999999999999</v>
          </cell>
        </row>
        <row r="3252">
          <cell r="A3252" t="str">
            <v>37534200411</v>
          </cell>
          <cell r="B3252">
            <v>37534</v>
          </cell>
          <cell r="C3252" t="str">
            <v>NG</v>
          </cell>
          <cell r="D3252" t="str">
            <v>200411</v>
          </cell>
          <cell r="E3252">
            <v>3.8340000000000001</v>
          </cell>
        </row>
        <row r="3253">
          <cell r="A3253" t="str">
            <v>37534200412</v>
          </cell>
          <cell r="B3253">
            <v>37534</v>
          </cell>
          <cell r="C3253" t="str">
            <v>NG</v>
          </cell>
          <cell r="D3253" t="str">
            <v>200412</v>
          </cell>
          <cell r="E3253">
            <v>4.0190000000000001</v>
          </cell>
        </row>
        <row r="3254">
          <cell r="A3254" t="str">
            <v>37535200401</v>
          </cell>
          <cell r="B3254">
            <v>37535</v>
          </cell>
          <cell r="C3254" t="str">
            <v>NG</v>
          </cell>
          <cell r="D3254" t="str">
            <v>200401</v>
          </cell>
          <cell r="E3254">
            <v>4.2080000000000002</v>
          </cell>
        </row>
        <row r="3255">
          <cell r="A3255" t="str">
            <v>37535200402</v>
          </cell>
          <cell r="B3255">
            <v>37535</v>
          </cell>
          <cell r="C3255" t="str">
            <v>NG</v>
          </cell>
          <cell r="D3255" t="str">
            <v>200402</v>
          </cell>
          <cell r="E3255">
            <v>4.093</v>
          </cell>
        </row>
        <row r="3256">
          <cell r="A3256" t="str">
            <v>37535200403</v>
          </cell>
          <cell r="B3256">
            <v>37535</v>
          </cell>
          <cell r="C3256" t="str">
            <v>NG</v>
          </cell>
          <cell r="D3256" t="str">
            <v>200403</v>
          </cell>
          <cell r="E3256">
            <v>3.9329999999999998</v>
          </cell>
        </row>
        <row r="3257">
          <cell r="A3257" t="str">
            <v>37535200404</v>
          </cell>
          <cell r="B3257">
            <v>37535</v>
          </cell>
          <cell r="C3257" t="str">
            <v>NG</v>
          </cell>
          <cell r="D3257" t="str">
            <v>200404</v>
          </cell>
          <cell r="E3257">
            <v>3.6930000000000001</v>
          </cell>
        </row>
        <row r="3258">
          <cell r="A3258" t="str">
            <v>37535200405</v>
          </cell>
          <cell r="B3258">
            <v>37535</v>
          </cell>
          <cell r="C3258" t="str">
            <v>NG</v>
          </cell>
          <cell r="D3258" t="str">
            <v>200405</v>
          </cell>
          <cell r="E3258">
            <v>3.6480000000000001</v>
          </cell>
        </row>
        <row r="3259">
          <cell r="A3259" t="str">
            <v>37535200406</v>
          </cell>
          <cell r="B3259">
            <v>37535</v>
          </cell>
          <cell r="C3259" t="str">
            <v>NG</v>
          </cell>
          <cell r="D3259" t="str">
            <v>200406</v>
          </cell>
          <cell r="E3259">
            <v>3.6579999999999999</v>
          </cell>
        </row>
        <row r="3260">
          <cell r="A3260" t="str">
            <v>37535200407</v>
          </cell>
          <cell r="B3260">
            <v>37535</v>
          </cell>
          <cell r="C3260" t="str">
            <v>NG</v>
          </cell>
          <cell r="D3260" t="str">
            <v>200407</v>
          </cell>
          <cell r="E3260">
            <v>3.665</v>
          </cell>
        </row>
        <row r="3261">
          <cell r="A3261" t="str">
            <v>37535200408</v>
          </cell>
          <cell r="B3261">
            <v>37535</v>
          </cell>
          <cell r="C3261" t="str">
            <v>NG</v>
          </cell>
          <cell r="D3261" t="str">
            <v>200408</v>
          </cell>
          <cell r="E3261">
            <v>3.673</v>
          </cell>
        </row>
        <row r="3262">
          <cell r="A3262" t="str">
            <v>37535200409</v>
          </cell>
          <cell r="B3262">
            <v>37535</v>
          </cell>
          <cell r="C3262" t="str">
            <v>NG</v>
          </cell>
          <cell r="D3262" t="str">
            <v>200409</v>
          </cell>
          <cell r="E3262">
            <v>3.653</v>
          </cell>
        </row>
        <row r="3263">
          <cell r="A3263" t="str">
            <v>37535200410</v>
          </cell>
          <cell r="B3263">
            <v>37535</v>
          </cell>
          <cell r="C3263" t="str">
            <v>NG</v>
          </cell>
          <cell r="D3263" t="str">
            <v>200410</v>
          </cell>
          <cell r="E3263">
            <v>3.6579999999999999</v>
          </cell>
        </row>
        <row r="3264">
          <cell r="A3264" t="str">
            <v>37535200411</v>
          </cell>
          <cell r="B3264">
            <v>37535</v>
          </cell>
          <cell r="C3264" t="str">
            <v>NG</v>
          </cell>
          <cell r="D3264" t="str">
            <v>200411</v>
          </cell>
          <cell r="E3264">
            <v>3.8340000000000001</v>
          </cell>
        </row>
        <row r="3265">
          <cell r="A3265" t="str">
            <v>37535200412</v>
          </cell>
          <cell r="B3265">
            <v>37535</v>
          </cell>
          <cell r="C3265" t="str">
            <v>NG</v>
          </cell>
          <cell r="D3265" t="str">
            <v>200412</v>
          </cell>
          <cell r="E3265">
            <v>4.0190000000000001</v>
          </cell>
        </row>
        <row r="3266">
          <cell r="A3266" t="str">
            <v>37536200401</v>
          </cell>
          <cell r="B3266">
            <v>37536</v>
          </cell>
          <cell r="C3266" t="str">
            <v>NG</v>
          </cell>
          <cell r="D3266" t="str">
            <v>200401</v>
          </cell>
          <cell r="E3266">
            <v>4.2249999999999996</v>
          </cell>
        </row>
        <row r="3267">
          <cell r="A3267" t="str">
            <v>37536200402</v>
          </cell>
          <cell r="B3267">
            <v>37536</v>
          </cell>
          <cell r="C3267" t="str">
            <v>NG</v>
          </cell>
          <cell r="D3267" t="str">
            <v>200402</v>
          </cell>
          <cell r="E3267">
            <v>4.1100000000000003</v>
          </cell>
        </row>
        <row r="3268">
          <cell r="A3268" t="str">
            <v>37536200403</v>
          </cell>
          <cell r="B3268">
            <v>37536</v>
          </cell>
          <cell r="C3268" t="str">
            <v>NG</v>
          </cell>
          <cell r="D3268" t="str">
            <v>200403</v>
          </cell>
          <cell r="E3268">
            <v>3.95</v>
          </cell>
        </row>
        <row r="3269">
          <cell r="A3269" t="str">
            <v>37536200404</v>
          </cell>
          <cell r="B3269">
            <v>37536</v>
          </cell>
          <cell r="C3269" t="str">
            <v>NG</v>
          </cell>
          <cell r="D3269" t="str">
            <v>200404</v>
          </cell>
          <cell r="E3269">
            <v>3.7149999999999999</v>
          </cell>
        </row>
        <row r="3270">
          <cell r="A3270" t="str">
            <v>37536200405</v>
          </cell>
          <cell r="B3270">
            <v>37536</v>
          </cell>
          <cell r="C3270" t="str">
            <v>NG</v>
          </cell>
          <cell r="D3270" t="str">
            <v>200405</v>
          </cell>
          <cell r="E3270">
            <v>3.67</v>
          </cell>
        </row>
        <row r="3271">
          <cell r="A3271" t="str">
            <v>37536200406</v>
          </cell>
          <cell r="B3271">
            <v>37536</v>
          </cell>
          <cell r="C3271" t="str">
            <v>NG</v>
          </cell>
          <cell r="D3271" t="str">
            <v>200406</v>
          </cell>
          <cell r="E3271">
            <v>3.68</v>
          </cell>
        </row>
        <row r="3272">
          <cell r="A3272" t="str">
            <v>37536200407</v>
          </cell>
          <cell r="B3272">
            <v>37536</v>
          </cell>
          <cell r="C3272" t="str">
            <v>NG</v>
          </cell>
          <cell r="D3272" t="str">
            <v>200407</v>
          </cell>
          <cell r="E3272">
            <v>3.6869999999999998</v>
          </cell>
        </row>
        <row r="3273">
          <cell r="A3273" t="str">
            <v>37536200408</v>
          </cell>
          <cell r="B3273">
            <v>37536</v>
          </cell>
          <cell r="C3273" t="str">
            <v>NG</v>
          </cell>
          <cell r="D3273" t="str">
            <v>200408</v>
          </cell>
          <cell r="E3273">
            <v>3.6949999999999998</v>
          </cell>
        </row>
        <row r="3274">
          <cell r="A3274" t="str">
            <v>37536200409</v>
          </cell>
          <cell r="B3274">
            <v>37536</v>
          </cell>
          <cell r="C3274" t="str">
            <v>NG</v>
          </cell>
          <cell r="D3274" t="str">
            <v>200409</v>
          </cell>
          <cell r="E3274">
            <v>3.6749999999999998</v>
          </cell>
        </row>
        <row r="3275">
          <cell r="A3275" t="str">
            <v>37536200410</v>
          </cell>
          <cell r="B3275">
            <v>37536</v>
          </cell>
          <cell r="C3275" t="str">
            <v>NG</v>
          </cell>
          <cell r="D3275" t="str">
            <v>200410</v>
          </cell>
          <cell r="E3275">
            <v>3.68</v>
          </cell>
        </row>
        <row r="3276">
          <cell r="A3276" t="str">
            <v>37536200411</v>
          </cell>
          <cell r="B3276">
            <v>37536</v>
          </cell>
          <cell r="C3276" t="str">
            <v>NG</v>
          </cell>
          <cell r="D3276" t="str">
            <v>200411</v>
          </cell>
          <cell r="E3276">
            <v>3.8559999999999999</v>
          </cell>
        </row>
        <row r="3277">
          <cell r="A3277" t="str">
            <v>37536200412</v>
          </cell>
          <cell r="B3277">
            <v>37536</v>
          </cell>
          <cell r="C3277" t="str">
            <v>NG</v>
          </cell>
          <cell r="D3277" t="str">
            <v>200412</v>
          </cell>
          <cell r="E3277">
            <v>4.0410000000000004</v>
          </cell>
        </row>
        <row r="3278">
          <cell r="A3278" t="str">
            <v>37537200401</v>
          </cell>
          <cell r="B3278">
            <v>37537</v>
          </cell>
          <cell r="C3278" t="str">
            <v>NG</v>
          </cell>
          <cell r="D3278" t="str">
            <v>200401</v>
          </cell>
          <cell r="E3278">
            <v>4.3090000000000002</v>
          </cell>
        </row>
        <row r="3279">
          <cell r="A3279" t="str">
            <v>37537200402</v>
          </cell>
          <cell r="B3279">
            <v>37537</v>
          </cell>
          <cell r="C3279" t="str">
            <v>NG</v>
          </cell>
          <cell r="D3279" t="str">
            <v>200402</v>
          </cell>
          <cell r="E3279">
            <v>4.1790000000000003</v>
          </cell>
        </row>
        <row r="3280">
          <cell r="A3280" t="str">
            <v>37537200403</v>
          </cell>
          <cell r="B3280">
            <v>37537</v>
          </cell>
          <cell r="C3280" t="str">
            <v>NG</v>
          </cell>
          <cell r="D3280" t="str">
            <v>200403</v>
          </cell>
          <cell r="E3280">
            <v>4.0140000000000002</v>
          </cell>
        </row>
        <row r="3281">
          <cell r="A3281" t="str">
            <v>37537200404</v>
          </cell>
          <cell r="B3281">
            <v>37537</v>
          </cell>
          <cell r="C3281" t="str">
            <v>NG</v>
          </cell>
          <cell r="D3281" t="str">
            <v>200404</v>
          </cell>
          <cell r="E3281">
            <v>3.7789999999999999</v>
          </cell>
        </row>
        <row r="3282">
          <cell r="A3282" t="str">
            <v>37537200405</v>
          </cell>
          <cell r="B3282">
            <v>37537</v>
          </cell>
          <cell r="C3282" t="str">
            <v>NG</v>
          </cell>
          <cell r="D3282" t="str">
            <v>200405</v>
          </cell>
          <cell r="E3282">
            <v>3.7290000000000001</v>
          </cell>
        </row>
        <row r="3283">
          <cell r="A3283" t="str">
            <v>37537200406</v>
          </cell>
          <cell r="B3283">
            <v>37537</v>
          </cell>
          <cell r="C3283" t="str">
            <v>NG</v>
          </cell>
          <cell r="D3283" t="str">
            <v>200406</v>
          </cell>
          <cell r="E3283">
            <v>3.7410000000000001</v>
          </cell>
        </row>
        <row r="3284">
          <cell r="A3284" t="str">
            <v>37537200407</v>
          </cell>
          <cell r="B3284">
            <v>37537</v>
          </cell>
          <cell r="C3284" t="str">
            <v>NG</v>
          </cell>
          <cell r="D3284" t="str">
            <v>200407</v>
          </cell>
          <cell r="E3284">
            <v>3.7509999999999999</v>
          </cell>
        </row>
        <row r="3285">
          <cell r="A3285" t="str">
            <v>37537200408</v>
          </cell>
          <cell r="B3285">
            <v>37537</v>
          </cell>
          <cell r="C3285" t="str">
            <v>NG</v>
          </cell>
          <cell r="D3285" t="str">
            <v>200408</v>
          </cell>
          <cell r="E3285">
            <v>3.7610000000000001</v>
          </cell>
        </row>
        <row r="3286">
          <cell r="A3286" t="str">
            <v>37537200409</v>
          </cell>
          <cell r="B3286">
            <v>37537</v>
          </cell>
          <cell r="C3286" t="str">
            <v>NG</v>
          </cell>
          <cell r="D3286" t="str">
            <v>200409</v>
          </cell>
          <cell r="E3286">
            <v>3.7509999999999999</v>
          </cell>
        </row>
        <row r="3287">
          <cell r="A3287" t="str">
            <v>37537200410</v>
          </cell>
          <cell r="B3287">
            <v>37537</v>
          </cell>
          <cell r="C3287" t="str">
            <v>NG</v>
          </cell>
          <cell r="D3287" t="str">
            <v>200410</v>
          </cell>
          <cell r="E3287">
            <v>3.7559999999999998</v>
          </cell>
        </row>
        <row r="3288">
          <cell r="A3288" t="str">
            <v>37537200411</v>
          </cell>
          <cell r="B3288">
            <v>37537</v>
          </cell>
          <cell r="C3288" t="str">
            <v>NG</v>
          </cell>
          <cell r="D3288" t="str">
            <v>200411</v>
          </cell>
          <cell r="E3288">
            <v>3.9319999999999999</v>
          </cell>
        </row>
        <row r="3289">
          <cell r="A3289" t="str">
            <v>37537200412</v>
          </cell>
          <cell r="B3289">
            <v>37537</v>
          </cell>
          <cell r="C3289" t="str">
            <v>NG</v>
          </cell>
          <cell r="D3289" t="str">
            <v>200412</v>
          </cell>
          <cell r="E3289">
            <v>4.117</v>
          </cell>
        </row>
        <row r="3290">
          <cell r="A3290" t="str">
            <v>37538200401</v>
          </cell>
          <cell r="B3290">
            <v>37538</v>
          </cell>
          <cell r="C3290" t="str">
            <v>NG</v>
          </cell>
          <cell r="D3290" t="str">
            <v>200401</v>
          </cell>
          <cell r="E3290">
            <v>4.2489999999999997</v>
          </cell>
        </row>
        <row r="3291">
          <cell r="A3291" t="str">
            <v>37538200402</v>
          </cell>
          <cell r="B3291">
            <v>37538</v>
          </cell>
          <cell r="C3291" t="str">
            <v>NG</v>
          </cell>
          <cell r="D3291" t="str">
            <v>200402</v>
          </cell>
          <cell r="E3291">
            <v>4.1189999999999998</v>
          </cell>
        </row>
        <row r="3292">
          <cell r="A3292" t="str">
            <v>37538200403</v>
          </cell>
          <cell r="B3292">
            <v>37538</v>
          </cell>
          <cell r="C3292" t="str">
            <v>NG</v>
          </cell>
          <cell r="D3292" t="str">
            <v>200403</v>
          </cell>
          <cell r="E3292">
            <v>3.9540000000000002</v>
          </cell>
        </row>
        <row r="3293">
          <cell r="A3293" t="str">
            <v>37538200404</v>
          </cell>
          <cell r="B3293">
            <v>37538</v>
          </cell>
          <cell r="C3293" t="str">
            <v>NG</v>
          </cell>
          <cell r="D3293" t="str">
            <v>200404</v>
          </cell>
          <cell r="E3293">
            <v>3.7189999999999999</v>
          </cell>
        </row>
        <row r="3294">
          <cell r="A3294" t="str">
            <v>37538200405</v>
          </cell>
          <cell r="B3294">
            <v>37538</v>
          </cell>
          <cell r="C3294" t="str">
            <v>NG</v>
          </cell>
          <cell r="D3294" t="str">
            <v>200405</v>
          </cell>
          <cell r="E3294">
            <v>3.6739999999999999</v>
          </cell>
        </row>
        <row r="3295">
          <cell r="A3295" t="str">
            <v>37538200406</v>
          </cell>
          <cell r="B3295">
            <v>37538</v>
          </cell>
          <cell r="C3295" t="str">
            <v>NG</v>
          </cell>
          <cell r="D3295" t="str">
            <v>200406</v>
          </cell>
          <cell r="E3295">
            <v>3.6840000000000002</v>
          </cell>
        </row>
        <row r="3296">
          <cell r="A3296" t="str">
            <v>37538200407</v>
          </cell>
          <cell r="B3296">
            <v>37538</v>
          </cell>
          <cell r="C3296" t="str">
            <v>NG</v>
          </cell>
          <cell r="D3296" t="str">
            <v>200407</v>
          </cell>
          <cell r="E3296">
            <v>3.694</v>
          </cell>
        </row>
        <row r="3297">
          <cell r="A3297" t="str">
            <v>37538200408</v>
          </cell>
          <cell r="B3297">
            <v>37538</v>
          </cell>
          <cell r="C3297" t="str">
            <v>NG</v>
          </cell>
          <cell r="D3297" t="str">
            <v>200408</v>
          </cell>
          <cell r="E3297">
            <v>3.7040000000000002</v>
          </cell>
        </row>
        <row r="3298">
          <cell r="A3298" t="str">
            <v>37538200409</v>
          </cell>
          <cell r="B3298">
            <v>37538</v>
          </cell>
          <cell r="C3298" t="str">
            <v>NG</v>
          </cell>
          <cell r="D3298" t="str">
            <v>200409</v>
          </cell>
          <cell r="E3298">
            <v>3.6890000000000001</v>
          </cell>
        </row>
        <row r="3299">
          <cell r="A3299" t="str">
            <v>37538200410</v>
          </cell>
          <cell r="B3299">
            <v>37538</v>
          </cell>
          <cell r="C3299" t="str">
            <v>NG</v>
          </cell>
          <cell r="D3299" t="str">
            <v>200410</v>
          </cell>
          <cell r="E3299">
            <v>3.694</v>
          </cell>
        </row>
        <row r="3300">
          <cell r="A3300" t="str">
            <v>37538200411</v>
          </cell>
          <cell r="B3300">
            <v>37538</v>
          </cell>
          <cell r="C3300" t="str">
            <v>NG</v>
          </cell>
          <cell r="D3300" t="str">
            <v>200411</v>
          </cell>
          <cell r="E3300">
            <v>3.8690000000000002</v>
          </cell>
        </row>
        <row r="3301">
          <cell r="A3301" t="str">
            <v>37538200412</v>
          </cell>
          <cell r="B3301">
            <v>37538</v>
          </cell>
          <cell r="C3301" t="str">
            <v>NG</v>
          </cell>
          <cell r="D3301" t="str">
            <v>200412</v>
          </cell>
          <cell r="E3301">
            <v>4.0540000000000003</v>
          </cell>
        </row>
        <row r="3302">
          <cell r="A3302" t="str">
            <v>37539200401</v>
          </cell>
          <cell r="B3302">
            <v>37539</v>
          </cell>
          <cell r="C3302" t="str">
            <v>NG</v>
          </cell>
          <cell r="D3302" t="str">
            <v>200401</v>
          </cell>
          <cell r="E3302">
            <v>4.2080000000000002</v>
          </cell>
        </row>
        <row r="3303">
          <cell r="A3303" t="str">
            <v>37539200402</v>
          </cell>
          <cell r="B3303">
            <v>37539</v>
          </cell>
          <cell r="C3303" t="str">
            <v>NG</v>
          </cell>
          <cell r="D3303" t="str">
            <v>200402</v>
          </cell>
          <cell r="E3303">
            <v>4.0780000000000003</v>
          </cell>
        </row>
        <row r="3304">
          <cell r="A3304" t="str">
            <v>37539200403</v>
          </cell>
          <cell r="B3304">
            <v>37539</v>
          </cell>
          <cell r="C3304" t="str">
            <v>NG</v>
          </cell>
          <cell r="D3304" t="str">
            <v>200403</v>
          </cell>
          <cell r="E3304">
            <v>3.9180000000000001</v>
          </cell>
        </row>
        <row r="3305">
          <cell r="A3305" t="str">
            <v>37539200404</v>
          </cell>
          <cell r="B3305">
            <v>37539</v>
          </cell>
          <cell r="C3305" t="str">
            <v>NG</v>
          </cell>
          <cell r="D3305" t="str">
            <v>200404</v>
          </cell>
          <cell r="E3305">
            <v>3.6829999999999998</v>
          </cell>
        </row>
        <row r="3306">
          <cell r="A3306" t="str">
            <v>37539200405</v>
          </cell>
          <cell r="B3306">
            <v>37539</v>
          </cell>
          <cell r="C3306" t="str">
            <v>NG</v>
          </cell>
          <cell r="D3306" t="str">
            <v>200405</v>
          </cell>
          <cell r="E3306">
            <v>3.6379999999999999</v>
          </cell>
        </row>
        <row r="3307">
          <cell r="A3307" t="str">
            <v>37539200406</v>
          </cell>
          <cell r="B3307">
            <v>37539</v>
          </cell>
          <cell r="C3307" t="str">
            <v>NG</v>
          </cell>
          <cell r="D3307" t="str">
            <v>200406</v>
          </cell>
          <cell r="E3307">
            <v>3.653</v>
          </cell>
        </row>
        <row r="3308">
          <cell r="A3308" t="str">
            <v>37539200407</v>
          </cell>
          <cell r="B3308">
            <v>37539</v>
          </cell>
          <cell r="C3308" t="str">
            <v>NG</v>
          </cell>
          <cell r="D3308" t="str">
            <v>200407</v>
          </cell>
          <cell r="E3308">
            <v>3.6629999999999998</v>
          </cell>
        </row>
        <row r="3309">
          <cell r="A3309" t="str">
            <v>37539200408</v>
          </cell>
          <cell r="B3309">
            <v>37539</v>
          </cell>
          <cell r="C3309" t="str">
            <v>NG</v>
          </cell>
          <cell r="D3309" t="str">
            <v>200408</v>
          </cell>
          <cell r="E3309">
            <v>3.673</v>
          </cell>
        </row>
        <row r="3310">
          <cell r="A3310" t="str">
            <v>37539200409</v>
          </cell>
          <cell r="B3310">
            <v>37539</v>
          </cell>
          <cell r="C3310" t="str">
            <v>NG</v>
          </cell>
          <cell r="D3310" t="str">
            <v>200409</v>
          </cell>
          <cell r="E3310">
            <v>3.6579999999999999</v>
          </cell>
        </row>
        <row r="3311">
          <cell r="A3311" t="str">
            <v>37539200410</v>
          </cell>
          <cell r="B3311">
            <v>37539</v>
          </cell>
          <cell r="C3311" t="str">
            <v>NG</v>
          </cell>
          <cell r="D3311" t="str">
            <v>200410</v>
          </cell>
          <cell r="E3311">
            <v>3.6680000000000001</v>
          </cell>
        </row>
        <row r="3312">
          <cell r="A3312" t="str">
            <v>37539200411</v>
          </cell>
          <cell r="B3312">
            <v>37539</v>
          </cell>
          <cell r="C3312" t="str">
            <v>NG</v>
          </cell>
          <cell r="D3312" t="str">
            <v>200411</v>
          </cell>
          <cell r="E3312">
            <v>3.843</v>
          </cell>
        </row>
        <row r="3313">
          <cell r="A3313" t="str">
            <v>37539200412</v>
          </cell>
          <cell r="B3313">
            <v>37539</v>
          </cell>
          <cell r="C3313" t="str">
            <v>NG</v>
          </cell>
          <cell r="D3313" t="str">
            <v>200412</v>
          </cell>
          <cell r="E3313">
            <v>4.0279999999999996</v>
          </cell>
        </row>
        <row r="3314">
          <cell r="A3314" t="str">
            <v>37540200401</v>
          </cell>
          <cell r="B3314">
            <v>37540</v>
          </cell>
          <cell r="C3314" t="str">
            <v>NG</v>
          </cell>
          <cell r="D3314" t="str">
            <v>200401</v>
          </cell>
          <cell r="E3314">
            <v>4.2789999999999999</v>
          </cell>
        </row>
        <row r="3315">
          <cell r="A3315" t="str">
            <v>37540200402</v>
          </cell>
          <cell r="B3315">
            <v>37540</v>
          </cell>
          <cell r="C3315" t="str">
            <v>NG</v>
          </cell>
          <cell r="D3315" t="str">
            <v>200402</v>
          </cell>
          <cell r="E3315">
            <v>4.149</v>
          </cell>
        </row>
        <row r="3316">
          <cell r="A3316" t="str">
            <v>37540200403</v>
          </cell>
          <cell r="B3316">
            <v>37540</v>
          </cell>
          <cell r="C3316" t="str">
            <v>NG</v>
          </cell>
          <cell r="D3316" t="str">
            <v>200403</v>
          </cell>
          <cell r="E3316">
            <v>3.984</v>
          </cell>
        </row>
        <row r="3317">
          <cell r="A3317" t="str">
            <v>37540200404</v>
          </cell>
          <cell r="B3317">
            <v>37540</v>
          </cell>
          <cell r="C3317" t="str">
            <v>NG</v>
          </cell>
          <cell r="D3317" t="str">
            <v>200404</v>
          </cell>
          <cell r="E3317">
            <v>3.7429999999999999</v>
          </cell>
        </row>
        <row r="3318">
          <cell r="A3318" t="str">
            <v>37540200405</v>
          </cell>
          <cell r="B3318">
            <v>37540</v>
          </cell>
          <cell r="C3318" t="str">
            <v>NG</v>
          </cell>
          <cell r="D3318" t="str">
            <v>200405</v>
          </cell>
          <cell r="E3318">
            <v>3.6930000000000001</v>
          </cell>
        </row>
        <row r="3319">
          <cell r="A3319" t="str">
            <v>37540200406</v>
          </cell>
          <cell r="B3319">
            <v>37540</v>
          </cell>
          <cell r="C3319" t="str">
            <v>NG</v>
          </cell>
          <cell r="D3319" t="str">
            <v>200406</v>
          </cell>
          <cell r="E3319">
            <v>3.7090000000000001</v>
          </cell>
        </row>
        <row r="3320">
          <cell r="A3320" t="str">
            <v>37540200407</v>
          </cell>
          <cell r="B3320">
            <v>37540</v>
          </cell>
          <cell r="C3320" t="str">
            <v>NG</v>
          </cell>
          <cell r="D3320" t="str">
            <v>200407</v>
          </cell>
          <cell r="E3320">
            <v>3.7189999999999999</v>
          </cell>
        </row>
        <row r="3321">
          <cell r="A3321" t="str">
            <v>37540200408</v>
          </cell>
          <cell r="B3321">
            <v>37540</v>
          </cell>
          <cell r="C3321" t="str">
            <v>NG</v>
          </cell>
          <cell r="D3321" t="str">
            <v>200408</v>
          </cell>
          <cell r="E3321">
            <v>3.7290000000000001</v>
          </cell>
        </row>
        <row r="3322">
          <cell r="A3322" t="str">
            <v>37540200409</v>
          </cell>
          <cell r="B3322">
            <v>37540</v>
          </cell>
          <cell r="C3322" t="str">
            <v>NG</v>
          </cell>
          <cell r="D3322" t="str">
            <v>200409</v>
          </cell>
          <cell r="E3322">
            <v>3.7189999999999999</v>
          </cell>
        </row>
        <row r="3323">
          <cell r="A3323" t="str">
            <v>37540200410</v>
          </cell>
          <cell r="B3323">
            <v>37540</v>
          </cell>
          <cell r="C3323" t="str">
            <v>NG</v>
          </cell>
          <cell r="D3323" t="str">
            <v>200410</v>
          </cell>
          <cell r="E3323">
            <v>3.734</v>
          </cell>
        </row>
        <row r="3324">
          <cell r="A3324" t="str">
            <v>37540200411</v>
          </cell>
          <cell r="B3324">
            <v>37540</v>
          </cell>
          <cell r="C3324" t="str">
            <v>NG</v>
          </cell>
          <cell r="D3324" t="str">
            <v>200411</v>
          </cell>
          <cell r="E3324">
            <v>3.9089999999999998</v>
          </cell>
        </row>
        <row r="3325">
          <cell r="A3325" t="str">
            <v>37540200412</v>
          </cell>
          <cell r="B3325">
            <v>37540</v>
          </cell>
          <cell r="C3325" t="str">
            <v>NG</v>
          </cell>
          <cell r="D3325" t="str">
            <v>200412</v>
          </cell>
          <cell r="E3325">
            <v>4.0940000000000003</v>
          </cell>
        </row>
        <row r="3326">
          <cell r="A3326" t="str">
            <v>37543200401</v>
          </cell>
          <cell r="B3326">
            <v>37543</v>
          </cell>
          <cell r="C3326" t="str">
            <v>NG</v>
          </cell>
          <cell r="D3326" t="str">
            <v>200401</v>
          </cell>
          <cell r="E3326">
            <v>4.3239999999999998</v>
          </cell>
        </row>
        <row r="3327">
          <cell r="A3327" t="str">
            <v>37543200402</v>
          </cell>
          <cell r="B3327">
            <v>37543</v>
          </cell>
          <cell r="C3327" t="str">
            <v>NG</v>
          </cell>
          <cell r="D3327" t="str">
            <v>200402</v>
          </cell>
          <cell r="E3327">
            <v>4.1890000000000001</v>
          </cell>
        </row>
        <row r="3328">
          <cell r="A3328" t="str">
            <v>37543200403</v>
          </cell>
          <cell r="B3328">
            <v>37543</v>
          </cell>
          <cell r="C3328" t="str">
            <v>NG</v>
          </cell>
          <cell r="D3328" t="str">
            <v>200403</v>
          </cell>
          <cell r="E3328">
            <v>4.0140000000000002</v>
          </cell>
        </row>
        <row r="3329">
          <cell r="A3329" t="str">
            <v>37543200404</v>
          </cell>
          <cell r="B3329">
            <v>37543</v>
          </cell>
          <cell r="C3329" t="str">
            <v>NG</v>
          </cell>
          <cell r="D3329" t="str">
            <v>200404</v>
          </cell>
          <cell r="E3329">
            <v>3.7690000000000001</v>
          </cell>
        </row>
        <row r="3330">
          <cell r="A3330" t="str">
            <v>37543200405</v>
          </cell>
          <cell r="B3330">
            <v>37543</v>
          </cell>
          <cell r="C3330" t="str">
            <v>NG</v>
          </cell>
          <cell r="D3330" t="str">
            <v>200405</v>
          </cell>
          <cell r="E3330">
            <v>3.7090000000000001</v>
          </cell>
        </row>
        <row r="3331">
          <cell r="A3331" t="str">
            <v>37543200406</v>
          </cell>
          <cell r="B3331">
            <v>37543</v>
          </cell>
          <cell r="C3331" t="str">
            <v>NG</v>
          </cell>
          <cell r="D3331" t="str">
            <v>200406</v>
          </cell>
          <cell r="E3331">
            <v>3.7250000000000001</v>
          </cell>
        </row>
        <row r="3332">
          <cell r="A3332" t="str">
            <v>37543200407</v>
          </cell>
          <cell r="B3332">
            <v>37543</v>
          </cell>
          <cell r="C3332" t="str">
            <v>NG</v>
          </cell>
          <cell r="D3332" t="str">
            <v>200407</v>
          </cell>
          <cell r="E3332">
            <v>3.7349999999999999</v>
          </cell>
        </row>
        <row r="3333">
          <cell r="A3333" t="str">
            <v>37543200408</v>
          </cell>
          <cell r="B3333">
            <v>37543</v>
          </cell>
          <cell r="C3333" t="str">
            <v>NG</v>
          </cell>
          <cell r="D3333" t="str">
            <v>200408</v>
          </cell>
          <cell r="E3333">
            <v>3.7450000000000001</v>
          </cell>
        </row>
        <row r="3334">
          <cell r="A3334" t="str">
            <v>37543200409</v>
          </cell>
          <cell r="B3334">
            <v>37543</v>
          </cell>
          <cell r="C3334" t="str">
            <v>NG</v>
          </cell>
          <cell r="D3334" t="str">
            <v>200409</v>
          </cell>
          <cell r="E3334">
            <v>3.7349999999999999</v>
          </cell>
        </row>
        <row r="3335">
          <cell r="A3335" t="str">
            <v>37543200410</v>
          </cell>
          <cell r="B3335">
            <v>37543</v>
          </cell>
          <cell r="C3335" t="str">
            <v>NG</v>
          </cell>
          <cell r="D3335" t="str">
            <v>200410</v>
          </cell>
          <cell r="E3335">
            <v>3.76</v>
          </cell>
        </row>
        <row r="3336">
          <cell r="A3336" t="str">
            <v>37543200411</v>
          </cell>
          <cell r="B3336">
            <v>37543</v>
          </cell>
          <cell r="C3336" t="str">
            <v>NG</v>
          </cell>
          <cell r="D3336" t="str">
            <v>200411</v>
          </cell>
          <cell r="E3336">
            <v>3.9420000000000002</v>
          </cell>
        </row>
        <row r="3337">
          <cell r="A3337" t="str">
            <v>37543200412</v>
          </cell>
          <cell r="B3337">
            <v>37543</v>
          </cell>
          <cell r="C3337" t="str">
            <v>NG</v>
          </cell>
          <cell r="D3337" t="str">
            <v>200412</v>
          </cell>
          <cell r="E3337">
            <v>4.1269999999999998</v>
          </cell>
        </row>
        <row r="3338">
          <cell r="A3338" t="str">
            <v>37544200401</v>
          </cell>
          <cell r="B3338">
            <v>37544</v>
          </cell>
          <cell r="C3338" t="str">
            <v>NG</v>
          </cell>
          <cell r="D3338" t="str">
            <v>200401</v>
          </cell>
          <cell r="E3338">
            <v>4.3159999999999998</v>
          </cell>
        </row>
        <row r="3339">
          <cell r="A3339" t="str">
            <v>37544200402</v>
          </cell>
          <cell r="B3339">
            <v>37544</v>
          </cell>
          <cell r="C3339" t="str">
            <v>NG</v>
          </cell>
          <cell r="D3339" t="str">
            <v>200402</v>
          </cell>
          <cell r="E3339">
            <v>4.181</v>
          </cell>
        </row>
        <row r="3340">
          <cell r="A3340" t="str">
            <v>37544200403</v>
          </cell>
          <cell r="B3340">
            <v>37544</v>
          </cell>
          <cell r="C3340" t="str">
            <v>NG</v>
          </cell>
          <cell r="D3340" t="str">
            <v>200403</v>
          </cell>
          <cell r="E3340">
            <v>4.0060000000000002</v>
          </cell>
        </row>
        <row r="3341">
          <cell r="A3341" t="str">
            <v>37544200404</v>
          </cell>
          <cell r="B3341">
            <v>37544</v>
          </cell>
          <cell r="C3341" t="str">
            <v>NG</v>
          </cell>
          <cell r="D3341" t="str">
            <v>200404</v>
          </cell>
          <cell r="E3341">
            <v>3.7610000000000001</v>
          </cell>
        </row>
        <row r="3342">
          <cell r="A3342" t="str">
            <v>37544200405</v>
          </cell>
          <cell r="B3342">
            <v>37544</v>
          </cell>
          <cell r="C3342" t="str">
            <v>NG</v>
          </cell>
          <cell r="D3342" t="str">
            <v>200405</v>
          </cell>
          <cell r="E3342">
            <v>3.7010000000000001</v>
          </cell>
        </row>
        <row r="3343">
          <cell r="A3343" t="str">
            <v>37544200406</v>
          </cell>
          <cell r="B3343">
            <v>37544</v>
          </cell>
          <cell r="C3343" t="str">
            <v>NG</v>
          </cell>
          <cell r="D3343" t="str">
            <v>200406</v>
          </cell>
          <cell r="E3343">
            <v>3.7170000000000001</v>
          </cell>
        </row>
        <row r="3344">
          <cell r="A3344" t="str">
            <v>37544200407</v>
          </cell>
          <cell r="B3344">
            <v>37544</v>
          </cell>
          <cell r="C3344" t="str">
            <v>NG</v>
          </cell>
          <cell r="D3344" t="str">
            <v>200407</v>
          </cell>
          <cell r="E3344">
            <v>3.7269999999999999</v>
          </cell>
        </row>
        <row r="3345">
          <cell r="A3345" t="str">
            <v>37544200408</v>
          </cell>
          <cell r="B3345">
            <v>37544</v>
          </cell>
          <cell r="C3345" t="str">
            <v>NG</v>
          </cell>
          <cell r="D3345" t="str">
            <v>200408</v>
          </cell>
          <cell r="E3345">
            <v>3.7370000000000001</v>
          </cell>
        </row>
        <row r="3346">
          <cell r="A3346" t="str">
            <v>37544200409</v>
          </cell>
          <cell r="B3346">
            <v>37544</v>
          </cell>
          <cell r="C3346" t="str">
            <v>NG</v>
          </cell>
          <cell r="D3346" t="str">
            <v>200409</v>
          </cell>
          <cell r="E3346">
            <v>3.7269999999999999</v>
          </cell>
        </row>
        <row r="3347">
          <cell r="A3347" t="str">
            <v>37544200410</v>
          </cell>
          <cell r="B3347">
            <v>37544</v>
          </cell>
          <cell r="C3347" t="str">
            <v>NG</v>
          </cell>
          <cell r="D3347" t="str">
            <v>200410</v>
          </cell>
          <cell r="E3347">
            <v>3.7519999999999998</v>
          </cell>
        </row>
        <row r="3348">
          <cell r="A3348" t="str">
            <v>37544200411</v>
          </cell>
          <cell r="B3348">
            <v>37544</v>
          </cell>
          <cell r="C3348" t="str">
            <v>NG</v>
          </cell>
          <cell r="D3348" t="str">
            <v>200411</v>
          </cell>
          <cell r="E3348">
            <v>3.9220000000000002</v>
          </cell>
        </row>
        <row r="3349">
          <cell r="A3349" t="str">
            <v>37544200412</v>
          </cell>
          <cell r="B3349">
            <v>37544</v>
          </cell>
          <cell r="C3349" t="str">
            <v>NG</v>
          </cell>
          <cell r="D3349" t="str">
            <v>200412</v>
          </cell>
          <cell r="E3349">
            <v>4.1020000000000003</v>
          </cell>
        </row>
        <row r="3350">
          <cell r="A3350" t="str">
            <v>37545200401</v>
          </cell>
          <cell r="B3350">
            <v>37545</v>
          </cell>
          <cell r="C3350" t="str">
            <v>NG</v>
          </cell>
          <cell r="D3350" t="str">
            <v>200401</v>
          </cell>
          <cell r="E3350">
            <v>4.3120000000000003</v>
          </cell>
        </row>
        <row r="3351">
          <cell r="A3351" t="str">
            <v>37545200402</v>
          </cell>
          <cell r="B3351">
            <v>37545</v>
          </cell>
          <cell r="C3351" t="str">
            <v>NG</v>
          </cell>
          <cell r="D3351" t="str">
            <v>200402</v>
          </cell>
          <cell r="E3351">
            <v>4.1769999999999996</v>
          </cell>
        </row>
        <row r="3352">
          <cell r="A3352" t="str">
            <v>37545200403</v>
          </cell>
          <cell r="B3352">
            <v>37545</v>
          </cell>
          <cell r="C3352" t="str">
            <v>NG</v>
          </cell>
          <cell r="D3352" t="str">
            <v>200403</v>
          </cell>
          <cell r="E3352">
            <v>4.0019999999999998</v>
          </cell>
        </row>
        <row r="3353">
          <cell r="A3353" t="str">
            <v>37545200404</v>
          </cell>
          <cell r="B3353">
            <v>37545</v>
          </cell>
          <cell r="C3353" t="str">
            <v>NG</v>
          </cell>
          <cell r="D3353" t="str">
            <v>200404</v>
          </cell>
          <cell r="E3353">
            <v>3.7570000000000001</v>
          </cell>
        </row>
        <row r="3354">
          <cell r="A3354" t="str">
            <v>37545200405</v>
          </cell>
          <cell r="B3354">
            <v>37545</v>
          </cell>
          <cell r="C3354" t="str">
            <v>NG</v>
          </cell>
          <cell r="D3354" t="str">
            <v>200405</v>
          </cell>
          <cell r="E3354">
            <v>3.702</v>
          </cell>
        </row>
        <row r="3355">
          <cell r="A3355" t="str">
            <v>37545200406</v>
          </cell>
          <cell r="B3355">
            <v>37545</v>
          </cell>
          <cell r="C3355" t="str">
            <v>NG</v>
          </cell>
          <cell r="D3355" t="str">
            <v>200406</v>
          </cell>
          <cell r="E3355">
            <v>3.718</v>
          </cell>
        </row>
        <row r="3356">
          <cell r="A3356" t="str">
            <v>37545200407</v>
          </cell>
          <cell r="B3356">
            <v>37545</v>
          </cell>
          <cell r="C3356" t="str">
            <v>NG</v>
          </cell>
          <cell r="D3356" t="str">
            <v>200407</v>
          </cell>
          <cell r="E3356">
            <v>3.7280000000000002</v>
          </cell>
        </row>
        <row r="3357">
          <cell r="A3357" t="str">
            <v>37545200408</v>
          </cell>
          <cell r="B3357">
            <v>37545</v>
          </cell>
          <cell r="C3357" t="str">
            <v>NG</v>
          </cell>
          <cell r="D3357" t="str">
            <v>200408</v>
          </cell>
          <cell r="E3357">
            <v>3.742</v>
          </cell>
        </row>
        <row r="3358">
          <cell r="A3358" t="str">
            <v>37545200409</v>
          </cell>
          <cell r="B3358">
            <v>37545</v>
          </cell>
          <cell r="C3358" t="str">
            <v>NG</v>
          </cell>
          <cell r="D3358" t="str">
            <v>200409</v>
          </cell>
          <cell r="E3358">
            <v>3.7320000000000002</v>
          </cell>
        </row>
        <row r="3359">
          <cell r="A3359" t="str">
            <v>37545200410</v>
          </cell>
          <cell r="B3359">
            <v>37545</v>
          </cell>
          <cell r="C3359" t="str">
            <v>NG</v>
          </cell>
          <cell r="D3359" t="str">
            <v>200410</v>
          </cell>
          <cell r="E3359">
            <v>3.754</v>
          </cell>
        </row>
        <row r="3360">
          <cell r="A3360" t="str">
            <v>37545200411</v>
          </cell>
          <cell r="B3360">
            <v>37545</v>
          </cell>
          <cell r="C3360" t="str">
            <v>NG</v>
          </cell>
          <cell r="D3360" t="str">
            <v>200411</v>
          </cell>
          <cell r="E3360">
            <v>3.92</v>
          </cell>
        </row>
        <row r="3361">
          <cell r="A3361" t="str">
            <v>37545200412</v>
          </cell>
          <cell r="B3361">
            <v>37545</v>
          </cell>
          <cell r="C3361" t="str">
            <v>NG</v>
          </cell>
          <cell r="D3361" t="str">
            <v>200412</v>
          </cell>
          <cell r="E3361">
            <v>4.0919999999999996</v>
          </cell>
        </row>
        <row r="3362">
          <cell r="A3362" t="str">
            <v>37546200401</v>
          </cell>
          <cell r="B3362">
            <v>37546</v>
          </cell>
          <cell r="C3362" t="str">
            <v>NG</v>
          </cell>
          <cell r="D3362" t="str">
            <v>200401</v>
          </cell>
          <cell r="E3362">
            <v>4.3440000000000003</v>
          </cell>
        </row>
        <row r="3363">
          <cell r="A3363" t="str">
            <v>37546200402</v>
          </cell>
          <cell r="B3363">
            <v>37546</v>
          </cell>
          <cell r="C3363" t="str">
            <v>NG</v>
          </cell>
          <cell r="D3363" t="str">
            <v>200402</v>
          </cell>
          <cell r="E3363">
            <v>4.1989999999999998</v>
          </cell>
        </row>
        <row r="3364">
          <cell r="A3364" t="str">
            <v>37546200403</v>
          </cell>
          <cell r="B3364">
            <v>37546</v>
          </cell>
          <cell r="C3364" t="str">
            <v>NG</v>
          </cell>
          <cell r="D3364" t="str">
            <v>200403</v>
          </cell>
          <cell r="E3364">
            <v>4.0170000000000003</v>
          </cell>
        </row>
        <row r="3365">
          <cell r="A3365" t="str">
            <v>37546200404</v>
          </cell>
          <cell r="B3365">
            <v>37546</v>
          </cell>
          <cell r="C3365" t="str">
            <v>NG</v>
          </cell>
          <cell r="D3365" t="str">
            <v>200404</v>
          </cell>
          <cell r="E3365">
            <v>3.76</v>
          </cell>
        </row>
        <row r="3366">
          <cell r="A3366" t="str">
            <v>37546200405</v>
          </cell>
          <cell r="B3366">
            <v>37546</v>
          </cell>
          <cell r="C3366" t="str">
            <v>NG</v>
          </cell>
          <cell r="D3366" t="str">
            <v>200405</v>
          </cell>
          <cell r="E3366">
            <v>3.7</v>
          </cell>
        </row>
        <row r="3367">
          <cell r="A3367" t="str">
            <v>37546200406</v>
          </cell>
          <cell r="B3367">
            <v>37546</v>
          </cell>
          <cell r="C3367" t="str">
            <v>NG</v>
          </cell>
          <cell r="D3367" t="str">
            <v>200406</v>
          </cell>
          <cell r="E3367">
            <v>3.7149999999999999</v>
          </cell>
        </row>
        <row r="3368">
          <cell r="A3368" t="str">
            <v>37546200407</v>
          </cell>
          <cell r="B3368">
            <v>37546</v>
          </cell>
          <cell r="C3368" t="str">
            <v>NG</v>
          </cell>
          <cell r="D3368" t="str">
            <v>200407</v>
          </cell>
          <cell r="E3368">
            <v>3.7269999999999999</v>
          </cell>
        </row>
        <row r="3369">
          <cell r="A3369" t="str">
            <v>37546200408</v>
          </cell>
          <cell r="B3369">
            <v>37546</v>
          </cell>
          <cell r="C3369" t="str">
            <v>NG</v>
          </cell>
          <cell r="D3369" t="str">
            <v>200408</v>
          </cell>
          <cell r="E3369">
            <v>3.7469999999999999</v>
          </cell>
        </row>
        <row r="3370">
          <cell r="A3370" t="str">
            <v>37546200409</v>
          </cell>
          <cell r="B3370">
            <v>37546</v>
          </cell>
          <cell r="C3370" t="str">
            <v>NG</v>
          </cell>
          <cell r="D3370" t="str">
            <v>200409</v>
          </cell>
          <cell r="E3370">
            <v>3.7269999999999999</v>
          </cell>
        </row>
        <row r="3371">
          <cell r="A3371" t="str">
            <v>37546200410</v>
          </cell>
          <cell r="B3371">
            <v>37546</v>
          </cell>
          <cell r="C3371" t="str">
            <v>NG</v>
          </cell>
          <cell r="D3371" t="str">
            <v>200410</v>
          </cell>
          <cell r="E3371">
            <v>3.7490000000000001</v>
          </cell>
        </row>
        <row r="3372">
          <cell r="A3372" t="str">
            <v>37546200411</v>
          </cell>
          <cell r="B3372">
            <v>37546</v>
          </cell>
          <cell r="C3372" t="str">
            <v>NG</v>
          </cell>
          <cell r="D3372" t="str">
            <v>200411</v>
          </cell>
          <cell r="E3372">
            <v>3.9119999999999999</v>
          </cell>
        </row>
        <row r="3373">
          <cell r="A3373" t="str">
            <v>37546200412</v>
          </cell>
          <cell r="B3373">
            <v>37546</v>
          </cell>
          <cell r="C3373" t="str">
            <v>NG</v>
          </cell>
          <cell r="D3373" t="str">
            <v>200412</v>
          </cell>
          <cell r="E3373">
            <v>4.077</v>
          </cell>
        </row>
        <row r="3374">
          <cell r="A3374" t="str">
            <v>37547200401</v>
          </cell>
          <cell r="B3374">
            <v>37547</v>
          </cell>
          <cell r="C3374" t="str">
            <v>NG</v>
          </cell>
          <cell r="D3374" t="str">
            <v>200401</v>
          </cell>
          <cell r="E3374">
            <v>4.3600000000000003</v>
          </cell>
        </row>
        <row r="3375">
          <cell r="A3375" t="str">
            <v>37547200402</v>
          </cell>
          <cell r="B3375">
            <v>37547</v>
          </cell>
          <cell r="C3375" t="str">
            <v>NG</v>
          </cell>
          <cell r="D3375" t="str">
            <v>200402</v>
          </cell>
          <cell r="E3375">
            <v>4.2149999999999999</v>
          </cell>
        </row>
        <row r="3376">
          <cell r="A3376" t="str">
            <v>37547200403</v>
          </cell>
          <cell r="B3376">
            <v>37547</v>
          </cell>
          <cell r="C3376" t="str">
            <v>NG</v>
          </cell>
          <cell r="D3376" t="str">
            <v>200403</v>
          </cell>
          <cell r="E3376">
            <v>4.03</v>
          </cell>
        </row>
        <row r="3377">
          <cell r="A3377" t="str">
            <v>37547200404</v>
          </cell>
          <cell r="B3377">
            <v>37547</v>
          </cell>
          <cell r="C3377" t="str">
            <v>NG</v>
          </cell>
          <cell r="D3377" t="str">
            <v>200404</v>
          </cell>
          <cell r="E3377">
            <v>3.77</v>
          </cell>
        </row>
        <row r="3378">
          <cell r="A3378" t="str">
            <v>37547200405</v>
          </cell>
          <cell r="B3378">
            <v>37547</v>
          </cell>
          <cell r="C3378" t="str">
            <v>NG</v>
          </cell>
          <cell r="D3378" t="str">
            <v>200405</v>
          </cell>
          <cell r="E3378">
            <v>3.71</v>
          </cell>
        </row>
        <row r="3379">
          <cell r="A3379" t="str">
            <v>37547200406</v>
          </cell>
          <cell r="B3379">
            <v>37547</v>
          </cell>
          <cell r="C3379" t="str">
            <v>NG</v>
          </cell>
          <cell r="D3379" t="str">
            <v>200406</v>
          </cell>
          <cell r="E3379">
            <v>3.7250000000000001</v>
          </cell>
        </row>
        <row r="3380">
          <cell r="A3380" t="str">
            <v>37547200407</v>
          </cell>
          <cell r="B3380">
            <v>37547</v>
          </cell>
          <cell r="C3380" t="str">
            <v>NG</v>
          </cell>
          <cell r="D3380" t="str">
            <v>200407</v>
          </cell>
          <cell r="E3380">
            <v>3.7370000000000001</v>
          </cell>
        </row>
        <row r="3381">
          <cell r="A3381" t="str">
            <v>37547200408</v>
          </cell>
          <cell r="B3381">
            <v>37547</v>
          </cell>
          <cell r="C3381" t="str">
            <v>NG</v>
          </cell>
          <cell r="D3381" t="str">
            <v>200408</v>
          </cell>
          <cell r="E3381">
            <v>3.7570000000000001</v>
          </cell>
        </row>
        <row r="3382">
          <cell r="A3382" t="str">
            <v>37547200409</v>
          </cell>
          <cell r="B3382">
            <v>37547</v>
          </cell>
          <cell r="C3382" t="str">
            <v>NG</v>
          </cell>
          <cell r="D3382" t="str">
            <v>200409</v>
          </cell>
          <cell r="E3382">
            <v>3.7370000000000001</v>
          </cell>
        </row>
        <row r="3383">
          <cell r="A3383" t="str">
            <v>37547200410</v>
          </cell>
          <cell r="B3383">
            <v>37547</v>
          </cell>
          <cell r="C3383" t="str">
            <v>NG</v>
          </cell>
          <cell r="D3383" t="str">
            <v>200410</v>
          </cell>
          <cell r="E3383">
            <v>3.7589999999999999</v>
          </cell>
        </row>
        <row r="3384">
          <cell r="A3384" t="str">
            <v>37547200411</v>
          </cell>
          <cell r="B3384">
            <v>37547</v>
          </cell>
          <cell r="C3384" t="str">
            <v>NG</v>
          </cell>
          <cell r="D3384" t="str">
            <v>200411</v>
          </cell>
          <cell r="E3384">
            <v>3.9220000000000002</v>
          </cell>
        </row>
        <row r="3385">
          <cell r="A3385" t="str">
            <v>37547200412</v>
          </cell>
          <cell r="B3385">
            <v>37547</v>
          </cell>
          <cell r="C3385" t="str">
            <v>NG</v>
          </cell>
          <cell r="D3385" t="str">
            <v>200412</v>
          </cell>
          <cell r="E3385">
            <v>4.0869999999999997</v>
          </cell>
        </row>
        <row r="3386">
          <cell r="A3386" t="str">
            <v>37548200401</v>
          </cell>
          <cell r="B3386">
            <v>37548</v>
          </cell>
          <cell r="C3386" t="str">
            <v>NG</v>
          </cell>
          <cell r="D3386" t="str">
            <v>200401</v>
          </cell>
          <cell r="E3386">
            <v>4.3600000000000003</v>
          </cell>
        </row>
        <row r="3387">
          <cell r="A3387" t="str">
            <v>37548200402</v>
          </cell>
          <cell r="B3387">
            <v>37548</v>
          </cell>
          <cell r="C3387" t="str">
            <v>NG</v>
          </cell>
          <cell r="D3387" t="str">
            <v>200402</v>
          </cell>
          <cell r="E3387">
            <v>4.2149999999999999</v>
          </cell>
        </row>
        <row r="3388">
          <cell r="A3388" t="str">
            <v>37548200403</v>
          </cell>
          <cell r="B3388">
            <v>37548</v>
          </cell>
          <cell r="C3388" t="str">
            <v>NG</v>
          </cell>
          <cell r="D3388" t="str">
            <v>200403</v>
          </cell>
          <cell r="E3388">
            <v>4.03</v>
          </cell>
        </row>
        <row r="3389">
          <cell r="A3389" t="str">
            <v>37548200404</v>
          </cell>
          <cell r="B3389">
            <v>37548</v>
          </cell>
          <cell r="C3389" t="str">
            <v>NG</v>
          </cell>
          <cell r="D3389" t="str">
            <v>200404</v>
          </cell>
          <cell r="E3389">
            <v>3.77</v>
          </cell>
        </row>
        <row r="3390">
          <cell r="A3390" t="str">
            <v>37548200405</v>
          </cell>
          <cell r="B3390">
            <v>37548</v>
          </cell>
          <cell r="C3390" t="str">
            <v>NG</v>
          </cell>
          <cell r="D3390" t="str">
            <v>200405</v>
          </cell>
          <cell r="E3390">
            <v>3.71</v>
          </cell>
        </row>
        <row r="3391">
          <cell r="A3391" t="str">
            <v>37548200406</v>
          </cell>
          <cell r="B3391">
            <v>37548</v>
          </cell>
          <cell r="C3391" t="str">
            <v>NG</v>
          </cell>
          <cell r="D3391" t="str">
            <v>200406</v>
          </cell>
          <cell r="E3391">
            <v>3.7250000000000001</v>
          </cell>
        </row>
        <row r="3392">
          <cell r="A3392" t="str">
            <v>37548200407</v>
          </cell>
          <cell r="B3392">
            <v>37548</v>
          </cell>
          <cell r="C3392" t="str">
            <v>NG</v>
          </cell>
          <cell r="D3392" t="str">
            <v>200407</v>
          </cell>
          <cell r="E3392">
            <v>3.7370000000000001</v>
          </cell>
        </row>
        <row r="3393">
          <cell r="A3393" t="str">
            <v>37548200408</v>
          </cell>
          <cell r="B3393">
            <v>37548</v>
          </cell>
          <cell r="C3393" t="str">
            <v>NG</v>
          </cell>
          <cell r="D3393" t="str">
            <v>200408</v>
          </cell>
          <cell r="E3393">
            <v>3.7570000000000001</v>
          </cell>
        </row>
        <row r="3394">
          <cell r="A3394" t="str">
            <v>37548200409</v>
          </cell>
          <cell r="B3394">
            <v>37548</v>
          </cell>
          <cell r="C3394" t="str">
            <v>NG</v>
          </cell>
          <cell r="D3394" t="str">
            <v>200409</v>
          </cell>
          <cell r="E3394">
            <v>3.7370000000000001</v>
          </cell>
        </row>
        <row r="3395">
          <cell r="A3395" t="str">
            <v>37548200410</v>
          </cell>
          <cell r="B3395">
            <v>37548</v>
          </cell>
          <cell r="C3395" t="str">
            <v>NG</v>
          </cell>
          <cell r="D3395" t="str">
            <v>200410</v>
          </cell>
          <cell r="E3395">
            <v>3.7589999999999999</v>
          </cell>
        </row>
        <row r="3396">
          <cell r="A3396" t="str">
            <v>37548200411</v>
          </cell>
          <cell r="B3396">
            <v>37548</v>
          </cell>
          <cell r="C3396" t="str">
            <v>NG</v>
          </cell>
          <cell r="D3396" t="str">
            <v>200411</v>
          </cell>
          <cell r="E3396">
            <v>3.9220000000000002</v>
          </cell>
        </row>
        <row r="3397">
          <cell r="A3397" t="str">
            <v>37548200412</v>
          </cell>
          <cell r="B3397">
            <v>37548</v>
          </cell>
          <cell r="C3397" t="str">
            <v>NG</v>
          </cell>
          <cell r="D3397" t="str">
            <v>200412</v>
          </cell>
          <cell r="E3397">
            <v>4.0869999999999997</v>
          </cell>
        </row>
        <row r="3398">
          <cell r="A3398" t="str">
            <v>37549200401</v>
          </cell>
          <cell r="B3398">
            <v>37549</v>
          </cell>
          <cell r="C3398" t="str">
            <v>NG</v>
          </cell>
          <cell r="D3398" t="str">
            <v>200401</v>
          </cell>
          <cell r="E3398">
            <v>4.3600000000000003</v>
          </cell>
        </row>
        <row r="3399">
          <cell r="A3399" t="str">
            <v>37549200402</v>
          </cell>
          <cell r="B3399">
            <v>37549</v>
          </cell>
          <cell r="C3399" t="str">
            <v>NG</v>
          </cell>
          <cell r="D3399" t="str">
            <v>200402</v>
          </cell>
          <cell r="E3399">
            <v>4.2149999999999999</v>
          </cell>
        </row>
        <row r="3400">
          <cell r="A3400" t="str">
            <v>37549200403</v>
          </cell>
          <cell r="B3400">
            <v>37549</v>
          </cell>
          <cell r="C3400" t="str">
            <v>NG</v>
          </cell>
          <cell r="D3400" t="str">
            <v>200403</v>
          </cell>
          <cell r="E3400">
            <v>4.03</v>
          </cell>
        </row>
        <row r="3401">
          <cell r="A3401" t="str">
            <v>37549200404</v>
          </cell>
          <cell r="B3401">
            <v>37549</v>
          </cell>
          <cell r="C3401" t="str">
            <v>NG</v>
          </cell>
          <cell r="D3401" t="str">
            <v>200404</v>
          </cell>
          <cell r="E3401">
            <v>3.77</v>
          </cell>
        </row>
        <row r="3402">
          <cell r="A3402" t="str">
            <v>37549200405</v>
          </cell>
          <cell r="B3402">
            <v>37549</v>
          </cell>
          <cell r="C3402" t="str">
            <v>NG</v>
          </cell>
          <cell r="D3402" t="str">
            <v>200405</v>
          </cell>
          <cell r="E3402">
            <v>3.71</v>
          </cell>
        </row>
        <row r="3403">
          <cell r="A3403" t="str">
            <v>37549200406</v>
          </cell>
          <cell r="B3403">
            <v>37549</v>
          </cell>
          <cell r="C3403" t="str">
            <v>NG</v>
          </cell>
          <cell r="D3403" t="str">
            <v>200406</v>
          </cell>
          <cell r="E3403">
            <v>3.7250000000000001</v>
          </cell>
        </row>
        <row r="3404">
          <cell r="A3404" t="str">
            <v>37549200407</v>
          </cell>
          <cell r="B3404">
            <v>37549</v>
          </cell>
          <cell r="C3404" t="str">
            <v>NG</v>
          </cell>
          <cell r="D3404" t="str">
            <v>200407</v>
          </cell>
          <cell r="E3404">
            <v>3.7370000000000001</v>
          </cell>
        </row>
        <row r="3405">
          <cell r="A3405" t="str">
            <v>37549200408</v>
          </cell>
          <cell r="B3405">
            <v>37549</v>
          </cell>
          <cell r="C3405" t="str">
            <v>NG</v>
          </cell>
          <cell r="D3405" t="str">
            <v>200408</v>
          </cell>
          <cell r="E3405">
            <v>3.7570000000000001</v>
          </cell>
        </row>
        <row r="3406">
          <cell r="A3406" t="str">
            <v>37549200409</v>
          </cell>
          <cell r="B3406">
            <v>37549</v>
          </cell>
          <cell r="C3406" t="str">
            <v>NG</v>
          </cell>
          <cell r="D3406" t="str">
            <v>200409</v>
          </cell>
          <cell r="E3406">
            <v>3.7370000000000001</v>
          </cell>
        </row>
        <row r="3407">
          <cell r="A3407" t="str">
            <v>37549200410</v>
          </cell>
          <cell r="B3407">
            <v>37549</v>
          </cell>
          <cell r="C3407" t="str">
            <v>NG</v>
          </cell>
          <cell r="D3407" t="str">
            <v>200410</v>
          </cell>
          <cell r="E3407">
            <v>3.7589999999999999</v>
          </cell>
        </row>
        <row r="3408">
          <cell r="A3408" t="str">
            <v>37549200411</v>
          </cell>
          <cell r="B3408">
            <v>37549</v>
          </cell>
          <cell r="C3408" t="str">
            <v>NG</v>
          </cell>
          <cell r="D3408" t="str">
            <v>200411</v>
          </cell>
          <cell r="E3408">
            <v>3.9220000000000002</v>
          </cell>
        </row>
        <row r="3409">
          <cell r="A3409" t="str">
            <v>37549200412</v>
          </cell>
          <cell r="B3409">
            <v>37549</v>
          </cell>
          <cell r="C3409" t="str">
            <v>NG</v>
          </cell>
          <cell r="D3409" t="str">
            <v>200412</v>
          </cell>
          <cell r="E3409">
            <v>4.0869999999999997</v>
          </cell>
        </row>
        <row r="3410">
          <cell r="A3410" t="str">
            <v>37550200401</v>
          </cell>
          <cell r="B3410">
            <v>37550</v>
          </cell>
          <cell r="C3410" t="str">
            <v>NG</v>
          </cell>
          <cell r="D3410" t="str">
            <v>200401</v>
          </cell>
          <cell r="E3410">
            <v>4.3099999999999996</v>
          </cell>
        </row>
        <row r="3411">
          <cell r="A3411" t="str">
            <v>37550200402</v>
          </cell>
          <cell r="B3411">
            <v>37550</v>
          </cell>
          <cell r="C3411" t="str">
            <v>NG</v>
          </cell>
          <cell r="D3411" t="str">
            <v>200402</v>
          </cell>
          <cell r="E3411">
            <v>4.17</v>
          </cell>
        </row>
        <row r="3412">
          <cell r="A3412" t="str">
            <v>37550200403</v>
          </cell>
          <cell r="B3412">
            <v>37550</v>
          </cell>
          <cell r="C3412" t="str">
            <v>NG</v>
          </cell>
          <cell r="D3412" t="str">
            <v>200403</v>
          </cell>
          <cell r="E3412">
            <v>3.99</v>
          </cell>
        </row>
        <row r="3413">
          <cell r="A3413" t="str">
            <v>37550200404</v>
          </cell>
          <cell r="B3413">
            <v>37550</v>
          </cell>
          <cell r="C3413" t="str">
            <v>NG</v>
          </cell>
          <cell r="D3413" t="str">
            <v>200404</v>
          </cell>
          <cell r="E3413">
            <v>3.7349999999999999</v>
          </cell>
        </row>
        <row r="3414">
          <cell r="A3414" t="str">
            <v>37550200405</v>
          </cell>
          <cell r="B3414">
            <v>37550</v>
          </cell>
          <cell r="C3414" t="str">
            <v>NG</v>
          </cell>
          <cell r="D3414" t="str">
            <v>200405</v>
          </cell>
          <cell r="E3414">
            <v>3.6749999999999998</v>
          </cell>
        </row>
        <row r="3415">
          <cell r="A3415" t="str">
            <v>37550200406</v>
          </cell>
          <cell r="B3415">
            <v>37550</v>
          </cell>
          <cell r="C3415" t="str">
            <v>NG</v>
          </cell>
          <cell r="D3415" t="str">
            <v>200406</v>
          </cell>
          <cell r="E3415">
            <v>3.69</v>
          </cell>
        </row>
        <row r="3416">
          <cell r="A3416" t="str">
            <v>37550200407</v>
          </cell>
          <cell r="B3416">
            <v>37550</v>
          </cell>
          <cell r="C3416" t="str">
            <v>NG</v>
          </cell>
          <cell r="D3416" t="str">
            <v>200407</v>
          </cell>
          <cell r="E3416">
            <v>3.702</v>
          </cell>
        </row>
        <row r="3417">
          <cell r="A3417" t="str">
            <v>37550200408</v>
          </cell>
          <cell r="B3417">
            <v>37550</v>
          </cell>
          <cell r="C3417" t="str">
            <v>NG</v>
          </cell>
          <cell r="D3417" t="str">
            <v>200408</v>
          </cell>
          <cell r="E3417">
            <v>3.722</v>
          </cell>
        </row>
        <row r="3418">
          <cell r="A3418" t="str">
            <v>37550200409</v>
          </cell>
          <cell r="B3418">
            <v>37550</v>
          </cell>
          <cell r="C3418" t="str">
            <v>NG</v>
          </cell>
          <cell r="D3418" t="str">
            <v>200409</v>
          </cell>
          <cell r="E3418">
            <v>3.702</v>
          </cell>
        </row>
        <row r="3419">
          <cell r="A3419" t="str">
            <v>37550200410</v>
          </cell>
          <cell r="B3419">
            <v>37550</v>
          </cell>
          <cell r="C3419" t="str">
            <v>NG</v>
          </cell>
          <cell r="D3419" t="str">
            <v>200410</v>
          </cell>
          <cell r="E3419">
            <v>3.7240000000000002</v>
          </cell>
        </row>
        <row r="3420">
          <cell r="A3420" t="str">
            <v>37550200411</v>
          </cell>
          <cell r="B3420">
            <v>37550</v>
          </cell>
          <cell r="C3420" t="str">
            <v>NG</v>
          </cell>
          <cell r="D3420" t="str">
            <v>200411</v>
          </cell>
          <cell r="E3420">
            <v>3.887</v>
          </cell>
        </row>
        <row r="3421">
          <cell r="A3421" t="str">
            <v>37550200412</v>
          </cell>
          <cell r="B3421">
            <v>37550</v>
          </cell>
          <cell r="C3421" t="str">
            <v>NG</v>
          </cell>
          <cell r="D3421" t="str">
            <v>200412</v>
          </cell>
          <cell r="E3421">
            <v>4.0519999999999996</v>
          </cell>
        </row>
        <row r="3422">
          <cell r="A3422" t="str">
            <v>37551200401</v>
          </cell>
          <cell r="B3422">
            <v>37551</v>
          </cell>
          <cell r="C3422" t="str">
            <v>NG</v>
          </cell>
          <cell r="D3422" t="str">
            <v>200401</v>
          </cell>
          <cell r="E3422">
            <v>4.3440000000000003</v>
          </cell>
        </row>
        <row r="3423">
          <cell r="A3423" t="str">
            <v>37551200402</v>
          </cell>
          <cell r="B3423">
            <v>37551</v>
          </cell>
          <cell r="C3423" t="str">
            <v>NG</v>
          </cell>
          <cell r="D3423" t="str">
            <v>200402</v>
          </cell>
          <cell r="E3423">
            <v>4.2240000000000002</v>
          </cell>
        </row>
        <row r="3424">
          <cell r="A3424" t="str">
            <v>37551200403</v>
          </cell>
          <cell r="B3424">
            <v>37551</v>
          </cell>
          <cell r="C3424" t="str">
            <v>NG</v>
          </cell>
          <cell r="D3424" t="str">
            <v>200403</v>
          </cell>
          <cell r="E3424">
            <v>4.0640000000000001</v>
          </cell>
        </row>
        <row r="3425">
          <cell r="A3425" t="str">
            <v>37551200404</v>
          </cell>
          <cell r="B3425">
            <v>37551</v>
          </cell>
          <cell r="C3425" t="str">
            <v>NG</v>
          </cell>
          <cell r="D3425" t="str">
            <v>200404</v>
          </cell>
          <cell r="E3425">
            <v>3.819</v>
          </cell>
        </row>
        <row r="3426">
          <cell r="A3426" t="str">
            <v>37551200405</v>
          </cell>
          <cell r="B3426">
            <v>37551</v>
          </cell>
          <cell r="C3426" t="str">
            <v>NG</v>
          </cell>
          <cell r="D3426" t="str">
            <v>200405</v>
          </cell>
          <cell r="E3426">
            <v>3.76</v>
          </cell>
        </row>
        <row r="3427">
          <cell r="A3427" t="str">
            <v>37551200406</v>
          </cell>
          <cell r="B3427">
            <v>37551</v>
          </cell>
          <cell r="C3427" t="str">
            <v>NG</v>
          </cell>
          <cell r="D3427" t="str">
            <v>200406</v>
          </cell>
          <cell r="E3427">
            <v>3.7749999999999999</v>
          </cell>
        </row>
        <row r="3428">
          <cell r="A3428" t="str">
            <v>37551200407</v>
          </cell>
          <cell r="B3428">
            <v>37551</v>
          </cell>
          <cell r="C3428" t="str">
            <v>NG</v>
          </cell>
          <cell r="D3428" t="str">
            <v>200407</v>
          </cell>
          <cell r="E3428">
            <v>3.7869999999999999</v>
          </cell>
        </row>
        <row r="3429">
          <cell r="A3429" t="str">
            <v>37551200408</v>
          </cell>
          <cell r="B3429">
            <v>37551</v>
          </cell>
          <cell r="C3429" t="str">
            <v>NG</v>
          </cell>
          <cell r="D3429" t="str">
            <v>200408</v>
          </cell>
          <cell r="E3429">
            <v>3.8069999999999999</v>
          </cell>
        </row>
        <row r="3430">
          <cell r="A3430" t="str">
            <v>37551200409</v>
          </cell>
          <cell r="B3430">
            <v>37551</v>
          </cell>
          <cell r="C3430" t="str">
            <v>NG</v>
          </cell>
          <cell r="D3430" t="str">
            <v>200409</v>
          </cell>
          <cell r="E3430">
            <v>3.7869999999999999</v>
          </cell>
        </row>
        <row r="3431">
          <cell r="A3431" t="str">
            <v>37551200410</v>
          </cell>
          <cell r="B3431">
            <v>37551</v>
          </cell>
          <cell r="C3431" t="str">
            <v>NG</v>
          </cell>
          <cell r="D3431" t="str">
            <v>200410</v>
          </cell>
          <cell r="E3431">
            <v>3.8119999999999998</v>
          </cell>
        </row>
        <row r="3432">
          <cell r="A3432" t="str">
            <v>37551200411</v>
          </cell>
          <cell r="B3432">
            <v>37551</v>
          </cell>
          <cell r="C3432" t="str">
            <v>NG</v>
          </cell>
          <cell r="D3432" t="str">
            <v>200411</v>
          </cell>
          <cell r="E3432">
            <v>3.9750000000000001</v>
          </cell>
        </row>
        <row r="3433">
          <cell r="A3433" t="str">
            <v>37551200412</v>
          </cell>
          <cell r="B3433">
            <v>37551</v>
          </cell>
          <cell r="C3433" t="str">
            <v>NG</v>
          </cell>
          <cell r="D3433" t="str">
            <v>200412</v>
          </cell>
          <cell r="E3433">
            <v>4.1399999999999997</v>
          </cell>
        </row>
        <row r="3434">
          <cell r="A3434" t="str">
            <v>37556200401</v>
          </cell>
          <cell r="B3434">
            <v>37556</v>
          </cell>
          <cell r="C3434" t="str">
            <v>NG</v>
          </cell>
          <cell r="D3434" t="str">
            <v>200401</v>
          </cell>
          <cell r="E3434">
            <v>4.34</v>
          </cell>
        </row>
        <row r="3435">
          <cell r="A3435" t="str">
            <v>37556200402</v>
          </cell>
          <cell r="B3435">
            <v>37556</v>
          </cell>
          <cell r="C3435" t="str">
            <v>NG</v>
          </cell>
          <cell r="D3435" t="str">
            <v>200402</v>
          </cell>
          <cell r="E3435">
            <v>4.2169999999999996</v>
          </cell>
        </row>
        <row r="3436">
          <cell r="A3436" t="str">
            <v>37556200403</v>
          </cell>
          <cell r="B3436">
            <v>37556</v>
          </cell>
          <cell r="C3436" t="str">
            <v>NG</v>
          </cell>
          <cell r="D3436" t="str">
            <v>200403</v>
          </cell>
          <cell r="E3436">
            <v>4.0599999999999996</v>
          </cell>
        </row>
        <row r="3437">
          <cell r="A3437" t="str">
            <v>37556200404</v>
          </cell>
          <cell r="B3437">
            <v>37556</v>
          </cell>
          <cell r="C3437" t="str">
            <v>NG</v>
          </cell>
          <cell r="D3437" t="str">
            <v>200404</v>
          </cell>
          <cell r="E3437">
            <v>3.8149999999999999</v>
          </cell>
        </row>
        <row r="3438">
          <cell r="A3438" t="str">
            <v>37556200405</v>
          </cell>
          <cell r="B3438">
            <v>37556</v>
          </cell>
          <cell r="C3438" t="str">
            <v>NG</v>
          </cell>
          <cell r="D3438" t="str">
            <v>200405</v>
          </cell>
          <cell r="E3438">
            <v>3.758</v>
          </cell>
        </row>
        <row r="3439">
          <cell r="A3439" t="str">
            <v>37556200406</v>
          </cell>
          <cell r="B3439">
            <v>37556</v>
          </cell>
          <cell r="C3439" t="str">
            <v>NG</v>
          </cell>
          <cell r="D3439" t="str">
            <v>200406</v>
          </cell>
          <cell r="E3439">
            <v>3.7679999999999998</v>
          </cell>
        </row>
        <row r="3440">
          <cell r="A3440" t="str">
            <v>37556200407</v>
          </cell>
          <cell r="B3440">
            <v>37556</v>
          </cell>
          <cell r="C3440" t="str">
            <v>NG</v>
          </cell>
          <cell r="D3440" t="str">
            <v>200407</v>
          </cell>
          <cell r="E3440">
            <v>3.7829999999999999</v>
          </cell>
        </row>
        <row r="3441">
          <cell r="A3441" t="str">
            <v>37556200408</v>
          </cell>
          <cell r="B3441">
            <v>37556</v>
          </cell>
          <cell r="C3441" t="str">
            <v>NG</v>
          </cell>
          <cell r="D3441" t="str">
            <v>200408</v>
          </cell>
          <cell r="E3441">
            <v>3.8</v>
          </cell>
        </row>
        <row r="3442">
          <cell r="A3442" t="str">
            <v>37556200409</v>
          </cell>
          <cell r="B3442">
            <v>37556</v>
          </cell>
          <cell r="C3442" t="str">
            <v>NG</v>
          </cell>
          <cell r="D3442" t="str">
            <v>200409</v>
          </cell>
          <cell r="E3442">
            <v>3.79</v>
          </cell>
        </row>
        <row r="3443">
          <cell r="A3443" t="str">
            <v>37556200410</v>
          </cell>
          <cell r="B3443">
            <v>37556</v>
          </cell>
          <cell r="C3443" t="str">
            <v>NG</v>
          </cell>
          <cell r="D3443" t="str">
            <v>200410</v>
          </cell>
          <cell r="E3443">
            <v>3.82</v>
          </cell>
        </row>
        <row r="3444">
          <cell r="A3444" t="str">
            <v>37556200411</v>
          </cell>
          <cell r="B3444">
            <v>37556</v>
          </cell>
          <cell r="C3444" t="str">
            <v>NG</v>
          </cell>
          <cell r="D3444" t="str">
            <v>200411</v>
          </cell>
          <cell r="E3444">
            <v>3.99</v>
          </cell>
        </row>
        <row r="3445">
          <cell r="A3445" t="str">
            <v>37556200412</v>
          </cell>
          <cell r="B3445">
            <v>37556</v>
          </cell>
          <cell r="C3445" t="str">
            <v>NG</v>
          </cell>
          <cell r="D3445" t="str">
            <v>200412</v>
          </cell>
          <cell r="E3445">
            <v>4.1550000000000002</v>
          </cell>
        </row>
        <row r="3446">
          <cell r="A3446" t="str">
            <v>37552200401</v>
          </cell>
          <cell r="B3446">
            <v>37552</v>
          </cell>
          <cell r="C3446" t="str">
            <v>NG</v>
          </cell>
          <cell r="D3446" t="str">
            <v>200401</v>
          </cell>
          <cell r="E3446">
            <v>4.3810000000000002</v>
          </cell>
        </row>
        <row r="3447">
          <cell r="A3447" t="str">
            <v>37552200402</v>
          </cell>
          <cell r="B3447">
            <v>37552</v>
          </cell>
          <cell r="C3447" t="str">
            <v>NG</v>
          </cell>
          <cell r="D3447" t="str">
            <v>200402</v>
          </cell>
          <cell r="E3447">
            <v>4.2560000000000002</v>
          </cell>
        </row>
        <row r="3448">
          <cell r="A3448" t="str">
            <v>37552200403</v>
          </cell>
          <cell r="B3448">
            <v>37552</v>
          </cell>
          <cell r="C3448" t="str">
            <v>NG</v>
          </cell>
          <cell r="D3448" t="str">
            <v>200403</v>
          </cell>
          <cell r="E3448">
            <v>4.0960000000000001</v>
          </cell>
        </row>
        <row r="3449">
          <cell r="A3449" t="str">
            <v>37552200404</v>
          </cell>
          <cell r="B3449">
            <v>37552</v>
          </cell>
          <cell r="C3449" t="str">
            <v>NG</v>
          </cell>
          <cell r="D3449" t="str">
            <v>200404</v>
          </cell>
          <cell r="E3449">
            <v>3.8450000000000002</v>
          </cell>
        </row>
        <row r="3450">
          <cell r="A3450" t="str">
            <v>37552200405</v>
          </cell>
          <cell r="B3450">
            <v>37552</v>
          </cell>
          <cell r="C3450" t="str">
            <v>NG</v>
          </cell>
          <cell r="D3450" t="str">
            <v>200405</v>
          </cell>
          <cell r="E3450">
            <v>3.78</v>
          </cell>
        </row>
        <row r="3451">
          <cell r="A3451" t="str">
            <v>37552200406</v>
          </cell>
          <cell r="B3451">
            <v>37552</v>
          </cell>
          <cell r="C3451" t="str">
            <v>NG</v>
          </cell>
          <cell r="D3451" t="str">
            <v>200406</v>
          </cell>
          <cell r="E3451">
            <v>3.79</v>
          </cell>
        </row>
        <row r="3452">
          <cell r="A3452" t="str">
            <v>37552200407</v>
          </cell>
          <cell r="B3452">
            <v>37552</v>
          </cell>
          <cell r="C3452" t="str">
            <v>NG</v>
          </cell>
          <cell r="D3452" t="str">
            <v>200407</v>
          </cell>
          <cell r="E3452">
            <v>3.8050000000000002</v>
          </cell>
        </row>
        <row r="3453">
          <cell r="A3453" t="str">
            <v>37552200408</v>
          </cell>
          <cell r="B3453">
            <v>37552</v>
          </cell>
          <cell r="C3453" t="str">
            <v>NG</v>
          </cell>
          <cell r="D3453" t="str">
            <v>200408</v>
          </cell>
          <cell r="E3453">
            <v>3.8250000000000002</v>
          </cell>
        </row>
        <row r="3454">
          <cell r="A3454" t="str">
            <v>37552200409</v>
          </cell>
          <cell r="B3454">
            <v>37552</v>
          </cell>
          <cell r="C3454" t="str">
            <v>NG</v>
          </cell>
          <cell r="D3454" t="str">
            <v>200409</v>
          </cell>
          <cell r="E3454">
            <v>3.8050000000000002</v>
          </cell>
        </row>
        <row r="3455">
          <cell r="A3455" t="str">
            <v>37552200410</v>
          </cell>
          <cell r="B3455">
            <v>37552</v>
          </cell>
          <cell r="C3455" t="str">
            <v>NG</v>
          </cell>
          <cell r="D3455" t="str">
            <v>200410</v>
          </cell>
          <cell r="E3455">
            <v>3.83</v>
          </cell>
        </row>
        <row r="3456">
          <cell r="A3456" t="str">
            <v>37552200411</v>
          </cell>
          <cell r="B3456">
            <v>37552</v>
          </cell>
          <cell r="C3456" t="str">
            <v>NG</v>
          </cell>
          <cell r="D3456" t="str">
            <v>200411</v>
          </cell>
          <cell r="E3456">
            <v>3.9929999999999999</v>
          </cell>
        </row>
        <row r="3457">
          <cell r="A3457" t="str">
            <v>37552200412</v>
          </cell>
          <cell r="B3457">
            <v>37552</v>
          </cell>
          <cell r="C3457" t="str">
            <v>NG</v>
          </cell>
          <cell r="D3457" t="str">
            <v>200412</v>
          </cell>
          <cell r="E3457">
            <v>4.1580000000000004</v>
          </cell>
        </row>
        <row r="3458">
          <cell r="A3458" t="str">
            <v>37553200401</v>
          </cell>
          <cell r="B3458">
            <v>37553</v>
          </cell>
          <cell r="C3458" t="str">
            <v>NG</v>
          </cell>
          <cell r="D3458" t="str">
            <v>200401</v>
          </cell>
          <cell r="E3458">
            <v>4.3440000000000003</v>
          </cell>
        </row>
        <row r="3459">
          <cell r="A3459" t="str">
            <v>37553200402</v>
          </cell>
          <cell r="B3459">
            <v>37553</v>
          </cell>
          <cell r="C3459" t="str">
            <v>NG</v>
          </cell>
          <cell r="D3459" t="str">
            <v>200402</v>
          </cell>
          <cell r="E3459">
            <v>4.2240000000000002</v>
          </cell>
        </row>
        <row r="3460">
          <cell r="A3460" t="str">
            <v>37553200403</v>
          </cell>
          <cell r="B3460">
            <v>37553</v>
          </cell>
          <cell r="C3460" t="str">
            <v>NG</v>
          </cell>
          <cell r="D3460" t="str">
            <v>200403</v>
          </cell>
          <cell r="E3460">
            <v>4.069</v>
          </cell>
        </row>
        <row r="3461">
          <cell r="A3461" t="str">
            <v>37553200404</v>
          </cell>
          <cell r="B3461">
            <v>37553</v>
          </cell>
          <cell r="C3461" t="str">
            <v>NG</v>
          </cell>
          <cell r="D3461" t="str">
            <v>200404</v>
          </cell>
          <cell r="E3461">
            <v>3.8290000000000002</v>
          </cell>
        </row>
        <row r="3462">
          <cell r="A3462" t="str">
            <v>37553200405</v>
          </cell>
          <cell r="B3462">
            <v>37553</v>
          </cell>
          <cell r="C3462" t="str">
            <v>NG</v>
          </cell>
          <cell r="D3462" t="str">
            <v>200405</v>
          </cell>
          <cell r="E3462">
            <v>3.7639999999999998</v>
          </cell>
        </row>
        <row r="3463">
          <cell r="A3463" t="str">
            <v>37553200406</v>
          </cell>
          <cell r="B3463">
            <v>37553</v>
          </cell>
          <cell r="C3463" t="str">
            <v>NG</v>
          </cell>
          <cell r="D3463" t="str">
            <v>200406</v>
          </cell>
          <cell r="E3463">
            <v>3.774</v>
          </cell>
        </row>
        <row r="3464">
          <cell r="A3464" t="str">
            <v>37553200407</v>
          </cell>
          <cell r="B3464">
            <v>37553</v>
          </cell>
          <cell r="C3464" t="str">
            <v>NG</v>
          </cell>
          <cell r="D3464" t="str">
            <v>200407</v>
          </cell>
          <cell r="E3464">
            <v>3.7890000000000001</v>
          </cell>
        </row>
        <row r="3465">
          <cell r="A3465" t="str">
            <v>37553200408</v>
          </cell>
          <cell r="B3465">
            <v>37553</v>
          </cell>
          <cell r="C3465" t="str">
            <v>NG</v>
          </cell>
          <cell r="D3465" t="str">
            <v>200408</v>
          </cell>
          <cell r="E3465">
            <v>3.8090000000000002</v>
          </cell>
        </row>
        <row r="3466">
          <cell r="A3466" t="str">
            <v>37553200409</v>
          </cell>
          <cell r="B3466">
            <v>37553</v>
          </cell>
          <cell r="C3466" t="str">
            <v>NG</v>
          </cell>
          <cell r="D3466" t="str">
            <v>200409</v>
          </cell>
          <cell r="E3466">
            <v>3.7989999999999999</v>
          </cell>
        </row>
        <row r="3467">
          <cell r="A3467" t="str">
            <v>37553200410</v>
          </cell>
          <cell r="B3467">
            <v>37553</v>
          </cell>
          <cell r="C3467" t="str">
            <v>NG</v>
          </cell>
          <cell r="D3467" t="str">
            <v>200410</v>
          </cell>
          <cell r="E3467">
            <v>3.8290000000000002</v>
          </cell>
        </row>
        <row r="3468">
          <cell r="A3468" t="str">
            <v>37553200411</v>
          </cell>
          <cell r="B3468">
            <v>37553</v>
          </cell>
          <cell r="C3468" t="str">
            <v>NG</v>
          </cell>
          <cell r="D3468" t="str">
            <v>200411</v>
          </cell>
          <cell r="E3468">
            <v>3.9990000000000001</v>
          </cell>
        </row>
        <row r="3469">
          <cell r="A3469" t="str">
            <v>37553200412</v>
          </cell>
          <cell r="B3469">
            <v>37553</v>
          </cell>
          <cell r="C3469" t="str">
            <v>NG</v>
          </cell>
          <cell r="D3469" t="str">
            <v>200412</v>
          </cell>
          <cell r="E3469">
            <v>4.1639999999999997</v>
          </cell>
        </row>
        <row r="3470">
          <cell r="A3470" t="str">
            <v>37554200401</v>
          </cell>
          <cell r="B3470">
            <v>37554</v>
          </cell>
          <cell r="C3470" t="str">
            <v>NG</v>
          </cell>
          <cell r="D3470" t="str">
            <v>200401</v>
          </cell>
          <cell r="E3470">
            <v>4.34</v>
          </cell>
        </row>
        <row r="3471">
          <cell r="A3471" t="str">
            <v>37554200402</v>
          </cell>
          <cell r="B3471">
            <v>37554</v>
          </cell>
          <cell r="C3471" t="str">
            <v>NG</v>
          </cell>
          <cell r="D3471" t="str">
            <v>200402</v>
          </cell>
          <cell r="E3471">
            <v>4.2169999999999996</v>
          </cell>
        </row>
        <row r="3472">
          <cell r="A3472" t="str">
            <v>37554200403</v>
          </cell>
          <cell r="B3472">
            <v>37554</v>
          </cell>
          <cell r="C3472" t="str">
            <v>NG</v>
          </cell>
          <cell r="D3472" t="str">
            <v>200403</v>
          </cell>
          <cell r="E3472">
            <v>4.0599999999999996</v>
          </cell>
        </row>
        <row r="3473">
          <cell r="A3473" t="str">
            <v>37554200404</v>
          </cell>
          <cell r="B3473">
            <v>37554</v>
          </cell>
          <cell r="C3473" t="str">
            <v>NG</v>
          </cell>
          <cell r="D3473" t="str">
            <v>200404</v>
          </cell>
          <cell r="E3473">
            <v>3.8149999999999999</v>
          </cell>
        </row>
        <row r="3474">
          <cell r="A3474" t="str">
            <v>37554200405</v>
          </cell>
          <cell r="B3474">
            <v>37554</v>
          </cell>
          <cell r="C3474" t="str">
            <v>NG</v>
          </cell>
          <cell r="D3474" t="str">
            <v>200405</v>
          </cell>
          <cell r="E3474">
            <v>3.758</v>
          </cell>
        </row>
        <row r="3475">
          <cell r="A3475" t="str">
            <v>37554200406</v>
          </cell>
          <cell r="B3475">
            <v>37554</v>
          </cell>
          <cell r="C3475" t="str">
            <v>NG</v>
          </cell>
          <cell r="D3475" t="str">
            <v>200406</v>
          </cell>
          <cell r="E3475">
            <v>3.7679999999999998</v>
          </cell>
        </row>
        <row r="3476">
          <cell r="A3476" t="str">
            <v>37554200407</v>
          </cell>
          <cell r="B3476">
            <v>37554</v>
          </cell>
          <cell r="C3476" t="str">
            <v>NG</v>
          </cell>
          <cell r="D3476" t="str">
            <v>200407</v>
          </cell>
          <cell r="E3476">
            <v>3.7829999999999999</v>
          </cell>
        </row>
        <row r="3477">
          <cell r="A3477" t="str">
            <v>37554200408</v>
          </cell>
          <cell r="B3477">
            <v>37554</v>
          </cell>
          <cell r="C3477" t="str">
            <v>NG</v>
          </cell>
          <cell r="D3477" t="str">
            <v>200408</v>
          </cell>
          <cell r="E3477">
            <v>3.8</v>
          </cell>
        </row>
        <row r="3478">
          <cell r="A3478" t="str">
            <v>37554200409</v>
          </cell>
          <cell r="B3478">
            <v>37554</v>
          </cell>
          <cell r="C3478" t="str">
            <v>NG</v>
          </cell>
          <cell r="D3478" t="str">
            <v>200409</v>
          </cell>
          <cell r="E3478">
            <v>3.79</v>
          </cell>
        </row>
        <row r="3479">
          <cell r="A3479" t="str">
            <v>37554200410</v>
          </cell>
          <cell r="B3479">
            <v>37554</v>
          </cell>
          <cell r="C3479" t="str">
            <v>NG</v>
          </cell>
          <cell r="D3479" t="str">
            <v>200410</v>
          </cell>
          <cell r="E3479">
            <v>3.82</v>
          </cell>
        </row>
        <row r="3480">
          <cell r="A3480" t="str">
            <v>37554200411</v>
          </cell>
          <cell r="B3480">
            <v>37554</v>
          </cell>
          <cell r="C3480" t="str">
            <v>NG</v>
          </cell>
          <cell r="D3480" t="str">
            <v>200411</v>
          </cell>
          <cell r="E3480">
            <v>3.99</v>
          </cell>
        </row>
        <row r="3481">
          <cell r="A3481" t="str">
            <v>37554200412</v>
          </cell>
          <cell r="B3481">
            <v>37554</v>
          </cell>
          <cell r="C3481" t="str">
            <v>NG</v>
          </cell>
          <cell r="D3481" t="str">
            <v>200412</v>
          </cell>
          <cell r="E3481">
            <v>4.1550000000000002</v>
          </cell>
        </row>
        <row r="3482">
          <cell r="A3482" t="str">
            <v>37555200401</v>
          </cell>
          <cell r="B3482">
            <v>37555</v>
          </cell>
          <cell r="C3482" t="str">
            <v>NG</v>
          </cell>
          <cell r="D3482" t="str">
            <v>200401</v>
          </cell>
          <cell r="E3482">
            <v>4.34</v>
          </cell>
        </row>
        <row r="3483">
          <cell r="A3483" t="str">
            <v>37555200402</v>
          </cell>
          <cell r="B3483">
            <v>37555</v>
          </cell>
          <cell r="C3483" t="str">
            <v>NG</v>
          </cell>
          <cell r="D3483" t="str">
            <v>200402</v>
          </cell>
          <cell r="E3483">
            <v>4.2169999999999996</v>
          </cell>
        </row>
        <row r="3484">
          <cell r="A3484" t="str">
            <v>37555200403</v>
          </cell>
          <cell r="B3484">
            <v>37555</v>
          </cell>
          <cell r="C3484" t="str">
            <v>NG</v>
          </cell>
          <cell r="D3484" t="str">
            <v>200403</v>
          </cell>
          <cell r="E3484">
            <v>4.0599999999999996</v>
          </cell>
        </row>
        <row r="3485">
          <cell r="A3485" t="str">
            <v>37555200404</v>
          </cell>
          <cell r="B3485">
            <v>37555</v>
          </cell>
          <cell r="C3485" t="str">
            <v>NG</v>
          </cell>
          <cell r="D3485" t="str">
            <v>200404</v>
          </cell>
          <cell r="E3485">
            <v>3.8149999999999999</v>
          </cell>
        </row>
        <row r="3486">
          <cell r="A3486" t="str">
            <v>37555200405</v>
          </cell>
          <cell r="B3486">
            <v>37555</v>
          </cell>
          <cell r="C3486" t="str">
            <v>NG</v>
          </cell>
          <cell r="D3486" t="str">
            <v>200405</v>
          </cell>
          <cell r="E3486">
            <v>3.758</v>
          </cell>
        </row>
        <row r="3487">
          <cell r="A3487" t="str">
            <v>37555200406</v>
          </cell>
          <cell r="B3487">
            <v>37555</v>
          </cell>
          <cell r="C3487" t="str">
            <v>NG</v>
          </cell>
          <cell r="D3487" t="str">
            <v>200406</v>
          </cell>
          <cell r="E3487">
            <v>3.7679999999999998</v>
          </cell>
        </row>
        <row r="3488">
          <cell r="A3488" t="str">
            <v>37555200407</v>
          </cell>
          <cell r="B3488">
            <v>37555</v>
          </cell>
          <cell r="C3488" t="str">
            <v>NG</v>
          </cell>
          <cell r="D3488" t="str">
            <v>200407</v>
          </cell>
          <cell r="E3488">
            <v>3.7829999999999999</v>
          </cell>
        </row>
        <row r="3489">
          <cell r="A3489" t="str">
            <v>37555200408</v>
          </cell>
          <cell r="B3489">
            <v>37555</v>
          </cell>
          <cell r="C3489" t="str">
            <v>NG</v>
          </cell>
          <cell r="D3489" t="str">
            <v>200408</v>
          </cell>
          <cell r="E3489">
            <v>3.8</v>
          </cell>
        </row>
        <row r="3490">
          <cell r="A3490" t="str">
            <v>37555200409</v>
          </cell>
          <cell r="B3490">
            <v>37555</v>
          </cell>
          <cell r="C3490" t="str">
            <v>NG</v>
          </cell>
          <cell r="D3490" t="str">
            <v>200409</v>
          </cell>
          <cell r="E3490">
            <v>3.79</v>
          </cell>
        </row>
        <row r="3491">
          <cell r="A3491" t="str">
            <v>37555200410</v>
          </cell>
          <cell r="B3491">
            <v>37555</v>
          </cell>
          <cell r="C3491" t="str">
            <v>NG</v>
          </cell>
          <cell r="D3491" t="str">
            <v>200410</v>
          </cell>
          <cell r="E3491">
            <v>3.82</v>
          </cell>
        </row>
        <row r="3492">
          <cell r="A3492" t="str">
            <v>37555200411</v>
          </cell>
          <cell r="B3492">
            <v>37555</v>
          </cell>
          <cell r="C3492" t="str">
            <v>NG</v>
          </cell>
          <cell r="D3492" t="str">
            <v>200411</v>
          </cell>
          <cell r="E3492">
            <v>3.99</v>
          </cell>
        </row>
        <row r="3493">
          <cell r="A3493" t="str">
            <v>37555200412</v>
          </cell>
          <cell r="B3493">
            <v>37555</v>
          </cell>
          <cell r="C3493" t="str">
            <v>NG</v>
          </cell>
          <cell r="D3493" t="str">
            <v>200412</v>
          </cell>
          <cell r="E3493">
            <v>4.1550000000000002</v>
          </cell>
        </row>
        <row r="3494">
          <cell r="A3494" t="str">
            <v>37557200401</v>
          </cell>
          <cell r="B3494">
            <v>37557</v>
          </cell>
          <cell r="C3494" t="str">
            <v>NG</v>
          </cell>
          <cell r="D3494" t="str">
            <v>200401</v>
          </cell>
          <cell r="E3494">
            <v>4.4130000000000003</v>
          </cell>
        </row>
        <row r="3495">
          <cell r="A3495" t="str">
            <v>37557200402</v>
          </cell>
          <cell r="B3495">
            <v>37557</v>
          </cell>
          <cell r="C3495" t="str">
            <v>NG</v>
          </cell>
          <cell r="D3495" t="str">
            <v>200402</v>
          </cell>
          <cell r="E3495">
            <v>4.28</v>
          </cell>
        </row>
        <row r="3496">
          <cell r="A3496" t="str">
            <v>37557200403</v>
          </cell>
          <cell r="B3496">
            <v>37557</v>
          </cell>
          <cell r="C3496" t="str">
            <v>NG</v>
          </cell>
          <cell r="D3496" t="str">
            <v>200403</v>
          </cell>
          <cell r="E3496">
            <v>4.1130000000000004</v>
          </cell>
        </row>
        <row r="3497">
          <cell r="A3497" t="str">
            <v>37557200404</v>
          </cell>
          <cell r="B3497">
            <v>37557</v>
          </cell>
          <cell r="C3497" t="str">
            <v>NG</v>
          </cell>
          <cell r="D3497" t="str">
            <v>200404</v>
          </cell>
          <cell r="E3497">
            <v>3.8679999999999999</v>
          </cell>
        </row>
        <row r="3498">
          <cell r="A3498" t="str">
            <v>37557200405</v>
          </cell>
          <cell r="B3498">
            <v>37557</v>
          </cell>
          <cell r="C3498" t="str">
            <v>NG</v>
          </cell>
          <cell r="D3498" t="str">
            <v>200405</v>
          </cell>
          <cell r="E3498">
            <v>3.8029999999999999</v>
          </cell>
        </row>
        <row r="3499">
          <cell r="A3499" t="str">
            <v>37557200406</v>
          </cell>
          <cell r="B3499">
            <v>37557</v>
          </cell>
          <cell r="C3499" t="str">
            <v>NG</v>
          </cell>
          <cell r="D3499" t="str">
            <v>200406</v>
          </cell>
          <cell r="E3499">
            <v>3.8050000000000002</v>
          </cell>
        </row>
        <row r="3500">
          <cell r="A3500" t="str">
            <v>37557200407</v>
          </cell>
          <cell r="B3500">
            <v>37557</v>
          </cell>
          <cell r="C3500" t="str">
            <v>NG</v>
          </cell>
          <cell r="D3500" t="str">
            <v>200407</v>
          </cell>
          <cell r="E3500">
            <v>3.8170000000000002</v>
          </cell>
        </row>
        <row r="3501">
          <cell r="A3501" t="str">
            <v>37557200408</v>
          </cell>
          <cell r="B3501">
            <v>37557</v>
          </cell>
          <cell r="C3501" t="str">
            <v>NG</v>
          </cell>
          <cell r="D3501" t="str">
            <v>200408</v>
          </cell>
          <cell r="E3501">
            <v>3.83</v>
          </cell>
        </row>
        <row r="3502">
          <cell r="A3502" t="str">
            <v>37557200409</v>
          </cell>
          <cell r="B3502">
            <v>37557</v>
          </cell>
          <cell r="C3502" t="str">
            <v>NG</v>
          </cell>
          <cell r="D3502" t="str">
            <v>200409</v>
          </cell>
          <cell r="E3502">
            <v>3.82</v>
          </cell>
        </row>
        <row r="3503">
          <cell r="A3503" t="str">
            <v>37557200410</v>
          </cell>
          <cell r="B3503">
            <v>37557</v>
          </cell>
          <cell r="C3503" t="str">
            <v>NG</v>
          </cell>
          <cell r="D3503" t="str">
            <v>200410</v>
          </cell>
          <cell r="E3503">
            <v>3.85</v>
          </cell>
        </row>
        <row r="3504">
          <cell r="A3504" t="str">
            <v>37557200411</v>
          </cell>
          <cell r="B3504">
            <v>37557</v>
          </cell>
          <cell r="C3504" t="str">
            <v>NG</v>
          </cell>
          <cell r="D3504" t="str">
            <v>200411</v>
          </cell>
          <cell r="E3504">
            <v>4.0199999999999996</v>
          </cell>
        </row>
        <row r="3505">
          <cell r="A3505" t="str">
            <v>37557200412</v>
          </cell>
          <cell r="B3505">
            <v>37557</v>
          </cell>
          <cell r="C3505" t="str">
            <v>NG</v>
          </cell>
          <cell r="D3505" t="str">
            <v>200412</v>
          </cell>
          <cell r="E3505">
            <v>4.1849999999999996</v>
          </cell>
        </row>
        <row r="3506">
          <cell r="A3506" t="str">
            <v>37558200401</v>
          </cell>
          <cell r="B3506">
            <v>37558</v>
          </cell>
          <cell r="C3506" t="str">
            <v>NG</v>
          </cell>
          <cell r="D3506" t="str">
            <v>200401</v>
          </cell>
          <cell r="E3506">
            <v>4.3499999999999996</v>
          </cell>
        </row>
        <row r="3507">
          <cell r="A3507" t="str">
            <v>37558200402</v>
          </cell>
          <cell r="B3507">
            <v>37558</v>
          </cell>
          <cell r="C3507" t="str">
            <v>NG</v>
          </cell>
          <cell r="D3507" t="str">
            <v>200402</v>
          </cell>
          <cell r="E3507">
            <v>4.2300000000000004</v>
          </cell>
        </row>
        <row r="3508">
          <cell r="A3508" t="str">
            <v>37558200403</v>
          </cell>
          <cell r="B3508">
            <v>37558</v>
          </cell>
          <cell r="C3508" t="str">
            <v>NG</v>
          </cell>
          <cell r="D3508" t="str">
            <v>200403</v>
          </cell>
          <cell r="E3508">
            <v>4.0650000000000004</v>
          </cell>
        </row>
        <row r="3509">
          <cell r="A3509" t="str">
            <v>37558200404</v>
          </cell>
          <cell r="B3509">
            <v>37558</v>
          </cell>
          <cell r="C3509" t="str">
            <v>NG</v>
          </cell>
          <cell r="D3509" t="str">
            <v>200404</v>
          </cell>
          <cell r="E3509">
            <v>3.82</v>
          </cell>
        </row>
        <row r="3510">
          <cell r="A3510" t="str">
            <v>37558200405</v>
          </cell>
          <cell r="B3510">
            <v>37558</v>
          </cell>
          <cell r="C3510" t="str">
            <v>NG</v>
          </cell>
          <cell r="D3510" t="str">
            <v>200405</v>
          </cell>
          <cell r="E3510">
            <v>3.7629999999999999</v>
          </cell>
        </row>
        <row r="3511">
          <cell r="A3511" t="str">
            <v>37558200406</v>
          </cell>
          <cell r="B3511">
            <v>37558</v>
          </cell>
          <cell r="C3511" t="str">
            <v>NG</v>
          </cell>
          <cell r="D3511" t="str">
            <v>200406</v>
          </cell>
          <cell r="E3511">
            <v>3.7749999999999999</v>
          </cell>
        </row>
        <row r="3512">
          <cell r="A3512" t="str">
            <v>37558200407</v>
          </cell>
          <cell r="B3512">
            <v>37558</v>
          </cell>
          <cell r="C3512" t="str">
            <v>NG</v>
          </cell>
          <cell r="D3512" t="str">
            <v>200407</v>
          </cell>
          <cell r="E3512">
            <v>3.79</v>
          </cell>
        </row>
        <row r="3513">
          <cell r="A3513" t="str">
            <v>37558200408</v>
          </cell>
          <cell r="B3513">
            <v>37558</v>
          </cell>
          <cell r="C3513" t="str">
            <v>NG</v>
          </cell>
          <cell r="D3513" t="str">
            <v>200408</v>
          </cell>
          <cell r="E3513">
            <v>3.8029999999999999</v>
          </cell>
        </row>
        <row r="3514">
          <cell r="A3514" t="str">
            <v>37558200409</v>
          </cell>
          <cell r="B3514">
            <v>37558</v>
          </cell>
          <cell r="C3514" t="str">
            <v>NG</v>
          </cell>
          <cell r="D3514" t="str">
            <v>200409</v>
          </cell>
          <cell r="E3514">
            <v>3.7919999999999998</v>
          </cell>
        </row>
        <row r="3515">
          <cell r="A3515" t="str">
            <v>37558200410</v>
          </cell>
          <cell r="B3515">
            <v>37558</v>
          </cell>
          <cell r="C3515" t="str">
            <v>NG</v>
          </cell>
          <cell r="D3515" t="str">
            <v>200410</v>
          </cell>
          <cell r="E3515">
            <v>3.82</v>
          </cell>
        </row>
        <row r="3516">
          <cell r="A3516" t="str">
            <v>37558200411</v>
          </cell>
          <cell r="B3516">
            <v>37558</v>
          </cell>
          <cell r="C3516" t="str">
            <v>NG</v>
          </cell>
          <cell r="D3516" t="str">
            <v>200411</v>
          </cell>
          <cell r="E3516">
            <v>3.99</v>
          </cell>
        </row>
        <row r="3517">
          <cell r="A3517" t="str">
            <v>37558200412</v>
          </cell>
          <cell r="B3517">
            <v>37558</v>
          </cell>
          <cell r="C3517" t="str">
            <v>NG</v>
          </cell>
          <cell r="D3517" t="str">
            <v>200412</v>
          </cell>
          <cell r="E3517">
            <v>4.1580000000000004</v>
          </cell>
        </row>
        <row r="3518">
          <cell r="A3518" t="str">
            <v>37559200401</v>
          </cell>
          <cell r="B3518">
            <v>37559</v>
          </cell>
          <cell r="C3518" t="str">
            <v>NG</v>
          </cell>
          <cell r="D3518" t="str">
            <v>200401</v>
          </cell>
          <cell r="E3518">
            <v>4.3849999999999998</v>
          </cell>
        </row>
        <row r="3519">
          <cell r="A3519" t="str">
            <v>37559200402</v>
          </cell>
          <cell r="B3519">
            <v>37559</v>
          </cell>
          <cell r="C3519" t="str">
            <v>NG</v>
          </cell>
          <cell r="D3519" t="str">
            <v>200402</v>
          </cell>
          <cell r="E3519">
            <v>4.25</v>
          </cell>
        </row>
        <row r="3520">
          <cell r="A3520" t="str">
            <v>37559200403</v>
          </cell>
          <cell r="B3520">
            <v>37559</v>
          </cell>
          <cell r="C3520" t="str">
            <v>NG</v>
          </cell>
          <cell r="D3520" t="str">
            <v>200403</v>
          </cell>
          <cell r="E3520">
            <v>4.0720000000000001</v>
          </cell>
        </row>
        <row r="3521">
          <cell r="A3521" t="str">
            <v>37559200404</v>
          </cell>
          <cell r="B3521">
            <v>37559</v>
          </cell>
          <cell r="C3521" t="str">
            <v>NG</v>
          </cell>
          <cell r="D3521" t="str">
            <v>200404</v>
          </cell>
          <cell r="E3521">
            <v>3.82</v>
          </cell>
        </row>
        <row r="3522">
          <cell r="A3522" t="str">
            <v>37559200405</v>
          </cell>
          <cell r="B3522">
            <v>37559</v>
          </cell>
          <cell r="C3522" t="str">
            <v>NG</v>
          </cell>
          <cell r="D3522" t="str">
            <v>200405</v>
          </cell>
          <cell r="E3522">
            <v>3.75</v>
          </cell>
        </row>
        <row r="3523">
          <cell r="A3523" t="str">
            <v>37559200406</v>
          </cell>
          <cell r="B3523">
            <v>37559</v>
          </cell>
          <cell r="C3523" t="str">
            <v>NG</v>
          </cell>
          <cell r="D3523" t="str">
            <v>200406</v>
          </cell>
          <cell r="E3523">
            <v>3.762</v>
          </cell>
        </row>
        <row r="3524">
          <cell r="A3524" t="str">
            <v>37559200407</v>
          </cell>
          <cell r="B3524">
            <v>37559</v>
          </cell>
          <cell r="C3524" t="str">
            <v>NG</v>
          </cell>
          <cell r="D3524" t="str">
            <v>200407</v>
          </cell>
          <cell r="E3524">
            <v>3.78</v>
          </cell>
        </row>
        <row r="3525">
          <cell r="A3525" t="str">
            <v>37559200408</v>
          </cell>
          <cell r="B3525">
            <v>37559</v>
          </cell>
          <cell r="C3525" t="str">
            <v>NG</v>
          </cell>
          <cell r="D3525" t="str">
            <v>200408</v>
          </cell>
          <cell r="E3525">
            <v>3.7949999999999999</v>
          </cell>
        </row>
        <row r="3526">
          <cell r="A3526" t="str">
            <v>37559200409</v>
          </cell>
          <cell r="B3526">
            <v>37559</v>
          </cell>
          <cell r="C3526" t="str">
            <v>NG</v>
          </cell>
          <cell r="D3526" t="str">
            <v>200409</v>
          </cell>
          <cell r="E3526">
            <v>3.79</v>
          </cell>
        </row>
        <row r="3527">
          <cell r="A3527" t="str">
            <v>37559200410</v>
          </cell>
          <cell r="B3527">
            <v>37559</v>
          </cell>
          <cell r="C3527" t="str">
            <v>NG</v>
          </cell>
          <cell r="D3527" t="str">
            <v>200410</v>
          </cell>
          <cell r="E3527">
            <v>3.82</v>
          </cell>
        </row>
        <row r="3528">
          <cell r="A3528" t="str">
            <v>37559200411</v>
          </cell>
          <cell r="B3528">
            <v>37559</v>
          </cell>
          <cell r="C3528" t="str">
            <v>NG</v>
          </cell>
          <cell r="D3528" t="str">
            <v>200411</v>
          </cell>
          <cell r="E3528">
            <v>3.99</v>
          </cell>
        </row>
        <row r="3529">
          <cell r="A3529" t="str">
            <v>37559200412</v>
          </cell>
          <cell r="B3529">
            <v>37559</v>
          </cell>
          <cell r="C3529" t="str">
            <v>NG</v>
          </cell>
          <cell r="D3529" t="str">
            <v>200412</v>
          </cell>
          <cell r="E3529">
            <v>4.1580000000000004</v>
          </cell>
        </row>
        <row r="3530">
          <cell r="A3530" t="str">
            <v>37560200401</v>
          </cell>
          <cell r="B3530">
            <v>37560</v>
          </cell>
          <cell r="C3530" t="str">
            <v>NG</v>
          </cell>
          <cell r="D3530" t="str">
            <v>200401</v>
          </cell>
          <cell r="E3530">
            <v>4.3029999999999999</v>
          </cell>
        </row>
        <row r="3531">
          <cell r="A3531" t="str">
            <v>37560200402</v>
          </cell>
          <cell r="B3531">
            <v>37560</v>
          </cell>
          <cell r="C3531" t="str">
            <v>NG</v>
          </cell>
          <cell r="D3531" t="str">
            <v>200402</v>
          </cell>
          <cell r="E3531">
            <v>4.173</v>
          </cell>
        </row>
        <row r="3532">
          <cell r="A3532" t="str">
            <v>37560200403</v>
          </cell>
          <cell r="B3532">
            <v>37560</v>
          </cell>
          <cell r="C3532" t="str">
            <v>NG</v>
          </cell>
          <cell r="D3532" t="str">
            <v>200403</v>
          </cell>
          <cell r="E3532">
            <v>3.9980000000000002</v>
          </cell>
        </row>
        <row r="3533">
          <cell r="A3533" t="str">
            <v>37560200404</v>
          </cell>
          <cell r="B3533">
            <v>37560</v>
          </cell>
          <cell r="C3533" t="str">
            <v>NG</v>
          </cell>
          <cell r="D3533" t="str">
            <v>200404</v>
          </cell>
          <cell r="E3533">
            <v>3.766</v>
          </cell>
        </row>
        <row r="3534">
          <cell r="A3534" t="str">
            <v>37560200405</v>
          </cell>
          <cell r="B3534">
            <v>37560</v>
          </cell>
          <cell r="C3534" t="str">
            <v>NG</v>
          </cell>
          <cell r="D3534" t="str">
            <v>200405</v>
          </cell>
          <cell r="E3534">
            <v>3.6960000000000002</v>
          </cell>
        </row>
        <row r="3535">
          <cell r="A3535" t="str">
            <v>37560200406</v>
          </cell>
          <cell r="B3535">
            <v>37560</v>
          </cell>
          <cell r="C3535" t="str">
            <v>NG</v>
          </cell>
          <cell r="D3535" t="str">
            <v>200406</v>
          </cell>
          <cell r="E3535">
            <v>3.706</v>
          </cell>
        </row>
        <row r="3536">
          <cell r="A3536" t="str">
            <v>37560200407</v>
          </cell>
          <cell r="B3536">
            <v>37560</v>
          </cell>
          <cell r="C3536" t="str">
            <v>NG</v>
          </cell>
          <cell r="D3536" t="str">
            <v>200407</v>
          </cell>
          <cell r="E3536">
            <v>3.7240000000000002</v>
          </cell>
        </row>
        <row r="3537">
          <cell r="A3537" t="str">
            <v>37560200408</v>
          </cell>
          <cell r="B3537">
            <v>37560</v>
          </cell>
          <cell r="C3537" t="str">
            <v>NG</v>
          </cell>
          <cell r="D3537" t="str">
            <v>200408</v>
          </cell>
          <cell r="E3537">
            <v>3.7389999999999999</v>
          </cell>
        </row>
        <row r="3538">
          <cell r="A3538" t="str">
            <v>37560200409</v>
          </cell>
          <cell r="B3538">
            <v>37560</v>
          </cell>
          <cell r="C3538" t="str">
            <v>NG</v>
          </cell>
          <cell r="D3538" t="str">
            <v>200409</v>
          </cell>
          <cell r="E3538">
            <v>3.734</v>
          </cell>
        </row>
        <row r="3539">
          <cell r="A3539" t="str">
            <v>37560200410</v>
          </cell>
          <cell r="B3539">
            <v>37560</v>
          </cell>
          <cell r="C3539" t="str">
            <v>NG</v>
          </cell>
          <cell r="D3539" t="str">
            <v>200410</v>
          </cell>
          <cell r="E3539">
            <v>3.7639999999999998</v>
          </cell>
        </row>
        <row r="3540">
          <cell r="A3540" t="str">
            <v>37560200411</v>
          </cell>
          <cell r="B3540">
            <v>37560</v>
          </cell>
          <cell r="C3540" t="str">
            <v>NG</v>
          </cell>
          <cell r="D3540" t="str">
            <v>200411</v>
          </cell>
          <cell r="E3540">
            <v>3.944</v>
          </cell>
        </row>
        <row r="3541">
          <cell r="A3541" t="str">
            <v>37560200412</v>
          </cell>
          <cell r="B3541">
            <v>37560</v>
          </cell>
          <cell r="C3541" t="str">
            <v>NG</v>
          </cell>
          <cell r="D3541" t="str">
            <v>200412</v>
          </cell>
          <cell r="E3541">
            <v>4.1189999999999998</v>
          </cell>
        </row>
        <row r="3542">
          <cell r="A3542" t="str">
            <v>37561200401</v>
          </cell>
          <cell r="B3542">
            <v>37561</v>
          </cell>
          <cell r="C3542" t="str">
            <v>NG</v>
          </cell>
          <cell r="D3542" t="str">
            <v>200401</v>
          </cell>
          <cell r="E3542">
            <v>4.28</v>
          </cell>
        </row>
        <row r="3543">
          <cell r="A3543" t="str">
            <v>37561200402</v>
          </cell>
          <cell r="B3543">
            <v>37561</v>
          </cell>
          <cell r="C3543" t="str">
            <v>NG</v>
          </cell>
          <cell r="D3543" t="str">
            <v>200402</v>
          </cell>
          <cell r="E3543">
            <v>4.1529999999999996</v>
          </cell>
        </row>
        <row r="3544">
          <cell r="A3544" t="str">
            <v>37561200403</v>
          </cell>
          <cell r="B3544">
            <v>37561</v>
          </cell>
          <cell r="C3544" t="str">
            <v>NG</v>
          </cell>
          <cell r="D3544" t="str">
            <v>200403</v>
          </cell>
          <cell r="E3544">
            <v>3.98</v>
          </cell>
        </row>
        <row r="3545">
          <cell r="A3545" t="str">
            <v>37561200404</v>
          </cell>
          <cell r="B3545">
            <v>37561</v>
          </cell>
          <cell r="C3545" t="str">
            <v>NG</v>
          </cell>
          <cell r="D3545" t="str">
            <v>200404</v>
          </cell>
          <cell r="E3545">
            <v>3.7549999999999999</v>
          </cell>
        </row>
        <row r="3546">
          <cell r="A3546" t="str">
            <v>37561200405</v>
          </cell>
          <cell r="B3546">
            <v>37561</v>
          </cell>
          <cell r="C3546" t="str">
            <v>NG</v>
          </cell>
          <cell r="D3546" t="str">
            <v>200405</v>
          </cell>
          <cell r="E3546">
            <v>3.698</v>
          </cell>
        </row>
        <row r="3547">
          <cell r="A3547" t="str">
            <v>37561200406</v>
          </cell>
          <cell r="B3547">
            <v>37561</v>
          </cell>
          <cell r="C3547" t="str">
            <v>NG</v>
          </cell>
          <cell r="D3547" t="str">
            <v>200406</v>
          </cell>
          <cell r="E3547">
            <v>3.7080000000000002</v>
          </cell>
        </row>
        <row r="3548">
          <cell r="A3548" t="str">
            <v>37561200407</v>
          </cell>
          <cell r="B3548">
            <v>37561</v>
          </cell>
          <cell r="C3548" t="str">
            <v>NG</v>
          </cell>
          <cell r="D3548" t="str">
            <v>200407</v>
          </cell>
          <cell r="E3548">
            <v>3.7229999999999999</v>
          </cell>
        </row>
        <row r="3549">
          <cell r="A3549" t="str">
            <v>37561200408</v>
          </cell>
          <cell r="B3549">
            <v>37561</v>
          </cell>
          <cell r="C3549" t="str">
            <v>NG</v>
          </cell>
          <cell r="D3549" t="str">
            <v>200408</v>
          </cell>
          <cell r="E3549">
            <v>3.7330000000000001</v>
          </cell>
        </row>
        <row r="3550">
          <cell r="A3550" t="str">
            <v>37561200409</v>
          </cell>
          <cell r="B3550">
            <v>37561</v>
          </cell>
          <cell r="C3550" t="str">
            <v>NG</v>
          </cell>
          <cell r="D3550" t="str">
            <v>200409</v>
          </cell>
          <cell r="E3550">
            <v>3.7330000000000001</v>
          </cell>
        </row>
        <row r="3551">
          <cell r="A3551" t="str">
            <v>37561200410</v>
          </cell>
          <cell r="B3551">
            <v>37561</v>
          </cell>
          <cell r="C3551" t="str">
            <v>NG</v>
          </cell>
          <cell r="D3551" t="str">
            <v>200410</v>
          </cell>
          <cell r="E3551">
            <v>3.7679999999999998</v>
          </cell>
        </row>
        <row r="3552">
          <cell r="A3552" t="str">
            <v>37561200411</v>
          </cell>
          <cell r="B3552">
            <v>37561</v>
          </cell>
          <cell r="C3552" t="str">
            <v>NG</v>
          </cell>
          <cell r="D3552" t="str">
            <v>200411</v>
          </cell>
          <cell r="E3552">
            <v>3.9430000000000001</v>
          </cell>
        </row>
        <row r="3553">
          <cell r="A3553" t="str">
            <v>37561200412</v>
          </cell>
          <cell r="B3553">
            <v>37561</v>
          </cell>
          <cell r="C3553" t="str">
            <v>NG</v>
          </cell>
          <cell r="D3553" t="str">
            <v>200412</v>
          </cell>
          <cell r="E3553">
            <v>4.1130000000000004</v>
          </cell>
        </row>
        <row r="3554">
          <cell r="A3554" t="str">
            <v>37562200401</v>
          </cell>
          <cell r="B3554">
            <v>37562</v>
          </cell>
          <cell r="C3554" t="str">
            <v>NG</v>
          </cell>
          <cell r="D3554" t="str">
            <v>200401</v>
          </cell>
          <cell r="E3554">
            <v>4.28</v>
          </cell>
        </row>
        <row r="3555">
          <cell r="A3555" t="str">
            <v>37562200402</v>
          </cell>
          <cell r="B3555">
            <v>37562</v>
          </cell>
          <cell r="C3555" t="str">
            <v>NG</v>
          </cell>
          <cell r="D3555" t="str">
            <v>200402</v>
          </cell>
          <cell r="E3555">
            <v>4.1529999999999996</v>
          </cell>
        </row>
        <row r="3556">
          <cell r="A3556" t="str">
            <v>37562200403</v>
          </cell>
          <cell r="B3556">
            <v>37562</v>
          </cell>
          <cell r="C3556" t="str">
            <v>NG</v>
          </cell>
          <cell r="D3556" t="str">
            <v>200403</v>
          </cell>
          <cell r="E3556">
            <v>3.98</v>
          </cell>
        </row>
        <row r="3557">
          <cell r="A3557" t="str">
            <v>37562200404</v>
          </cell>
          <cell r="B3557">
            <v>37562</v>
          </cell>
          <cell r="C3557" t="str">
            <v>NG</v>
          </cell>
          <cell r="D3557" t="str">
            <v>200404</v>
          </cell>
          <cell r="E3557">
            <v>3.7549999999999999</v>
          </cell>
        </row>
        <row r="3558">
          <cell r="A3558" t="str">
            <v>37562200405</v>
          </cell>
          <cell r="B3558">
            <v>37562</v>
          </cell>
          <cell r="C3558" t="str">
            <v>NG</v>
          </cell>
          <cell r="D3558" t="str">
            <v>200405</v>
          </cell>
          <cell r="E3558">
            <v>3.698</v>
          </cell>
        </row>
        <row r="3559">
          <cell r="A3559" t="str">
            <v>37562200406</v>
          </cell>
          <cell r="B3559">
            <v>37562</v>
          </cell>
          <cell r="C3559" t="str">
            <v>NG</v>
          </cell>
          <cell r="D3559" t="str">
            <v>200406</v>
          </cell>
          <cell r="E3559">
            <v>3.7080000000000002</v>
          </cell>
        </row>
        <row r="3560">
          <cell r="A3560" t="str">
            <v>37562200407</v>
          </cell>
          <cell r="B3560">
            <v>37562</v>
          </cell>
          <cell r="C3560" t="str">
            <v>NG</v>
          </cell>
          <cell r="D3560" t="str">
            <v>200407</v>
          </cell>
          <cell r="E3560">
            <v>3.7229999999999999</v>
          </cell>
        </row>
        <row r="3561">
          <cell r="A3561" t="str">
            <v>37562200408</v>
          </cell>
          <cell r="B3561">
            <v>37562</v>
          </cell>
          <cell r="C3561" t="str">
            <v>NG</v>
          </cell>
          <cell r="D3561" t="str">
            <v>200408</v>
          </cell>
          <cell r="E3561">
            <v>3.7330000000000001</v>
          </cell>
        </row>
        <row r="3562">
          <cell r="A3562" t="str">
            <v>37562200409</v>
          </cell>
          <cell r="B3562">
            <v>37562</v>
          </cell>
          <cell r="C3562" t="str">
            <v>NG</v>
          </cell>
          <cell r="D3562" t="str">
            <v>200409</v>
          </cell>
          <cell r="E3562">
            <v>3.7330000000000001</v>
          </cell>
        </row>
        <row r="3563">
          <cell r="A3563" t="str">
            <v>37562200410</v>
          </cell>
          <cell r="B3563">
            <v>37562</v>
          </cell>
          <cell r="C3563" t="str">
            <v>NG</v>
          </cell>
          <cell r="D3563" t="str">
            <v>200410</v>
          </cell>
          <cell r="E3563">
            <v>3.7679999999999998</v>
          </cell>
        </row>
        <row r="3564">
          <cell r="A3564" t="str">
            <v>37562200411</v>
          </cell>
          <cell r="B3564">
            <v>37562</v>
          </cell>
          <cell r="C3564" t="str">
            <v>NG</v>
          </cell>
          <cell r="D3564" t="str">
            <v>200411</v>
          </cell>
          <cell r="E3564">
            <v>3.9430000000000001</v>
          </cell>
        </row>
        <row r="3565">
          <cell r="A3565" t="str">
            <v>37562200412</v>
          </cell>
          <cell r="B3565">
            <v>37562</v>
          </cell>
          <cell r="C3565" t="str">
            <v>NG</v>
          </cell>
          <cell r="D3565" t="str">
            <v>200412</v>
          </cell>
          <cell r="E3565">
            <v>4.1130000000000004</v>
          </cell>
        </row>
        <row r="3566">
          <cell r="A3566" t="str">
            <v>37563200401</v>
          </cell>
          <cell r="B3566">
            <v>37563</v>
          </cell>
          <cell r="C3566" t="str">
            <v>NG</v>
          </cell>
          <cell r="D3566" t="str">
            <v>200401</v>
          </cell>
          <cell r="E3566">
            <v>4.28</v>
          </cell>
        </row>
        <row r="3567">
          <cell r="A3567" t="str">
            <v>37563200402</v>
          </cell>
          <cell r="B3567">
            <v>37563</v>
          </cell>
          <cell r="C3567" t="str">
            <v>NG</v>
          </cell>
          <cell r="D3567" t="str">
            <v>200402</v>
          </cell>
          <cell r="E3567">
            <v>4.1529999999999996</v>
          </cell>
        </row>
        <row r="3568">
          <cell r="A3568" t="str">
            <v>37563200403</v>
          </cell>
          <cell r="B3568">
            <v>37563</v>
          </cell>
          <cell r="C3568" t="str">
            <v>NG</v>
          </cell>
          <cell r="D3568" t="str">
            <v>200403</v>
          </cell>
          <cell r="E3568">
            <v>3.98</v>
          </cell>
        </row>
        <row r="3569">
          <cell r="A3569" t="str">
            <v>37563200404</v>
          </cell>
          <cell r="B3569">
            <v>37563</v>
          </cell>
          <cell r="C3569" t="str">
            <v>NG</v>
          </cell>
          <cell r="D3569" t="str">
            <v>200404</v>
          </cell>
          <cell r="E3569">
            <v>3.7549999999999999</v>
          </cell>
        </row>
        <row r="3570">
          <cell r="A3570" t="str">
            <v>37563200405</v>
          </cell>
          <cell r="B3570">
            <v>37563</v>
          </cell>
          <cell r="C3570" t="str">
            <v>NG</v>
          </cell>
          <cell r="D3570" t="str">
            <v>200405</v>
          </cell>
          <cell r="E3570">
            <v>3.698</v>
          </cell>
        </row>
        <row r="3571">
          <cell r="A3571" t="str">
            <v>37563200406</v>
          </cell>
          <cell r="B3571">
            <v>37563</v>
          </cell>
          <cell r="C3571" t="str">
            <v>NG</v>
          </cell>
          <cell r="D3571" t="str">
            <v>200406</v>
          </cell>
          <cell r="E3571">
            <v>3.7080000000000002</v>
          </cell>
        </row>
        <row r="3572">
          <cell r="A3572" t="str">
            <v>37563200407</v>
          </cell>
          <cell r="B3572">
            <v>37563</v>
          </cell>
          <cell r="C3572" t="str">
            <v>NG</v>
          </cell>
          <cell r="D3572" t="str">
            <v>200407</v>
          </cell>
          <cell r="E3572">
            <v>3.7229999999999999</v>
          </cell>
        </row>
        <row r="3573">
          <cell r="A3573" t="str">
            <v>37563200408</v>
          </cell>
          <cell r="B3573">
            <v>37563</v>
          </cell>
          <cell r="C3573" t="str">
            <v>NG</v>
          </cell>
          <cell r="D3573" t="str">
            <v>200408</v>
          </cell>
          <cell r="E3573">
            <v>3.7330000000000001</v>
          </cell>
        </row>
        <row r="3574">
          <cell r="A3574" t="str">
            <v>37563200409</v>
          </cell>
          <cell r="B3574">
            <v>37563</v>
          </cell>
          <cell r="C3574" t="str">
            <v>NG</v>
          </cell>
          <cell r="D3574" t="str">
            <v>200409</v>
          </cell>
          <cell r="E3574">
            <v>3.7330000000000001</v>
          </cell>
        </row>
        <row r="3575">
          <cell r="A3575" t="str">
            <v>37563200410</v>
          </cell>
          <cell r="B3575">
            <v>37563</v>
          </cell>
          <cell r="C3575" t="str">
            <v>NG</v>
          </cell>
          <cell r="D3575" t="str">
            <v>200410</v>
          </cell>
          <cell r="E3575">
            <v>3.7679999999999998</v>
          </cell>
        </row>
        <row r="3576">
          <cell r="A3576" t="str">
            <v>37563200411</v>
          </cell>
          <cell r="B3576">
            <v>37563</v>
          </cell>
          <cell r="C3576" t="str">
            <v>NG</v>
          </cell>
          <cell r="D3576" t="str">
            <v>200411</v>
          </cell>
          <cell r="E3576">
            <v>3.9430000000000001</v>
          </cell>
        </row>
        <row r="3577">
          <cell r="A3577" t="str">
            <v>37563200412</v>
          </cell>
          <cell r="B3577">
            <v>37563</v>
          </cell>
          <cell r="C3577" t="str">
            <v>NG</v>
          </cell>
          <cell r="D3577" t="str">
            <v>200412</v>
          </cell>
          <cell r="E3577">
            <v>4.1130000000000004</v>
          </cell>
        </row>
        <row r="3578">
          <cell r="A3578" t="str">
            <v>37564200401</v>
          </cell>
          <cell r="B3578">
            <v>37564</v>
          </cell>
          <cell r="C3578" t="str">
            <v>NG</v>
          </cell>
          <cell r="D3578" t="str">
            <v>200401</v>
          </cell>
          <cell r="E3578">
            <v>4.2300000000000004</v>
          </cell>
        </row>
        <row r="3579">
          <cell r="A3579" t="str">
            <v>37564200402</v>
          </cell>
          <cell r="B3579">
            <v>37564</v>
          </cell>
          <cell r="C3579" t="str">
            <v>NG</v>
          </cell>
          <cell r="D3579" t="str">
            <v>200402</v>
          </cell>
          <cell r="E3579">
            <v>4.1029999999999998</v>
          </cell>
        </row>
        <row r="3580">
          <cell r="A3580" t="str">
            <v>37564200403</v>
          </cell>
          <cell r="B3580">
            <v>37564</v>
          </cell>
          <cell r="C3580" t="str">
            <v>NG</v>
          </cell>
          <cell r="D3580" t="str">
            <v>200403</v>
          </cell>
          <cell r="E3580">
            <v>3.93</v>
          </cell>
        </row>
        <row r="3581">
          <cell r="A3581" t="str">
            <v>37564200404</v>
          </cell>
          <cell r="B3581">
            <v>37564</v>
          </cell>
          <cell r="C3581" t="str">
            <v>NG</v>
          </cell>
          <cell r="D3581" t="str">
            <v>200404</v>
          </cell>
          <cell r="E3581">
            <v>3.72</v>
          </cell>
        </row>
        <row r="3582">
          <cell r="A3582" t="str">
            <v>37564200405</v>
          </cell>
          <cell r="B3582">
            <v>37564</v>
          </cell>
          <cell r="C3582" t="str">
            <v>NG</v>
          </cell>
          <cell r="D3582" t="str">
            <v>200405</v>
          </cell>
          <cell r="E3582">
            <v>3.6629999999999998</v>
          </cell>
        </row>
        <row r="3583">
          <cell r="A3583" t="str">
            <v>37564200406</v>
          </cell>
          <cell r="B3583">
            <v>37564</v>
          </cell>
          <cell r="C3583" t="str">
            <v>NG</v>
          </cell>
          <cell r="D3583" t="str">
            <v>200406</v>
          </cell>
          <cell r="E3583">
            <v>3.673</v>
          </cell>
        </row>
        <row r="3584">
          <cell r="A3584" t="str">
            <v>37564200407</v>
          </cell>
          <cell r="B3584">
            <v>37564</v>
          </cell>
          <cell r="C3584" t="str">
            <v>NG</v>
          </cell>
          <cell r="D3584" t="str">
            <v>200407</v>
          </cell>
          <cell r="E3584">
            <v>3.6930000000000001</v>
          </cell>
        </row>
        <row r="3585">
          <cell r="A3585" t="str">
            <v>37564200408</v>
          </cell>
          <cell r="B3585">
            <v>37564</v>
          </cell>
          <cell r="C3585" t="str">
            <v>NG</v>
          </cell>
          <cell r="D3585" t="str">
            <v>200408</v>
          </cell>
          <cell r="E3585">
            <v>3.698</v>
          </cell>
        </row>
        <row r="3586">
          <cell r="A3586" t="str">
            <v>37564200409</v>
          </cell>
          <cell r="B3586">
            <v>37564</v>
          </cell>
          <cell r="C3586" t="str">
            <v>NG</v>
          </cell>
          <cell r="D3586" t="str">
            <v>200409</v>
          </cell>
          <cell r="E3586">
            <v>3.698</v>
          </cell>
        </row>
        <row r="3587">
          <cell r="A3587" t="str">
            <v>37564200410</v>
          </cell>
          <cell r="B3587">
            <v>37564</v>
          </cell>
          <cell r="C3587" t="str">
            <v>NG</v>
          </cell>
          <cell r="D3587" t="str">
            <v>200410</v>
          </cell>
          <cell r="E3587">
            <v>3.7330000000000001</v>
          </cell>
        </row>
        <row r="3588">
          <cell r="A3588" t="str">
            <v>37564200411</v>
          </cell>
          <cell r="B3588">
            <v>37564</v>
          </cell>
          <cell r="C3588" t="str">
            <v>NG</v>
          </cell>
          <cell r="D3588" t="str">
            <v>200411</v>
          </cell>
          <cell r="E3588">
            <v>3.9079999999999999</v>
          </cell>
        </row>
        <row r="3589">
          <cell r="A3589" t="str">
            <v>37564200412</v>
          </cell>
          <cell r="B3589">
            <v>37564</v>
          </cell>
          <cell r="C3589" t="str">
            <v>NG</v>
          </cell>
          <cell r="D3589" t="str">
            <v>200412</v>
          </cell>
          <cell r="E3589">
            <v>4.0780000000000003</v>
          </cell>
        </row>
        <row r="3590">
          <cell r="A3590" t="str">
            <v>37565200401</v>
          </cell>
          <cell r="B3590">
            <v>37565</v>
          </cell>
          <cell r="C3590" t="str">
            <v>NG</v>
          </cell>
          <cell r="D3590" t="str">
            <v>200401</v>
          </cell>
          <cell r="E3590">
            <v>4.25</v>
          </cell>
        </row>
        <row r="3591">
          <cell r="A3591" t="str">
            <v>37565200402</v>
          </cell>
          <cell r="B3591">
            <v>37565</v>
          </cell>
          <cell r="C3591" t="str">
            <v>NG</v>
          </cell>
          <cell r="D3591" t="str">
            <v>200402</v>
          </cell>
          <cell r="E3591">
            <v>4.12</v>
          </cell>
        </row>
        <row r="3592">
          <cell r="A3592" t="str">
            <v>37565200403</v>
          </cell>
          <cell r="B3592">
            <v>37565</v>
          </cell>
          <cell r="C3592" t="str">
            <v>NG</v>
          </cell>
          <cell r="D3592" t="str">
            <v>200403</v>
          </cell>
          <cell r="E3592">
            <v>3.9470000000000001</v>
          </cell>
        </row>
        <row r="3593">
          <cell r="A3593" t="str">
            <v>37565200404</v>
          </cell>
          <cell r="B3593">
            <v>37565</v>
          </cell>
          <cell r="C3593" t="str">
            <v>NG</v>
          </cell>
          <cell r="D3593" t="str">
            <v>200404</v>
          </cell>
          <cell r="E3593">
            <v>3.7370000000000001</v>
          </cell>
        </row>
        <row r="3594">
          <cell r="A3594" t="str">
            <v>37565200405</v>
          </cell>
          <cell r="B3594">
            <v>37565</v>
          </cell>
          <cell r="C3594" t="str">
            <v>NG</v>
          </cell>
          <cell r="D3594" t="str">
            <v>200405</v>
          </cell>
          <cell r="E3594">
            <v>3.6819999999999999</v>
          </cell>
        </row>
        <row r="3595">
          <cell r="A3595" t="str">
            <v>37565200406</v>
          </cell>
          <cell r="B3595">
            <v>37565</v>
          </cell>
          <cell r="C3595" t="str">
            <v>NG</v>
          </cell>
          <cell r="D3595" t="str">
            <v>200406</v>
          </cell>
          <cell r="E3595">
            <v>3.6920000000000002</v>
          </cell>
        </row>
        <row r="3596">
          <cell r="A3596" t="str">
            <v>37565200407</v>
          </cell>
          <cell r="B3596">
            <v>37565</v>
          </cell>
          <cell r="C3596" t="str">
            <v>NG</v>
          </cell>
          <cell r="D3596" t="str">
            <v>200407</v>
          </cell>
          <cell r="E3596">
            <v>3.7069999999999999</v>
          </cell>
        </row>
        <row r="3597">
          <cell r="A3597" t="str">
            <v>37565200408</v>
          </cell>
          <cell r="B3597">
            <v>37565</v>
          </cell>
          <cell r="C3597" t="str">
            <v>NG</v>
          </cell>
          <cell r="D3597" t="str">
            <v>200408</v>
          </cell>
          <cell r="E3597">
            <v>3.7120000000000002</v>
          </cell>
        </row>
        <row r="3598">
          <cell r="A3598" t="str">
            <v>37565200409</v>
          </cell>
          <cell r="B3598">
            <v>37565</v>
          </cell>
          <cell r="C3598" t="str">
            <v>NG</v>
          </cell>
          <cell r="D3598" t="str">
            <v>200409</v>
          </cell>
          <cell r="E3598">
            <v>3.7170000000000001</v>
          </cell>
        </row>
        <row r="3599">
          <cell r="A3599" t="str">
            <v>37565200410</v>
          </cell>
          <cell r="B3599">
            <v>37565</v>
          </cell>
          <cell r="C3599" t="str">
            <v>NG</v>
          </cell>
          <cell r="D3599" t="str">
            <v>200410</v>
          </cell>
          <cell r="E3599">
            <v>3.7519999999999998</v>
          </cell>
        </row>
        <row r="3600">
          <cell r="A3600" t="str">
            <v>37565200411</v>
          </cell>
          <cell r="B3600">
            <v>37565</v>
          </cell>
          <cell r="C3600" t="str">
            <v>NG</v>
          </cell>
          <cell r="D3600" t="str">
            <v>200411</v>
          </cell>
          <cell r="E3600">
            <v>3.927</v>
          </cell>
        </row>
        <row r="3601">
          <cell r="A3601" t="str">
            <v>37565200412</v>
          </cell>
          <cell r="B3601">
            <v>37565</v>
          </cell>
          <cell r="C3601" t="str">
            <v>NG</v>
          </cell>
          <cell r="D3601" t="str">
            <v>200412</v>
          </cell>
          <cell r="E3601">
            <v>4.0970000000000004</v>
          </cell>
        </row>
        <row r="3602">
          <cell r="A3602" t="str">
            <v>37566200401</v>
          </cell>
          <cell r="B3602">
            <v>37566</v>
          </cell>
          <cell r="C3602" t="str">
            <v>NG</v>
          </cell>
          <cell r="D3602" t="str">
            <v>200401</v>
          </cell>
          <cell r="E3602">
            <v>4.2720000000000002</v>
          </cell>
        </row>
        <row r="3603">
          <cell r="A3603" t="str">
            <v>37566200402</v>
          </cell>
          <cell r="B3603">
            <v>37566</v>
          </cell>
          <cell r="C3603" t="str">
            <v>NG</v>
          </cell>
          <cell r="D3603" t="str">
            <v>200402</v>
          </cell>
          <cell r="E3603">
            <v>4.1420000000000003</v>
          </cell>
        </row>
        <row r="3604">
          <cell r="A3604" t="str">
            <v>37566200403</v>
          </cell>
          <cell r="B3604">
            <v>37566</v>
          </cell>
          <cell r="C3604" t="str">
            <v>NG</v>
          </cell>
          <cell r="D3604" t="str">
            <v>200403</v>
          </cell>
          <cell r="E3604">
            <v>3.972</v>
          </cell>
        </row>
        <row r="3605">
          <cell r="A3605" t="str">
            <v>37566200404</v>
          </cell>
          <cell r="B3605">
            <v>37566</v>
          </cell>
          <cell r="C3605" t="str">
            <v>NG</v>
          </cell>
          <cell r="D3605" t="str">
            <v>200404</v>
          </cell>
          <cell r="E3605">
            <v>3.762</v>
          </cell>
        </row>
        <row r="3606">
          <cell r="A3606" t="str">
            <v>37566200405</v>
          </cell>
          <cell r="B3606">
            <v>37566</v>
          </cell>
          <cell r="C3606" t="str">
            <v>NG</v>
          </cell>
          <cell r="D3606" t="str">
            <v>200405</v>
          </cell>
          <cell r="E3606">
            <v>3.7040000000000002</v>
          </cell>
        </row>
        <row r="3607">
          <cell r="A3607" t="str">
            <v>37566200406</v>
          </cell>
          <cell r="B3607">
            <v>37566</v>
          </cell>
          <cell r="C3607" t="str">
            <v>NG</v>
          </cell>
          <cell r="D3607" t="str">
            <v>200406</v>
          </cell>
          <cell r="E3607">
            <v>3.714</v>
          </cell>
        </row>
        <row r="3608">
          <cell r="A3608" t="str">
            <v>37566200407</v>
          </cell>
          <cell r="B3608">
            <v>37566</v>
          </cell>
          <cell r="C3608" t="str">
            <v>NG</v>
          </cell>
          <cell r="D3608" t="str">
            <v>200407</v>
          </cell>
          <cell r="E3608">
            <v>3.734</v>
          </cell>
        </row>
        <row r="3609">
          <cell r="A3609" t="str">
            <v>37566200408</v>
          </cell>
          <cell r="B3609">
            <v>37566</v>
          </cell>
          <cell r="C3609" t="str">
            <v>NG</v>
          </cell>
          <cell r="D3609" t="str">
            <v>200408</v>
          </cell>
          <cell r="E3609">
            <v>3.7440000000000002</v>
          </cell>
        </row>
        <row r="3610">
          <cell r="A3610" t="str">
            <v>37566200409</v>
          </cell>
          <cell r="B3610">
            <v>37566</v>
          </cell>
          <cell r="C3610" t="str">
            <v>NG</v>
          </cell>
          <cell r="D3610" t="str">
            <v>200409</v>
          </cell>
          <cell r="E3610">
            <v>3.7490000000000001</v>
          </cell>
        </row>
        <row r="3611">
          <cell r="A3611" t="str">
            <v>37566200410</v>
          </cell>
          <cell r="B3611">
            <v>37566</v>
          </cell>
          <cell r="C3611" t="str">
            <v>NG</v>
          </cell>
          <cell r="D3611" t="str">
            <v>200410</v>
          </cell>
          <cell r="E3611">
            <v>3.7839999999999998</v>
          </cell>
        </row>
        <row r="3612">
          <cell r="A3612" t="str">
            <v>37566200411</v>
          </cell>
          <cell r="B3612">
            <v>37566</v>
          </cell>
          <cell r="C3612" t="str">
            <v>NG</v>
          </cell>
          <cell r="D3612" t="str">
            <v>200411</v>
          </cell>
          <cell r="E3612">
            <v>3.9590000000000001</v>
          </cell>
        </row>
        <row r="3613">
          <cell r="A3613" t="str">
            <v>37566200412</v>
          </cell>
          <cell r="B3613">
            <v>37566</v>
          </cell>
          <cell r="C3613" t="str">
            <v>NG</v>
          </cell>
          <cell r="D3613" t="str">
            <v>200412</v>
          </cell>
          <cell r="E3613">
            <v>4.1239999999999997</v>
          </cell>
        </row>
        <row r="3614">
          <cell r="A3614" t="str">
            <v>37567200401</v>
          </cell>
          <cell r="B3614">
            <v>37567</v>
          </cell>
          <cell r="C3614" t="str">
            <v>NG</v>
          </cell>
          <cell r="D3614" t="str">
            <v>200401</v>
          </cell>
          <cell r="E3614">
            <v>4.2300000000000004</v>
          </cell>
        </row>
        <row r="3615">
          <cell r="A3615" t="str">
            <v>37567200402</v>
          </cell>
          <cell r="B3615">
            <v>37567</v>
          </cell>
          <cell r="C3615" t="str">
            <v>NG</v>
          </cell>
          <cell r="D3615" t="str">
            <v>200402</v>
          </cell>
          <cell r="E3615">
            <v>4.0999999999999996</v>
          </cell>
        </row>
        <row r="3616">
          <cell r="A3616" t="str">
            <v>37567200403</v>
          </cell>
          <cell r="B3616">
            <v>37567</v>
          </cell>
          <cell r="C3616" t="str">
            <v>NG</v>
          </cell>
          <cell r="D3616" t="str">
            <v>200403</v>
          </cell>
          <cell r="E3616">
            <v>3.9350000000000001</v>
          </cell>
        </row>
        <row r="3617">
          <cell r="A3617" t="str">
            <v>37567200404</v>
          </cell>
          <cell r="B3617">
            <v>37567</v>
          </cell>
          <cell r="C3617" t="str">
            <v>NG</v>
          </cell>
          <cell r="D3617" t="str">
            <v>200404</v>
          </cell>
          <cell r="E3617">
            <v>3.7250000000000001</v>
          </cell>
        </row>
        <row r="3618">
          <cell r="A3618" t="str">
            <v>37567200405</v>
          </cell>
          <cell r="B3618">
            <v>37567</v>
          </cell>
          <cell r="C3618" t="str">
            <v>NG</v>
          </cell>
          <cell r="D3618" t="str">
            <v>200405</v>
          </cell>
          <cell r="E3618">
            <v>3.6669999999999998</v>
          </cell>
        </row>
        <row r="3619">
          <cell r="A3619" t="str">
            <v>37567200406</v>
          </cell>
          <cell r="B3619">
            <v>37567</v>
          </cell>
          <cell r="C3619" t="str">
            <v>NG</v>
          </cell>
          <cell r="D3619" t="str">
            <v>200406</v>
          </cell>
          <cell r="E3619">
            <v>3.6669999999999998</v>
          </cell>
        </row>
        <row r="3620">
          <cell r="A3620" t="str">
            <v>37567200407</v>
          </cell>
          <cell r="B3620">
            <v>37567</v>
          </cell>
          <cell r="C3620" t="str">
            <v>NG</v>
          </cell>
          <cell r="D3620" t="str">
            <v>200407</v>
          </cell>
          <cell r="E3620">
            <v>3.6869999999999998</v>
          </cell>
        </row>
        <row r="3621">
          <cell r="A3621" t="str">
            <v>37567200408</v>
          </cell>
          <cell r="B3621">
            <v>37567</v>
          </cell>
          <cell r="C3621" t="str">
            <v>NG</v>
          </cell>
          <cell r="D3621" t="str">
            <v>200408</v>
          </cell>
          <cell r="E3621">
            <v>3.69</v>
          </cell>
        </row>
        <row r="3622">
          <cell r="A3622" t="str">
            <v>37567200409</v>
          </cell>
          <cell r="B3622">
            <v>37567</v>
          </cell>
          <cell r="C3622" t="str">
            <v>NG</v>
          </cell>
          <cell r="D3622" t="str">
            <v>200409</v>
          </cell>
          <cell r="E3622">
            <v>3.6949999999999998</v>
          </cell>
        </row>
        <row r="3623">
          <cell r="A3623" t="str">
            <v>37567200410</v>
          </cell>
          <cell r="B3623">
            <v>37567</v>
          </cell>
          <cell r="C3623" t="str">
            <v>NG</v>
          </cell>
          <cell r="D3623" t="str">
            <v>200410</v>
          </cell>
          <cell r="E3623">
            <v>3.73</v>
          </cell>
        </row>
        <row r="3624">
          <cell r="A3624" t="str">
            <v>37567200411</v>
          </cell>
          <cell r="B3624">
            <v>37567</v>
          </cell>
          <cell r="C3624" t="str">
            <v>NG</v>
          </cell>
          <cell r="D3624" t="str">
            <v>200411</v>
          </cell>
          <cell r="E3624">
            <v>3.915</v>
          </cell>
        </row>
        <row r="3625">
          <cell r="A3625" t="str">
            <v>37567200412</v>
          </cell>
          <cell r="B3625">
            <v>37567</v>
          </cell>
          <cell r="C3625" t="str">
            <v>NG</v>
          </cell>
          <cell r="D3625" t="str">
            <v>200412</v>
          </cell>
          <cell r="E3625">
            <v>4.08</v>
          </cell>
        </row>
        <row r="3626">
          <cell r="A3626" t="str">
            <v>37568200401</v>
          </cell>
          <cell r="B3626">
            <v>37568</v>
          </cell>
          <cell r="C3626" t="str">
            <v>NG</v>
          </cell>
          <cell r="D3626" t="str">
            <v>200401</v>
          </cell>
          <cell r="E3626">
            <v>4.2110000000000003</v>
          </cell>
        </row>
        <row r="3627">
          <cell r="A3627" t="str">
            <v>37568200402</v>
          </cell>
          <cell r="B3627">
            <v>37568</v>
          </cell>
          <cell r="C3627" t="str">
            <v>NG</v>
          </cell>
          <cell r="D3627" t="str">
            <v>200402</v>
          </cell>
          <cell r="E3627">
            <v>4.0759999999999996</v>
          </cell>
        </row>
        <row r="3628">
          <cell r="A3628" t="str">
            <v>37568200403</v>
          </cell>
          <cell r="B3628">
            <v>37568</v>
          </cell>
          <cell r="C3628" t="str">
            <v>NG</v>
          </cell>
          <cell r="D3628" t="str">
            <v>200403</v>
          </cell>
          <cell r="E3628">
            <v>3.9060000000000001</v>
          </cell>
        </row>
        <row r="3629">
          <cell r="A3629" t="str">
            <v>37568200404</v>
          </cell>
          <cell r="B3629">
            <v>37568</v>
          </cell>
          <cell r="C3629" t="str">
            <v>NG</v>
          </cell>
          <cell r="D3629" t="str">
            <v>200404</v>
          </cell>
          <cell r="E3629">
            <v>3.6909999999999998</v>
          </cell>
        </row>
        <row r="3630">
          <cell r="A3630" t="str">
            <v>37568200405</v>
          </cell>
          <cell r="B3630">
            <v>37568</v>
          </cell>
          <cell r="C3630" t="str">
            <v>NG</v>
          </cell>
          <cell r="D3630" t="str">
            <v>200405</v>
          </cell>
          <cell r="E3630">
            <v>3.6280000000000001</v>
          </cell>
        </row>
        <row r="3631">
          <cell r="A3631" t="str">
            <v>37568200406</v>
          </cell>
          <cell r="B3631">
            <v>37568</v>
          </cell>
          <cell r="C3631" t="str">
            <v>NG</v>
          </cell>
          <cell r="D3631" t="str">
            <v>200406</v>
          </cell>
          <cell r="E3631">
            <v>3.6280000000000001</v>
          </cell>
        </row>
        <row r="3632">
          <cell r="A3632" t="str">
            <v>37568200407</v>
          </cell>
          <cell r="B3632">
            <v>37568</v>
          </cell>
          <cell r="C3632" t="str">
            <v>NG</v>
          </cell>
          <cell r="D3632" t="str">
            <v>200407</v>
          </cell>
          <cell r="E3632">
            <v>3.6480000000000001</v>
          </cell>
        </row>
        <row r="3633">
          <cell r="A3633" t="str">
            <v>37568200408</v>
          </cell>
          <cell r="B3633">
            <v>37568</v>
          </cell>
          <cell r="C3633" t="str">
            <v>NG</v>
          </cell>
          <cell r="D3633" t="str">
            <v>200408</v>
          </cell>
          <cell r="E3633">
            <v>3.6509999999999998</v>
          </cell>
        </row>
        <row r="3634">
          <cell r="A3634" t="str">
            <v>37568200409</v>
          </cell>
          <cell r="B3634">
            <v>37568</v>
          </cell>
          <cell r="C3634" t="str">
            <v>NG</v>
          </cell>
          <cell r="D3634" t="str">
            <v>200409</v>
          </cell>
          <cell r="E3634">
            <v>3.6560000000000001</v>
          </cell>
        </row>
        <row r="3635">
          <cell r="A3635" t="str">
            <v>37568200410</v>
          </cell>
          <cell r="B3635">
            <v>37568</v>
          </cell>
          <cell r="C3635" t="str">
            <v>NG</v>
          </cell>
          <cell r="D3635" t="str">
            <v>200410</v>
          </cell>
          <cell r="E3635">
            <v>3.6909999999999998</v>
          </cell>
        </row>
        <row r="3636">
          <cell r="A3636" t="str">
            <v>37568200411</v>
          </cell>
          <cell r="B3636">
            <v>37568</v>
          </cell>
          <cell r="C3636" t="str">
            <v>NG</v>
          </cell>
          <cell r="D3636" t="str">
            <v>200411</v>
          </cell>
          <cell r="E3636">
            <v>3.8759999999999999</v>
          </cell>
        </row>
        <row r="3637">
          <cell r="A3637" t="str">
            <v>37568200412</v>
          </cell>
          <cell r="B3637">
            <v>37568</v>
          </cell>
          <cell r="C3637" t="str">
            <v>NG</v>
          </cell>
          <cell r="D3637" t="str">
            <v>200412</v>
          </cell>
          <cell r="E3637">
            <v>4.0410000000000004</v>
          </cell>
        </row>
        <row r="3638">
          <cell r="A3638" t="str">
            <v>37571200401</v>
          </cell>
          <cell r="B3638">
            <v>37571</v>
          </cell>
          <cell r="C3638" t="str">
            <v>NG</v>
          </cell>
          <cell r="D3638" t="str">
            <v>200401</v>
          </cell>
          <cell r="E3638">
            <v>4.1950000000000003</v>
          </cell>
        </row>
        <row r="3639">
          <cell r="A3639" t="str">
            <v>37571200402</v>
          </cell>
          <cell r="B3639">
            <v>37571</v>
          </cell>
          <cell r="C3639" t="str">
            <v>NG</v>
          </cell>
          <cell r="D3639" t="str">
            <v>200402</v>
          </cell>
          <cell r="E3639">
            <v>4.0679999999999996</v>
          </cell>
        </row>
        <row r="3640">
          <cell r="A3640" t="str">
            <v>37571200403</v>
          </cell>
          <cell r="B3640">
            <v>37571</v>
          </cell>
          <cell r="C3640" t="str">
            <v>NG</v>
          </cell>
          <cell r="D3640" t="str">
            <v>200403</v>
          </cell>
          <cell r="E3640">
            <v>3.8980000000000001</v>
          </cell>
        </row>
        <row r="3641">
          <cell r="A3641" t="str">
            <v>37571200404</v>
          </cell>
          <cell r="B3641">
            <v>37571</v>
          </cell>
          <cell r="C3641" t="str">
            <v>NG</v>
          </cell>
          <cell r="D3641" t="str">
            <v>200404</v>
          </cell>
          <cell r="E3641">
            <v>3.6829999999999998</v>
          </cell>
        </row>
        <row r="3642">
          <cell r="A3642" t="str">
            <v>37571200405</v>
          </cell>
          <cell r="B3642">
            <v>37571</v>
          </cell>
          <cell r="C3642" t="str">
            <v>NG</v>
          </cell>
          <cell r="D3642" t="str">
            <v>200405</v>
          </cell>
          <cell r="E3642">
            <v>3.62</v>
          </cell>
        </row>
        <row r="3643">
          <cell r="A3643" t="str">
            <v>37571200406</v>
          </cell>
          <cell r="B3643">
            <v>37571</v>
          </cell>
          <cell r="C3643" t="str">
            <v>NG</v>
          </cell>
          <cell r="D3643" t="str">
            <v>200406</v>
          </cell>
          <cell r="E3643">
            <v>3.63</v>
          </cell>
        </row>
        <row r="3644">
          <cell r="A3644" t="str">
            <v>37571200407</v>
          </cell>
          <cell r="B3644">
            <v>37571</v>
          </cell>
          <cell r="C3644" t="str">
            <v>NG</v>
          </cell>
          <cell r="D3644" t="str">
            <v>200407</v>
          </cell>
          <cell r="E3644">
            <v>3.65</v>
          </cell>
        </row>
        <row r="3645">
          <cell r="A3645" t="str">
            <v>37571200408</v>
          </cell>
          <cell r="B3645">
            <v>37571</v>
          </cell>
          <cell r="C3645" t="str">
            <v>NG</v>
          </cell>
          <cell r="D3645" t="str">
            <v>200408</v>
          </cell>
          <cell r="E3645">
            <v>3.65</v>
          </cell>
        </row>
        <row r="3646">
          <cell r="A3646" t="str">
            <v>37571200409</v>
          </cell>
          <cell r="B3646">
            <v>37571</v>
          </cell>
          <cell r="C3646" t="str">
            <v>NG</v>
          </cell>
          <cell r="D3646" t="str">
            <v>200409</v>
          </cell>
          <cell r="E3646">
            <v>3.6549999999999998</v>
          </cell>
        </row>
        <row r="3647">
          <cell r="A3647" t="str">
            <v>37571200410</v>
          </cell>
          <cell r="B3647">
            <v>37571</v>
          </cell>
          <cell r="C3647" t="str">
            <v>NG</v>
          </cell>
          <cell r="D3647" t="str">
            <v>200410</v>
          </cell>
          <cell r="E3647">
            <v>3.69</v>
          </cell>
        </row>
        <row r="3648">
          <cell r="A3648" t="str">
            <v>37571200411</v>
          </cell>
          <cell r="B3648">
            <v>37571</v>
          </cell>
          <cell r="C3648" t="str">
            <v>NG</v>
          </cell>
          <cell r="D3648" t="str">
            <v>200411</v>
          </cell>
          <cell r="E3648">
            <v>3.8780000000000001</v>
          </cell>
        </row>
        <row r="3649">
          <cell r="A3649" t="str">
            <v>37571200412</v>
          </cell>
          <cell r="B3649">
            <v>37571</v>
          </cell>
          <cell r="C3649" t="str">
            <v>NG</v>
          </cell>
          <cell r="D3649" t="str">
            <v>200412</v>
          </cell>
          <cell r="E3649">
            <v>4.0430000000000001</v>
          </cell>
        </row>
        <row r="3650">
          <cell r="A3650" t="str">
            <v>37572200401</v>
          </cell>
          <cell r="B3650">
            <v>37572</v>
          </cell>
          <cell r="C3650" t="str">
            <v>NG</v>
          </cell>
          <cell r="D3650" t="str">
            <v>200401</v>
          </cell>
          <cell r="E3650">
            <v>4.2350000000000003</v>
          </cell>
        </row>
        <row r="3651">
          <cell r="A3651" t="str">
            <v>37572200402</v>
          </cell>
          <cell r="B3651">
            <v>37572</v>
          </cell>
          <cell r="C3651" t="str">
            <v>NG</v>
          </cell>
          <cell r="D3651" t="str">
            <v>200402</v>
          </cell>
          <cell r="E3651">
            <v>4.1079999999999997</v>
          </cell>
        </row>
        <row r="3652">
          <cell r="A3652" t="str">
            <v>37572200403</v>
          </cell>
          <cell r="B3652">
            <v>37572</v>
          </cell>
          <cell r="C3652" t="str">
            <v>NG</v>
          </cell>
          <cell r="D3652" t="str">
            <v>200403</v>
          </cell>
          <cell r="E3652">
            <v>3.9380000000000002</v>
          </cell>
        </row>
        <row r="3653">
          <cell r="A3653" t="str">
            <v>37572200404</v>
          </cell>
          <cell r="B3653">
            <v>37572</v>
          </cell>
          <cell r="C3653" t="str">
            <v>NG</v>
          </cell>
          <cell r="D3653" t="str">
            <v>200404</v>
          </cell>
          <cell r="E3653">
            <v>3.718</v>
          </cell>
        </row>
        <row r="3654">
          <cell r="A3654" t="str">
            <v>37572200405</v>
          </cell>
          <cell r="B3654">
            <v>37572</v>
          </cell>
          <cell r="C3654" t="str">
            <v>NG</v>
          </cell>
          <cell r="D3654" t="str">
            <v>200405</v>
          </cell>
          <cell r="E3654">
            <v>3.65</v>
          </cell>
        </row>
        <row r="3655">
          <cell r="A3655" t="str">
            <v>37572200406</v>
          </cell>
          <cell r="B3655">
            <v>37572</v>
          </cell>
          <cell r="C3655" t="str">
            <v>NG</v>
          </cell>
          <cell r="D3655" t="str">
            <v>200406</v>
          </cell>
          <cell r="E3655">
            <v>3.65</v>
          </cell>
        </row>
        <row r="3656">
          <cell r="A3656" t="str">
            <v>37572200407</v>
          </cell>
          <cell r="B3656">
            <v>37572</v>
          </cell>
          <cell r="C3656" t="str">
            <v>NG</v>
          </cell>
          <cell r="D3656" t="str">
            <v>200407</v>
          </cell>
          <cell r="E3656">
            <v>3.66</v>
          </cell>
        </row>
        <row r="3657">
          <cell r="A3657" t="str">
            <v>37572200408</v>
          </cell>
          <cell r="B3657">
            <v>37572</v>
          </cell>
          <cell r="C3657" t="str">
            <v>NG</v>
          </cell>
          <cell r="D3657" t="str">
            <v>200408</v>
          </cell>
          <cell r="E3657">
            <v>3.66</v>
          </cell>
        </row>
        <row r="3658">
          <cell r="A3658" t="str">
            <v>37572200409</v>
          </cell>
          <cell r="B3658">
            <v>37572</v>
          </cell>
          <cell r="C3658" t="str">
            <v>NG</v>
          </cell>
          <cell r="D3658" t="str">
            <v>200409</v>
          </cell>
          <cell r="E3658">
            <v>3.665</v>
          </cell>
        </row>
        <row r="3659">
          <cell r="A3659" t="str">
            <v>37572200410</v>
          </cell>
          <cell r="B3659">
            <v>37572</v>
          </cell>
          <cell r="C3659" t="str">
            <v>NG</v>
          </cell>
          <cell r="D3659" t="str">
            <v>200410</v>
          </cell>
          <cell r="E3659">
            <v>3.7</v>
          </cell>
        </row>
        <row r="3660">
          <cell r="A3660" t="str">
            <v>37572200411</v>
          </cell>
          <cell r="B3660">
            <v>37572</v>
          </cell>
          <cell r="C3660" t="str">
            <v>NG</v>
          </cell>
          <cell r="D3660" t="str">
            <v>200411</v>
          </cell>
          <cell r="E3660">
            <v>3.8879999999999999</v>
          </cell>
        </row>
        <row r="3661">
          <cell r="A3661" t="str">
            <v>37572200412</v>
          </cell>
          <cell r="B3661">
            <v>37572</v>
          </cell>
          <cell r="C3661" t="str">
            <v>NG</v>
          </cell>
          <cell r="D3661" t="str">
            <v>200412</v>
          </cell>
          <cell r="E3661">
            <v>4.0529999999999999</v>
          </cell>
        </row>
        <row r="3662">
          <cell r="A3662" t="str">
            <v>37573200401</v>
          </cell>
          <cell r="B3662">
            <v>37573</v>
          </cell>
          <cell r="C3662" t="str">
            <v>NG</v>
          </cell>
          <cell r="D3662" t="str">
            <v>200401</v>
          </cell>
          <cell r="E3662">
            <v>4.21</v>
          </cell>
        </row>
        <row r="3663">
          <cell r="A3663" t="str">
            <v>37573200402</v>
          </cell>
          <cell r="B3663">
            <v>37573</v>
          </cell>
          <cell r="C3663" t="str">
            <v>NG</v>
          </cell>
          <cell r="D3663" t="str">
            <v>200402</v>
          </cell>
          <cell r="E3663">
            <v>4.0880000000000001</v>
          </cell>
        </row>
        <row r="3664">
          <cell r="A3664" t="str">
            <v>37573200403</v>
          </cell>
          <cell r="B3664">
            <v>37573</v>
          </cell>
          <cell r="C3664" t="str">
            <v>NG</v>
          </cell>
          <cell r="D3664" t="str">
            <v>200403</v>
          </cell>
          <cell r="E3664">
            <v>3.9180000000000001</v>
          </cell>
        </row>
        <row r="3665">
          <cell r="A3665" t="str">
            <v>37573200404</v>
          </cell>
          <cell r="B3665">
            <v>37573</v>
          </cell>
          <cell r="C3665" t="str">
            <v>NG</v>
          </cell>
          <cell r="D3665" t="str">
            <v>200404</v>
          </cell>
          <cell r="E3665">
            <v>3.7029999999999998</v>
          </cell>
        </row>
        <row r="3666">
          <cell r="A3666" t="str">
            <v>37573200405</v>
          </cell>
          <cell r="B3666">
            <v>37573</v>
          </cell>
          <cell r="C3666" t="str">
            <v>NG</v>
          </cell>
          <cell r="D3666" t="str">
            <v>200405</v>
          </cell>
          <cell r="E3666">
            <v>3.64</v>
          </cell>
        </row>
        <row r="3667">
          <cell r="A3667" t="str">
            <v>37573200406</v>
          </cell>
          <cell r="B3667">
            <v>37573</v>
          </cell>
          <cell r="C3667" t="str">
            <v>NG</v>
          </cell>
          <cell r="D3667" t="str">
            <v>200406</v>
          </cell>
          <cell r="E3667">
            <v>3.645</v>
          </cell>
        </row>
        <row r="3668">
          <cell r="A3668" t="str">
            <v>37573200407</v>
          </cell>
          <cell r="B3668">
            <v>37573</v>
          </cell>
          <cell r="C3668" t="str">
            <v>NG</v>
          </cell>
          <cell r="D3668" t="str">
            <v>200407</v>
          </cell>
          <cell r="E3668">
            <v>3.6549999999999998</v>
          </cell>
        </row>
        <row r="3669">
          <cell r="A3669" t="str">
            <v>37573200408</v>
          </cell>
          <cell r="B3669">
            <v>37573</v>
          </cell>
          <cell r="C3669" t="str">
            <v>NG</v>
          </cell>
          <cell r="D3669" t="str">
            <v>200408</v>
          </cell>
          <cell r="E3669">
            <v>3.6549999999999998</v>
          </cell>
        </row>
        <row r="3670">
          <cell r="A3670" t="str">
            <v>37573200409</v>
          </cell>
          <cell r="B3670">
            <v>37573</v>
          </cell>
          <cell r="C3670" t="str">
            <v>NG</v>
          </cell>
          <cell r="D3670" t="str">
            <v>200409</v>
          </cell>
          <cell r="E3670">
            <v>3.65</v>
          </cell>
        </row>
        <row r="3671">
          <cell r="A3671" t="str">
            <v>37573200410</v>
          </cell>
          <cell r="B3671">
            <v>37573</v>
          </cell>
          <cell r="C3671" t="str">
            <v>NG</v>
          </cell>
          <cell r="D3671" t="str">
            <v>200410</v>
          </cell>
          <cell r="E3671">
            <v>3.6850000000000001</v>
          </cell>
        </row>
        <row r="3672">
          <cell r="A3672" t="str">
            <v>37573200411</v>
          </cell>
          <cell r="B3672">
            <v>37573</v>
          </cell>
          <cell r="C3672" t="str">
            <v>NG</v>
          </cell>
          <cell r="D3672" t="str">
            <v>200411</v>
          </cell>
          <cell r="E3672">
            <v>3.8730000000000002</v>
          </cell>
        </row>
        <row r="3673">
          <cell r="A3673" t="str">
            <v>37573200412</v>
          </cell>
          <cell r="B3673">
            <v>37573</v>
          </cell>
          <cell r="C3673" t="str">
            <v>NG</v>
          </cell>
          <cell r="D3673" t="str">
            <v>200412</v>
          </cell>
          <cell r="E3673">
            <v>4.04</v>
          </cell>
        </row>
        <row r="3674">
          <cell r="A3674" t="str">
            <v>37574200401</v>
          </cell>
          <cell r="B3674">
            <v>37574</v>
          </cell>
          <cell r="C3674" t="str">
            <v>NG</v>
          </cell>
          <cell r="D3674" t="str">
            <v>200401</v>
          </cell>
          <cell r="E3674">
            <v>4.2149999999999999</v>
          </cell>
        </row>
        <row r="3675">
          <cell r="A3675" t="str">
            <v>37574200402</v>
          </cell>
          <cell r="B3675">
            <v>37574</v>
          </cell>
          <cell r="C3675" t="str">
            <v>NG</v>
          </cell>
          <cell r="D3675" t="str">
            <v>200402</v>
          </cell>
          <cell r="E3675">
            <v>4.093</v>
          </cell>
        </row>
        <row r="3676">
          <cell r="A3676" t="str">
            <v>37574200403</v>
          </cell>
          <cell r="B3676">
            <v>37574</v>
          </cell>
          <cell r="C3676" t="str">
            <v>NG</v>
          </cell>
          <cell r="D3676" t="str">
            <v>200403</v>
          </cell>
          <cell r="E3676">
            <v>3.9249999999999998</v>
          </cell>
        </row>
        <row r="3677">
          <cell r="A3677" t="str">
            <v>37574200404</v>
          </cell>
          <cell r="B3677">
            <v>37574</v>
          </cell>
          <cell r="C3677" t="str">
            <v>NG</v>
          </cell>
          <cell r="D3677" t="str">
            <v>200404</v>
          </cell>
          <cell r="E3677">
            <v>3.71</v>
          </cell>
        </row>
        <row r="3678">
          <cell r="A3678" t="str">
            <v>37574200405</v>
          </cell>
          <cell r="B3678">
            <v>37574</v>
          </cell>
          <cell r="C3678" t="str">
            <v>NG</v>
          </cell>
          <cell r="D3678" t="str">
            <v>200405</v>
          </cell>
          <cell r="E3678">
            <v>3.6549999999999998</v>
          </cell>
        </row>
        <row r="3679">
          <cell r="A3679" t="str">
            <v>37574200406</v>
          </cell>
          <cell r="B3679">
            <v>37574</v>
          </cell>
          <cell r="C3679" t="str">
            <v>NG</v>
          </cell>
          <cell r="D3679" t="str">
            <v>200406</v>
          </cell>
          <cell r="E3679">
            <v>3.66</v>
          </cell>
        </row>
        <row r="3680">
          <cell r="A3680" t="str">
            <v>37574200407</v>
          </cell>
          <cell r="B3680">
            <v>37574</v>
          </cell>
          <cell r="C3680" t="str">
            <v>NG</v>
          </cell>
          <cell r="D3680" t="str">
            <v>200407</v>
          </cell>
          <cell r="E3680">
            <v>3.6549999999999998</v>
          </cell>
        </row>
        <row r="3681">
          <cell r="A3681" t="str">
            <v>37574200408</v>
          </cell>
          <cell r="B3681">
            <v>37574</v>
          </cell>
          <cell r="C3681" t="str">
            <v>NG</v>
          </cell>
          <cell r="D3681" t="str">
            <v>200408</v>
          </cell>
          <cell r="E3681">
            <v>3.645</v>
          </cell>
        </row>
        <row r="3682">
          <cell r="A3682" t="str">
            <v>37574200409</v>
          </cell>
          <cell r="B3682">
            <v>37574</v>
          </cell>
          <cell r="C3682" t="str">
            <v>NG</v>
          </cell>
          <cell r="D3682" t="str">
            <v>200409</v>
          </cell>
          <cell r="E3682">
            <v>3.64</v>
          </cell>
        </row>
        <row r="3683">
          <cell r="A3683" t="str">
            <v>37574200410</v>
          </cell>
          <cell r="B3683">
            <v>37574</v>
          </cell>
          <cell r="C3683" t="str">
            <v>NG</v>
          </cell>
          <cell r="D3683" t="str">
            <v>200410</v>
          </cell>
          <cell r="E3683">
            <v>3.6749999999999998</v>
          </cell>
        </row>
        <row r="3684">
          <cell r="A3684" t="str">
            <v>37574200411</v>
          </cell>
          <cell r="B3684">
            <v>37574</v>
          </cell>
          <cell r="C3684" t="str">
            <v>NG</v>
          </cell>
          <cell r="D3684" t="str">
            <v>200411</v>
          </cell>
          <cell r="E3684">
            <v>3.8479999999999999</v>
          </cell>
        </row>
        <row r="3685">
          <cell r="A3685" t="str">
            <v>37574200412</v>
          </cell>
          <cell r="B3685">
            <v>37574</v>
          </cell>
          <cell r="C3685" t="str">
            <v>NG</v>
          </cell>
          <cell r="D3685" t="str">
            <v>200412</v>
          </cell>
          <cell r="E3685">
            <v>4.0149999999999997</v>
          </cell>
        </row>
        <row r="3686">
          <cell r="A3686" t="str">
            <v>37575200401</v>
          </cell>
          <cell r="B3686">
            <v>37575</v>
          </cell>
          <cell r="C3686" t="str">
            <v>NG</v>
          </cell>
          <cell r="D3686" t="str">
            <v>200401</v>
          </cell>
          <cell r="E3686">
            <v>4.218</v>
          </cell>
        </row>
        <row r="3687">
          <cell r="A3687" t="str">
            <v>37575200402</v>
          </cell>
          <cell r="B3687">
            <v>37575</v>
          </cell>
          <cell r="C3687" t="str">
            <v>NG</v>
          </cell>
          <cell r="D3687" t="str">
            <v>200402</v>
          </cell>
          <cell r="E3687">
            <v>4.0880000000000001</v>
          </cell>
        </row>
        <row r="3688">
          <cell r="A3688" t="str">
            <v>37575200403</v>
          </cell>
          <cell r="B3688">
            <v>37575</v>
          </cell>
          <cell r="C3688" t="str">
            <v>NG</v>
          </cell>
          <cell r="D3688" t="str">
            <v>200403</v>
          </cell>
          <cell r="E3688">
            <v>3.9129999999999998</v>
          </cell>
        </row>
        <row r="3689">
          <cell r="A3689" t="str">
            <v>37575200404</v>
          </cell>
          <cell r="B3689">
            <v>37575</v>
          </cell>
          <cell r="C3689" t="str">
            <v>NG</v>
          </cell>
          <cell r="D3689" t="str">
            <v>200404</v>
          </cell>
          <cell r="E3689">
            <v>3.6880000000000002</v>
          </cell>
        </row>
        <row r="3690">
          <cell r="A3690" t="str">
            <v>37575200405</v>
          </cell>
          <cell r="B3690">
            <v>37575</v>
          </cell>
          <cell r="C3690" t="str">
            <v>NG</v>
          </cell>
          <cell r="D3690" t="str">
            <v>200405</v>
          </cell>
          <cell r="E3690">
            <v>3.633</v>
          </cell>
        </row>
        <row r="3691">
          <cell r="A3691" t="str">
            <v>37575200406</v>
          </cell>
          <cell r="B3691">
            <v>37575</v>
          </cell>
          <cell r="C3691" t="str">
            <v>NG</v>
          </cell>
          <cell r="D3691" t="str">
            <v>200406</v>
          </cell>
          <cell r="E3691">
            <v>3.6379999999999999</v>
          </cell>
        </row>
        <row r="3692">
          <cell r="A3692" t="str">
            <v>37575200407</v>
          </cell>
          <cell r="B3692">
            <v>37575</v>
          </cell>
          <cell r="C3692" t="str">
            <v>NG</v>
          </cell>
          <cell r="D3692" t="str">
            <v>200407</v>
          </cell>
          <cell r="E3692">
            <v>3.6429999999999998</v>
          </cell>
        </row>
        <row r="3693">
          <cell r="A3693" t="str">
            <v>37575200408</v>
          </cell>
          <cell r="B3693">
            <v>37575</v>
          </cell>
          <cell r="C3693" t="str">
            <v>NG</v>
          </cell>
          <cell r="D3693" t="str">
            <v>200408</v>
          </cell>
          <cell r="E3693">
            <v>3.6480000000000001</v>
          </cell>
        </row>
        <row r="3694">
          <cell r="A3694" t="str">
            <v>37575200409</v>
          </cell>
          <cell r="B3694">
            <v>37575</v>
          </cell>
          <cell r="C3694" t="str">
            <v>NG</v>
          </cell>
          <cell r="D3694" t="str">
            <v>200409</v>
          </cell>
          <cell r="E3694">
            <v>3.6379999999999999</v>
          </cell>
        </row>
        <row r="3695">
          <cell r="A3695" t="str">
            <v>37575200410</v>
          </cell>
          <cell r="B3695">
            <v>37575</v>
          </cell>
          <cell r="C3695" t="str">
            <v>NG</v>
          </cell>
          <cell r="D3695" t="str">
            <v>200410</v>
          </cell>
          <cell r="E3695">
            <v>3.6680000000000001</v>
          </cell>
        </row>
        <row r="3696">
          <cell r="A3696" t="str">
            <v>37575200411</v>
          </cell>
          <cell r="B3696">
            <v>37575</v>
          </cell>
          <cell r="C3696" t="str">
            <v>NG</v>
          </cell>
          <cell r="D3696" t="str">
            <v>200411</v>
          </cell>
          <cell r="E3696">
            <v>3.8410000000000002</v>
          </cell>
        </row>
        <row r="3697">
          <cell r="A3697" t="str">
            <v>37575200412</v>
          </cell>
          <cell r="B3697">
            <v>37575</v>
          </cell>
          <cell r="C3697" t="str">
            <v>NG</v>
          </cell>
          <cell r="D3697" t="str">
            <v>200412</v>
          </cell>
          <cell r="E3697">
            <v>4.0129999999999999</v>
          </cell>
        </row>
        <row r="3698">
          <cell r="A3698" t="str">
            <v>37576200401</v>
          </cell>
          <cell r="B3698">
            <v>37576</v>
          </cell>
          <cell r="C3698" t="str">
            <v>NG</v>
          </cell>
          <cell r="D3698" t="str">
            <v>200401</v>
          </cell>
          <cell r="E3698">
            <v>4.218</v>
          </cell>
        </row>
        <row r="3699">
          <cell r="A3699" t="str">
            <v>37576200402</v>
          </cell>
          <cell r="B3699">
            <v>37576</v>
          </cell>
          <cell r="C3699" t="str">
            <v>NG</v>
          </cell>
          <cell r="D3699" t="str">
            <v>200402</v>
          </cell>
          <cell r="E3699">
            <v>4.0880000000000001</v>
          </cell>
        </row>
        <row r="3700">
          <cell r="A3700" t="str">
            <v>37576200403</v>
          </cell>
          <cell r="B3700">
            <v>37576</v>
          </cell>
          <cell r="C3700" t="str">
            <v>NG</v>
          </cell>
          <cell r="D3700" t="str">
            <v>200403</v>
          </cell>
          <cell r="E3700">
            <v>3.9129999999999998</v>
          </cell>
        </row>
        <row r="3701">
          <cell r="A3701" t="str">
            <v>37576200404</v>
          </cell>
          <cell r="B3701">
            <v>37576</v>
          </cell>
          <cell r="C3701" t="str">
            <v>NG</v>
          </cell>
          <cell r="D3701" t="str">
            <v>200404</v>
          </cell>
          <cell r="E3701">
            <v>3.6880000000000002</v>
          </cell>
        </row>
        <row r="3702">
          <cell r="A3702" t="str">
            <v>37576200405</v>
          </cell>
          <cell r="B3702">
            <v>37576</v>
          </cell>
          <cell r="C3702" t="str">
            <v>NG</v>
          </cell>
          <cell r="D3702" t="str">
            <v>200405</v>
          </cell>
          <cell r="E3702">
            <v>3.633</v>
          </cell>
        </row>
        <row r="3703">
          <cell r="A3703" t="str">
            <v>37576200406</v>
          </cell>
          <cell r="B3703">
            <v>37576</v>
          </cell>
          <cell r="C3703" t="str">
            <v>NG</v>
          </cell>
          <cell r="D3703" t="str">
            <v>200406</v>
          </cell>
          <cell r="E3703">
            <v>3.6379999999999999</v>
          </cell>
        </row>
        <row r="3704">
          <cell r="A3704" t="str">
            <v>37576200407</v>
          </cell>
          <cell r="B3704">
            <v>37576</v>
          </cell>
          <cell r="C3704" t="str">
            <v>NG</v>
          </cell>
          <cell r="D3704" t="str">
            <v>200407</v>
          </cell>
          <cell r="E3704">
            <v>3.6429999999999998</v>
          </cell>
        </row>
        <row r="3705">
          <cell r="A3705" t="str">
            <v>37576200408</v>
          </cell>
          <cell r="B3705">
            <v>37576</v>
          </cell>
          <cell r="C3705" t="str">
            <v>NG</v>
          </cell>
          <cell r="D3705" t="str">
            <v>200408</v>
          </cell>
          <cell r="E3705">
            <v>3.6480000000000001</v>
          </cell>
        </row>
        <row r="3706">
          <cell r="A3706" t="str">
            <v>37576200409</v>
          </cell>
          <cell r="B3706">
            <v>37576</v>
          </cell>
          <cell r="C3706" t="str">
            <v>NG</v>
          </cell>
          <cell r="D3706" t="str">
            <v>200409</v>
          </cell>
          <cell r="E3706">
            <v>3.6379999999999999</v>
          </cell>
        </row>
        <row r="3707">
          <cell r="A3707" t="str">
            <v>37576200410</v>
          </cell>
          <cell r="B3707">
            <v>37576</v>
          </cell>
          <cell r="C3707" t="str">
            <v>NG</v>
          </cell>
          <cell r="D3707" t="str">
            <v>200410</v>
          </cell>
          <cell r="E3707">
            <v>3.6680000000000001</v>
          </cell>
        </row>
        <row r="3708">
          <cell r="A3708" t="str">
            <v>37576200411</v>
          </cell>
          <cell r="B3708">
            <v>37576</v>
          </cell>
          <cell r="C3708" t="str">
            <v>NG</v>
          </cell>
          <cell r="D3708" t="str">
            <v>200411</v>
          </cell>
          <cell r="E3708">
            <v>3.8410000000000002</v>
          </cell>
        </row>
        <row r="3709">
          <cell r="A3709" t="str">
            <v>37576200412</v>
          </cell>
          <cell r="B3709">
            <v>37576</v>
          </cell>
          <cell r="C3709" t="str">
            <v>NG</v>
          </cell>
          <cell r="D3709" t="str">
            <v>200412</v>
          </cell>
          <cell r="E3709">
            <v>4.0129999999999999</v>
          </cell>
        </row>
        <row r="3710">
          <cell r="A3710" t="str">
            <v>37577200401</v>
          </cell>
          <cell r="B3710">
            <v>37577</v>
          </cell>
          <cell r="C3710" t="str">
            <v>NG</v>
          </cell>
          <cell r="D3710" t="str">
            <v>200401</v>
          </cell>
          <cell r="E3710">
            <v>4.218</v>
          </cell>
        </row>
        <row r="3711">
          <cell r="A3711" t="str">
            <v>37577200402</v>
          </cell>
          <cell r="B3711">
            <v>37577</v>
          </cell>
          <cell r="C3711" t="str">
            <v>NG</v>
          </cell>
          <cell r="D3711" t="str">
            <v>200402</v>
          </cell>
          <cell r="E3711">
            <v>4.0880000000000001</v>
          </cell>
        </row>
        <row r="3712">
          <cell r="A3712" t="str">
            <v>37577200403</v>
          </cell>
          <cell r="B3712">
            <v>37577</v>
          </cell>
          <cell r="C3712" t="str">
            <v>NG</v>
          </cell>
          <cell r="D3712" t="str">
            <v>200403</v>
          </cell>
          <cell r="E3712">
            <v>3.9129999999999998</v>
          </cell>
        </row>
        <row r="3713">
          <cell r="A3713" t="str">
            <v>37577200404</v>
          </cell>
          <cell r="B3713">
            <v>37577</v>
          </cell>
          <cell r="C3713" t="str">
            <v>NG</v>
          </cell>
          <cell r="D3713" t="str">
            <v>200404</v>
          </cell>
          <cell r="E3713">
            <v>3.6880000000000002</v>
          </cell>
        </row>
        <row r="3714">
          <cell r="A3714" t="str">
            <v>37577200405</v>
          </cell>
          <cell r="B3714">
            <v>37577</v>
          </cell>
          <cell r="C3714" t="str">
            <v>NG</v>
          </cell>
          <cell r="D3714" t="str">
            <v>200405</v>
          </cell>
          <cell r="E3714">
            <v>3.633</v>
          </cell>
        </row>
        <row r="3715">
          <cell r="A3715" t="str">
            <v>37577200406</v>
          </cell>
          <cell r="B3715">
            <v>37577</v>
          </cell>
          <cell r="C3715" t="str">
            <v>NG</v>
          </cell>
          <cell r="D3715" t="str">
            <v>200406</v>
          </cell>
          <cell r="E3715">
            <v>3.6379999999999999</v>
          </cell>
        </row>
        <row r="3716">
          <cell r="A3716" t="str">
            <v>37577200407</v>
          </cell>
          <cell r="B3716">
            <v>37577</v>
          </cell>
          <cell r="C3716" t="str">
            <v>NG</v>
          </cell>
          <cell r="D3716" t="str">
            <v>200407</v>
          </cell>
          <cell r="E3716">
            <v>3.6429999999999998</v>
          </cell>
        </row>
        <row r="3717">
          <cell r="A3717" t="str">
            <v>37577200408</v>
          </cell>
          <cell r="B3717">
            <v>37577</v>
          </cell>
          <cell r="C3717" t="str">
            <v>NG</v>
          </cell>
          <cell r="D3717" t="str">
            <v>200408</v>
          </cell>
          <cell r="E3717">
            <v>3.6480000000000001</v>
          </cell>
        </row>
        <row r="3718">
          <cell r="A3718" t="str">
            <v>37577200409</v>
          </cell>
          <cell r="B3718">
            <v>37577</v>
          </cell>
          <cell r="C3718" t="str">
            <v>NG</v>
          </cell>
          <cell r="D3718" t="str">
            <v>200409</v>
          </cell>
          <cell r="E3718">
            <v>3.6379999999999999</v>
          </cell>
        </row>
        <row r="3719">
          <cell r="A3719" t="str">
            <v>37577200410</v>
          </cell>
          <cell r="B3719">
            <v>37577</v>
          </cell>
          <cell r="C3719" t="str">
            <v>NG</v>
          </cell>
          <cell r="D3719" t="str">
            <v>200410</v>
          </cell>
          <cell r="E3719">
            <v>3.6680000000000001</v>
          </cell>
        </row>
        <row r="3720">
          <cell r="A3720" t="str">
            <v>37577200411</v>
          </cell>
          <cell r="B3720">
            <v>37577</v>
          </cell>
          <cell r="C3720" t="str">
            <v>NG</v>
          </cell>
          <cell r="D3720" t="str">
            <v>200411</v>
          </cell>
          <cell r="E3720">
            <v>3.8410000000000002</v>
          </cell>
        </row>
        <row r="3721">
          <cell r="A3721" t="str">
            <v>37577200412</v>
          </cell>
          <cell r="B3721">
            <v>37577</v>
          </cell>
          <cell r="C3721" t="str">
            <v>NG</v>
          </cell>
          <cell r="D3721" t="str">
            <v>200412</v>
          </cell>
          <cell r="E3721">
            <v>4.0129999999999999</v>
          </cell>
        </row>
        <row r="3722">
          <cell r="A3722" t="str">
            <v>37578200401</v>
          </cell>
          <cell r="B3722">
            <v>37578</v>
          </cell>
          <cell r="C3722" t="str">
            <v>NG</v>
          </cell>
          <cell r="D3722" t="str">
            <v>200401</v>
          </cell>
          <cell r="E3722">
            <v>4.2510000000000003</v>
          </cell>
        </row>
        <row r="3723">
          <cell r="A3723" t="str">
            <v>37578200402</v>
          </cell>
          <cell r="B3723">
            <v>37578</v>
          </cell>
          <cell r="C3723" t="str">
            <v>NG</v>
          </cell>
          <cell r="D3723" t="str">
            <v>200402</v>
          </cell>
          <cell r="E3723">
            <v>4.1210000000000004</v>
          </cell>
        </row>
        <row r="3724">
          <cell r="A3724" t="str">
            <v>37578200403</v>
          </cell>
          <cell r="B3724">
            <v>37578</v>
          </cell>
          <cell r="C3724" t="str">
            <v>NG</v>
          </cell>
          <cell r="D3724" t="str">
            <v>200403</v>
          </cell>
          <cell r="E3724">
            <v>3.9359999999999999</v>
          </cell>
        </row>
        <row r="3725">
          <cell r="A3725" t="str">
            <v>37578200404</v>
          </cell>
          <cell r="B3725">
            <v>37578</v>
          </cell>
          <cell r="C3725" t="str">
            <v>NG</v>
          </cell>
          <cell r="D3725" t="str">
            <v>200404</v>
          </cell>
          <cell r="E3725">
            <v>3.7010000000000001</v>
          </cell>
        </row>
        <row r="3726">
          <cell r="A3726" t="str">
            <v>37578200405</v>
          </cell>
          <cell r="B3726">
            <v>37578</v>
          </cell>
          <cell r="C3726" t="str">
            <v>NG</v>
          </cell>
          <cell r="D3726" t="str">
            <v>200405</v>
          </cell>
          <cell r="E3726">
            <v>3.641</v>
          </cell>
        </row>
        <row r="3727">
          <cell r="A3727" t="str">
            <v>37578200406</v>
          </cell>
          <cell r="B3727">
            <v>37578</v>
          </cell>
          <cell r="C3727" t="str">
            <v>NG</v>
          </cell>
          <cell r="D3727" t="str">
            <v>200406</v>
          </cell>
          <cell r="E3727">
            <v>3.6459999999999999</v>
          </cell>
        </row>
        <row r="3728">
          <cell r="A3728" t="str">
            <v>37578200407</v>
          </cell>
          <cell r="B3728">
            <v>37578</v>
          </cell>
          <cell r="C3728" t="str">
            <v>NG</v>
          </cell>
          <cell r="D3728" t="str">
            <v>200407</v>
          </cell>
          <cell r="E3728">
            <v>3.661</v>
          </cell>
        </row>
        <row r="3729">
          <cell r="A3729" t="str">
            <v>37578200408</v>
          </cell>
          <cell r="B3729">
            <v>37578</v>
          </cell>
          <cell r="C3729" t="str">
            <v>NG</v>
          </cell>
          <cell r="D3729" t="str">
            <v>200408</v>
          </cell>
          <cell r="E3729">
            <v>3.6659999999999999</v>
          </cell>
        </row>
        <row r="3730">
          <cell r="A3730" t="str">
            <v>37578200409</v>
          </cell>
          <cell r="B3730">
            <v>37578</v>
          </cell>
          <cell r="C3730" t="str">
            <v>NG</v>
          </cell>
          <cell r="D3730" t="str">
            <v>200409</v>
          </cell>
          <cell r="E3730">
            <v>3.6560000000000001</v>
          </cell>
        </row>
        <row r="3731">
          <cell r="A3731" t="str">
            <v>37578200410</v>
          </cell>
          <cell r="B3731">
            <v>37578</v>
          </cell>
          <cell r="C3731" t="str">
            <v>NG</v>
          </cell>
          <cell r="D3731" t="str">
            <v>200410</v>
          </cell>
          <cell r="E3731">
            <v>3.6760000000000002</v>
          </cell>
        </row>
        <row r="3732">
          <cell r="A3732" t="str">
            <v>37578200411</v>
          </cell>
          <cell r="B3732">
            <v>37578</v>
          </cell>
          <cell r="C3732" t="str">
            <v>NG</v>
          </cell>
          <cell r="D3732" t="str">
            <v>200411</v>
          </cell>
          <cell r="E3732">
            <v>3.8380000000000001</v>
          </cell>
        </row>
        <row r="3733">
          <cell r="A3733" t="str">
            <v>37578200412</v>
          </cell>
          <cell r="B3733">
            <v>37578</v>
          </cell>
          <cell r="C3733" t="str">
            <v>NG</v>
          </cell>
          <cell r="D3733" t="str">
            <v>200412</v>
          </cell>
          <cell r="E3733">
            <v>4.0030000000000001</v>
          </cell>
        </row>
        <row r="3734">
          <cell r="A3734" t="str">
            <v>37569200401</v>
          </cell>
          <cell r="B3734">
            <v>37569</v>
          </cell>
          <cell r="C3734" t="str">
            <v>NG</v>
          </cell>
          <cell r="D3734" t="str">
            <v>200401</v>
          </cell>
          <cell r="E3734">
            <v>4.2110000000000003</v>
          </cell>
        </row>
        <row r="3735">
          <cell r="A3735" t="str">
            <v>37569200402</v>
          </cell>
          <cell r="B3735">
            <v>37569</v>
          </cell>
          <cell r="C3735" t="str">
            <v>NG</v>
          </cell>
          <cell r="D3735" t="str">
            <v>200402</v>
          </cell>
          <cell r="E3735">
            <v>4.0759999999999996</v>
          </cell>
        </row>
        <row r="3736">
          <cell r="A3736" t="str">
            <v>37569200403</v>
          </cell>
          <cell r="B3736">
            <v>37569</v>
          </cell>
          <cell r="C3736" t="str">
            <v>NG</v>
          </cell>
          <cell r="D3736" t="str">
            <v>200403</v>
          </cell>
          <cell r="E3736">
            <v>3.9060000000000001</v>
          </cell>
        </row>
        <row r="3737">
          <cell r="A3737" t="str">
            <v>37569200404</v>
          </cell>
          <cell r="B3737">
            <v>37569</v>
          </cell>
          <cell r="C3737" t="str">
            <v>NG</v>
          </cell>
          <cell r="D3737" t="str">
            <v>200404</v>
          </cell>
          <cell r="E3737">
            <v>3.6909999999999998</v>
          </cell>
        </row>
        <row r="3738">
          <cell r="A3738" t="str">
            <v>37569200405</v>
          </cell>
          <cell r="B3738">
            <v>37569</v>
          </cell>
          <cell r="C3738" t="str">
            <v>NG</v>
          </cell>
          <cell r="D3738" t="str">
            <v>200405</v>
          </cell>
          <cell r="E3738">
            <v>3.6280000000000001</v>
          </cell>
        </row>
        <row r="3739">
          <cell r="A3739" t="str">
            <v>37569200406</v>
          </cell>
          <cell r="B3739">
            <v>37569</v>
          </cell>
          <cell r="C3739" t="str">
            <v>NG</v>
          </cell>
          <cell r="D3739" t="str">
            <v>200406</v>
          </cell>
          <cell r="E3739">
            <v>3.6280000000000001</v>
          </cell>
        </row>
        <row r="3740">
          <cell r="A3740" t="str">
            <v>37569200407</v>
          </cell>
          <cell r="B3740">
            <v>37569</v>
          </cell>
          <cell r="C3740" t="str">
            <v>NG</v>
          </cell>
          <cell r="D3740" t="str">
            <v>200407</v>
          </cell>
          <cell r="E3740">
            <v>3.6480000000000001</v>
          </cell>
        </row>
        <row r="3741">
          <cell r="A3741" t="str">
            <v>37569200408</v>
          </cell>
          <cell r="B3741">
            <v>37569</v>
          </cell>
          <cell r="C3741" t="str">
            <v>NG</v>
          </cell>
          <cell r="D3741" t="str">
            <v>200408</v>
          </cell>
          <cell r="E3741">
            <v>3.6509999999999998</v>
          </cell>
        </row>
        <row r="3742">
          <cell r="A3742" t="str">
            <v>37569200409</v>
          </cell>
          <cell r="B3742">
            <v>37569</v>
          </cell>
          <cell r="C3742" t="str">
            <v>NG</v>
          </cell>
          <cell r="D3742" t="str">
            <v>200409</v>
          </cell>
          <cell r="E3742">
            <v>3.6560000000000001</v>
          </cell>
        </row>
        <row r="3743">
          <cell r="A3743" t="str">
            <v>37569200410</v>
          </cell>
          <cell r="B3743">
            <v>37569</v>
          </cell>
          <cell r="C3743" t="str">
            <v>NG</v>
          </cell>
          <cell r="D3743" t="str">
            <v>200410</v>
          </cell>
          <cell r="E3743">
            <v>3.6909999999999998</v>
          </cell>
        </row>
        <row r="3744">
          <cell r="A3744" t="str">
            <v>37569200411</v>
          </cell>
          <cell r="B3744">
            <v>37569</v>
          </cell>
          <cell r="C3744" t="str">
            <v>NG</v>
          </cell>
          <cell r="D3744" t="str">
            <v>200411</v>
          </cell>
          <cell r="E3744">
            <v>3.8759999999999999</v>
          </cell>
        </row>
        <row r="3745">
          <cell r="A3745" t="str">
            <v>37569200412</v>
          </cell>
          <cell r="B3745">
            <v>37569</v>
          </cell>
          <cell r="C3745" t="str">
            <v>NG</v>
          </cell>
          <cell r="D3745" t="str">
            <v>200412</v>
          </cell>
          <cell r="E3745">
            <v>4.0410000000000004</v>
          </cell>
        </row>
        <row r="3746">
          <cell r="A3746" t="str">
            <v>37570200401</v>
          </cell>
          <cell r="B3746">
            <v>37570</v>
          </cell>
          <cell r="C3746" t="str">
            <v>NG</v>
          </cell>
          <cell r="D3746" t="str">
            <v>200401</v>
          </cell>
          <cell r="E3746">
            <v>4.2110000000000003</v>
          </cell>
        </row>
        <row r="3747">
          <cell r="A3747" t="str">
            <v>37570200402</v>
          </cell>
          <cell r="B3747">
            <v>37570</v>
          </cell>
          <cell r="C3747" t="str">
            <v>NG</v>
          </cell>
          <cell r="D3747" t="str">
            <v>200402</v>
          </cell>
          <cell r="E3747">
            <v>4.0759999999999996</v>
          </cell>
        </row>
        <row r="3748">
          <cell r="A3748" t="str">
            <v>37570200403</v>
          </cell>
          <cell r="B3748">
            <v>37570</v>
          </cell>
          <cell r="C3748" t="str">
            <v>NG</v>
          </cell>
          <cell r="D3748" t="str">
            <v>200403</v>
          </cell>
          <cell r="E3748">
            <v>3.9060000000000001</v>
          </cell>
        </row>
        <row r="3749">
          <cell r="A3749" t="str">
            <v>37570200404</v>
          </cell>
          <cell r="B3749">
            <v>37570</v>
          </cell>
          <cell r="C3749" t="str">
            <v>NG</v>
          </cell>
          <cell r="D3749" t="str">
            <v>200404</v>
          </cell>
          <cell r="E3749">
            <v>3.6909999999999998</v>
          </cell>
        </row>
        <row r="3750">
          <cell r="A3750" t="str">
            <v>37570200405</v>
          </cell>
          <cell r="B3750">
            <v>37570</v>
          </cell>
          <cell r="C3750" t="str">
            <v>NG</v>
          </cell>
          <cell r="D3750" t="str">
            <v>200405</v>
          </cell>
          <cell r="E3750">
            <v>3.6280000000000001</v>
          </cell>
        </row>
        <row r="3751">
          <cell r="A3751" t="str">
            <v>37570200406</v>
          </cell>
          <cell r="B3751">
            <v>37570</v>
          </cell>
          <cell r="C3751" t="str">
            <v>NG</v>
          </cell>
          <cell r="D3751" t="str">
            <v>200406</v>
          </cell>
          <cell r="E3751">
            <v>3.6280000000000001</v>
          </cell>
        </row>
        <row r="3752">
          <cell r="A3752" t="str">
            <v>37570200407</v>
          </cell>
          <cell r="B3752">
            <v>37570</v>
          </cell>
          <cell r="C3752" t="str">
            <v>NG</v>
          </cell>
          <cell r="D3752" t="str">
            <v>200407</v>
          </cell>
          <cell r="E3752">
            <v>3.6480000000000001</v>
          </cell>
        </row>
        <row r="3753">
          <cell r="A3753" t="str">
            <v>37570200408</v>
          </cell>
          <cell r="B3753">
            <v>37570</v>
          </cell>
          <cell r="C3753" t="str">
            <v>NG</v>
          </cell>
          <cell r="D3753" t="str">
            <v>200408</v>
          </cell>
          <cell r="E3753">
            <v>3.6509999999999998</v>
          </cell>
        </row>
        <row r="3754">
          <cell r="A3754" t="str">
            <v>37570200409</v>
          </cell>
          <cell r="B3754">
            <v>37570</v>
          </cell>
          <cell r="C3754" t="str">
            <v>NG</v>
          </cell>
          <cell r="D3754" t="str">
            <v>200409</v>
          </cell>
          <cell r="E3754">
            <v>3.6560000000000001</v>
          </cell>
        </row>
        <row r="3755">
          <cell r="A3755" t="str">
            <v>37570200410</v>
          </cell>
          <cell r="B3755">
            <v>37570</v>
          </cell>
          <cell r="C3755" t="str">
            <v>NG</v>
          </cell>
          <cell r="D3755" t="str">
            <v>200410</v>
          </cell>
          <cell r="E3755">
            <v>3.6909999999999998</v>
          </cell>
        </row>
        <row r="3756">
          <cell r="A3756" t="str">
            <v>37570200411</v>
          </cell>
          <cell r="B3756">
            <v>37570</v>
          </cell>
          <cell r="C3756" t="str">
            <v>NG</v>
          </cell>
          <cell r="D3756" t="str">
            <v>200411</v>
          </cell>
          <cell r="E3756">
            <v>3.8759999999999999</v>
          </cell>
        </row>
        <row r="3757">
          <cell r="A3757" t="str">
            <v>37570200412</v>
          </cell>
          <cell r="B3757">
            <v>37570</v>
          </cell>
          <cell r="C3757" t="str">
            <v>NG</v>
          </cell>
          <cell r="D3757" t="str">
            <v>200412</v>
          </cell>
          <cell r="E3757">
            <v>4.0410000000000004</v>
          </cell>
        </row>
        <row r="3758">
          <cell r="A3758" t="str">
            <v>37579200401</v>
          </cell>
          <cell r="B3758">
            <v>37579</v>
          </cell>
          <cell r="C3758" t="str">
            <v>NG</v>
          </cell>
          <cell r="D3758" t="str">
            <v>200401</v>
          </cell>
          <cell r="E3758">
            <v>4.2439999999999998</v>
          </cell>
        </row>
        <row r="3759">
          <cell r="A3759" t="str">
            <v>37579200402</v>
          </cell>
          <cell r="B3759">
            <v>37579</v>
          </cell>
          <cell r="C3759" t="str">
            <v>NG</v>
          </cell>
          <cell r="D3759" t="str">
            <v>200402</v>
          </cell>
          <cell r="E3759">
            <v>4.1139999999999999</v>
          </cell>
        </row>
        <row r="3760">
          <cell r="A3760" t="str">
            <v>37579200403</v>
          </cell>
          <cell r="B3760">
            <v>37579</v>
          </cell>
          <cell r="C3760" t="str">
            <v>NG</v>
          </cell>
          <cell r="D3760" t="str">
            <v>200403</v>
          </cell>
          <cell r="E3760">
            <v>3.9340000000000002</v>
          </cell>
        </row>
        <row r="3761">
          <cell r="A3761" t="str">
            <v>37579200404</v>
          </cell>
          <cell r="B3761">
            <v>37579</v>
          </cell>
          <cell r="C3761" t="str">
            <v>NG</v>
          </cell>
          <cell r="D3761" t="str">
            <v>200404</v>
          </cell>
          <cell r="E3761">
            <v>3.7040000000000002</v>
          </cell>
        </row>
        <row r="3762">
          <cell r="A3762" t="str">
            <v>37579200405</v>
          </cell>
          <cell r="B3762">
            <v>37579</v>
          </cell>
          <cell r="C3762" t="str">
            <v>NG</v>
          </cell>
          <cell r="D3762" t="str">
            <v>200405</v>
          </cell>
          <cell r="E3762">
            <v>3.6539999999999999</v>
          </cell>
        </row>
        <row r="3763">
          <cell r="A3763" t="str">
            <v>37579200406</v>
          </cell>
          <cell r="B3763">
            <v>37579</v>
          </cell>
          <cell r="C3763" t="str">
            <v>NG</v>
          </cell>
          <cell r="D3763" t="str">
            <v>200406</v>
          </cell>
          <cell r="E3763">
            <v>3.6589999999999998</v>
          </cell>
        </row>
        <row r="3764">
          <cell r="A3764" t="str">
            <v>37579200407</v>
          </cell>
          <cell r="B3764">
            <v>37579</v>
          </cell>
          <cell r="C3764" t="str">
            <v>NG</v>
          </cell>
          <cell r="D3764" t="str">
            <v>200407</v>
          </cell>
          <cell r="E3764">
            <v>3.6739999999999999</v>
          </cell>
        </row>
        <row r="3765">
          <cell r="A3765" t="str">
            <v>37579200408</v>
          </cell>
          <cell r="B3765">
            <v>37579</v>
          </cell>
          <cell r="C3765" t="str">
            <v>NG</v>
          </cell>
          <cell r="D3765" t="str">
            <v>200408</v>
          </cell>
          <cell r="E3765">
            <v>3.6789999999999998</v>
          </cell>
        </row>
        <row r="3766">
          <cell r="A3766" t="str">
            <v>37579200409</v>
          </cell>
          <cell r="B3766">
            <v>37579</v>
          </cell>
          <cell r="C3766" t="str">
            <v>NG</v>
          </cell>
          <cell r="D3766" t="str">
            <v>200409</v>
          </cell>
          <cell r="E3766">
            <v>3.669</v>
          </cell>
        </row>
        <row r="3767">
          <cell r="A3767" t="str">
            <v>37579200410</v>
          </cell>
          <cell r="B3767">
            <v>37579</v>
          </cell>
          <cell r="C3767" t="str">
            <v>NG</v>
          </cell>
          <cell r="D3767" t="str">
            <v>200410</v>
          </cell>
          <cell r="E3767">
            <v>3.6890000000000001</v>
          </cell>
        </row>
        <row r="3768">
          <cell r="A3768" t="str">
            <v>37579200411</v>
          </cell>
          <cell r="B3768">
            <v>37579</v>
          </cell>
          <cell r="C3768" t="str">
            <v>NG</v>
          </cell>
          <cell r="D3768" t="str">
            <v>200411</v>
          </cell>
          <cell r="E3768">
            <v>3.8479999999999999</v>
          </cell>
        </row>
        <row r="3769">
          <cell r="A3769" t="str">
            <v>37579200412</v>
          </cell>
          <cell r="B3769">
            <v>37579</v>
          </cell>
          <cell r="C3769" t="str">
            <v>NG</v>
          </cell>
          <cell r="D3769" t="str">
            <v>200412</v>
          </cell>
          <cell r="E3769">
            <v>4.0129999999999999</v>
          </cell>
        </row>
        <row r="3770">
          <cell r="A3770" t="str">
            <v>37584200401</v>
          </cell>
          <cell r="B3770">
            <v>37584</v>
          </cell>
          <cell r="C3770" t="str">
            <v>NG</v>
          </cell>
          <cell r="D3770" t="str">
            <v>200401</v>
          </cell>
          <cell r="E3770">
            <v>4.3010000000000002</v>
          </cell>
        </row>
        <row r="3771">
          <cell r="A3771" t="str">
            <v>37584200402</v>
          </cell>
          <cell r="B3771">
            <v>37584</v>
          </cell>
          <cell r="C3771" t="str">
            <v>NG</v>
          </cell>
          <cell r="D3771" t="str">
            <v>200402</v>
          </cell>
          <cell r="E3771">
            <v>4.1719999999999997</v>
          </cell>
        </row>
        <row r="3772">
          <cell r="A3772" t="str">
            <v>37584200403</v>
          </cell>
          <cell r="B3772">
            <v>37584</v>
          </cell>
          <cell r="C3772" t="str">
            <v>NG</v>
          </cell>
          <cell r="D3772" t="str">
            <v>200403</v>
          </cell>
          <cell r="E3772">
            <v>4.0010000000000003</v>
          </cell>
        </row>
        <row r="3773">
          <cell r="A3773" t="str">
            <v>37584200404</v>
          </cell>
          <cell r="B3773">
            <v>37584</v>
          </cell>
          <cell r="C3773" t="str">
            <v>NG</v>
          </cell>
          <cell r="D3773" t="str">
            <v>200404</v>
          </cell>
          <cell r="E3773">
            <v>3.7709999999999999</v>
          </cell>
        </row>
        <row r="3774">
          <cell r="A3774" t="str">
            <v>37584200405</v>
          </cell>
          <cell r="B3774">
            <v>37584</v>
          </cell>
          <cell r="C3774" t="str">
            <v>NG</v>
          </cell>
          <cell r="D3774" t="str">
            <v>200405</v>
          </cell>
          <cell r="E3774">
            <v>3.7210000000000001</v>
          </cell>
        </row>
        <row r="3775">
          <cell r="A3775" t="str">
            <v>37584200406</v>
          </cell>
          <cell r="B3775">
            <v>37584</v>
          </cell>
          <cell r="C3775" t="str">
            <v>NG</v>
          </cell>
          <cell r="D3775" t="str">
            <v>200406</v>
          </cell>
          <cell r="E3775">
            <v>3.726</v>
          </cell>
        </row>
        <row r="3776">
          <cell r="A3776" t="str">
            <v>37584200407</v>
          </cell>
          <cell r="B3776">
            <v>37584</v>
          </cell>
          <cell r="C3776" t="str">
            <v>NG</v>
          </cell>
          <cell r="D3776" t="str">
            <v>200407</v>
          </cell>
          <cell r="E3776">
            <v>3.7410000000000001</v>
          </cell>
        </row>
        <row r="3777">
          <cell r="A3777" t="str">
            <v>37584200408</v>
          </cell>
          <cell r="B3777">
            <v>37584</v>
          </cell>
          <cell r="C3777" t="str">
            <v>NG</v>
          </cell>
          <cell r="D3777" t="str">
            <v>200408</v>
          </cell>
          <cell r="E3777">
            <v>3.7410000000000001</v>
          </cell>
        </row>
        <row r="3778">
          <cell r="A3778" t="str">
            <v>37584200409</v>
          </cell>
          <cell r="B3778">
            <v>37584</v>
          </cell>
          <cell r="C3778" t="str">
            <v>NG</v>
          </cell>
          <cell r="D3778" t="str">
            <v>200409</v>
          </cell>
          <cell r="E3778">
            <v>3.7309999999999999</v>
          </cell>
        </row>
        <row r="3779">
          <cell r="A3779" t="str">
            <v>37584200410</v>
          </cell>
          <cell r="B3779">
            <v>37584</v>
          </cell>
          <cell r="C3779" t="str">
            <v>NG</v>
          </cell>
          <cell r="D3779" t="str">
            <v>200410</v>
          </cell>
          <cell r="E3779">
            <v>3.7509999999999999</v>
          </cell>
        </row>
        <row r="3780">
          <cell r="A3780" t="str">
            <v>37584200411</v>
          </cell>
          <cell r="B3780">
            <v>37584</v>
          </cell>
          <cell r="C3780" t="str">
            <v>NG</v>
          </cell>
          <cell r="D3780" t="str">
            <v>200411</v>
          </cell>
          <cell r="E3780">
            <v>3.9089999999999998</v>
          </cell>
        </row>
        <row r="3781">
          <cell r="A3781" t="str">
            <v>37584200412</v>
          </cell>
          <cell r="B3781">
            <v>37584</v>
          </cell>
          <cell r="C3781" t="str">
            <v>NG</v>
          </cell>
          <cell r="D3781" t="str">
            <v>200412</v>
          </cell>
          <cell r="E3781">
            <v>4.0789999999999997</v>
          </cell>
        </row>
        <row r="3782">
          <cell r="A3782" t="str">
            <v>37580200401</v>
          </cell>
          <cell r="B3782">
            <v>37580</v>
          </cell>
          <cell r="C3782" t="str">
            <v>NG</v>
          </cell>
          <cell r="D3782" t="str">
            <v>200401</v>
          </cell>
          <cell r="E3782">
            <v>4.2519999999999998</v>
          </cell>
        </row>
        <row r="3783">
          <cell r="A3783" t="str">
            <v>37580200402</v>
          </cell>
          <cell r="B3783">
            <v>37580</v>
          </cell>
          <cell r="C3783" t="str">
            <v>NG</v>
          </cell>
          <cell r="D3783" t="str">
            <v>200402</v>
          </cell>
          <cell r="E3783">
            <v>4.1219999999999999</v>
          </cell>
        </row>
        <row r="3784">
          <cell r="A3784" t="str">
            <v>37580200403</v>
          </cell>
          <cell r="B3784">
            <v>37580</v>
          </cell>
          <cell r="C3784" t="str">
            <v>NG</v>
          </cell>
          <cell r="D3784" t="str">
            <v>200403</v>
          </cell>
          <cell r="E3784">
            <v>3.9420000000000002</v>
          </cell>
        </row>
        <row r="3785">
          <cell r="A3785" t="str">
            <v>37580200404</v>
          </cell>
          <cell r="B3785">
            <v>37580</v>
          </cell>
          <cell r="C3785" t="str">
            <v>NG</v>
          </cell>
          <cell r="D3785" t="str">
            <v>200404</v>
          </cell>
          <cell r="E3785">
            <v>3.7120000000000002</v>
          </cell>
        </row>
        <row r="3786">
          <cell r="A3786" t="str">
            <v>37580200405</v>
          </cell>
          <cell r="B3786">
            <v>37580</v>
          </cell>
          <cell r="C3786" t="str">
            <v>NG</v>
          </cell>
          <cell r="D3786" t="str">
            <v>200405</v>
          </cell>
          <cell r="E3786">
            <v>3.6619999999999999</v>
          </cell>
        </row>
        <row r="3787">
          <cell r="A3787" t="str">
            <v>37580200406</v>
          </cell>
          <cell r="B3787">
            <v>37580</v>
          </cell>
          <cell r="C3787" t="str">
            <v>NG</v>
          </cell>
          <cell r="D3787" t="str">
            <v>200406</v>
          </cell>
          <cell r="E3787">
            <v>3.6669999999999998</v>
          </cell>
        </row>
        <row r="3788">
          <cell r="A3788" t="str">
            <v>37580200407</v>
          </cell>
          <cell r="B3788">
            <v>37580</v>
          </cell>
          <cell r="C3788" t="str">
            <v>NG</v>
          </cell>
          <cell r="D3788" t="str">
            <v>200407</v>
          </cell>
          <cell r="E3788">
            <v>3.6850000000000001</v>
          </cell>
        </row>
        <row r="3789">
          <cell r="A3789" t="str">
            <v>37580200408</v>
          </cell>
          <cell r="B3789">
            <v>37580</v>
          </cell>
          <cell r="C3789" t="str">
            <v>NG</v>
          </cell>
          <cell r="D3789" t="str">
            <v>200408</v>
          </cell>
          <cell r="E3789">
            <v>3.6869999999999998</v>
          </cell>
        </row>
        <row r="3790">
          <cell r="A3790" t="str">
            <v>37580200409</v>
          </cell>
          <cell r="B3790">
            <v>37580</v>
          </cell>
          <cell r="C3790" t="str">
            <v>NG</v>
          </cell>
          <cell r="D3790" t="str">
            <v>200409</v>
          </cell>
          <cell r="E3790">
            <v>3.677</v>
          </cell>
        </row>
        <row r="3791">
          <cell r="A3791" t="str">
            <v>37580200410</v>
          </cell>
          <cell r="B3791">
            <v>37580</v>
          </cell>
          <cell r="C3791" t="str">
            <v>NG</v>
          </cell>
          <cell r="D3791" t="str">
            <v>200410</v>
          </cell>
          <cell r="E3791">
            <v>3.6970000000000001</v>
          </cell>
        </row>
        <row r="3792">
          <cell r="A3792" t="str">
            <v>37580200411</v>
          </cell>
          <cell r="B3792">
            <v>37580</v>
          </cell>
          <cell r="C3792" t="str">
            <v>NG</v>
          </cell>
          <cell r="D3792" t="str">
            <v>200411</v>
          </cell>
          <cell r="E3792">
            <v>3.8559999999999999</v>
          </cell>
        </row>
        <row r="3793">
          <cell r="A3793" t="str">
            <v>37580200412</v>
          </cell>
          <cell r="B3793">
            <v>37580</v>
          </cell>
          <cell r="C3793" t="str">
            <v>NG</v>
          </cell>
          <cell r="D3793" t="str">
            <v>200412</v>
          </cell>
          <cell r="E3793">
            <v>4.0259999999999998</v>
          </cell>
        </row>
        <row r="3794">
          <cell r="A3794" t="str">
            <v>37581200401</v>
          </cell>
          <cell r="B3794">
            <v>37581</v>
          </cell>
          <cell r="C3794" t="str">
            <v>NG</v>
          </cell>
          <cell r="D3794" t="str">
            <v>200401</v>
          </cell>
          <cell r="E3794">
            <v>4.2709999999999999</v>
          </cell>
        </row>
        <row r="3795">
          <cell r="A3795" t="str">
            <v>37581200402</v>
          </cell>
          <cell r="B3795">
            <v>37581</v>
          </cell>
          <cell r="C3795" t="str">
            <v>NG</v>
          </cell>
          <cell r="D3795" t="str">
            <v>200402</v>
          </cell>
          <cell r="E3795">
            <v>4.141</v>
          </cell>
        </row>
        <row r="3796">
          <cell r="A3796" t="str">
            <v>37581200403</v>
          </cell>
          <cell r="B3796">
            <v>37581</v>
          </cell>
          <cell r="C3796" t="str">
            <v>NG</v>
          </cell>
          <cell r="D3796" t="str">
            <v>200403</v>
          </cell>
          <cell r="E3796">
            <v>3.9660000000000002</v>
          </cell>
        </row>
        <row r="3797">
          <cell r="A3797" t="str">
            <v>37581200404</v>
          </cell>
          <cell r="B3797">
            <v>37581</v>
          </cell>
          <cell r="C3797" t="str">
            <v>NG</v>
          </cell>
          <cell r="D3797" t="str">
            <v>200404</v>
          </cell>
          <cell r="E3797">
            <v>3.7360000000000002</v>
          </cell>
        </row>
        <row r="3798">
          <cell r="A3798" t="str">
            <v>37581200405</v>
          </cell>
          <cell r="B3798">
            <v>37581</v>
          </cell>
          <cell r="C3798" t="str">
            <v>NG</v>
          </cell>
          <cell r="D3798" t="str">
            <v>200405</v>
          </cell>
          <cell r="E3798">
            <v>3.6859999999999999</v>
          </cell>
        </row>
        <row r="3799">
          <cell r="A3799" t="str">
            <v>37581200406</v>
          </cell>
          <cell r="B3799">
            <v>37581</v>
          </cell>
          <cell r="C3799" t="str">
            <v>NG</v>
          </cell>
          <cell r="D3799" t="str">
            <v>200406</v>
          </cell>
          <cell r="E3799">
            <v>3.6909999999999998</v>
          </cell>
        </row>
        <row r="3800">
          <cell r="A3800" t="str">
            <v>37581200407</v>
          </cell>
          <cell r="B3800">
            <v>37581</v>
          </cell>
          <cell r="C3800" t="str">
            <v>NG</v>
          </cell>
          <cell r="D3800" t="str">
            <v>200407</v>
          </cell>
          <cell r="E3800">
            <v>3.7090000000000001</v>
          </cell>
        </row>
        <row r="3801">
          <cell r="A3801" t="str">
            <v>37581200408</v>
          </cell>
          <cell r="B3801">
            <v>37581</v>
          </cell>
          <cell r="C3801" t="str">
            <v>NG</v>
          </cell>
          <cell r="D3801" t="str">
            <v>200408</v>
          </cell>
          <cell r="E3801">
            <v>3.7109999999999999</v>
          </cell>
        </row>
        <row r="3802">
          <cell r="A3802" t="str">
            <v>37581200409</v>
          </cell>
          <cell r="B3802">
            <v>37581</v>
          </cell>
          <cell r="C3802" t="str">
            <v>NG</v>
          </cell>
          <cell r="D3802" t="str">
            <v>200409</v>
          </cell>
          <cell r="E3802">
            <v>3.7010000000000001</v>
          </cell>
        </row>
        <row r="3803">
          <cell r="A3803" t="str">
            <v>37581200410</v>
          </cell>
          <cell r="B3803">
            <v>37581</v>
          </cell>
          <cell r="C3803" t="str">
            <v>NG</v>
          </cell>
          <cell r="D3803" t="str">
            <v>200410</v>
          </cell>
          <cell r="E3803">
            <v>3.7210000000000001</v>
          </cell>
        </row>
        <row r="3804">
          <cell r="A3804" t="str">
            <v>37581200411</v>
          </cell>
          <cell r="B3804">
            <v>37581</v>
          </cell>
          <cell r="C3804" t="str">
            <v>NG</v>
          </cell>
          <cell r="D3804" t="str">
            <v>200411</v>
          </cell>
          <cell r="E3804">
            <v>3.88</v>
          </cell>
        </row>
        <row r="3805">
          <cell r="A3805" t="str">
            <v>37581200412</v>
          </cell>
          <cell r="B3805">
            <v>37581</v>
          </cell>
          <cell r="C3805" t="str">
            <v>NG</v>
          </cell>
          <cell r="D3805" t="str">
            <v>200412</v>
          </cell>
          <cell r="E3805">
            <v>4.05</v>
          </cell>
        </row>
        <row r="3806">
          <cell r="A3806" t="str">
            <v>37582200401</v>
          </cell>
          <cell r="B3806">
            <v>37582</v>
          </cell>
          <cell r="C3806" t="str">
            <v>NG</v>
          </cell>
          <cell r="D3806" t="str">
            <v>200401</v>
          </cell>
          <cell r="E3806">
            <v>4.3010000000000002</v>
          </cell>
        </row>
        <row r="3807">
          <cell r="A3807" t="str">
            <v>37582200402</v>
          </cell>
          <cell r="B3807">
            <v>37582</v>
          </cell>
          <cell r="C3807" t="str">
            <v>NG</v>
          </cell>
          <cell r="D3807" t="str">
            <v>200402</v>
          </cell>
          <cell r="E3807">
            <v>4.1719999999999997</v>
          </cell>
        </row>
        <row r="3808">
          <cell r="A3808" t="str">
            <v>37582200403</v>
          </cell>
          <cell r="B3808">
            <v>37582</v>
          </cell>
          <cell r="C3808" t="str">
            <v>NG</v>
          </cell>
          <cell r="D3808" t="str">
            <v>200403</v>
          </cell>
          <cell r="E3808">
            <v>4.0010000000000003</v>
          </cell>
        </row>
        <row r="3809">
          <cell r="A3809" t="str">
            <v>37582200404</v>
          </cell>
          <cell r="B3809">
            <v>37582</v>
          </cell>
          <cell r="C3809" t="str">
            <v>NG</v>
          </cell>
          <cell r="D3809" t="str">
            <v>200404</v>
          </cell>
          <cell r="E3809">
            <v>3.7709999999999999</v>
          </cell>
        </row>
        <row r="3810">
          <cell r="A3810" t="str">
            <v>37582200405</v>
          </cell>
          <cell r="B3810">
            <v>37582</v>
          </cell>
          <cell r="C3810" t="str">
            <v>NG</v>
          </cell>
          <cell r="D3810" t="str">
            <v>200405</v>
          </cell>
          <cell r="E3810">
            <v>3.7210000000000001</v>
          </cell>
        </row>
        <row r="3811">
          <cell r="A3811" t="str">
            <v>37582200406</v>
          </cell>
          <cell r="B3811">
            <v>37582</v>
          </cell>
          <cell r="C3811" t="str">
            <v>NG</v>
          </cell>
          <cell r="D3811" t="str">
            <v>200406</v>
          </cell>
          <cell r="E3811">
            <v>3.726</v>
          </cell>
        </row>
        <row r="3812">
          <cell r="A3812" t="str">
            <v>37582200407</v>
          </cell>
          <cell r="B3812">
            <v>37582</v>
          </cell>
          <cell r="C3812" t="str">
            <v>NG</v>
          </cell>
          <cell r="D3812" t="str">
            <v>200407</v>
          </cell>
          <cell r="E3812">
            <v>3.7410000000000001</v>
          </cell>
        </row>
        <row r="3813">
          <cell r="A3813" t="str">
            <v>37582200408</v>
          </cell>
          <cell r="B3813">
            <v>37582</v>
          </cell>
          <cell r="C3813" t="str">
            <v>NG</v>
          </cell>
          <cell r="D3813" t="str">
            <v>200408</v>
          </cell>
          <cell r="E3813">
            <v>3.7410000000000001</v>
          </cell>
        </row>
        <row r="3814">
          <cell r="A3814" t="str">
            <v>37582200409</v>
          </cell>
          <cell r="B3814">
            <v>37582</v>
          </cell>
          <cell r="C3814" t="str">
            <v>NG</v>
          </cell>
          <cell r="D3814" t="str">
            <v>200409</v>
          </cell>
          <cell r="E3814">
            <v>3.7309999999999999</v>
          </cell>
        </row>
        <row r="3815">
          <cell r="A3815" t="str">
            <v>37582200410</v>
          </cell>
          <cell r="B3815">
            <v>37582</v>
          </cell>
          <cell r="C3815" t="str">
            <v>NG</v>
          </cell>
          <cell r="D3815" t="str">
            <v>200410</v>
          </cell>
          <cell r="E3815">
            <v>3.7509999999999999</v>
          </cell>
        </row>
        <row r="3816">
          <cell r="A3816" t="str">
            <v>37582200411</v>
          </cell>
          <cell r="B3816">
            <v>37582</v>
          </cell>
          <cell r="C3816" t="str">
            <v>NG</v>
          </cell>
          <cell r="D3816" t="str">
            <v>200411</v>
          </cell>
          <cell r="E3816">
            <v>3.9089999999999998</v>
          </cell>
        </row>
        <row r="3817">
          <cell r="A3817" t="str">
            <v>37582200412</v>
          </cell>
          <cell r="B3817">
            <v>37582</v>
          </cell>
          <cell r="C3817" t="str">
            <v>NG</v>
          </cell>
          <cell r="D3817" t="str">
            <v>200412</v>
          </cell>
          <cell r="E3817">
            <v>4.0789999999999997</v>
          </cell>
        </row>
        <row r="3818">
          <cell r="A3818" t="str">
            <v>37583200401</v>
          </cell>
          <cell r="B3818">
            <v>37583</v>
          </cell>
          <cell r="C3818" t="str">
            <v>NG</v>
          </cell>
          <cell r="D3818" t="str">
            <v>200401</v>
          </cell>
          <cell r="E3818">
            <v>4.3010000000000002</v>
          </cell>
        </row>
        <row r="3819">
          <cell r="A3819" t="str">
            <v>37583200402</v>
          </cell>
          <cell r="B3819">
            <v>37583</v>
          </cell>
          <cell r="C3819" t="str">
            <v>NG</v>
          </cell>
          <cell r="D3819" t="str">
            <v>200402</v>
          </cell>
          <cell r="E3819">
            <v>4.1719999999999997</v>
          </cell>
        </row>
        <row r="3820">
          <cell r="A3820" t="str">
            <v>37583200403</v>
          </cell>
          <cell r="B3820">
            <v>37583</v>
          </cell>
          <cell r="C3820" t="str">
            <v>NG</v>
          </cell>
          <cell r="D3820" t="str">
            <v>200403</v>
          </cell>
          <cell r="E3820">
            <v>4.0010000000000003</v>
          </cell>
        </row>
        <row r="3821">
          <cell r="A3821" t="str">
            <v>37583200404</v>
          </cell>
          <cell r="B3821">
            <v>37583</v>
          </cell>
          <cell r="C3821" t="str">
            <v>NG</v>
          </cell>
          <cell r="D3821" t="str">
            <v>200404</v>
          </cell>
          <cell r="E3821">
            <v>3.7709999999999999</v>
          </cell>
        </row>
        <row r="3822">
          <cell r="A3822" t="str">
            <v>37583200405</v>
          </cell>
          <cell r="B3822">
            <v>37583</v>
          </cell>
          <cell r="C3822" t="str">
            <v>NG</v>
          </cell>
          <cell r="D3822" t="str">
            <v>200405</v>
          </cell>
          <cell r="E3822">
            <v>3.7210000000000001</v>
          </cell>
        </row>
        <row r="3823">
          <cell r="A3823" t="str">
            <v>37583200406</v>
          </cell>
          <cell r="B3823">
            <v>37583</v>
          </cell>
          <cell r="C3823" t="str">
            <v>NG</v>
          </cell>
          <cell r="D3823" t="str">
            <v>200406</v>
          </cell>
          <cell r="E3823">
            <v>3.726</v>
          </cell>
        </row>
        <row r="3824">
          <cell r="A3824" t="str">
            <v>37583200407</v>
          </cell>
          <cell r="B3824">
            <v>37583</v>
          </cell>
          <cell r="C3824" t="str">
            <v>NG</v>
          </cell>
          <cell r="D3824" t="str">
            <v>200407</v>
          </cell>
          <cell r="E3824">
            <v>3.7410000000000001</v>
          </cell>
        </row>
        <row r="3825">
          <cell r="A3825" t="str">
            <v>37583200408</v>
          </cell>
          <cell r="B3825">
            <v>37583</v>
          </cell>
          <cell r="C3825" t="str">
            <v>NG</v>
          </cell>
          <cell r="D3825" t="str">
            <v>200408</v>
          </cell>
          <cell r="E3825">
            <v>3.7410000000000001</v>
          </cell>
        </row>
        <row r="3826">
          <cell r="A3826" t="str">
            <v>37583200409</v>
          </cell>
          <cell r="B3826">
            <v>37583</v>
          </cell>
          <cell r="C3826" t="str">
            <v>NG</v>
          </cell>
          <cell r="D3826" t="str">
            <v>200409</v>
          </cell>
          <cell r="E3826">
            <v>3.7309999999999999</v>
          </cell>
        </row>
        <row r="3827">
          <cell r="A3827" t="str">
            <v>37583200410</v>
          </cell>
          <cell r="B3827">
            <v>37583</v>
          </cell>
          <cell r="C3827" t="str">
            <v>NG</v>
          </cell>
          <cell r="D3827" t="str">
            <v>200410</v>
          </cell>
          <cell r="E3827">
            <v>3.7509999999999999</v>
          </cell>
        </row>
        <row r="3828">
          <cell r="A3828" t="str">
            <v>37583200411</v>
          </cell>
          <cell r="B3828">
            <v>37583</v>
          </cell>
          <cell r="C3828" t="str">
            <v>NG</v>
          </cell>
          <cell r="D3828" t="str">
            <v>200411</v>
          </cell>
          <cell r="E3828">
            <v>3.9089999999999998</v>
          </cell>
        </row>
        <row r="3829">
          <cell r="A3829" t="str">
            <v>37583200412</v>
          </cell>
          <cell r="B3829">
            <v>37583</v>
          </cell>
          <cell r="C3829" t="str">
            <v>NG</v>
          </cell>
          <cell r="D3829" t="str">
            <v>200412</v>
          </cell>
          <cell r="E3829">
            <v>4.0789999999999997</v>
          </cell>
        </row>
        <row r="3830">
          <cell r="A3830" t="str">
            <v>37585200401</v>
          </cell>
          <cell r="B3830">
            <v>37585</v>
          </cell>
          <cell r="C3830" t="str">
            <v>NG</v>
          </cell>
          <cell r="D3830" t="str">
            <v>200401</v>
          </cell>
          <cell r="E3830">
            <v>4.3049999999999997</v>
          </cell>
        </row>
        <row r="3831">
          <cell r="A3831" t="str">
            <v>37585200402</v>
          </cell>
          <cell r="B3831">
            <v>37585</v>
          </cell>
          <cell r="C3831" t="str">
            <v>NG</v>
          </cell>
          <cell r="D3831" t="str">
            <v>200402</v>
          </cell>
          <cell r="E3831">
            <v>4.1760000000000002</v>
          </cell>
        </row>
        <row r="3832">
          <cell r="A3832" t="str">
            <v>37585200403</v>
          </cell>
          <cell r="B3832">
            <v>37585</v>
          </cell>
          <cell r="C3832" t="str">
            <v>NG</v>
          </cell>
          <cell r="D3832" t="str">
            <v>200403</v>
          </cell>
          <cell r="E3832">
            <v>4.0049999999999999</v>
          </cell>
        </row>
        <row r="3833">
          <cell r="A3833" t="str">
            <v>37585200404</v>
          </cell>
          <cell r="B3833">
            <v>37585</v>
          </cell>
          <cell r="C3833" t="str">
            <v>NG</v>
          </cell>
          <cell r="D3833" t="str">
            <v>200404</v>
          </cell>
          <cell r="E3833">
            <v>3.78</v>
          </cell>
        </row>
        <row r="3834">
          <cell r="A3834" t="str">
            <v>37585200405</v>
          </cell>
          <cell r="B3834">
            <v>37585</v>
          </cell>
          <cell r="C3834" t="str">
            <v>NG</v>
          </cell>
          <cell r="D3834" t="str">
            <v>200405</v>
          </cell>
          <cell r="E3834">
            <v>3.7349999999999999</v>
          </cell>
        </row>
        <row r="3835">
          <cell r="A3835" t="str">
            <v>37585200406</v>
          </cell>
          <cell r="B3835">
            <v>37585</v>
          </cell>
          <cell r="C3835" t="str">
            <v>NG</v>
          </cell>
          <cell r="D3835" t="str">
            <v>200406</v>
          </cell>
          <cell r="E3835">
            <v>3.74</v>
          </cell>
        </row>
        <row r="3836">
          <cell r="A3836" t="str">
            <v>37585200407</v>
          </cell>
          <cell r="B3836">
            <v>37585</v>
          </cell>
          <cell r="C3836" t="str">
            <v>NG</v>
          </cell>
          <cell r="D3836" t="str">
            <v>200407</v>
          </cell>
          <cell r="E3836">
            <v>3.7549999999999999</v>
          </cell>
        </row>
        <row r="3837">
          <cell r="A3837" t="str">
            <v>37585200408</v>
          </cell>
          <cell r="B3837">
            <v>37585</v>
          </cell>
          <cell r="C3837" t="str">
            <v>NG</v>
          </cell>
          <cell r="D3837" t="str">
            <v>200408</v>
          </cell>
          <cell r="E3837">
            <v>3.7549999999999999</v>
          </cell>
        </row>
        <row r="3838">
          <cell r="A3838" t="str">
            <v>37585200409</v>
          </cell>
          <cell r="B3838">
            <v>37585</v>
          </cell>
          <cell r="C3838" t="str">
            <v>NG</v>
          </cell>
          <cell r="D3838" t="str">
            <v>200409</v>
          </cell>
          <cell r="E3838">
            <v>3.75</v>
          </cell>
        </row>
        <row r="3839">
          <cell r="A3839" t="str">
            <v>37585200410</v>
          </cell>
          <cell r="B3839">
            <v>37585</v>
          </cell>
          <cell r="C3839" t="str">
            <v>NG</v>
          </cell>
          <cell r="D3839" t="str">
            <v>200410</v>
          </cell>
          <cell r="E3839">
            <v>3.7749999999999999</v>
          </cell>
        </row>
        <row r="3840">
          <cell r="A3840" t="str">
            <v>37585200411</v>
          </cell>
          <cell r="B3840">
            <v>37585</v>
          </cell>
          <cell r="C3840" t="str">
            <v>NG</v>
          </cell>
          <cell r="D3840" t="str">
            <v>200411</v>
          </cell>
          <cell r="E3840">
            <v>3.9329999999999998</v>
          </cell>
        </row>
        <row r="3841">
          <cell r="A3841" t="str">
            <v>37585200412</v>
          </cell>
          <cell r="B3841">
            <v>37585</v>
          </cell>
          <cell r="C3841" t="str">
            <v>NG</v>
          </cell>
          <cell r="D3841" t="str">
            <v>200412</v>
          </cell>
          <cell r="E3841">
            <v>4.093</v>
          </cell>
        </row>
        <row r="3842">
          <cell r="A3842" t="str">
            <v>37586200401</v>
          </cell>
          <cell r="B3842">
            <v>37586</v>
          </cell>
          <cell r="C3842" t="str">
            <v>NG</v>
          </cell>
          <cell r="D3842" t="str">
            <v>200401</v>
          </cell>
          <cell r="E3842">
            <v>4.2889999999999997</v>
          </cell>
        </row>
        <row r="3843">
          <cell r="A3843" t="str">
            <v>37586200402</v>
          </cell>
          <cell r="B3843">
            <v>37586</v>
          </cell>
          <cell r="C3843" t="str">
            <v>NG</v>
          </cell>
          <cell r="D3843" t="str">
            <v>200402</v>
          </cell>
          <cell r="E3843">
            <v>4.1639999999999997</v>
          </cell>
        </row>
        <row r="3844">
          <cell r="A3844" t="str">
            <v>37586200403</v>
          </cell>
          <cell r="B3844">
            <v>37586</v>
          </cell>
          <cell r="C3844" t="str">
            <v>NG</v>
          </cell>
          <cell r="D3844" t="str">
            <v>200403</v>
          </cell>
          <cell r="E3844">
            <v>3.9929999999999999</v>
          </cell>
        </row>
        <row r="3845">
          <cell r="A3845" t="str">
            <v>37586200404</v>
          </cell>
          <cell r="B3845">
            <v>37586</v>
          </cell>
          <cell r="C3845" t="str">
            <v>NG</v>
          </cell>
          <cell r="D3845" t="str">
            <v>200404</v>
          </cell>
          <cell r="E3845">
            <v>3.7679999999999998</v>
          </cell>
        </row>
        <row r="3846">
          <cell r="A3846" t="str">
            <v>37586200405</v>
          </cell>
          <cell r="B3846">
            <v>37586</v>
          </cell>
          <cell r="C3846" t="str">
            <v>NG</v>
          </cell>
          <cell r="D3846" t="str">
            <v>200405</v>
          </cell>
          <cell r="E3846">
            <v>3.7229999999999999</v>
          </cell>
        </row>
        <row r="3847">
          <cell r="A3847" t="str">
            <v>37586200406</v>
          </cell>
          <cell r="B3847">
            <v>37586</v>
          </cell>
          <cell r="C3847" t="str">
            <v>NG</v>
          </cell>
          <cell r="D3847" t="str">
            <v>200406</v>
          </cell>
          <cell r="E3847">
            <v>3.734</v>
          </cell>
        </row>
        <row r="3848">
          <cell r="A3848" t="str">
            <v>37586200407</v>
          </cell>
          <cell r="B3848">
            <v>37586</v>
          </cell>
          <cell r="C3848" t="str">
            <v>NG</v>
          </cell>
          <cell r="D3848" t="str">
            <v>200407</v>
          </cell>
          <cell r="E3848">
            <v>3.7490000000000001</v>
          </cell>
        </row>
        <row r="3849">
          <cell r="A3849" t="str">
            <v>37586200408</v>
          </cell>
          <cell r="B3849">
            <v>37586</v>
          </cell>
          <cell r="C3849" t="str">
            <v>NG</v>
          </cell>
          <cell r="D3849" t="str">
            <v>200408</v>
          </cell>
          <cell r="E3849">
            <v>3.7490000000000001</v>
          </cell>
        </row>
        <row r="3850">
          <cell r="A3850" t="str">
            <v>37586200409</v>
          </cell>
          <cell r="B3850">
            <v>37586</v>
          </cell>
          <cell r="C3850" t="str">
            <v>NG</v>
          </cell>
          <cell r="D3850" t="str">
            <v>200409</v>
          </cell>
          <cell r="E3850">
            <v>3.746</v>
          </cell>
        </row>
        <row r="3851">
          <cell r="A3851" t="str">
            <v>37586200410</v>
          </cell>
          <cell r="B3851">
            <v>37586</v>
          </cell>
          <cell r="C3851" t="str">
            <v>NG</v>
          </cell>
          <cell r="D3851" t="str">
            <v>200410</v>
          </cell>
          <cell r="E3851">
            <v>3.7589999999999999</v>
          </cell>
        </row>
        <row r="3852">
          <cell r="A3852" t="str">
            <v>37586200411</v>
          </cell>
          <cell r="B3852">
            <v>37586</v>
          </cell>
          <cell r="C3852" t="str">
            <v>NG</v>
          </cell>
          <cell r="D3852" t="str">
            <v>200411</v>
          </cell>
          <cell r="E3852">
            <v>3.9169999999999998</v>
          </cell>
        </row>
        <row r="3853">
          <cell r="A3853" t="str">
            <v>37586200412</v>
          </cell>
          <cell r="B3853">
            <v>37586</v>
          </cell>
          <cell r="C3853" t="str">
            <v>NG</v>
          </cell>
          <cell r="D3853" t="str">
            <v>200412</v>
          </cell>
          <cell r="E3853">
            <v>4.077</v>
          </cell>
        </row>
        <row r="3854">
          <cell r="A3854" t="str">
            <v>37587200401</v>
          </cell>
          <cell r="B3854">
            <v>37587</v>
          </cell>
          <cell r="C3854" t="str">
            <v>NG</v>
          </cell>
          <cell r="D3854" t="str">
            <v>200401</v>
          </cell>
          <cell r="E3854">
            <v>4.2549999999999999</v>
          </cell>
        </row>
        <row r="3855">
          <cell r="A3855" t="str">
            <v>37587200402</v>
          </cell>
          <cell r="B3855">
            <v>37587</v>
          </cell>
          <cell r="C3855" t="str">
            <v>NG</v>
          </cell>
          <cell r="D3855" t="str">
            <v>200402</v>
          </cell>
          <cell r="E3855">
            <v>4.13</v>
          </cell>
        </row>
        <row r="3856">
          <cell r="A3856" t="str">
            <v>37587200403</v>
          </cell>
          <cell r="B3856">
            <v>37587</v>
          </cell>
          <cell r="C3856" t="str">
            <v>NG</v>
          </cell>
          <cell r="D3856" t="str">
            <v>200403</v>
          </cell>
          <cell r="E3856">
            <v>3.9590000000000001</v>
          </cell>
        </row>
        <row r="3857">
          <cell r="A3857" t="str">
            <v>37587200404</v>
          </cell>
          <cell r="B3857">
            <v>37587</v>
          </cell>
          <cell r="C3857" t="str">
            <v>NG</v>
          </cell>
          <cell r="D3857" t="str">
            <v>200404</v>
          </cell>
          <cell r="E3857">
            <v>3.734</v>
          </cell>
        </row>
        <row r="3858">
          <cell r="A3858" t="str">
            <v>37587200405</v>
          </cell>
          <cell r="B3858">
            <v>37587</v>
          </cell>
          <cell r="C3858" t="str">
            <v>NG</v>
          </cell>
          <cell r="D3858" t="str">
            <v>200405</v>
          </cell>
          <cell r="E3858">
            <v>3.6890000000000001</v>
          </cell>
        </row>
        <row r="3859">
          <cell r="A3859" t="str">
            <v>37587200406</v>
          </cell>
          <cell r="B3859">
            <v>37587</v>
          </cell>
          <cell r="C3859" t="str">
            <v>NG</v>
          </cell>
          <cell r="D3859" t="str">
            <v>200406</v>
          </cell>
          <cell r="E3859">
            <v>3.7</v>
          </cell>
        </row>
        <row r="3860">
          <cell r="A3860" t="str">
            <v>37587200407</v>
          </cell>
          <cell r="B3860">
            <v>37587</v>
          </cell>
          <cell r="C3860" t="str">
            <v>NG</v>
          </cell>
          <cell r="D3860" t="str">
            <v>200407</v>
          </cell>
          <cell r="E3860">
            <v>3.7149999999999999</v>
          </cell>
        </row>
        <row r="3861">
          <cell r="A3861" t="str">
            <v>37587200408</v>
          </cell>
          <cell r="B3861">
            <v>37587</v>
          </cell>
          <cell r="C3861" t="str">
            <v>NG</v>
          </cell>
          <cell r="D3861" t="str">
            <v>200408</v>
          </cell>
          <cell r="E3861">
            <v>3.7149999999999999</v>
          </cell>
        </row>
        <row r="3862">
          <cell r="A3862" t="str">
            <v>37587200409</v>
          </cell>
          <cell r="B3862">
            <v>37587</v>
          </cell>
          <cell r="C3862" t="str">
            <v>NG</v>
          </cell>
          <cell r="D3862" t="str">
            <v>200409</v>
          </cell>
          <cell r="E3862">
            <v>3.7120000000000002</v>
          </cell>
        </row>
        <row r="3863">
          <cell r="A3863" t="str">
            <v>37587200410</v>
          </cell>
          <cell r="B3863">
            <v>37587</v>
          </cell>
          <cell r="C3863" t="str">
            <v>NG</v>
          </cell>
          <cell r="D3863" t="str">
            <v>200410</v>
          </cell>
          <cell r="E3863">
            <v>3.7250000000000001</v>
          </cell>
        </row>
        <row r="3864">
          <cell r="A3864" t="str">
            <v>37587200411</v>
          </cell>
          <cell r="B3864">
            <v>37587</v>
          </cell>
          <cell r="C3864" t="str">
            <v>NG</v>
          </cell>
          <cell r="D3864" t="str">
            <v>200411</v>
          </cell>
          <cell r="E3864">
            <v>3.883</v>
          </cell>
        </row>
        <row r="3865">
          <cell r="A3865" t="str">
            <v>37587200412</v>
          </cell>
          <cell r="B3865">
            <v>37587</v>
          </cell>
          <cell r="C3865" t="str">
            <v>NG</v>
          </cell>
          <cell r="D3865" t="str">
            <v>200412</v>
          </cell>
          <cell r="E3865">
            <v>4.0430000000000001</v>
          </cell>
        </row>
        <row r="3866">
          <cell r="A3866" t="str">
            <v>37588200401</v>
          </cell>
          <cell r="B3866">
            <v>37588</v>
          </cell>
          <cell r="C3866" t="str">
            <v>NG</v>
          </cell>
          <cell r="D3866" t="str">
            <v>200401</v>
          </cell>
          <cell r="E3866">
            <v>4.2549999999999999</v>
          </cell>
        </row>
        <row r="3867">
          <cell r="A3867" t="str">
            <v>37588200402</v>
          </cell>
          <cell r="B3867">
            <v>37588</v>
          </cell>
          <cell r="C3867" t="str">
            <v>NG</v>
          </cell>
          <cell r="D3867" t="str">
            <v>200402</v>
          </cell>
          <cell r="E3867">
            <v>4.13</v>
          </cell>
        </row>
        <row r="3868">
          <cell r="A3868" t="str">
            <v>37588200403</v>
          </cell>
          <cell r="B3868">
            <v>37588</v>
          </cell>
          <cell r="C3868" t="str">
            <v>NG</v>
          </cell>
          <cell r="D3868" t="str">
            <v>200403</v>
          </cell>
          <cell r="E3868">
            <v>3.9590000000000001</v>
          </cell>
        </row>
        <row r="3869">
          <cell r="A3869" t="str">
            <v>37588200404</v>
          </cell>
          <cell r="B3869">
            <v>37588</v>
          </cell>
          <cell r="C3869" t="str">
            <v>NG</v>
          </cell>
          <cell r="D3869" t="str">
            <v>200404</v>
          </cell>
          <cell r="E3869">
            <v>3.734</v>
          </cell>
        </row>
        <row r="3870">
          <cell r="A3870" t="str">
            <v>37588200405</v>
          </cell>
          <cell r="B3870">
            <v>37588</v>
          </cell>
          <cell r="C3870" t="str">
            <v>NG</v>
          </cell>
          <cell r="D3870" t="str">
            <v>200405</v>
          </cell>
          <cell r="E3870">
            <v>3.6890000000000001</v>
          </cell>
        </row>
        <row r="3871">
          <cell r="A3871" t="str">
            <v>37588200406</v>
          </cell>
          <cell r="B3871">
            <v>37588</v>
          </cell>
          <cell r="C3871" t="str">
            <v>NG</v>
          </cell>
          <cell r="D3871" t="str">
            <v>200406</v>
          </cell>
          <cell r="E3871">
            <v>3.7</v>
          </cell>
        </row>
        <row r="3872">
          <cell r="A3872" t="str">
            <v>37588200407</v>
          </cell>
          <cell r="B3872">
            <v>37588</v>
          </cell>
          <cell r="C3872" t="str">
            <v>NG</v>
          </cell>
          <cell r="D3872" t="str">
            <v>200407</v>
          </cell>
          <cell r="E3872">
            <v>3.7149999999999999</v>
          </cell>
        </row>
        <row r="3873">
          <cell r="A3873" t="str">
            <v>37588200408</v>
          </cell>
          <cell r="B3873">
            <v>37588</v>
          </cell>
          <cell r="C3873" t="str">
            <v>NG</v>
          </cell>
          <cell r="D3873" t="str">
            <v>200408</v>
          </cell>
          <cell r="E3873">
            <v>3.7149999999999999</v>
          </cell>
        </row>
        <row r="3874">
          <cell r="A3874" t="str">
            <v>37588200409</v>
          </cell>
          <cell r="B3874">
            <v>37588</v>
          </cell>
          <cell r="C3874" t="str">
            <v>NG</v>
          </cell>
          <cell r="D3874" t="str">
            <v>200409</v>
          </cell>
          <cell r="E3874">
            <v>3.7120000000000002</v>
          </cell>
        </row>
        <row r="3875">
          <cell r="A3875" t="str">
            <v>37588200410</v>
          </cell>
          <cell r="B3875">
            <v>37588</v>
          </cell>
          <cell r="C3875" t="str">
            <v>NG</v>
          </cell>
          <cell r="D3875" t="str">
            <v>200410</v>
          </cell>
          <cell r="E3875">
            <v>3.7250000000000001</v>
          </cell>
        </row>
        <row r="3876">
          <cell r="A3876" t="str">
            <v>37588200411</v>
          </cell>
          <cell r="B3876">
            <v>37588</v>
          </cell>
          <cell r="C3876" t="str">
            <v>NG</v>
          </cell>
          <cell r="D3876" t="str">
            <v>200411</v>
          </cell>
          <cell r="E3876">
            <v>3.883</v>
          </cell>
        </row>
        <row r="3877">
          <cell r="A3877" t="str">
            <v>37588200412</v>
          </cell>
          <cell r="B3877">
            <v>37588</v>
          </cell>
          <cell r="C3877" t="str">
            <v>NG</v>
          </cell>
          <cell r="D3877" t="str">
            <v>200412</v>
          </cell>
          <cell r="E3877">
            <v>4.0430000000000001</v>
          </cell>
        </row>
        <row r="3878">
          <cell r="A3878" t="str">
            <v>37589200401</v>
          </cell>
          <cell r="B3878">
            <v>37589</v>
          </cell>
          <cell r="C3878" t="str">
            <v>NG</v>
          </cell>
          <cell r="D3878" t="str">
            <v>200401</v>
          </cell>
          <cell r="E3878">
            <v>4.2549999999999999</v>
          </cell>
        </row>
        <row r="3879">
          <cell r="A3879" t="str">
            <v>37589200402</v>
          </cell>
          <cell r="B3879">
            <v>37589</v>
          </cell>
          <cell r="C3879" t="str">
            <v>NG</v>
          </cell>
          <cell r="D3879" t="str">
            <v>200402</v>
          </cell>
          <cell r="E3879">
            <v>4.13</v>
          </cell>
        </row>
        <row r="3880">
          <cell r="A3880" t="str">
            <v>37589200403</v>
          </cell>
          <cell r="B3880">
            <v>37589</v>
          </cell>
          <cell r="C3880" t="str">
            <v>NG</v>
          </cell>
          <cell r="D3880" t="str">
            <v>200403</v>
          </cell>
          <cell r="E3880">
            <v>3.9590000000000001</v>
          </cell>
        </row>
        <row r="3881">
          <cell r="A3881" t="str">
            <v>37589200404</v>
          </cell>
          <cell r="B3881">
            <v>37589</v>
          </cell>
          <cell r="C3881" t="str">
            <v>NG</v>
          </cell>
          <cell r="D3881" t="str">
            <v>200404</v>
          </cell>
          <cell r="E3881">
            <v>3.734</v>
          </cell>
        </row>
        <row r="3882">
          <cell r="A3882" t="str">
            <v>37589200405</v>
          </cell>
          <cell r="B3882">
            <v>37589</v>
          </cell>
          <cell r="C3882" t="str">
            <v>NG</v>
          </cell>
          <cell r="D3882" t="str">
            <v>200405</v>
          </cell>
          <cell r="E3882">
            <v>3.6890000000000001</v>
          </cell>
        </row>
        <row r="3883">
          <cell r="A3883" t="str">
            <v>37589200406</v>
          </cell>
          <cell r="B3883">
            <v>37589</v>
          </cell>
          <cell r="C3883" t="str">
            <v>NG</v>
          </cell>
          <cell r="D3883" t="str">
            <v>200406</v>
          </cell>
          <cell r="E3883">
            <v>3.7</v>
          </cell>
        </row>
        <row r="3884">
          <cell r="A3884" t="str">
            <v>37589200407</v>
          </cell>
          <cell r="B3884">
            <v>37589</v>
          </cell>
          <cell r="C3884" t="str">
            <v>NG</v>
          </cell>
          <cell r="D3884" t="str">
            <v>200407</v>
          </cell>
          <cell r="E3884">
            <v>3.7149999999999999</v>
          </cell>
        </row>
        <row r="3885">
          <cell r="A3885" t="str">
            <v>37589200408</v>
          </cell>
          <cell r="B3885">
            <v>37589</v>
          </cell>
          <cell r="C3885" t="str">
            <v>NG</v>
          </cell>
          <cell r="D3885" t="str">
            <v>200408</v>
          </cell>
          <cell r="E3885">
            <v>3.7149999999999999</v>
          </cell>
        </row>
        <row r="3886">
          <cell r="A3886" t="str">
            <v>37589200409</v>
          </cell>
          <cell r="B3886">
            <v>37589</v>
          </cell>
          <cell r="C3886" t="str">
            <v>NG</v>
          </cell>
          <cell r="D3886" t="str">
            <v>200409</v>
          </cell>
          <cell r="E3886">
            <v>3.7120000000000002</v>
          </cell>
        </row>
        <row r="3887">
          <cell r="A3887" t="str">
            <v>37589200410</v>
          </cell>
          <cell r="B3887">
            <v>37589</v>
          </cell>
          <cell r="C3887" t="str">
            <v>NG</v>
          </cell>
          <cell r="D3887" t="str">
            <v>200410</v>
          </cell>
          <cell r="E3887">
            <v>3.7250000000000001</v>
          </cell>
        </row>
        <row r="3888">
          <cell r="A3888" t="str">
            <v>37589200411</v>
          </cell>
          <cell r="B3888">
            <v>37589</v>
          </cell>
          <cell r="C3888" t="str">
            <v>NG</v>
          </cell>
          <cell r="D3888" t="str">
            <v>200411</v>
          </cell>
          <cell r="E3888">
            <v>3.883</v>
          </cell>
        </row>
        <row r="3889">
          <cell r="A3889" t="str">
            <v>37589200412</v>
          </cell>
          <cell r="B3889">
            <v>37589</v>
          </cell>
          <cell r="C3889" t="str">
            <v>NG</v>
          </cell>
          <cell r="D3889" t="str">
            <v>200412</v>
          </cell>
          <cell r="E3889">
            <v>4.0430000000000001</v>
          </cell>
        </row>
        <row r="3890">
          <cell r="A3890" t="str">
            <v>37590200401</v>
          </cell>
          <cell r="B3890">
            <v>37590</v>
          </cell>
          <cell r="C3890" t="str">
            <v>NG</v>
          </cell>
          <cell r="D3890" t="str">
            <v>200401</v>
          </cell>
          <cell r="E3890">
            <v>4.2549999999999999</v>
          </cell>
        </row>
        <row r="3891">
          <cell r="A3891" t="str">
            <v>37590200402</v>
          </cell>
          <cell r="B3891">
            <v>37590</v>
          </cell>
          <cell r="C3891" t="str">
            <v>NG</v>
          </cell>
          <cell r="D3891" t="str">
            <v>200402</v>
          </cell>
          <cell r="E3891">
            <v>4.13</v>
          </cell>
        </row>
        <row r="3892">
          <cell r="A3892" t="str">
            <v>37590200403</v>
          </cell>
          <cell r="B3892">
            <v>37590</v>
          </cell>
          <cell r="C3892" t="str">
            <v>NG</v>
          </cell>
          <cell r="D3892" t="str">
            <v>200403</v>
          </cell>
          <cell r="E3892">
            <v>3.9590000000000001</v>
          </cell>
        </row>
        <row r="3893">
          <cell r="A3893" t="str">
            <v>37590200404</v>
          </cell>
          <cell r="B3893">
            <v>37590</v>
          </cell>
          <cell r="C3893" t="str">
            <v>NG</v>
          </cell>
          <cell r="D3893" t="str">
            <v>200404</v>
          </cell>
          <cell r="E3893">
            <v>3.734</v>
          </cell>
        </row>
        <row r="3894">
          <cell r="A3894" t="str">
            <v>37590200405</v>
          </cell>
          <cell r="B3894">
            <v>37590</v>
          </cell>
          <cell r="C3894" t="str">
            <v>NG</v>
          </cell>
          <cell r="D3894" t="str">
            <v>200405</v>
          </cell>
          <cell r="E3894">
            <v>3.6890000000000001</v>
          </cell>
        </row>
        <row r="3895">
          <cell r="A3895" t="str">
            <v>37590200406</v>
          </cell>
          <cell r="B3895">
            <v>37590</v>
          </cell>
          <cell r="C3895" t="str">
            <v>NG</v>
          </cell>
          <cell r="D3895" t="str">
            <v>200406</v>
          </cell>
          <cell r="E3895">
            <v>3.7</v>
          </cell>
        </row>
        <row r="3896">
          <cell r="A3896" t="str">
            <v>37590200407</v>
          </cell>
          <cell r="B3896">
            <v>37590</v>
          </cell>
          <cell r="C3896" t="str">
            <v>NG</v>
          </cell>
          <cell r="D3896" t="str">
            <v>200407</v>
          </cell>
          <cell r="E3896">
            <v>3.7149999999999999</v>
          </cell>
        </row>
        <row r="3897">
          <cell r="A3897" t="str">
            <v>37590200408</v>
          </cell>
          <cell r="B3897">
            <v>37590</v>
          </cell>
          <cell r="C3897" t="str">
            <v>NG</v>
          </cell>
          <cell r="D3897" t="str">
            <v>200408</v>
          </cell>
          <cell r="E3897">
            <v>3.7149999999999999</v>
          </cell>
        </row>
        <row r="3898">
          <cell r="A3898" t="str">
            <v>37590200409</v>
          </cell>
          <cell r="B3898">
            <v>37590</v>
          </cell>
          <cell r="C3898" t="str">
            <v>NG</v>
          </cell>
          <cell r="D3898" t="str">
            <v>200409</v>
          </cell>
          <cell r="E3898">
            <v>3.7120000000000002</v>
          </cell>
        </row>
        <row r="3899">
          <cell r="A3899" t="str">
            <v>37590200410</v>
          </cell>
          <cell r="B3899">
            <v>37590</v>
          </cell>
          <cell r="C3899" t="str">
            <v>NG</v>
          </cell>
          <cell r="D3899" t="str">
            <v>200410</v>
          </cell>
          <cell r="E3899">
            <v>3.7250000000000001</v>
          </cell>
        </row>
        <row r="3900">
          <cell r="A3900" t="str">
            <v>37590200411</v>
          </cell>
          <cell r="B3900">
            <v>37590</v>
          </cell>
          <cell r="C3900" t="str">
            <v>NG</v>
          </cell>
          <cell r="D3900" t="str">
            <v>200411</v>
          </cell>
          <cell r="E3900">
            <v>3.883</v>
          </cell>
        </row>
        <row r="3901">
          <cell r="A3901" t="str">
            <v>37590200412</v>
          </cell>
          <cell r="B3901">
            <v>37590</v>
          </cell>
          <cell r="C3901" t="str">
            <v>NG</v>
          </cell>
          <cell r="D3901" t="str">
            <v>200412</v>
          </cell>
          <cell r="E3901">
            <v>4.0430000000000001</v>
          </cell>
        </row>
        <row r="3902">
          <cell r="A3902" t="str">
            <v>37591200401</v>
          </cell>
          <cell r="B3902">
            <v>37591</v>
          </cell>
          <cell r="C3902" t="str">
            <v>NG</v>
          </cell>
          <cell r="D3902" t="str">
            <v>200401</v>
          </cell>
          <cell r="E3902">
            <v>4.2549999999999999</v>
          </cell>
        </row>
        <row r="3903">
          <cell r="A3903" t="str">
            <v>37591200402</v>
          </cell>
          <cell r="B3903">
            <v>37591</v>
          </cell>
          <cell r="C3903" t="str">
            <v>NG</v>
          </cell>
          <cell r="D3903" t="str">
            <v>200402</v>
          </cell>
          <cell r="E3903">
            <v>4.13</v>
          </cell>
        </row>
        <row r="3904">
          <cell r="A3904" t="str">
            <v>37591200403</v>
          </cell>
          <cell r="B3904">
            <v>37591</v>
          </cell>
          <cell r="C3904" t="str">
            <v>NG</v>
          </cell>
          <cell r="D3904" t="str">
            <v>200403</v>
          </cell>
          <cell r="E3904">
            <v>3.9590000000000001</v>
          </cell>
        </row>
        <row r="3905">
          <cell r="A3905" t="str">
            <v>37591200404</v>
          </cell>
          <cell r="B3905">
            <v>37591</v>
          </cell>
          <cell r="C3905" t="str">
            <v>NG</v>
          </cell>
          <cell r="D3905" t="str">
            <v>200404</v>
          </cell>
          <cell r="E3905">
            <v>3.734</v>
          </cell>
        </row>
        <row r="3906">
          <cell r="A3906" t="str">
            <v>37591200405</v>
          </cell>
          <cell r="B3906">
            <v>37591</v>
          </cell>
          <cell r="C3906" t="str">
            <v>NG</v>
          </cell>
          <cell r="D3906" t="str">
            <v>200405</v>
          </cell>
          <cell r="E3906">
            <v>3.6890000000000001</v>
          </cell>
        </row>
        <row r="3907">
          <cell r="A3907" t="str">
            <v>37591200406</v>
          </cell>
          <cell r="B3907">
            <v>37591</v>
          </cell>
          <cell r="C3907" t="str">
            <v>NG</v>
          </cell>
          <cell r="D3907" t="str">
            <v>200406</v>
          </cell>
          <cell r="E3907">
            <v>3.7</v>
          </cell>
        </row>
        <row r="3908">
          <cell r="A3908" t="str">
            <v>37591200407</v>
          </cell>
          <cell r="B3908">
            <v>37591</v>
          </cell>
          <cell r="C3908" t="str">
            <v>NG</v>
          </cell>
          <cell r="D3908" t="str">
            <v>200407</v>
          </cell>
          <cell r="E3908">
            <v>3.7149999999999999</v>
          </cell>
        </row>
        <row r="3909">
          <cell r="A3909" t="str">
            <v>37591200408</v>
          </cell>
          <cell r="B3909">
            <v>37591</v>
          </cell>
          <cell r="C3909" t="str">
            <v>NG</v>
          </cell>
          <cell r="D3909" t="str">
            <v>200408</v>
          </cell>
          <cell r="E3909">
            <v>3.7149999999999999</v>
          </cell>
        </row>
        <row r="3910">
          <cell r="A3910" t="str">
            <v>37591200409</v>
          </cell>
          <cell r="B3910">
            <v>37591</v>
          </cell>
          <cell r="C3910" t="str">
            <v>NG</v>
          </cell>
          <cell r="D3910" t="str">
            <v>200409</v>
          </cell>
          <cell r="E3910">
            <v>3.7120000000000002</v>
          </cell>
        </row>
        <row r="3911">
          <cell r="A3911" t="str">
            <v>37591200410</v>
          </cell>
          <cell r="B3911">
            <v>37591</v>
          </cell>
          <cell r="C3911" t="str">
            <v>NG</v>
          </cell>
          <cell r="D3911" t="str">
            <v>200410</v>
          </cell>
          <cell r="E3911">
            <v>3.7250000000000001</v>
          </cell>
        </row>
        <row r="3912">
          <cell r="A3912" t="str">
            <v>37591200411</v>
          </cell>
          <cell r="B3912">
            <v>37591</v>
          </cell>
          <cell r="C3912" t="str">
            <v>NG</v>
          </cell>
          <cell r="D3912" t="str">
            <v>200411</v>
          </cell>
          <cell r="E3912">
            <v>3.883</v>
          </cell>
        </row>
        <row r="3913">
          <cell r="A3913" t="str">
            <v>37591200412</v>
          </cell>
          <cell r="B3913">
            <v>37591</v>
          </cell>
          <cell r="C3913" t="str">
            <v>NG</v>
          </cell>
          <cell r="D3913" t="str">
            <v>200412</v>
          </cell>
          <cell r="E3913">
            <v>4.0430000000000001</v>
          </cell>
        </row>
        <row r="3914">
          <cell r="A3914" t="str">
            <v>37592200401</v>
          </cell>
          <cell r="B3914">
            <v>37592</v>
          </cell>
          <cell r="C3914" t="str">
            <v>NG</v>
          </cell>
          <cell r="D3914" t="str">
            <v>200401</v>
          </cell>
          <cell r="E3914">
            <v>4.34</v>
          </cell>
        </row>
        <row r="3915">
          <cell r="A3915" t="str">
            <v>37592200402</v>
          </cell>
          <cell r="B3915">
            <v>37592</v>
          </cell>
          <cell r="C3915" t="str">
            <v>NG</v>
          </cell>
          <cell r="D3915" t="str">
            <v>200402</v>
          </cell>
          <cell r="E3915">
            <v>4.21</v>
          </cell>
        </row>
        <row r="3916">
          <cell r="A3916" t="str">
            <v>37592200403</v>
          </cell>
          <cell r="B3916">
            <v>37592</v>
          </cell>
          <cell r="C3916" t="str">
            <v>NG</v>
          </cell>
          <cell r="D3916" t="str">
            <v>200403</v>
          </cell>
          <cell r="E3916">
            <v>4.0339999999999998</v>
          </cell>
        </row>
        <row r="3917">
          <cell r="A3917" t="str">
            <v>37592200404</v>
          </cell>
          <cell r="B3917">
            <v>37592</v>
          </cell>
          <cell r="C3917" t="str">
            <v>NG</v>
          </cell>
          <cell r="D3917" t="str">
            <v>200404</v>
          </cell>
          <cell r="E3917">
            <v>3.7989999999999999</v>
          </cell>
        </row>
        <row r="3918">
          <cell r="A3918" t="str">
            <v>37592200405</v>
          </cell>
          <cell r="B3918">
            <v>37592</v>
          </cell>
          <cell r="C3918" t="str">
            <v>NG</v>
          </cell>
          <cell r="D3918" t="str">
            <v>200405</v>
          </cell>
          <cell r="E3918">
            <v>3.7490000000000001</v>
          </cell>
        </row>
        <row r="3919">
          <cell r="A3919" t="str">
            <v>37592200406</v>
          </cell>
          <cell r="B3919">
            <v>37592</v>
          </cell>
          <cell r="C3919" t="str">
            <v>NG</v>
          </cell>
          <cell r="D3919" t="str">
            <v>200406</v>
          </cell>
          <cell r="E3919">
            <v>3.7490000000000001</v>
          </cell>
        </row>
        <row r="3920">
          <cell r="A3920" t="str">
            <v>37592200407</v>
          </cell>
          <cell r="B3920">
            <v>37592</v>
          </cell>
          <cell r="C3920" t="str">
            <v>NG</v>
          </cell>
          <cell r="D3920" t="str">
            <v>200407</v>
          </cell>
          <cell r="E3920">
            <v>3.7589999999999999</v>
          </cell>
        </row>
        <row r="3921">
          <cell r="A3921" t="str">
            <v>37592200408</v>
          </cell>
          <cell r="B3921">
            <v>37592</v>
          </cell>
          <cell r="C3921" t="str">
            <v>NG</v>
          </cell>
          <cell r="D3921" t="str">
            <v>200408</v>
          </cell>
          <cell r="E3921">
            <v>3.7589999999999999</v>
          </cell>
        </row>
        <row r="3922">
          <cell r="A3922" t="str">
            <v>37592200409</v>
          </cell>
          <cell r="B3922">
            <v>37592</v>
          </cell>
          <cell r="C3922" t="str">
            <v>NG</v>
          </cell>
          <cell r="D3922" t="str">
            <v>200409</v>
          </cell>
          <cell r="E3922">
            <v>3.7559999999999998</v>
          </cell>
        </row>
        <row r="3923">
          <cell r="A3923" t="str">
            <v>37592200410</v>
          </cell>
          <cell r="B3923">
            <v>37592</v>
          </cell>
          <cell r="C3923" t="str">
            <v>NG</v>
          </cell>
          <cell r="D3923" t="str">
            <v>200410</v>
          </cell>
          <cell r="E3923">
            <v>3.7690000000000001</v>
          </cell>
        </row>
        <row r="3924">
          <cell r="A3924" t="str">
            <v>37592200411</v>
          </cell>
          <cell r="B3924">
            <v>37592</v>
          </cell>
          <cell r="C3924" t="str">
            <v>NG</v>
          </cell>
          <cell r="D3924" t="str">
            <v>200411</v>
          </cell>
          <cell r="E3924">
            <v>3.927</v>
          </cell>
        </row>
        <row r="3925">
          <cell r="A3925" t="str">
            <v>37592200412</v>
          </cell>
          <cell r="B3925">
            <v>37592</v>
          </cell>
          <cell r="C3925" t="str">
            <v>NG</v>
          </cell>
          <cell r="D3925" t="str">
            <v>200412</v>
          </cell>
          <cell r="E3925">
            <v>4.0869999999999997</v>
          </cell>
        </row>
        <row r="3926">
          <cell r="A3926" t="str">
            <v>37593200401</v>
          </cell>
          <cell r="B3926">
            <v>37593</v>
          </cell>
          <cell r="C3926" t="str">
            <v>NG</v>
          </cell>
          <cell r="D3926" t="str">
            <v>200401</v>
          </cell>
          <cell r="E3926">
            <v>4.3029999999999999</v>
          </cell>
        </row>
        <row r="3927">
          <cell r="A3927" t="str">
            <v>37593200402</v>
          </cell>
          <cell r="B3927">
            <v>37593</v>
          </cell>
          <cell r="C3927" t="str">
            <v>NG</v>
          </cell>
          <cell r="D3927" t="str">
            <v>200402</v>
          </cell>
          <cell r="E3927">
            <v>4.1790000000000003</v>
          </cell>
        </row>
        <row r="3928">
          <cell r="A3928" t="str">
            <v>37593200403</v>
          </cell>
          <cell r="B3928">
            <v>37593</v>
          </cell>
          <cell r="C3928" t="str">
            <v>NG</v>
          </cell>
          <cell r="D3928" t="str">
            <v>200403</v>
          </cell>
          <cell r="E3928">
            <v>4.0030000000000001</v>
          </cell>
        </row>
        <row r="3929">
          <cell r="A3929" t="str">
            <v>37593200404</v>
          </cell>
          <cell r="B3929">
            <v>37593</v>
          </cell>
          <cell r="C3929" t="str">
            <v>NG</v>
          </cell>
          <cell r="D3929" t="str">
            <v>200404</v>
          </cell>
          <cell r="E3929">
            <v>3.7679999999999998</v>
          </cell>
        </row>
        <row r="3930">
          <cell r="A3930" t="str">
            <v>37593200405</v>
          </cell>
          <cell r="B3930">
            <v>37593</v>
          </cell>
          <cell r="C3930" t="str">
            <v>NG</v>
          </cell>
          <cell r="D3930" t="str">
            <v>200405</v>
          </cell>
          <cell r="E3930">
            <v>3.7210000000000001</v>
          </cell>
        </row>
        <row r="3931">
          <cell r="A3931" t="str">
            <v>37593200406</v>
          </cell>
          <cell r="B3931">
            <v>37593</v>
          </cell>
          <cell r="C3931" t="str">
            <v>NG</v>
          </cell>
          <cell r="D3931" t="str">
            <v>200406</v>
          </cell>
          <cell r="E3931">
            <v>3.7360000000000002</v>
          </cell>
        </row>
        <row r="3932">
          <cell r="A3932" t="str">
            <v>37593200407</v>
          </cell>
          <cell r="B3932">
            <v>37593</v>
          </cell>
          <cell r="C3932" t="str">
            <v>NG</v>
          </cell>
          <cell r="D3932" t="str">
            <v>200407</v>
          </cell>
          <cell r="E3932">
            <v>3.746</v>
          </cell>
        </row>
        <row r="3933">
          <cell r="A3933" t="str">
            <v>37593200408</v>
          </cell>
          <cell r="B3933">
            <v>37593</v>
          </cell>
          <cell r="C3933" t="str">
            <v>NG</v>
          </cell>
          <cell r="D3933" t="str">
            <v>200408</v>
          </cell>
          <cell r="E3933">
            <v>3.7530000000000001</v>
          </cell>
        </row>
        <row r="3934">
          <cell r="A3934" t="str">
            <v>37593200409</v>
          </cell>
          <cell r="B3934">
            <v>37593</v>
          </cell>
          <cell r="C3934" t="str">
            <v>NG</v>
          </cell>
          <cell r="D3934" t="str">
            <v>200409</v>
          </cell>
          <cell r="E3934">
            <v>3.7480000000000002</v>
          </cell>
        </row>
        <row r="3935">
          <cell r="A3935" t="str">
            <v>37593200410</v>
          </cell>
          <cell r="B3935">
            <v>37593</v>
          </cell>
          <cell r="C3935" t="str">
            <v>NG</v>
          </cell>
          <cell r="D3935" t="str">
            <v>200410</v>
          </cell>
          <cell r="E3935">
            <v>3.766</v>
          </cell>
        </row>
        <row r="3936">
          <cell r="A3936" t="str">
            <v>37593200411</v>
          </cell>
          <cell r="B3936">
            <v>37593</v>
          </cell>
          <cell r="C3936" t="str">
            <v>NG</v>
          </cell>
          <cell r="D3936" t="str">
            <v>200411</v>
          </cell>
          <cell r="E3936">
            <v>3.9239999999999999</v>
          </cell>
        </row>
        <row r="3937">
          <cell r="A3937" t="str">
            <v>37593200412</v>
          </cell>
          <cell r="B3937">
            <v>37593</v>
          </cell>
          <cell r="C3937" t="str">
            <v>NG</v>
          </cell>
          <cell r="D3937" t="str">
            <v>200412</v>
          </cell>
          <cell r="E3937">
            <v>4.0979999999999999</v>
          </cell>
        </row>
        <row r="3938">
          <cell r="A3938" t="str">
            <v>37594200401</v>
          </cell>
          <cell r="B3938">
            <v>37594</v>
          </cell>
          <cell r="C3938" t="str">
            <v>NG</v>
          </cell>
          <cell r="D3938" t="str">
            <v>200401</v>
          </cell>
          <cell r="E3938">
            <v>4.3440000000000003</v>
          </cell>
        </row>
        <row r="3939">
          <cell r="A3939" t="str">
            <v>37594200402</v>
          </cell>
          <cell r="B3939">
            <v>37594</v>
          </cell>
          <cell r="C3939" t="str">
            <v>NG</v>
          </cell>
          <cell r="D3939" t="str">
            <v>200402</v>
          </cell>
          <cell r="E3939">
            <v>4.2169999999999996</v>
          </cell>
        </row>
        <row r="3940">
          <cell r="A3940" t="str">
            <v>37594200403</v>
          </cell>
          <cell r="B3940">
            <v>37594</v>
          </cell>
          <cell r="C3940" t="str">
            <v>NG</v>
          </cell>
          <cell r="D3940" t="str">
            <v>200403</v>
          </cell>
          <cell r="E3940">
            <v>4.0339999999999998</v>
          </cell>
        </row>
        <row r="3941">
          <cell r="A3941" t="str">
            <v>37594200404</v>
          </cell>
          <cell r="B3941">
            <v>37594</v>
          </cell>
          <cell r="C3941" t="str">
            <v>NG</v>
          </cell>
          <cell r="D3941" t="str">
            <v>200404</v>
          </cell>
          <cell r="E3941">
            <v>3.794</v>
          </cell>
        </row>
        <row r="3942">
          <cell r="A3942" t="str">
            <v>37594200405</v>
          </cell>
          <cell r="B3942">
            <v>37594</v>
          </cell>
          <cell r="C3942" t="str">
            <v>NG</v>
          </cell>
          <cell r="D3942" t="str">
            <v>200405</v>
          </cell>
          <cell r="E3942">
            <v>3.7440000000000002</v>
          </cell>
        </row>
        <row r="3943">
          <cell r="A3943" t="str">
            <v>37594200406</v>
          </cell>
          <cell r="B3943">
            <v>37594</v>
          </cell>
          <cell r="C3943" t="str">
            <v>NG</v>
          </cell>
          <cell r="D3943" t="str">
            <v>200406</v>
          </cell>
          <cell r="E3943">
            <v>3.7570000000000001</v>
          </cell>
        </row>
        <row r="3944">
          <cell r="A3944" t="str">
            <v>37594200407</v>
          </cell>
          <cell r="B3944">
            <v>37594</v>
          </cell>
          <cell r="C3944" t="str">
            <v>NG</v>
          </cell>
          <cell r="D3944" t="str">
            <v>200407</v>
          </cell>
          <cell r="E3944">
            <v>3.7669999999999999</v>
          </cell>
        </row>
        <row r="3945">
          <cell r="A3945" t="str">
            <v>37594200408</v>
          </cell>
          <cell r="B3945">
            <v>37594</v>
          </cell>
          <cell r="C3945" t="str">
            <v>NG</v>
          </cell>
          <cell r="D3945" t="str">
            <v>200408</v>
          </cell>
          <cell r="E3945">
            <v>3.774</v>
          </cell>
        </row>
        <row r="3946">
          <cell r="A3946" t="str">
            <v>37594200409</v>
          </cell>
          <cell r="B3946">
            <v>37594</v>
          </cell>
          <cell r="C3946" t="str">
            <v>NG</v>
          </cell>
          <cell r="D3946" t="str">
            <v>200409</v>
          </cell>
          <cell r="E3946">
            <v>3.7639999999999998</v>
          </cell>
        </row>
        <row r="3947">
          <cell r="A3947" t="str">
            <v>37594200410</v>
          </cell>
          <cell r="B3947">
            <v>37594</v>
          </cell>
          <cell r="C3947" t="str">
            <v>NG</v>
          </cell>
          <cell r="D3947" t="str">
            <v>200410</v>
          </cell>
          <cell r="E3947">
            <v>3.786</v>
          </cell>
        </row>
        <row r="3948">
          <cell r="A3948" t="str">
            <v>37594200411</v>
          </cell>
          <cell r="B3948">
            <v>37594</v>
          </cell>
          <cell r="C3948" t="str">
            <v>NG</v>
          </cell>
          <cell r="D3948" t="str">
            <v>200411</v>
          </cell>
          <cell r="E3948">
            <v>3.944</v>
          </cell>
        </row>
        <row r="3949">
          <cell r="A3949" t="str">
            <v>37594200412</v>
          </cell>
          <cell r="B3949">
            <v>37594</v>
          </cell>
          <cell r="C3949" t="str">
            <v>NG</v>
          </cell>
          <cell r="D3949" t="str">
            <v>200412</v>
          </cell>
          <cell r="E3949">
            <v>4.1180000000000003</v>
          </cell>
        </row>
        <row r="3950">
          <cell r="A3950" t="str">
            <v>37595200401</v>
          </cell>
          <cell r="B3950">
            <v>37595</v>
          </cell>
          <cell r="C3950" t="str">
            <v>NG</v>
          </cell>
          <cell r="D3950" t="str">
            <v>200401</v>
          </cell>
          <cell r="E3950">
            <v>4.4349999999999996</v>
          </cell>
        </row>
        <row r="3951">
          <cell r="A3951" t="str">
            <v>37595200402</v>
          </cell>
          <cell r="B3951">
            <v>37595</v>
          </cell>
          <cell r="C3951" t="str">
            <v>NG</v>
          </cell>
          <cell r="D3951" t="str">
            <v>200402</v>
          </cell>
          <cell r="E3951">
            <v>4.3049999999999997</v>
          </cell>
        </row>
        <row r="3952">
          <cell r="A3952" t="str">
            <v>37595200403</v>
          </cell>
          <cell r="B3952">
            <v>37595</v>
          </cell>
          <cell r="C3952" t="str">
            <v>NG</v>
          </cell>
          <cell r="D3952" t="str">
            <v>200403</v>
          </cell>
          <cell r="E3952">
            <v>4.12</v>
          </cell>
        </row>
        <row r="3953">
          <cell r="A3953" t="str">
            <v>37595200404</v>
          </cell>
          <cell r="B3953">
            <v>37595</v>
          </cell>
          <cell r="C3953" t="str">
            <v>NG</v>
          </cell>
          <cell r="D3953" t="str">
            <v>200404</v>
          </cell>
          <cell r="E3953">
            <v>3.87</v>
          </cell>
        </row>
        <row r="3954">
          <cell r="A3954" t="str">
            <v>37595200405</v>
          </cell>
          <cell r="B3954">
            <v>37595</v>
          </cell>
          <cell r="C3954" t="str">
            <v>NG</v>
          </cell>
          <cell r="D3954" t="str">
            <v>200405</v>
          </cell>
          <cell r="E3954">
            <v>3.82</v>
          </cell>
        </row>
        <row r="3955">
          <cell r="A3955" t="str">
            <v>37595200406</v>
          </cell>
          <cell r="B3955">
            <v>37595</v>
          </cell>
          <cell r="C3955" t="str">
            <v>NG</v>
          </cell>
          <cell r="D3955" t="str">
            <v>200406</v>
          </cell>
          <cell r="E3955">
            <v>3.8330000000000002</v>
          </cell>
        </row>
        <row r="3956">
          <cell r="A3956" t="str">
            <v>37595200407</v>
          </cell>
          <cell r="B3956">
            <v>37595</v>
          </cell>
          <cell r="C3956" t="str">
            <v>NG</v>
          </cell>
          <cell r="D3956" t="str">
            <v>200407</v>
          </cell>
          <cell r="E3956">
            <v>3.843</v>
          </cell>
        </row>
        <row r="3957">
          <cell r="A3957" t="str">
            <v>37595200408</v>
          </cell>
          <cell r="B3957">
            <v>37595</v>
          </cell>
          <cell r="C3957" t="str">
            <v>NG</v>
          </cell>
          <cell r="D3957" t="str">
            <v>200408</v>
          </cell>
          <cell r="E3957">
            <v>3.85</v>
          </cell>
        </row>
        <row r="3958">
          <cell r="A3958" t="str">
            <v>37595200409</v>
          </cell>
          <cell r="B3958">
            <v>37595</v>
          </cell>
          <cell r="C3958" t="str">
            <v>NG</v>
          </cell>
          <cell r="D3958" t="str">
            <v>200409</v>
          </cell>
          <cell r="E3958">
            <v>3.84</v>
          </cell>
        </row>
        <row r="3959">
          <cell r="A3959" t="str">
            <v>37595200410</v>
          </cell>
          <cell r="B3959">
            <v>37595</v>
          </cell>
          <cell r="C3959" t="str">
            <v>NG</v>
          </cell>
          <cell r="D3959" t="str">
            <v>200410</v>
          </cell>
          <cell r="E3959">
            <v>3.8620000000000001</v>
          </cell>
        </row>
        <row r="3960">
          <cell r="A3960" t="str">
            <v>37595200411</v>
          </cell>
          <cell r="B3960">
            <v>37595</v>
          </cell>
          <cell r="C3960" t="str">
            <v>NG</v>
          </cell>
          <cell r="D3960" t="str">
            <v>200411</v>
          </cell>
          <cell r="E3960">
            <v>4.0199999999999996</v>
          </cell>
        </row>
        <row r="3961">
          <cell r="A3961" t="str">
            <v>37595200412</v>
          </cell>
          <cell r="B3961">
            <v>37595</v>
          </cell>
          <cell r="C3961" t="str">
            <v>NG</v>
          </cell>
          <cell r="D3961" t="str">
            <v>200412</v>
          </cell>
          <cell r="E3961">
            <v>4.194</v>
          </cell>
        </row>
        <row r="3962">
          <cell r="A3962" t="str">
            <v>37596200401</v>
          </cell>
          <cell r="B3962">
            <v>37596</v>
          </cell>
          <cell r="C3962" t="str">
            <v>NG</v>
          </cell>
          <cell r="D3962" t="str">
            <v>200401</v>
          </cell>
          <cell r="E3962">
            <v>4.4279999999999999</v>
          </cell>
        </row>
        <row r="3963">
          <cell r="A3963" t="str">
            <v>37596200402</v>
          </cell>
          <cell r="B3963">
            <v>37596</v>
          </cell>
          <cell r="C3963" t="str">
            <v>NG</v>
          </cell>
          <cell r="D3963" t="str">
            <v>200402</v>
          </cell>
          <cell r="E3963">
            <v>4.298</v>
          </cell>
        </row>
        <row r="3964">
          <cell r="A3964" t="str">
            <v>37596200403</v>
          </cell>
          <cell r="B3964">
            <v>37596</v>
          </cell>
          <cell r="C3964" t="str">
            <v>NG</v>
          </cell>
          <cell r="D3964" t="str">
            <v>200403</v>
          </cell>
          <cell r="E3964">
            <v>4.1130000000000004</v>
          </cell>
        </row>
        <row r="3965">
          <cell r="A3965" t="str">
            <v>37596200404</v>
          </cell>
          <cell r="B3965">
            <v>37596</v>
          </cell>
          <cell r="C3965" t="str">
            <v>NG</v>
          </cell>
          <cell r="D3965" t="str">
            <v>200404</v>
          </cell>
          <cell r="E3965">
            <v>3.8530000000000002</v>
          </cell>
        </row>
        <row r="3966">
          <cell r="A3966" t="str">
            <v>37596200405</v>
          </cell>
          <cell r="B3966">
            <v>37596</v>
          </cell>
          <cell r="C3966" t="str">
            <v>NG</v>
          </cell>
          <cell r="D3966" t="str">
            <v>200405</v>
          </cell>
          <cell r="E3966">
            <v>3.7930000000000001</v>
          </cell>
        </row>
        <row r="3967">
          <cell r="A3967" t="str">
            <v>37596200406</v>
          </cell>
          <cell r="B3967">
            <v>37596</v>
          </cell>
          <cell r="C3967" t="str">
            <v>NG</v>
          </cell>
          <cell r="D3967" t="str">
            <v>200406</v>
          </cell>
          <cell r="E3967">
            <v>3.7930000000000001</v>
          </cell>
        </row>
        <row r="3968">
          <cell r="A3968" t="str">
            <v>37596200407</v>
          </cell>
          <cell r="B3968">
            <v>37596</v>
          </cell>
          <cell r="C3968" t="str">
            <v>NG</v>
          </cell>
          <cell r="D3968" t="str">
            <v>200407</v>
          </cell>
          <cell r="E3968">
            <v>3.8029999999999999</v>
          </cell>
        </row>
        <row r="3969">
          <cell r="A3969" t="str">
            <v>37596200408</v>
          </cell>
          <cell r="B3969">
            <v>37596</v>
          </cell>
          <cell r="C3969" t="str">
            <v>NG</v>
          </cell>
          <cell r="D3969" t="str">
            <v>200408</v>
          </cell>
          <cell r="E3969">
            <v>3.8130000000000002</v>
          </cell>
        </row>
        <row r="3970">
          <cell r="A3970" t="str">
            <v>37596200409</v>
          </cell>
          <cell r="B3970">
            <v>37596</v>
          </cell>
          <cell r="C3970" t="str">
            <v>NG</v>
          </cell>
          <cell r="D3970" t="str">
            <v>200409</v>
          </cell>
          <cell r="E3970">
            <v>3.798</v>
          </cell>
        </row>
        <row r="3971">
          <cell r="A3971" t="str">
            <v>37596200410</v>
          </cell>
          <cell r="B3971">
            <v>37596</v>
          </cell>
          <cell r="C3971" t="str">
            <v>NG</v>
          </cell>
          <cell r="D3971" t="str">
            <v>200410</v>
          </cell>
          <cell r="E3971">
            <v>3.823</v>
          </cell>
        </row>
        <row r="3972">
          <cell r="A3972" t="str">
            <v>37596200411</v>
          </cell>
          <cell r="B3972">
            <v>37596</v>
          </cell>
          <cell r="C3972" t="str">
            <v>NG</v>
          </cell>
          <cell r="D3972" t="str">
            <v>200411</v>
          </cell>
          <cell r="E3972">
            <v>3.9809999999999999</v>
          </cell>
        </row>
        <row r="3973">
          <cell r="A3973" t="str">
            <v>37596200412</v>
          </cell>
          <cell r="B3973">
            <v>37596</v>
          </cell>
          <cell r="C3973" t="str">
            <v>NG</v>
          </cell>
          <cell r="D3973" t="str">
            <v>200412</v>
          </cell>
          <cell r="E3973">
            <v>4.1550000000000002</v>
          </cell>
        </row>
        <row r="3974">
          <cell r="A3974" t="str">
            <v>37597200401</v>
          </cell>
          <cell r="B3974">
            <v>37597</v>
          </cell>
          <cell r="C3974" t="str">
            <v>NG</v>
          </cell>
          <cell r="D3974" t="str">
            <v>200401</v>
          </cell>
          <cell r="E3974">
            <v>4.4279999999999999</v>
          </cell>
        </row>
        <row r="3975">
          <cell r="A3975" t="str">
            <v>37597200402</v>
          </cell>
          <cell r="B3975">
            <v>37597</v>
          </cell>
          <cell r="C3975" t="str">
            <v>NG</v>
          </cell>
          <cell r="D3975" t="str">
            <v>200402</v>
          </cell>
          <cell r="E3975">
            <v>4.298</v>
          </cell>
        </row>
        <row r="3976">
          <cell r="A3976" t="str">
            <v>37597200403</v>
          </cell>
          <cell r="B3976">
            <v>37597</v>
          </cell>
          <cell r="C3976" t="str">
            <v>NG</v>
          </cell>
          <cell r="D3976" t="str">
            <v>200403</v>
          </cell>
          <cell r="E3976">
            <v>4.1130000000000004</v>
          </cell>
        </row>
        <row r="3977">
          <cell r="A3977" t="str">
            <v>37597200404</v>
          </cell>
          <cell r="B3977">
            <v>37597</v>
          </cell>
          <cell r="C3977" t="str">
            <v>NG</v>
          </cell>
          <cell r="D3977" t="str">
            <v>200404</v>
          </cell>
          <cell r="E3977">
            <v>3.8530000000000002</v>
          </cell>
        </row>
        <row r="3978">
          <cell r="A3978" t="str">
            <v>37597200405</v>
          </cell>
          <cell r="B3978">
            <v>37597</v>
          </cell>
          <cell r="C3978" t="str">
            <v>NG</v>
          </cell>
          <cell r="D3978" t="str">
            <v>200405</v>
          </cell>
          <cell r="E3978">
            <v>3.7930000000000001</v>
          </cell>
        </row>
        <row r="3979">
          <cell r="A3979" t="str">
            <v>37597200406</v>
          </cell>
          <cell r="B3979">
            <v>37597</v>
          </cell>
          <cell r="C3979" t="str">
            <v>NG</v>
          </cell>
          <cell r="D3979" t="str">
            <v>200406</v>
          </cell>
          <cell r="E3979">
            <v>3.7930000000000001</v>
          </cell>
        </row>
        <row r="3980">
          <cell r="A3980" t="str">
            <v>37597200407</v>
          </cell>
          <cell r="B3980">
            <v>37597</v>
          </cell>
          <cell r="C3980" t="str">
            <v>NG</v>
          </cell>
          <cell r="D3980" t="str">
            <v>200407</v>
          </cell>
          <cell r="E3980">
            <v>3.8029999999999999</v>
          </cell>
        </row>
        <row r="3981">
          <cell r="A3981" t="str">
            <v>37597200408</v>
          </cell>
          <cell r="B3981">
            <v>37597</v>
          </cell>
          <cell r="C3981" t="str">
            <v>NG</v>
          </cell>
          <cell r="D3981" t="str">
            <v>200408</v>
          </cell>
          <cell r="E3981">
            <v>3.8130000000000002</v>
          </cell>
        </row>
        <row r="3982">
          <cell r="A3982" t="str">
            <v>37597200409</v>
          </cell>
          <cell r="B3982">
            <v>37597</v>
          </cell>
          <cell r="C3982" t="str">
            <v>NG</v>
          </cell>
          <cell r="D3982" t="str">
            <v>200409</v>
          </cell>
          <cell r="E3982">
            <v>3.798</v>
          </cell>
        </row>
        <row r="3983">
          <cell r="A3983" t="str">
            <v>37597200410</v>
          </cell>
          <cell r="B3983">
            <v>37597</v>
          </cell>
          <cell r="C3983" t="str">
            <v>NG</v>
          </cell>
          <cell r="D3983" t="str">
            <v>200410</v>
          </cell>
          <cell r="E3983">
            <v>3.823</v>
          </cell>
        </row>
        <row r="3984">
          <cell r="A3984" t="str">
            <v>37597200411</v>
          </cell>
          <cell r="B3984">
            <v>37597</v>
          </cell>
          <cell r="C3984" t="str">
            <v>NG</v>
          </cell>
          <cell r="D3984" t="str">
            <v>200411</v>
          </cell>
          <cell r="E3984">
            <v>3.9809999999999999</v>
          </cell>
        </row>
        <row r="3985">
          <cell r="A3985" t="str">
            <v>37597200412</v>
          </cell>
          <cell r="B3985">
            <v>37597</v>
          </cell>
          <cell r="C3985" t="str">
            <v>NG</v>
          </cell>
          <cell r="D3985" t="str">
            <v>200412</v>
          </cell>
          <cell r="E3985">
            <v>4.1550000000000002</v>
          </cell>
        </row>
        <row r="3986">
          <cell r="A3986" t="str">
            <v>37598200401</v>
          </cell>
          <cell r="B3986">
            <v>37598</v>
          </cell>
          <cell r="C3986" t="str">
            <v>NG</v>
          </cell>
          <cell r="D3986" t="str">
            <v>200401</v>
          </cell>
          <cell r="E3986">
            <v>4.4279999999999999</v>
          </cell>
        </row>
        <row r="3987">
          <cell r="A3987" t="str">
            <v>37598200402</v>
          </cell>
          <cell r="B3987">
            <v>37598</v>
          </cell>
          <cell r="C3987" t="str">
            <v>NG</v>
          </cell>
          <cell r="D3987" t="str">
            <v>200402</v>
          </cell>
          <cell r="E3987">
            <v>4.298</v>
          </cell>
        </row>
        <row r="3988">
          <cell r="A3988" t="str">
            <v>37598200403</v>
          </cell>
          <cell r="B3988">
            <v>37598</v>
          </cell>
          <cell r="C3988" t="str">
            <v>NG</v>
          </cell>
          <cell r="D3988" t="str">
            <v>200403</v>
          </cell>
          <cell r="E3988">
            <v>4.1130000000000004</v>
          </cell>
        </row>
        <row r="3989">
          <cell r="A3989" t="str">
            <v>37598200404</v>
          </cell>
          <cell r="B3989">
            <v>37598</v>
          </cell>
          <cell r="C3989" t="str">
            <v>NG</v>
          </cell>
          <cell r="D3989" t="str">
            <v>200404</v>
          </cell>
          <cell r="E3989">
            <v>3.8530000000000002</v>
          </cell>
        </row>
        <row r="3990">
          <cell r="A3990" t="str">
            <v>37598200405</v>
          </cell>
          <cell r="B3990">
            <v>37598</v>
          </cell>
          <cell r="C3990" t="str">
            <v>NG</v>
          </cell>
          <cell r="D3990" t="str">
            <v>200405</v>
          </cell>
          <cell r="E3990">
            <v>3.7930000000000001</v>
          </cell>
        </row>
        <row r="3991">
          <cell r="A3991" t="str">
            <v>37598200406</v>
          </cell>
          <cell r="B3991">
            <v>37598</v>
          </cell>
          <cell r="C3991" t="str">
            <v>NG</v>
          </cell>
          <cell r="D3991" t="str">
            <v>200406</v>
          </cell>
          <cell r="E3991">
            <v>3.7930000000000001</v>
          </cell>
        </row>
        <row r="3992">
          <cell r="A3992" t="str">
            <v>37598200407</v>
          </cell>
          <cell r="B3992">
            <v>37598</v>
          </cell>
          <cell r="C3992" t="str">
            <v>NG</v>
          </cell>
          <cell r="D3992" t="str">
            <v>200407</v>
          </cell>
          <cell r="E3992">
            <v>3.8029999999999999</v>
          </cell>
        </row>
        <row r="3993">
          <cell r="A3993" t="str">
            <v>37598200408</v>
          </cell>
          <cell r="B3993">
            <v>37598</v>
          </cell>
          <cell r="C3993" t="str">
            <v>NG</v>
          </cell>
          <cell r="D3993" t="str">
            <v>200408</v>
          </cell>
          <cell r="E3993">
            <v>3.8130000000000002</v>
          </cell>
        </row>
        <row r="3994">
          <cell r="A3994" t="str">
            <v>37598200409</v>
          </cell>
          <cell r="B3994">
            <v>37598</v>
          </cell>
          <cell r="C3994" t="str">
            <v>NG</v>
          </cell>
          <cell r="D3994" t="str">
            <v>200409</v>
          </cell>
          <cell r="E3994">
            <v>3.798</v>
          </cell>
        </row>
        <row r="3995">
          <cell r="A3995" t="str">
            <v>37598200410</v>
          </cell>
          <cell r="B3995">
            <v>37598</v>
          </cell>
          <cell r="C3995" t="str">
            <v>NG</v>
          </cell>
          <cell r="D3995" t="str">
            <v>200410</v>
          </cell>
          <cell r="E3995">
            <v>3.823</v>
          </cell>
        </row>
        <row r="3996">
          <cell r="A3996" t="str">
            <v>37598200411</v>
          </cell>
          <cell r="B3996">
            <v>37598</v>
          </cell>
          <cell r="C3996" t="str">
            <v>NG</v>
          </cell>
          <cell r="D3996" t="str">
            <v>200411</v>
          </cell>
          <cell r="E3996">
            <v>3.9809999999999999</v>
          </cell>
        </row>
        <row r="3997">
          <cell r="A3997" t="str">
            <v>37598200412</v>
          </cell>
          <cell r="B3997">
            <v>37598</v>
          </cell>
          <cell r="C3997" t="str">
            <v>NG</v>
          </cell>
          <cell r="D3997" t="str">
            <v>200412</v>
          </cell>
          <cell r="E3997">
            <v>4.1550000000000002</v>
          </cell>
        </row>
        <row r="3998">
          <cell r="A3998" t="str">
            <v>37599200401</v>
          </cell>
          <cell r="B3998">
            <v>37599</v>
          </cell>
          <cell r="C3998" t="str">
            <v>NG</v>
          </cell>
          <cell r="D3998" t="str">
            <v>200401</v>
          </cell>
          <cell r="E3998">
            <v>4.4260000000000002</v>
          </cell>
        </row>
        <row r="3999">
          <cell r="A3999" t="str">
            <v>37599200402</v>
          </cell>
          <cell r="B3999">
            <v>37599</v>
          </cell>
          <cell r="C3999" t="str">
            <v>NG</v>
          </cell>
          <cell r="D3999" t="str">
            <v>200402</v>
          </cell>
          <cell r="E3999">
            <v>4.2960000000000003</v>
          </cell>
        </row>
        <row r="4000">
          <cell r="A4000" t="str">
            <v>37599200403</v>
          </cell>
          <cell r="B4000">
            <v>37599</v>
          </cell>
          <cell r="C4000" t="str">
            <v>NG</v>
          </cell>
          <cell r="D4000" t="str">
            <v>200403</v>
          </cell>
          <cell r="E4000">
            <v>4.1109999999999998</v>
          </cell>
        </row>
        <row r="4001">
          <cell r="A4001" t="str">
            <v>37599200404</v>
          </cell>
          <cell r="B4001">
            <v>37599</v>
          </cell>
          <cell r="C4001" t="str">
            <v>NG</v>
          </cell>
          <cell r="D4001" t="str">
            <v>200404</v>
          </cell>
          <cell r="E4001">
            <v>3.8460000000000001</v>
          </cell>
        </row>
        <row r="4002">
          <cell r="A4002" t="str">
            <v>37599200405</v>
          </cell>
          <cell r="B4002">
            <v>37599</v>
          </cell>
          <cell r="C4002" t="str">
            <v>NG</v>
          </cell>
          <cell r="D4002" t="str">
            <v>200405</v>
          </cell>
          <cell r="E4002">
            <v>3.786</v>
          </cell>
        </row>
        <row r="4003">
          <cell r="A4003" t="str">
            <v>37599200406</v>
          </cell>
          <cell r="B4003">
            <v>37599</v>
          </cell>
          <cell r="C4003" t="str">
            <v>NG</v>
          </cell>
          <cell r="D4003" t="str">
            <v>200406</v>
          </cell>
          <cell r="E4003">
            <v>3.786</v>
          </cell>
        </row>
        <row r="4004">
          <cell r="A4004" t="str">
            <v>37599200407</v>
          </cell>
          <cell r="B4004">
            <v>37599</v>
          </cell>
          <cell r="C4004" t="str">
            <v>NG</v>
          </cell>
          <cell r="D4004" t="str">
            <v>200407</v>
          </cell>
          <cell r="E4004">
            <v>3.7959999999999998</v>
          </cell>
        </row>
        <row r="4005">
          <cell r="A4005" t="str">
            <v>37599200408</v>
          </cell>
          <cell r="B4005">
            <v>37599</v>
          </cell>
          <cell r="C4005" t="str">
            <v>NG</v>
          </cell>
          <cell r="D4005" t="str">
            <v>200408</v>
          </cell>
          <cell r="E4005">
            <v>3.806</v>
          </cell>
        </row>
        <row r="4006">
          <cell r="A4006" t="str">
            <v>37599200409</v>
          </cell>
          <cell r="B4006">
            <v>37599</v>
          </cell>
          <cell r="C4006" t="str">
            <v>NG</v>
          </cell>
          <cell r="D4006" t="str">
            <v>200409</v>
          </cell>
          <cell r="E4006">
            <v>3.7959999999999998</v>
          </cell>
        </row>
        <row r="4007">
          <cell r="A4007" t="str">
            <v>37599200410</v>
          </cell>
          <cell r="B4007">
            <v>37599</v>
          </cell>
          <cell r="C4007" t="str">
            <v>NG</v>
          </cell>
          <cell r="D4007" t="str">
            <v>200410</v>
          </cell>
          <cell r="E4007">
            <v>3.8210000000000002</v>
          </cell>
        </row>
        <row r="4008">
          <cell r="A4008" t="str">
            <v>37599200411</v>
          </cell>
          <cell r="B4008">
            <v>37599</v>
          </cell>
          <cell r="C4008" t="str">
            <v>NG</v>
          </cell>
          <cell r="D4008" t="str">
            <v>200411</v>
          </cell>
          <cell r="E4008">
            <v>3.9790000000000001</v>
          </cell>
        </row>
        <row r="4009">
          <cell r="A4009" t="str">
            <v>37599200412</v>
          </cell>
          <cell r="B4009">
            <v>37599</v>
          </cell>
          <cell r="C4009" t="str">
            <v>NG</v>
          </cell>
          <cell r="D4009" t="str">
            <v>200412</v>
          </cell>
          <cell r="E4009">
            <v>4.1529999999999996</v>
          </cell>
        </row>
        <row r="4010">
          <cell r="A4010" t="str">
            <v>37600200401</v>
          </cell>
          <cell r="B4010">
            <v>37600</v>
          </cell>
          <cell r="C4010" t="str">
            <v>NG</v>
          </cell>
          <cell r="D4010" t="str">
            <v>200401</v>
          </cell>
          <cell r="E4010">
            <v>4.5650000000000004</v>
          </cell>
        </row>
        <row r="4011">
          <cell r="A4011" t="str">
            <v>37600200402</v>
          </cell>
          <cell r="B4011">
            <v>37600</v>
          </cell>
          <cell r="C4011" t="str">
            <v>NG</v>
          </cell>
          <cell r="D4011" t="str">
            <v>200402</v>
          </cell>
          <cell r="E4011">
            <v>4.4349999999999996</v>
          </cell>
        </row>
        <row r="4012">
          <cell r="A4012" t="str">
            <v>37600200403</v>
          </cell>
          <cell r="B4012">
            <v>37600</v>
          </cell>
          <cell r="C4012" t="str">
            <v>NG</v>
          </cell>
          <cell r="D4012" t="str">
            <v>200403</v>
          </cell>
          <cell r="E4012">
            <v>4.24</v>
          </cell>
        </row>
        <row r="4013">
          <cell r="A4013" t="str">
            <v>37600200404</v>
          </cell>
          <cell r="B4013">
            <v>37600</v>
          </cell>
          <cell r="C4013" t="str">
            <v>NG</v>
          </cell>
          <cell r="D4013" t="str">
            <v>200404</v>
          </cell>
          <cell r="E4013">
            <v>3.9550000000000001</v>
          </cell>
        </row>
        <row r="4014">
          <cell r="A4014" t="str">
            <v>37600200405</v>
          </cell>
          <cell r="B4014">
            <v>37600</v>
          </cell>
          <cell r="C4014" t="str">
            <v>NG</v>
          </cell>
          <cell r="D4014" t="str">
            <v>200405</v>
          </cell>
          <cell r="E4014">
            <v>3.88</v>
          </cell>
        </row>
        <row r="4015">
          <cell r="A4015" t="str">
            <v>37600200406</v>
          </cell>
          <cell r="B4015">
            <v>37600</v>
          </cell>
          <cell r="C4015" t="str">
            <v>NG</v>
          </cell>
          <cell r="D4015" t="str">
            <v>200406</v>
          </cell>
          <cell r="E4015">
            <v>3.87</v>
          </cell>
        </row>
        <row r="4016">
          <cell r="A4016" t="str">
            <v>37600200407</v>
          </cell>
          <cell r="B4016">
            <v>37600</v>
          </cell>
          <cell r="C4016" t="str">
            <v>NG</v>
          </cell>
          <cell r="D4016" t="str">
            <v>200407</v>
          </cell>
          <cell r="E4016">
            <v>3.88</v>
          </cell>
        </row>
        <row r="4017">
          <cell r="A4017" t="str">
            <v>37600200408</v>
          </cell>
          <cell r="B4017">
            <v>37600</v>
          </cell>
          <cell r="C4017" t="str">
            <v>NG</v>
          </cell>
          <cell r="D4017" t="str">
            <v>200408</v>
          </cell>
          <cell r="E4017">
            <v>3.895</v>
          </cell>
        </row>
        <row r="4018">
          <cell r="A4018" t="str">
            <v>37600200409</v>
          </cell>
          <cell r="B4018">
            <v>37600</v>
          </cell>
          <cell r="C4018" t="str">
            <v>NG</v>
          </cell>
          <cell r="D4018" t="str">
            <v>200409</v>
          </cell>
          <cell r="E4018">
            <v>3.8849999999999998</v>
          </cell>
        </row>
        <row r="4019">
          <cell r="A4019" t="str">
            <v>37600200410</v>
          </cell>
          <cell r="B4019">
            <v>37600</v>
          </cell>
          <cell r="C4019" t="str">
            <v>NG</v>
          </cell>
          <cell r="D4019" t="str">
            <v>200410</v>
          </cell>
          <cell r="E4019">
            <v>3.89</v>
          </cell>
        </row>
        <row r="4020">
          <cell r="A4020" t="str">
            <v>37600200411</v>
          </cell>
          <cell r="B4020">
            <v>37600</v>
          </cell>
          <cell r="C4020" t="str">
            <v>NG</v>
          </cell>
          <cell r="D4020" t="str">
            <v>200411</v>
          </cell>
          <cell r="E4020">
            <v>4.0549999999999997</v>
          </cell>
        </row>
        <row r="4021">
          <cell r="A4021" t="str">
            <v>37600200412</v>
          </cell>
          <cell r="B4021">
            <v>37600</v>
          </cell>
          <cell r="C4021" t="str">
            <v>NG</v>
          </cell>
          <cell r="D4021" t="str">
            <v>200412</v>
          </cell>
          <cell r="E4021">
            <v>4.2050000000000001</v>
          </cell>
        </row>
        <row r="4022">
          <cell r="A4022" t="str">
            <v>37601200401</v>
          </cell>
          <cell r="B4022">
            <v>37601</v>
          </cell>
          <cell r="C4022" t="str">
            <v>NG</v>
          </cell>
          <cell r="D4022" t="str">
            <v>200401</v>
          </cell>
          <cell r="E4022">
            <v>4.5620000000000003</v>
          </cell>
        </row>
        <row r="4023">
          <cell r="A4023" t="str">
            <v>37601200402</v>
          </cell>
          <cell r="B4023">
            <v>37601</v>
          </cell>
          <cell r="C4023" t="str">
            <v>NG</v>
          </cell>
          <cell r="D4023" t="str">
            <v>200402</v>
          </cell>
          <cell r="E4023">
            <v>4.4290000000000003</v>
          </cell>
        </row>
        <row r="4024">
          <cell r="A4024" t="str">
            <v>37601200403</v>
          </cell>
          <cell r="B4024">
            <v>37601</v>
          </cell>
          <cell r="C4024" t="str">
            <v>NG</v>
          </cell>
          <cell r="D4024" t="str">
            <v>200403</v>
          </cell>
          <cell r="E4024">
            <v>4.2240000000000002</v>
          </cell>
        </row>
        <row r="4025">
          <cell r="A4025" t="str">
            <v>37601200404</v>
          </cell>
          <cell r="B4025">
            <v>37601</v>
          </cell>
          <cell r="C4025" t="str">
            <v>NG</v>
          </cell>
          <cell r="D4025" t="str">
            <v>200404</v>
          </cell>
          <cell r="E4025">
            <v>3.9289999999999998</v>
          </cell>
        </row>
        <row r="4026">
          <cell r="A4026" t="str">
            <v>37601200405</v>
          </cell>
          <cell r="B4026">
            <v>37601</v>
          </cell>
          <cell r="C4026" t="str">
            <v>NG</v>
          </cell>
          <cell r="D4026" t="str">
            <v>200405</v>
          </cell>
          <cell r="E4026">
            <v>3.8540000000000001</v>
          </cell>
        </row>
        <row r="4027">
          <cell r="A4027" t="str">
            <v>37601200406</v>
          </cell>
          <cell r="B4027">
            <v>37601</v>
          </cell>
          <cell r="C4027" t="str">
            <v>NG</v>
          </cell>
          <cell r="D4027" t="str">
            <v>200406</v>
          </cell>
          <cell r="E4027">
            <v>3.8439999999999999</v>
          </cell>
        </row>
        <row r="4028">
          <cell r="A4028" t="str">
            <v>37601200407</v>
          </cell>
          <cell r="B4028">
            <v>37601</v>
          </cell>
          <cell r="C4028" t="str">
            <v>NG</v>
          </cell>
          <cell r="D4028" t="str">
            <v>200407</v>
          </cell>
          <cell r="E4028">
            <v>3.8540000000000001</v>
          </cell>
        </row>
        <row r="4029">
          <cell r="A4029" t="str">
            <v>37601200408</v>
          </cell>
          <cell r="B4029">
            <v>37601</v>
          </cell>
          <cell r="C4029" t="str">
            <v>NG</v>
          </cell>
          <cell r="D4029" t="str">
            <v>200408</v>
          </cell>
          <cell r="E4029">
            <v>3.8690000000000002</v>
          </cell>
        </row>
        <row r="4030">
          <cell r="A4030" t="str">
            <v>37601200409</v>
          </cell>
          <cell r="B4030">
            <v>37601</v>
          </cell>
          <cell r="C4030" t="str">
            <v>NG</v>
          </cell>
          <cell r="D4030" t="str">
            <v>200409</v>
          </cell>
          <cell r="E4030">
            <v>3.859</v>
          </cell>
        </row>
        <row r="4031">
          <cell r="A4031" t="str">
            <v>37601200410</v>
          </cell>
          <cell r="B4031">
            <v>37601</v>
          </cell>
          <cell r="C4031" t="str">
            <v>NG</v>
          </cell>
          <cell r="D4031" t="str">
            <v>200410</v>
          </cell>
          <cell r="E4031">
            <v>3.8690000000000002</v>
          </cell>
        </row>
        <row r="4032">
          <cell r="A4032" t="str">
            <v>37601200411</v>
          </cell>
          <cell r="B4032">
            <v>37601</v>
          </cell>
          <cell r="C4032" t="str">
            <v>NG</v>
          </cell>
          <cell r="D4032" t="str">
            <v>200411</v>
          </cell>
          <cell r="E4032">
            <v>4.0339999999999998</v>
          </cell>
        </row>
        <row r="4033">
          <cell r="A4033" t="str">
            <v>37601200412</v>
          </cell>
          <cell r="B4033">
            <v>37601</v>
          </cell>
          <cell r="C4033" t="str">
            <v>NG</v>
          </cell>
          <cell r="D4033" t="str">
            <v>200412</v>
          </cell>
          <cell r="E4033">
            <v>4.1890000000000001</v>
          </cell>
        </row>
        <row r="4034">
          <cell r="A4034" t="str">
            <v>37602200401</v>
          </cell>
          <cell r="B4034">
            <v>37602</v>
          </cell>
          <cell r="C4034" t="str">
            <v>NG</v>
          </cell>
          <cell r="D4034" t="str">
            <v>200401</v>
          </cell>
          <cell r="E4034">
            <v>4.6100000000000003</v>
          </cell>
        </row>
        <row r="4035">
          <cell r="A4035" t="str">
            <v>37602200402</v>
          </cell>
          <cell r="B4035">
            <v>37602</v>
          </cell>
          <cell r="C4035" t="str">
            <v>NG</v>
          </cell>
          <cell r="D4035" t="str">
            <v>200402</v>
          </cell>
          <cell r="E4035">
            <v>4.49</v>
          </cell>
        </row>
        <row r="4036">
          <cell r="A4036" t="str">
            <v>37602200403</v>
          </cell>
          <cell r="B4036">
            <v>37602</v>
          </cell>
          <cell r="C4036" t="str">
            <v>NG</v>
          </cell>
          <cell r="D4036" t="str">
            <v>200403</v>
          </cell>
          <cell r="E4036">
            <v>4.2850000000000001</v>
          </cell>
        </row>
        <row r="4037">
          <cell r="A4037" t="str">
            <v>37602200404</v>
          </cell>
          <cell r="B4037">
            <v>37602</v>
          </cell>
          <cell r="C4037" t="str">
            <v>NG</v>
          </cell>
          <cell r="D4037" t="str">
            <v>200404</v>
          </cell>
          <cell r="E4037">
            <v>3.98</v>
          </cell>
        </row>
        <row r="4038">
          <cell r="A4038" t="str">
            <v>37602200405</v>
          </cell>
          <cell r="B4038">
            <v>37602</v>
          </cell>
          <cell r="C4038" t="str">
            <v>NG</v>
          </cell>
          <cell r="D4038" t="str">
            <v>200405</v>
          </cell>
          <cell r="E4038">
            <v>3.895</v>
          </cell>
        </row>
        <row r="4039">
          <cell r="A4039" t="str">
            <v>37602200406</v>
          </cell>
          <cell r="B4039">
            <v>37602</v>
          </cell>
          <cell r="C4039" t="str">
            <v>NG</v>
          </cell>
          <cell r="D4039" t="str">
            <v>200406</v>
          </cell>
          <cell r="E4039">
            <v>3.8820000000000001</v>
          </cell>
        </row>
        <row r="4040">
          <cell r="A4040" t="str">
            <v>37602200407</v>
          </cell>
          <cell r="B4040">
            <v>37602</v>
          </cell>
          <cell r="C4040" t="str">
            <v>NG</v>
          </cell>
          <cell r="D4040" t="str">
            <v>200407</v>
          </cell>
          <cell r="E4040">
            <v>3.8919999999999999</v>
          </cell>
        </row>
        <row r="4041">
          <cell r="A4041" t="str">
            <v>37602200408</v>
          </cell>
          <cell r="B4041">
            <v>37602</v>
          </cell>
          <cell r="C4041" t="str">
            <v>NG</v>
          </cell>
          <cell r="D4041" t="str">
            <v>200408</v>
          </cell>
          <cell r="E4041">
            <v>3.907</v>
          </cell>
        </row>
        <row r="4042">
          <cell r="A4042" t="str">
            <v>37602200409</v>
          </cell>
          <cell r="B4042">
            <v>37602</v>
          </cell>
          <cell r="C4042" t="str">
            <v>NG</v>
          </cell>
          <cell r="D4042" t="str">
            <v>200409</v>
          </cell>
          <cell r="E4042">
            <v>3.8919999999999999</v>
          </cell>
        </row>
        <row r="4043">
          <cell r="A4043" t="str">
            <v>37602200410</v>
          </cell>
          <cell r="B4043">
            <v>37602</v>
          </cell>
          <cell r="C4043" t="str">
            <v>NG</v>
          </cell>
          <cell r="D4043" t="str">
            <v>200410</v>
          </cell>
          <cell r="E4043">
            <v>3.8690000000000002</v>
          </cell>
        </row>
        <row r="4044">
          <cell r="A4044" t="str">
            <v>37602200411</v>
          </cell>
          <cell r="B4044">
            <v>37602</v>
          </cell>
          <cell r="C4044" t="str">
            <v>NG</v>
          </cell>
          <cell r="D4044" t="str">
            <v>200411</v>
          </cell>
          <cell r="E4044">
            <v>4.0339999999999998</v>
          </cell>
        </row>
        <row r="4045">
          <cell r="A4045" t="str">
            <v>37602200412</v>
          </cell>
          <cell r="B4045">
            <v>37602</v>
          </cell>
          <cell r="C4045" t="str">
            <v>NG</v>
          </cell>
          <cell r="D4045" t="str">
            <v>200412</v>
          </cell>
          <cell r="E4045">
            <v>4.1890000000000001</v>
          </cell>
        </row>
        <row r="4046">
          <cell r="A4046" t="str">
            <v>37603200401</v>
          </cell>
          <cell r="B4046">
            <v>37603</v>
          </cell>
          <cell r="C4046" t="str">
            <v>NG</v>
          </cell>
          <cell r="D4046" t="str">
            <v>200401</v>
          </cell>
          <cell r="E4046">
            <v>4.665</v>
          </cell>
        </row>
        <row r="4047">
          <cell r="A4047" t="str">
            <v>37603200402</v>
          </cell>
          <cell r="B4047">
            <v>37603</v>
          </cell>
          <cell r="C4047" t="str">
            <v>NG</v>
          </cell>
          <cell r="D4047" t="str">
            <v>200402</v>
          </cell>
          <cell r="E4047">
            <v>4.5419999999999998</v>
          </cell>
        </row>
        <row r="4048">
          <cell r="A4048" t="str">
            <v>37603200403</v>
          </cell>
          <cell r="B4048">
            <v>37603</v>
          </cell>
          <cell r="C4048" t="str">
            <v>NG</v>
          </cell>
          <cell r="D4048" t="str">
            <v>200403</v>
          </cell>
          <cell r="E4048">
            <v>4.34</v>
          </cell>
        </row>
        <row r="4049">
          <cell r="A4049" t="str">
            <v>37603200404</v>
          </cell>
          <cell r="B4049">
            <v>37603</v>
          </cell>
          <cell r="C4049" t="str">
            <v>NG</v>
          </cell>
          <cell r="D4049" t="str">
            <v>200404</v>
          </cell>
          <cell r="E4049">
            <v>4.0350000000000001</v>
          </cell>
        </row>
        <row r="4050">
          <cell r="A4050" t="str">
            <v>37603200405</v>
          </cell>
          <cell r="B4050">
            <v>37603</v>
          </cell>
          <cell r="C4050" t="str">
            <v>NG</v>
          </cell>
          <cell r="D4050" t="str">
            <v>200405</v>
          </cell>
          <cell r="E4050">
            <v>3.95</v>
          </cell>
        </row>
        <row r="4051">
          <cell r="A4051" t="str">
            <v>37603200406</v>
          </cell>
          <cell r="B4051">
            <v>37603</v>
          </cell>
          <cell r="C4051" t="str">
            <v>NG</v>
          </cell>
          <cell r="D4051" t="str">
            <v>200406</v>
          </cell>
          <cell r="E4051">
            <v>3.9350000000000001</v>
          </cell>
        </row>
        <row r="4052">
          <cell r="A4052" t="str">
            <v>37603200407</v>
          </cell>
          <cell r="B4052">
            <v>37603</v>
          </cell>
          <cell r="C4052" t="str">
            <v>NG</v>
          </cell>
          <cell r="D4052" t="str">
            <v>200407</v>
          </cell>
          <cell r="E4052">
            <v>3.9449999999999998</v>
          </cell>
        </row>
        <row r="4053">
          <cell r="A4053" t="str">
            <v>37603200408</v>
          </cell>
          <cell r="B4053">
            <v>37603</v>
          </cell>
          <cell r="C4053" t="str">
            <v>NG</v>
          </cell>
          <cell r="D4053" t="str">
            <v>200408</v>
          </cell>
          <cell r="E4053">
            <v>3.96</v>
          </cell>
        </row>
        <row r="4054">
          <cell r="A4054" t="str">
            <v>37603200409</v>
          </cell>
          <cell r="B4054">
            <v>37603</v>
          </cell>
          <cell r="C4054" t="str">
            <v>NG</v>
          </cell>
          <cell r="D4054" t="str">
            <v>200409</v>
          </cell>
          <cell r="E4054">
            <v>3.9449999999999998</v>
          </cell>
        </row>
        <row r="4055">
          <cell r="A4055" t="str">
            <v>37603200410</v>
          </cell>
          <cell r="B4055">
            <v>37603</v>
          </cell>
          <cell r="C4055" t="str">
            <v>NG</v>
          </cell>
          <cell r="D4055" t="str">
            <v>200410</v>
          </cell>
          <cell r="E4055">
            <v>3.9550000000000001</v>
          </cell>
        </row>
        <row r="4056">
          <cell r="A4056" t="str">
            <v>37603200411</v>
          </cell>
          <cell r="B4056">
            <v>37603</v>
          </cell>
          <cell r="C4056" t="str">
            <v>NG</v>
          </cell>
          <cell r="D4056" t="str">
            <v>200411</v>
          </cell>
          <cell r="E4056">
            <v>4.12</v>
          </cell>
        </row>
        <row r="4057">
          <cell r="A4057" t="str">
            <v>37603200412</v>
          </cell>
          <cell r="B4057">
            <v>37603</v>
          </cell>
          <cell r="C4057" t="str">
            <v>NG</v>
          </cell>
          <cell r="D4057" t="str">
            <v>200412</v>
          </cell>
          <cell r="E4057">
            <v>4.28</v>
          </cell>
        </row>
        <row r="4058">
          <cell r="A4058" t="str">
            <v>37604200401</v>
          </cell>
          <cell r="B4058">
            <v>37604</v>
          </cell>
          <cell r="C4058" t="str">
            <v>NG</v>
          </cell>
          <cell r="D4058" t="str">
            <v>200401</v>
          </cell>
          <cell r="E4058">
            <v>4.665</v>
          </cell>
        </row>
        <row r="4059">
          <cell r="A4059" t="str">
            <v>37604200402</v>
          </cell>
          <cell r="B4059">
            <v>37604</v>
          </cell>
          <cell r="C4059" t="str">
            <v>NG</v>
          </cell>
          <cell r="D4059" t="str">
            <v>200402</v>
          </cell>
          <cell r="E4059">
            <v>4.5419999999999998</v>
          </cell>
        </row>
        <row r="4060">
          <cell r="A4060" t="str">
            <v>37604200403</v>
          </cell>
          <cell r="B4060">
            <v>37604</v>
          </cell>
          <cell r="C4060" t="str">
            <v>NG</v>
          </cell>
          <cell r="D4060" t="str">
            <v>200403</v>
          </cell>
          <cell r="E4060">
            <v>4.34</v>
          </cell>
        </row>
        <row r="4061">
          <cell r="A4061" t="str">
            <v>37604200404</v>
          </cell>
          <cell r="B4061">
            <v>37604</v>
          </cell>
          <cell r="C4061" t="str">
            <v>NG</v>
          </cell>
          <cell r="D4061" t="str">
            <v>200404</v>
          </cell>
          <cell r="E4061">
            <v>4.0350000000000001</v>
          </cell>
        </row>
        <row r="4062">
          <cell r="A4062" t="str">
            <v>37604200405</v>
          </cell>
          <cell r="B4062">
            <v>37604</v>
          </cell>
          <cell r="C4062" t="str">
            <v>NG</v>
          </cell>
          <cell r="D4062" t="str">
            <v>200405</v>
          </cell>
          <cell r="E4062">
            <v>3.95</v>
          </cell>
        </row>
        <row r="4063">
          <cell r="A4063" t="str">
            <v>37604200406</v>
          </cell>
          <cell r="B4063">
            <v>37604</v>
          </cell>
          <cell r="C4063" t="str">
            <v>NG</v>
          </cell>
          <cell r="D4063" t="str">
            <v>200406</v>
          </cell>
          <cell r="E4063">
            <v>3.9350000000000001</v>
          </cell>
        </row>
        <row r="4064">
          <cell r="A4064" t="str">
            <v>37604200407</v>
          </cell>
          <cell r="B4064">
            <v>37604</v>
          </cell>
          <cell r="C4064" t="str">
            <v>NG</v>
          </cell>
          <cell r="D4064" t="str">
            <v>200407</v>
          </cell>
          <cell r="E4064">
            <v>3.9449999999999998</v>
          </cell>
        </row>
        <row r="4065">
          <cell r="A4065" t="str">
            <v>37604200408</v>
          </cell>
          <cell r="B4065">
            <v>37604</v>
          </cell>
          <cell r="C4065" t="str">
            <v>NG</v>
          </cell>
          <cell r="D4065" t="str">
            <v>200408</v>
          </cell>
          <cell r="E4065">
            <v>3.96</v>
          </cell>
        </row>
        <row r="4066">
          <cell r="A4066" t="str">
            <v>37604200409</v>
          </cell>
          <cell r="B4066">
            <v>37604</v>
          </cell>
          <cell r="C4066" t="str">
            <v>NG</v>
          </cell>
          <cell r="D4066" t="str">
            <v>200409</v>
          </cell>
          <cell r="E4066">
            <v>3.9449999999999998</v>
          </cell>
        </row>
        <row r="4067">
          <cell r="A4067" t="str">
            <v>37604200410</v>
          </cell>
          <cell r="B4067">
            <v>37604</v>
          </cell>
          <cell r="C4067" t="str">
            <v>NG</v>
          </cell>
          <cell r="D4067" t="str">
            <v>200410</v>
          </cell>
          <cell r="E4067">
            <v>3.9550000000000001</v>
          </cell>
        </row>
        <row r="4068">
          <cell r="A4068" t="str">
            <v>37604200411</v>
          </cell>
          <cell r="B4068">
            <v>37604</v>
          </cell>
          <cell r="C4068" t="str">
            <v>NG</v>
          </cell>
          <cell r="D4068" t="str">
            <v>200411</v>
          </cell>
          <cell r="E4068">
            <v>4.12</v>
          </cell>
        </row>
        <row r="4069">
          <cell r="A4069" t="str">
            <v>37604200412</v>
          </cell>
          <cell r="B4069">
            <v>37604</v>
          </cell>
          <cell r="C4069" t="str">
            <v>NG</v>
          </cell>
          <cell r="D4069" t="str">
            <v>200412</v>
          </cell>
          <cell r="E4069">
            <v>4.28</v>
          </cell>
        </row>
        <row r="4070">
          <cell r="A4070" t="str">
            <v>37605200401</v>
          </cell>
          <cell r="B4070">
            <v>37605</v>
          </cell>
          <cell r="C4070" t="str">
            <v>NG</v>
          </cell>
          <cell r="D4070" t="str">
            <v>200401</v>
          </cell>
          <cell r="E4070">
            <v>4.665</v>
          </cell>
        </row>
        <row r="4071">
          <cell r="A4071" t="str">
            <v>37605200402</v>
          </cell>
          <cell r="B4071">
            <v>37605</v>
          </cell>
          <cell r="C4071" t="str">
            <v>NG</v>
          </cell>
          <cell r="D4071" t="str">
            <v>200402</v>
          </cell>
          <cell r="E4071">
            <v>4.5419999999999998</v>
          </cell>
        </row>
        <row r="4072">
          <cell r="A4072" t="str">
            <v>37605200403</v>
          </cell>
          <cell r="B4072">
            <v>37605</v>
          </cell>
          <cell r="C4072" t="str">
            <v>NG</v>
          </cell>
          <cell r="D4072" t="str">
            <v>200403</v>
          </cell>
          <cell r="E4072">
            <v>4.34</v>
          </cell>
        </row>
        <row r="4073">
          <cell r="A4073" t="str">
            <v>37605200404</v>
          </cell>
          <cell r="B4073">
            <v>37605</v>
          </cell>
          <cell r="C4073" t="str">
            <v>NG</v>
          </cell>
          <cell r="D4073" t="str">
            <v>200404</v>
          </cell>
          <cell r="E4073">
            <v>4.0350000000000001</v>
          </cell>
        </row>
        <row r="4074">
          <cell r="A4074" t="str">
            <v>37605200405</v>
          </cell>
          <cell r="B4074">
            <v>37605</v>
          </cell>
          <cell r="C4074" t="str">
            <v>NG</v>
          </cell>
          <cell r="D4074" t="str">
            <v>200405</v>
          </cell>
          <cell r="E4074">
            <v>3.95</v>
          </cell>
        </row>
        <row r="4075">
          <cell r="A4075" t="str">
            <v>37605200406</v>
          </cell>
          <cell r="B4075">
            <v>37605</v>
          </cell>
          <cell r="C4075" t="str">
            <v>NG</v>
          </cell>
          <cell r="D4075" t="str">
            <v>200406</v>
          </cell>
          <cell r="E4075">
            <v>3.9350000000000001</v>
          </cell>
        </row>
        <row r="4076">
          <cell r="A4076" t="str">
            <v>37605200407</v>
          </cell>
          <cell r="B4076">
            <v>37605</v>
          </cell>
          <cell r="C4076" t="str">
            <v>NG</v>
          </cell>
          <cell r="D4076" t="str">
            <v>200407</v>
          </cell>
          <cell r="E4076">
            <v>3.9449999999999998</v>
          </cell>
        </row>
        <row r="4077">
          <cell r="A4077" t="str">
            <v>37605200408</v>
          </cell>
          <cell r="B4077">
            <v>37605</v>
          </cell>
          <cell r="C4077" t="str">
            <v>NG</v>
          </cell>
          <cell r="D4077" t="str">
            <v>200408</v>
          </cell>
          <cell r="E4077">
            <v>3.96</v>
          </cell>
        </row>
        <row r="4078">
          <cell r="A4078" t="str">
            <v>37605200409</v>
          </cell>
          <cell r="B4078">
            <v>37605</v>
          </cell>
          <cell r="C4078" t="str">
            <v>NG</v>
          </cell>
          <cell r="D4078" t="str">
            <v>200409</v>
          </cell>
          <cell r="E4078">
            <v>3.9449999999999998</v>
          </cell>
        </row>
        <row r="4079">
          <cell r="A4079" t="str">
            <v>37605200410</v>
          </cell>
          <cell r="B4079">
            <v>37605</v>
          </cell>
          <cell r="C4079" t="str">
            <v>NG</v>
          </cell>
          <cell r="D4079" t="str">
            <v>200410</v>
          </cell>
          <cell r="E4079">
            <v>3.9550000000000001</v>
          </cell>
        </row>
        <row r="4080">
          <cell r="A4080" t="str">
            <v>37605200411</v>
          </cell>
          <cell r="B4080">
            <v>37605</v>
          </cell>
          <cell r="C4080" t="str">
            <v>NG</v>
          </cell>
          <cell r="D4080" t="str">
            <v>200411</v>
          </cell>
          <cell r="E4080">
            <v>4.12</v>
          </cell>
        </row>
        <row r="4081">
          <cell r="A4081" t="str">
            <v>37605200412</v>
          </cell>
          <cell r="B4081">
            <v>37605</v>
          </cell>
          <cell r="C4081" t="str">
            <v>NG</v>
          </cell>
          <cell r="D4081" t="str">
            <v>200412</v>
          </cell>
          <cell r="E4081">
            <v>4.28</v>
          </cell>
        </row>
        <row r="4082">
          <cell r="A4082" t="str">
            <v>37606200401</v>
          </cell>
          <cell r="B4082">
            <v>37606</v>
          </cell>
          <cell r="C4082" t="str">
            <v>NG</v>
          </cell>
          <cell r="D4082" t="str">
            <v>200401</v>
          </cell>
          <cell r="E4082">
            <v>4.6219999999999999</v>
          </cell>
        </row>
        <row r="4083">
          <cell r="A4083" t="str">
            <v>37606200402</v>
          </cell>
          <cell r="B4083">
            <v>37606</v>
          </cell>
          <cell r="C4083" t="str">
            <v>NG</v>
          </cell>
          <cell r="D4083" t="str">
            <v>200402</v>
          </cell>
          <cell r="E4083">
            <v>4.4989999999999997</v>
          </cell>
        </row>
        <row r="4084">
          <cell r="A4084" t="str">
            <v>37606200403</v>
          </cell>
          <cell r="B4084">
            <v>37606</v>
          </cell>
          <cell r="C4084" t="str">
            <v>NG</v>
          </cell>
          <cell r="D4084" t="str">
            <v>200403</v>
          </cell>
          <cell r="E4084">
            <v>4.2939999999999996</v>
          </cell>
        </row>
        <row r="4085">
          <cell r="A4085" t="str">
            <v>37606200404</v>
          </cell>
          <cell r="B4085">
            <v>37606</v>
          </cell>
          <cell r="C4085" t="str">
            <v>NG</v>
          </cell>
          <cell r="D4085" t="str">
            <v>200404</v>
          </cell>
          <cell r="E4085">
            <v>3.9790000000000001</v>
          </cell>
        </row>
        <row r="4086">
          <cell r="A4086" t="str">
            <v>37606200405</v>
          </cell>
          <cell r="B4086">
            <v>37606</v>
          </cell>
          <cell r="C4086" t="str">
            <v>NG</v>
          </cell>
          <cell r="D4086" t="str">
            <v>200405</v>
          </cell>
          <cell r="E4086">
            <v>3.8889999999999998</v>
          </cell>
        </row>
        <row r="4087">
          <cell r="A4087" t="str">
            <v>37606200406</v>
          </cell>
          <cell r="B4087">
            <v>37606</v>
          </cell>
          <cell r="C4087" t="str">
            <v>NG</v>
          </cell>
          <cell r="D4087" t="str">
            <v>200406</v>
          </cell>
          <cell r="E4087">
            <v>3.8639999999999999</v>
          </cell>
        </row>
        <row r="4088">
          <cell r="A4088" t="str">
            <v>37606200407</v>
          </cell>
          <cell r="B4088">
            <v>37606</v>
          </cell>
          <cell r="C4088" t="str">
            <v>NG</v>
          </cell>
          <cell r="D4088" t="str">
            <v>200407</v>
          </cell>
          <cell r="E4088">
            <v>3.8690000000000002</v>
          </cell>
        </row>
        <row r="4089">
          <cell r="A4089" t="str">
            <v>37606200408</v>
          </cell>
          <cell r="B4089">
            <v>37606</v>
          </cell>
          <cell r="C4089" t="str">
            <v>NG</v>
          </cell>
          <cell r="D4089" t="str">
            <v>200408</v>
          </cell>
          <cell r="E4089">
            <v>3.8820000000000001</v>
          </cell>
        </row>
        <row r="4090">
          <cell r="A4090" t="str">
            <v>37606200409</v>
          </cell>
          <cell r="B4090">
            <v>37606</v>
          </cell>
          <cell r="C4090" t="str">
            <v>NG</v>
          </cell>
          <cell r="D4090" t="str">
            <v>200409</v>
          </cell>
          <cell r="E4090">
            <v>3.867</v>
          </cell>
        </row>
        <row r="4091">
          <cell r="A4091" t="str">
            <v>37606200410</v>
          </cell>
          <cell r="B4091">
            <v>37606</v>
          </cell>
          <cell r="C4091" t="str">
            <v>NG</v>
          </cell>
          <cell r="D4091" t="str">
            <v>200410</v>
          </cell>
          <cell r="E4091">
            <v>3.8769999999999998</v>
          </cell>
        </row>
        <row r="4092">
          <cell r="A4092" t="str">
            <v>37606200411</v>
          </cell>
          <cell r="B4092">
            <v>37606</v>
          </cell>
          <cell r="C4092" t="str">
            <v>NG</v>
          </cell>
          <cell r="D4092" t="str">
            <v>200411</v>
          </cell>
          <cell r="E4092">
            <v>4.0419999999999998</v>
          </cell>
        </row>
        <row r="4093">
          <cell r="A4093" t="str">
            <v>37606200412</v>
          </cell>
          <cell r="B4093">
            <v>37606</v>
          </cell>
          <cell r="C4093" t="str">
            <v>NG</v>
          </cell>
          <cell r="D4093" t="str">
            <v>200412</v>
          </cell>
          <cell r="E4093">
            <v>4.202</v>
          </cell>
        </row>
        <row r="4094">
          <cell r="A4094" t="str">
            <v>37607200401</v>
          </cell>
          <cell r="B4094">
            <v>37607</v>
          </cell>
          <cell r="C4094" t="str">
            <v>NG</v>
          </cell>
          <cell r="D4094" t="str">
            <v>200401</v>
          </cell>
          <cell r="E4094">
            <v>4.5890000000000004</v>
          </cell>
        </row>
        <row r="4095">
          <cell r="A4095" t="str">
            <v>37607200402</v>
          </cell>
          <cell r="B4095">
            <v>37607</v>
          </cell>
          <cell r="C4095" t="str">
            <v>NG</v>
          </cell>
          <cell r="D4095" t="str">
            <v>200402</v>
          </cell>
          <cell r="E4095">
            <v>4.4690000000000003</v>
          </cell>
        </row>
        <row r="4096">
          <cell r="A4096" t="str">
            <v>37607200403</v>
          </cell>
          <cell r="B4096">
            <v>37607</v>
          </cell>
          <cell r="C4096" t="str">
            <v>NG</v>
          </cell>
          <cell r="D4096" t="str">
            <v>200403</v>
          </cell>
          <cell r="E4096">
            <v>4.2640000000000002</v>
          </cell>
        </row>
        <row r="4097">
          <cell r="A4097" t="str">
            <v>37607200404</v>
          </cell>
          <cell r="B4097">
            <v>37607</v>
          </cell>
          <cell r="C4097" t="str">
            <v>NG</v>
          </cell>
          <cell r="D4097" t="str">
            <v>200404</v>
          </cell>
          <cell r="E4097">
            <v>3.9390000000000001</v>
          </cell>
        </row>
        <row r="4098">
          <cell r="A4098" t="str">
            <v>37607200405</v>
          </cell>
          <cell r="B4098">
            <v>37607</v>
          </cell>
          <cell r="C4098" t="str">
            <v>NG</v>
          </cell>
          <cell r="D4098" t="str">
            <v>200405</v>
          </cell>
          <cell r="E4098">
            <v>3.8540000000000001</v>
          </cell>
        </row>
        <row r="4099">
          <cell r="A4099" t="str">
            <v>37607200406</v>
          </cell>
          <cell r="B4099">
            <v>37607</v>
          </cell>
          <cell r="C4099" t="str">
            <v>NG</v>
          </cell>
          <cell r="D4099" t="str">
            <v>200406</v>
          </cell>
          <cell r="E4099">
            <v>3.8290000000000002</v>
          </cell>
        </row>
        <row r="4100">
          <cell r="A4100" t="str">
            <v>37607200407</v>
          </cell>
          <cell r="B4100">
            <v>37607</v>
          </cell>
          <cell r="C4100" t="str">
            <v>NG</v>
          </cell>
          <cell r="D4100" t="str">
            <v>200407</v>
          </cell>
          <cell r="E4100">
            <v>3.8340000000000001</v>
          </cell>
        </row>
        <row r="4101">
          <cell r="A4101" t="str">
            <v>37607200408</v>
          </cell>
          <cell r="B4101">
            <v>37607</v>
          </cell>
          <cell r="C4101" t="str">
            <v>NG</v>
          </cell>
          <cell r="D4101" t="str">
            <v>200408</v>
          </cell>
          <cell r="E4101">
            <v>3.8439999999999999</v>
          </cell>
        </row>
        <row r="4102">
          <cell r="A4102" t="str">
            <v>37607200409</v>
          </cell>
          <cell r="B4102">
            <v>37607</v>
          </cell>
          <cell r="C4102" t="str">
            <v>NG</v>
          </cell>
          <cell r="D4102" t="str">
            <v>200409</v>
          </cell>
          <cell r="E4102">
            <v>3.8290000000000002</v>
          </cell>
        </row>
        <row r="4103">
          <cell r="A4103" t="str">
            <v>37607200410</v>
          </cell>
          <cell r="B4103">
            <v>37607</v>
          </cell>
          <cell r="C4103" t="str">
            <v>NG</v>
          </cell>
          <cell r="D4103" t="str">
            <v>200410</v>
          </cell>
          <cell r="E4103">
            <v>3.839</v>
          </cell>
        </row>
        <row r="4104">
          <cell r="A4104" t="str">
            <v>37607200411</v>
          </cell>
          <cell r="B4104">
            <v>37607</v>
          </cell>
          <cell r="C4104" t="str">
            <v>NG</v>
          </cell>
          <cell r="D4104" t="str">
            <v>200411</v>
          </cell>
          <cell r="E4104">
            <v>4.0039999999999996</v>
          </cell>
        </row>
        <row r="4105">
          <cell r="A4105" t="str">
            <v>37607200412</v>
          </cell>
          <cell r="B4105">
            <v>37607</v>
          </cell>
          <cell r="C4105" t="str">
            <v>NG</v>
          </cell>
          <cell r="D4105" t="str">
            <v>200412</v>
          </cell>
          <cell r="E4105">
            <v>4.1689999999999996</v>
          </cell>
        </row>
        <row r="4106">
          <cell r="A4106" t="str">
            <v>37608200401</v>
          </cell>
          <cell r="B4106">
            <v>37608</v>
          </cell>
          <cell r="C4106" t="str">
            <v>NG</v>
          </cell>
          <cell r="D4106" t="str">
            <v>200401</v>
          </cell>
          <cell r="E4106">
            <v>4.62</v>
          </cell>
        </row>
        <row r="4107">
          <cell r="A4107" t="str">
            <v>37608200402</v>
          </cell>
          <cell r="B4107">
            <v>37608</v>
          </cell>
          <cell r="C4107" t="str">
            <v>NG</v>
          </cell>
          <cell r="D4107" t="str">
            <v>200402</v>
          </cell>
          <cell r="E4107">
            <v>4.5</v>
          </cell>
        </row>
        <row r="4108">
          <cell r="A4108" t="str">
            <v>37608200403</v>
          </cell>
          <cell r="B4108">
            <v>37608</v>
          </cell>
          <cell r="C4108" t="str">
            <v>NG</v>
          </cell>
          <cell r="D4108" t="str">
            <v>200403</v>
          </cell>
          <cell r="E4108">
            <v>4.2949999999999999</v>
          </cell>
        </row>
        <row r="4109">
          <cell r="A4109" t="str">
            <v>37608200404</v>
          </cell>
          <cell r="B4109">
            <v>37608</v>
          </cell>
          <cell r="C4109" t="str">
            <v>NG</v>
          </cell>
          <cell r="D4109" t="str">
            <v>200404</v>
          </cell>
          <cell r="E4109">
            <v>3.96</v>
          </cell>
        </row>
        <row r="4110">
          <cell r="A4110" t="str">
            <v>37608200405</v>
          </cell>
          <cell r="B4110">
            <v>37608</v>
          </cell>
          <cell r="C4110" t="str">
            <v>NG</v>
          </cell>
          <cell r="D4110" t="str">
            <v>200405</v>
          </cell>
          <cell r="E4110">
            <v>3.8679999999999999</v>
          </cell>
        </row>
        <row r="4111">
          <cell r="A4111" t="str">
            <v>37608200406</v>
          </cell>
          <cell r="B4111">
            <v>37608</v>
          </cell>
          <cell r="C4111" t="str">
            <v>NG</v>
          </cell>
          <cell r="D4111" t="str">
            <v>200406</v>
          </cell>
          <cell r="E4111">
            <v>3.8380000000000001</v>
          </cell>
        </row>
        <row r="4112">
          <cell r="A4112" t="str">
            <v>37608200407</v>
          </cell>
          <cell r="B4112">
            <v>37608</v>
          </cell>
          <cell r="C4112" t="str">
            <v>NG</v>
          </cell>
          <cell r="D4112" t="str">
            <v>200407</v>
          </cell>
          <cell r="E4112">
            <v>3.843</v>
          </cell>
        </row>
        <row r="4113">
          <cell r="A4113" t="str">
            <v>37608200408</v>
          </cell>
          <cell r="B4113">
            <v>37608</v>
          </cell>
          <cell r="C4113" t="str">
            <v>NG</v>
          </cell>
          <cell r="D4113" t="str">
            <v>200408</v>
          </cell>
          <cell r="E4113">
            <v>3.8530000000000002</v>
          </cell>
        </row>
        <row r="4114">
          <cell r="A4114" t="str">
            <v>37608200409</v>
          </cell>
          <cell r="B4114">
            <v>37608</v>
          </cell>
          <cell r="C4114" t="str">
            <v>NG</v>
          </cell>
          <cell r="D4114" t="str">
            <v>200409</v>
          </cell>
          <cell r="E4114">
            <v>3.843</v>
          </cell>
        </row>
        <row r="4115">
          <cell r="A4115" t="str">
            <v>37608200410</v>
          </cell>
          <cell r="B4115">
            <v>37608</v>
          </cell>
          <cell r="C4115" t="str">
            <v>NG</v>
          </cell>
          <cell r="D4115" t="str">
            <v>200410</v>
          </cell>
          <cell r="E4115">
            <v>3.8580000000000001</v>
          </cell>
        </row>
        <row r="4116">
          <cell r="A4116" t="str">
            <v>37608200411</v>
          </cell>
          <cell r="B4116">
            <v>37608</v>
          </cell>
          <cell r="C4116" t="str">
            <v>NG</v>
          </cell>
          <cell r="D4116" t="str">
            <v>200411</v>
          </cell>
          <cell r="E4116">
            <v>4.0259999999999998</v>
          </cell>
        </row>
        <row r="4117">
          <cell r="A4117" t="str">
            <v>37608200412</v>
          </cell>
          <cell r="B4117">
            <v>37608</v>
          </cell>
          <cell r="C4117" t="str">
            <v>NG</v>
          </cell>
          <cell r="D4117" t="str">
            <v>200412</v>
          </cell>
          <cell r="E4117">
            <v>4.2</v>
          </cell>
        </row>
        <row r="4118">
          <cell r="A4118" t="str">
            <v>37609200401</v>
          </cell>
          <cell r="B4118">
            <v>37609</v>
          </cell>
          <cell r="C4118" t="str">
            <v>NG</v>
          </cell>
          <cell r="D4118" t="str">
            <v>200401</v>
          </cell>
          <cell r="E4118">
            <v>4.6479999999999997</v>
          </cell>
        </row>
        <row r="4119">
          <cell r="A4119" t="str">
            <v>37609200402</v>
          </cell>
          <cell r="B4119">
            <v>37609</v>
          </cell>
          <cell r="C4119" t="str">
            <v>NG</v>
          </cell>
          <cell r="D4119" t="str">
            <v>200402</v>
          </cell>
          <cell r="E4119">
            <v>4.5279999999999996</v>
          </cell>
        </row>
        <row r="4120">
          <cell r="A4120" t="str">
            <v>37609200403</v>
          </cell>
          <cell r="B4120">
            <v>37609</v>
          </cell>
          <cell r="C4120" t="str">
            <v>NG</v>
          </cell>
          <cell r="D4120" t="str">
            <v>200403</v>
          </cell>
          <cell r="E4120">
            <v>4.3230000000000004</v>
          </cell>
        </row>
        <row r="4121">
          <cell r="A4121" t="str">
            <v>37609200404</v>
          </cell>
          <cell r="B4121">
            <v>37609</v>
          </cell>
          <cell r="C4121" t="str">
            <v>NG</v>
          </cell>
          <cell r="D4121" t="str">
            <v>200404</v>
          </cell>
          <cell r="E4121">
            <v>4.0030000000000001</v>
          </cell>
        </row>
        <row r="4122">
          <cell r="A4122" t="str">
            <v>37609200405</v>
          </cell>
          <cell r="B4122">
            <v>37609</v>
          </cell>
          <cell r="C4122" t="str">
            <v>NG</v>
          </cell>
          <cell r="D4122" t="str">
            <v>200405</v>
          </cell>
          <cell r="E4122">
            <v>3.9079999999999999</v>
          </cell>
        </row>
        <row r="4123">
          <cell r="A4123" t="str">
            <v>37609200406</v>
          </cell>
          <cell r="B4123">
            <v>37609</v>
          </cell>
          <cell r="C4123" t="str">
            <v>NG</v>
          </cell>
          <cell r="D4123" t="str">
            <v>200406</v>
          </cell>
          <cell r="E4123">
            <v>3.8780000000000001</v>
          </cell>
        </row>
        <row r="4124">
          <cell r="A4124" t="str">
            <v>37609200407</v>
          </cell>
          <cell r="B4124">
            <v>37609</v>
          </cell>
          <cell r="C4124" t="str">
            <v>NG</v>
          </cell>
          <cell r="D4124" t="str">
            <v>200407</v>
          </cell>
          <cell r="E4124">
            <v>3.883</v>
          </cell>
        </row>
        <row r="4125">
          <cell r="A4125" t="str">
            <v>37609200408</v>
          </cell>
          <cell r="B4125">
            <v>37609</v>
          </cell>
          <cell r="C4125" t="str">
            <v>NG</v>
          </cell>
          <cell r="D4125" t="str">
            <v>200408</v>
          </cell>
          <cell r="E4125">
            <v>3.8929999999999998</v>
          </cell>
        </row>
        <row r="4126">
          <cell r="A4126" t="str">
            <v>37609200409</v>
          </cell>
          <cell r="B4126">
            <v>37609</v>
          </cell>
          <cell r="C4126" t="str">
            <v>NG</v>
          </cell>
          <cell r="D4126" t="str">
            <v>200409</v>
          </cell>
          <cell r="E4126">
            <v>3.8839999999999999</v>
          </cell>
        </row>
        <row r="4127">
          <cell r="A4127" t="str">
            <v>37609200410</v>
          </cell>
          <cell r="B4127">
            <v>37609</v>
          </cell>
          <cell r="C4127" t="str">
            <v>NG</v>
          </cell>
          <cell r="D4127" t="str">
            <v>200410</v>
          </cell>
          <cell r="E4127">
            <v>3.9039999999999999</v>
          </cell>
        </row>
        <row r="4128">
          <cell r="A4128" t="str">
            <v>37609200411</v>
          </cell>
          <cell r="B4128">
            <v>37609</v>
          </cell>
          <cell r="C4128" t="str">
            <v>NG</v>
          </cell>
          <cell r="D4128" t="str">
            <v>200411</v>
          </cell>
          <cell r="E4128">
            <v>4.0720000000000001</v>
          </cell>
        </row>
        <row r="4129">
          <cell r="A4129" t="str">
            <v>37609200412</v>
          </cell>
          <cell r="B4129">
            <v>37609</v>
          </cell>
          <cell r="C4129" t="str">
            <v>NG</v>
          </cell>
          <cell r="D4129" t="str">
            <v>200412</v>
          </cell>
          <cell r="E4129">
            <v>4.25</v>
          </cell>
        </row>
        <row r="4130">
          <cell r="A4130" t="str">
            <v>37610200401</v>
          </cell>
          <cell r="B4130">
            <v>37610</v>
          </cell>
          <cell r="C4130" t="str">
            <v>NG</v>
          </cell>
          <cell r="D4130" t="str">
            <v>200401</v>
          </cell>
          <cell r="E4130">
            <v>4.7350000000000003</v>
          </cell>
        </row>
        <row r="4131">
          <cell r="A4131" t="str">
            <v>37610200402</v>
          </cell>
          <cell r="B4131">
            <v>37610</v>
          </cell>
          <cell r="C4131" t="str">
            <v>NG</v>
          </cell>
          <cell r="D4131" t="str">
            <v>200402</v>
          </cell>
          <cell r="E4131">
            <v>4.6150000000000002</v>
          </cell>
        </row>
        <row r="4132">
          <cell r="A4132" t="str">
            <v>37610200403</v>
          </cell>
          <cell r="B4132">
            <v>37610</v>
          </cell>
          <cell r="C4132" t="str">
            <v>NG</v>
          </cell>
          <cell r="D4132" t="str">
            <v>200403</v>
          </cell>
          <cell r="E4132">
            <v>4.4000000000000004</v>
          </cell>
        </row>
        <row r="4133">
          <cell r="A4133" t="str">
            <v>37610200404</v>
          </cell>
          <cell r="B4133">
            <v>37610</v>
          </cell>
          <cell r="C4133" t="str">
            <v>NG</v>
          </cell>
          <cell r="D4133" t="str">
            <v>200404</v>
          </cell>
          <cell r="E4133">
            <v>4.0599999999999996</v>
          </cell>
        </row>
        <row r="4134">
          <cell r="A4134" t="str">
            <v>37610200405</v>
          </cell>
          <cell r="B4134">
            <v>37610</v>
          </cell>
          <cell r="C4134" t="str">
            <v>NG</v>
          </cell>
          <cell r="D4134" t="str">
            <v>200405</v>
          </cell>
          <cell r="E4134">
            <v>3.95</v>
          </cell>
        </row>
        <row r="4135">
          <cell r="A4135" t="str">
            <v>37610200406</v>
          </cell>
          <cell r="B4135">
            <v>37610</v>
          </cell>
          <cell r="C4135" t="str">
            <v>NG</v>
          </cell>
          <cell r="D4135" t="str">
            <v>200406</v>
          </cell>
          <cell r="E4135">
            <v>3.915</v>
          </cell>
        </row>
        <row r="4136">
          <cell r="A4136" t="str">
            <v>37610200407</v>
          </cell>
          <cell r="B4136">
            <v>37610</v>
          </cell>
          <cell r="C4136" t="str">
            <v>NG</v>
          </cell>
          <cell r="D4136" t="str">
            <v>200407</v>
          </cell>
          <cell r="E4136">
            <v>3.915</v>
          </cell>
        </row>
        <row r="4137">
          <cell r="A4137" t="str">
            <v>37610200408</v>
          </cell>
          <cell r="B4137">
            <v>37610</v>
          </cell>
          <cell r="C4137" t="str">
            <v>NG</v>
          </cell>
          <cell r="D4137" t="str">
            <v>200408</v>
          </cell>
          <cell r="E4137">
            <v>3.9249999999999998</v>
          </cell>
        </row>
        <row r="4138">
          <cell r="A4138" t="str">
            <v>37610200409</v>
          </cell>
          <cell r="B4138">
            <v>37610</v>
          </cell>
          <cell r="C4138" t="str">
            <v>NG</v>
          </cell>
          <cell r="D4138" t="str">
            <v>200409</v>
          </cell>
          <cell r="E4138">
            <v>3.9159999999999999</v>
          </cell>
        </row>
        <row r="4139">
          <cell r="A4139" t="str">
            <v>37610200410</v>
          </cell>
          <cell r="B4139">
            <v>37610</v>
          </cell>
          <cell r="C4139" t="str">
            <v>NG</v>
          </cell>
          <cell r="D4139" t="str">
            <v>200410</v>
          </cell>
          <cell r="E4139">
            <v>3.9359999999999999</v>
          </cell>
        </row>
        <row r="4140">
          <cell r="A4140" t="str">
            <v>37610200411</v>
          </cell>
          <cell r="B4140">
            <v>37610</v>
          </cell>
          <cell r="C4140" t="str">
            <v>NG</v>
          </cell>
          <cell r="D4140" t="str">
            <v>200411</v>
          </cell>
          <cell r="E4140">
            <v>4.0990000000000002</v>
          </cell>
        </row>
        <row r="4141">
          <cell r="A4141" t="str">
            <v>37610200412</v>
          </cell>
          <cell r="B4141">
            <v>37610</v>
          </cell>
          <cell r="C4141" t="str">
            <v>NG</v>
          </cell>
          <cell r="D4141" t="str">
            <v>200412</v>
          </cell>
          <cell r="E4141">
            <v>4.2690000000000001</v>
          </cell>
        </row>
        <row r="4142">
          <cell r="A4142" t="str">
            <v>37611200401</v>
          </cell>
          <cell r="B4142">
            <v>37611</v>
          </cell>
          <cell r="C4142" t="str">
            <v>NG</v>
          </cell>
          <cell r="D4142" t="str">
            <v>200401</v>
          </cell>
          <cell r="E4142">
            <v>4.7350000000000003</v>
          </cell>
        </row>
        <row r="4143">
          <cell r="A4143" t="str">
            <v>37611200402</v>
          </cell>
          <cell r="B4143">
            <v>37611</v>
          </cell>
          <cell r="C4143" t="str">
            <v>NG</v>
          </cell>
          <cell r="D4143" t="str">
            <v>200402</v>
          </cell>
          <cell r="E4143">
            <v>4.6150000000000002</v>
          </cell>
        </row>
        <row r="4144">
          <cell r="A4144" t="str">
            <v>37611200403</v>
          </cell>
          <cell r="B4144">
            <v>37611</v>
          </cell>
          <cell r="C4144" t="str">
            <v>NG</v>
          </cell>
          <cell r="D4144" t="str">
            <v>200403</v>
          </cell>
          <cell r="E4144">
            <v>4.4000000000000004</v>
          </cell>
        </row>
        <row r="4145">
          <cell r="A4145" t="str">
            <v>37611200404</v>
          </cell>
          <cell r="B4145">
            <v>37611</v>
          </cell>
          <cell r="C4145" t="str">
            <v>NG</v>
          </cell>
          <cell r="D4145" t="str">
            <v>200404</v>
          </cell>
          <cell r="E4145">
            <v>4.0599999999999996</v>
          </cell>
        </row>
        <row r="4146">
          <cell r="A4146" t="str">
            <v>37611200405</v>
          </cell>
          <cell r="B4146">
            <v>37611</v>
          </cell>
          <cell r="C4146" t="str">
            <v>NG</v>
          </cell>
          <cell r="D4146" t="str">
            <v>200405</v>
          </cell>
          <cell r="E4146">
            <v>3.95</v>
          </cell>
        </row>
        <row r="4147">
          <cell r="A4147" t="str">
            <v>37611200406</v>
          </cell>
          <cell r="B4147">
            <v>37611</v>
          </cell>
          <cell r="C4147" t="str">
            <v>NG</v>
          </cell>
          <cell r="D4147" t="str">
            <v>200406</v>
          </cell>
          <cell r="E4147">
            <v>3.915</v>
          </cell>
        </row>
        <row r="4148">
          <cell r="A4148" t="str">
            <v>37611200407</v>
          </cell>
          <cell r="B4148">
            <v>37611</v>
          </cell>
          <cell r="C4148" t="str">
            <v>NG</v>
          </cell>
          <cell r="D4148" t="str">
            <v>200407</v>
          </cell>
          <cell r="E4148">
            <v>3.915</v>
          </cell>
        </row>
        <row r="4149">
          <cell r="A4149" t="str">
            <v>37611200408</v>
          </cell>
          <cell r="B4149">
            <v>37611</v>
          </cell>
          <cell r="C4149" t="str">
            <v>NG</v>
          </cell>
          <cell r="D4149" t="str">
            <v>200408</v>
          </cell>
          <cell r="E4149">
            <v>3.9249999999999998</v>
          </cell>
        </row>
        <row r="4150">
          <cell r="A4150" t="str">
            <v>37611200409</v>
          </cell>
          <cell r="B4150">
            <v>37611</v>
          </cell>
          <cell r="C4150" t="str">
            <v>NG</v>
          </cell>
          <cell r="D4150" t="str">
            <v>200409</v>
          </cell>
          <cell r="E4150">
            <v>3.9159999999999999</v>
          </cell>
        </row>
        <row r="4151">
          <cell r="A4151" t="str">
            <v>37611200410</v>
          </cell>
          <cell r="B4151">
            <v>37611</v>
          </cell>
          <cell r="C4151" t="str">
            <v>NG</v>
          </cell>
          <cell r="D4151" t="str">
            <v>200410</v>
          </cell>
          <cell r="E4151">
            <v>3.9359999999999999</v>
          </cell>
        </row>
        <row r="4152">
          <cell r="A4152" t="str">
            <v>37611200411</v>
          </cell>
          <cell r="B4152">
            <v>37611</v>
          </cell>
          <cell r="C4152" t="str">
            <v>NG</v>
          </cell>
          <cell r="D4152" t="str">
            <v>200411</v>
          </cell>
          <cell r="E4152">
            <v>4.0990000000000002</v>
          </cell>
        </row>
        <row r="4153">
          <cell r="A4153" t="str">
            <v>37611200412</v>
          </cell>
          <cell r="B4153">
            <v>37611</v>
          </cell>
          <cell r="C4153" t="str">
            <v>NG</v>
          </cell>
          <cell r="D4153" t="str">
            <v>200412</v>
          </cell>
          <cell r="E4153">
            <v>4.2690000000000001</v>
          </cell>
        </row>
        <row r="4154">
          <cell r="A4154" t="str">
            <v>37612200401</v>
          </cell>
          <cell r="B4154">
            <v>37612</v>
          </cell>
          <cell r="C4154" t="str">
            <v>NG</v>
          </cell>
          <cell r="D4154" t="str">
            <v>200401</v>
          </cell>
          <cell r="E4154">
            <v>4.7350000000000003</v>
          </cell>
        </row>
        <row r="4155">
          <cell r="A4155" t="str">
            <v>37612200402</v>
          </cell>
          <cell r="B4155">
            <v>37612</v>
          </cell>
          <cell r="C4155" t="str">
            <v>NG</v>
          </cell>
          <cell r="D4155" t="str">
            <v>200402</v>
          </cell>
          <cell r="E4155">
            <v>4.6150000000000002</v>
          </cell>
        </row>
        <row r="4156">
          <cell r="A4156" t="str">
            <v>37612200403</v>
          </cell>
          <cell r="B4156">
            <v>37612</v>
          </cell>
          <cell r="C4156" t="str">
            <v>NG</v>
          </cell>
          <cell r="D4156" t="str">
            <v>200403</v>
          </cell>
          <cell r="E4156">
            <v>4.4000000000000004</v>
          </cell>
        </row>
        <row r="4157">
          <cell r="A4157" t="str">
            <v>37612200404</v>
          </cell>
          <cell r="B4157">
            <v>37612</v>
          </cell>
          <cell r="C4157" t="str">
            <v>NG</v>
          </cell>
          <cell r="D4157" t="str">
            <v>200404</v>
          </cell>
          <cell r="E4157">
            <v>4.0599999999999996</v>
          </cell>
        </row>
        <row r="4158">
          <cell r="A4158" t="str">
            <v>37612200405</v>
          </cell>
          <cell r="B4158">
            <v>37612</v>
          </cell>
          <cell r="C4158" t="str">
            <v>NG</v>
          </cell>
          <cell r="D4158" t="str">
            <v>200405</v>
          </cell>
          <cell r="E4158">
            <v>3.95</v>
          </cell>
        </row>
        <row r="4159">
          <cell r="A4159" t="str">
            <v>37612200406</v>
          </cell>
          <cell r="B4159">
            <v>37612</v>
          </cell>
          <cell r="C4159" t="str">
            <v>NG</v>
          </cell>
          <cell r="D4159" t="str">
            <v>200406</v>
          </cell>
          <cell r="E4159">
            <v>3.915</v>
          </cell>
        </row>
        <row r="4160">
          <cell r="A4160" t="str">
            <v>37612200407</v>
          </cell>
          <cell r="B4160">
            <v>37612</v>
          </cell>
          <cell r="C4160" t="str">
            <v>NG</v>
          </cell>
          <cell r="D4160" t="str">
            <v>200407</v>
          </cell>
          <cell r="E4160">
            <v>3.915</v>
          </cell>
        </row>
        <row r="4161">
          <cell r="A4161" t="str">
            <v>37612200408</v>
          </cell>
          <cell r="B4161">
            <v>37612</v>
          </cell>
          <cell r="C4161" t="str">
            <v>NG</v>
          </cell>
          <cell r="D4161" t="str">
            <v>200408</v>
          </cell>
          <cell r="E4161">
            <v>3.9249999999999998</v>
          </cell>
        </row>
        <row r="4162">
          <cell r="A4162" t="str">
            <v>37612200409</v>
          </cell>
          <cell r="B4162">
            <v>37612</v>
          </cell>
          <cell r="C4162" t="str">
            <v>NG</v>
          </cell>
          <cell r="D4162" t="str">
            <v>200409</v>
          </cell>
          <cell r="E4162">
            <v>3.9159999999999999</v>
          </cell>
        </row>
        <row r="4163">
          <cell r="A4163" t="str">
            <v>37612200410</v>
          </cell>
          <cell r="B4163">
            <v>37612</v>
          </cell>
          <cell r="C4163" t="str">
            <v>NG</v>
          </cell>
          <cell r="D4163" t="str">
            <v>200410</v>
          </cell>
          <cell r="E4163">
            <v>3.9359999999999999</v>
          </cell>
        </row>
        <row r="4164">
          <cell r="A4164" t="str">
            <v>37612200411</v>
          </cell>
          <cell r="B4164">
            <v>37612</v>
          </cell>
          <cell r="C4164" t="str">
            <v>NG</v>
          </cell>
          <cell r="D4164" t="str">
            <v>200411</v>
          </cell>
          <cell r="E4164">
            <v>4.0990000000000002</v>
          </cell>
        </row>
        <row r="4165">
          <cell r="A4165" t="str">
            <v>37612200412</v>
          </cell>
          <cell r="B4165">
            <v>37612</v>
          </cell>
          <cell r="C4165" t="str">
            <v>NG</v>
          </cell>
          <cell r="D4165" t="str">
            <v>200412</v>
          </cell>
          <cell r="E4165">
            <v>4.2690000000000001</v>
          </cell>
        </row>
        <row r="4166">
          <cell r="A4166" t="str">
            <v>37613200401</v>
          </cell>
          <cell r="B4166">
            <v>37613</v>
          </cell>
          <cell r="C4166" t="str">
            <v>NG</v>
          </cell>
          <cell r="D4166" t="str">
            <v>200401</v>
          </cell>
          <cell r="E4166">
            <v>4.7590000000000003</v>
          </cell>
        </row>
        <row r="4167">
          <cell r="A4167" t="str">
            <v>37613200402</v>
          </cell>
          <cell r="B4167">
            <v>37613</v>
          </cell>
          <cell r="C4167" t="str">
            <v>NG</v>
          </cell>
          <cell r="D4167" t="str">
            <v>200402</v>
          </cell>
          <cell r="E4167">
            <v>4.6440000000000001</v>
          </cell>
        </row>
        <row r="4168">
          <cell r="A4168" t="str">
            <v>37613200403</v>
          </cell>
          <cell r="B4168">
            <v>37613</v>
          </cell>
          <cell r="C4168" t="str">
            <v>NG</v>
          </cell>
          <cell r="D4168" t="str">
            <v>200403</v>
          </cell>
          <cell r="E4168">
            <v>4.4240000000000004</v>
          </cell>
        </row>
        <row r="4169">
          <cell r="A4169" t="str">
            <v>37613200404</v>
          </cell>
          <cell r="B4169">
            <v>37613</v>
          </cell>
          <cell r="C4169" t="str">
            <v>NG</v>
          </cell>
          <cell r="D4169" t="str">
            <v>200404</v>
          </cell>
          <cell r="E4169">
            <v>4.0739999999999998</v>
          </cell>
        </row>
        <row r="4170">
          <cell r="A4170" t="str">
            <v>37613200405</v>
          </cell>
          <cell r="B4170">
            <v>37613</v>
          </cell>
          <cell r="C4170" t="str">
            <v>NG</v>
          </cell>
          <cell r="D4170" t="str">
            <v>200405</v>
          </cell>
          <cell r="E4170">
            <v>3.9689999999999999</v>
          </cell>
        </row>
        <row r="4171">
          <cell r="A4171" t="str">
            <v>37613200406</v>
          </cell>
          <cell r="B4171">
            <v>37613</v>
          </cell>
          <cell r="C4171" t="str">
            <v>NG</v>
          </cell>
          <cell r="D4171" t="str">
            <v>200406</v>
          </cell>
          <cell r="E4171">
            <v>3.9340000000000002</v>
          </cell>
        </row>
        <row r="4172">
          <cell r="A4172" t="str">
            <v>37613200407</v>
          </cell>
          <cell r="B4172">
            <v>37613</v>
          </cell>
          <cell r="C4172" t="str">
            <v>NG</v>
          </cell>
          <cell r="D4172" t="str">
            <v>200407</v>
          </cell>
          <cell r="E4172">
            <v>3.9289999999999998</v>
          </cell>
        </row>
        <row r="4173">
          <cell r="A4173" t="str">
            <v>37613200408</v>
          </cell>
          <cell r="B4173">
            <v>37613</v>
          </cell>
          <cell r="C4173" t="str">
            <v>NG</v>
          </cell>
          <cell r="D4173" t="str">
            <v>200408</v>
          </cell>
          <cell r="E4173">
            <v>3.9289999999999998</v>
          </cell>
        </row>
        <row r="4174">
          <cell r="A4174" t="str">
            <v>37613200409</v>
          </cell>
          <cell r="B4174">
            <v>37613</v>
          </cell>
          <cell r="C4174" t="str">
            <v>NG</v>
          </cell>
          <cell r="D4174" t="str">
            <v>200409</v>
          </cell>
          <cell r="E4174">
            <v>3.92</v>
          </cell>
        </row>
        <row r="4175">
          <cell r="A4175" t="str">
            <v>37613200410</v>
          </cell>
          <cell r="B4175">
            <v>37613</v>
          </cell>
          <cell r="C4175" t="str">
            <v>NG</v>
          </cell>
          <cell r="D4175" t="str">
            <v>200410</v>
          </cell>
          <cell r="E4175">
            <v>3.94</v>
          </cell>
        </row>
        <row r="4176">
          <cell r="A4176" t="str">
            <v>37613200411</v>
          </cell>
          <cell r="B4176">
            <v>37613</v>
          </cell>
          <cell r="C4176" t="str">
            <v>NG</v>
          </cell>
          <cell r="D4176" t="str">
            <v>200411</v>
          </cell>
          <cell r="E4176">
            <v>4.093</v>
          </cell>
        </row>
        <row r="4177">
          <cell r="A4177" t="str">
            <v>37613200412</v>
          </cell>
          <cell r="B4177">
            <v>37613</v>
          </cell>
          <cell r="C4177" t="str">
            <v>NG</v>
          </cell>
          <cell r="D4177" t="str">
            <v>200412</v>
          </cell>
          <cell r="E4177">
            <v>4.2610000000000001</v>
          </cell>
        </row>
        <row r="4178">
          <cell r="A4178" t="str">
            <v>37614200401</v>
          </cell>
          <cell r="B4178">
            <v>37614</v>
          </cell>
          <cell r="C4178" t="str">
            <v>NG</v>
          </cell>
          <cell r="D4178" t="str">
            <v>200401</v>
          </cell>
          <cell r="E4178">
            <v>4.7839999999999998</v>
          </cell>
        </row>
        <row r="4179">
          <cell r="A4179" t="str">
            <v>37614200402</v>
          </cell>
          <cell r="B4179">
            <v>37614</v>
          </cell>
          <cell r="C4179" t="str">
            <v>NG</v>
          </cell>
          <cell r="D4179" t="str">
            <v>200402</v>
          </cell>
          <cell r="E4179">
            <v>4.6689999999999996</v>
          </cell>
        </row>
        <row r="4180">
          <cell r="A4180" t="str">
            <v>37614200403</v>
          </cell>
          <cell r="B4180">
            <v>37614</v>
          </cell>
          <cell r="C4180" t="str">
            <v>NG</v>
          </cell>
          <cell r="D4180" t="str">
            <v>200403</v>
          </cell>
          <cell r="E4180">
            <v>4.4489999999999998</v>
          </cell>
        </row>
        <row r="4181">
          <cell r="A4181" t="str">
            <v>37614200404</v>
          </cell>
          <cell r="B4181">
            <v>37614</v>
          </cell>
          <cell r="C4181" t="str">
            <v>NG</v>
          </cell>
          <cell r="D4181" t="str">
            <v>200404</v>
          </cell>
          <cell r="E4181">
            <v>4.0990000000000002</v>
          </cell>
        </row>
        <row r="4182">
          <cell r="A4182" t="str">
            <v>37614200405</v>
          </cell>
          <cell r="B4182">
            <v>37614</v>
          </cell>
          <cell r="C4182" t="str">
            <v>NG</v>
          </cell>
          <cell r="D4182" t="str">
            <v>200405</v>
          </cell>
          <cell r="E4182">
            <v>3.9940000000000002</v>
          </cell>
        </row>
        <row r="4183">
          <cell r="A4183" t="str">
            <v>37614200406</v>
          </cell>
          <cell r="B4183">
            <v>37614</v>
          </cell>
          <cell r="C4183" t="str">
            <v>NG</v>
          </cell>
          <cell r="D4183" t="str">
            <v>200406</v>
          </cell>
          <cell r="E4183">
            <v>3.9590000000000001</v>
          </cell>
        </row>
        <row r="4184">
          <cell r="A4184" t="str">
            <v>37614200407</v>
          </cell>
          <cell r="B4184">
            <v>37614</v>
          </cell>
          <cell r="C4184" t="str">
            <v>NG</v>
          </cell>
          <cell r="D4184" t="str">
            <v>200407</v>
          </cell>
          <cell r="E4184">
            <v>3.9540000000000002</v>
          </cell>
        </row>
        <row r="4185">
          <cell r="A4185" t="str">
            <v>37614200408</v>
          </cell>
          <cell r="B4185">
            <v>37614</v>
          </cell>
          <cell r="C4185" t="str">
            <v>NG</v>
          </cell>
          <cell r="D4185" t="str">
            <v>200408</v>
          </cell>
          <cell r="E4185">
            <v>3.9540000000000002</v>
          </cell>
        </row>
        <row r="4186">
          <cell r="A4186" t="str">
            <v>37614200409</v>
          </cell>
          <cell r="B4186">
            <v>37614</v>
          </cell>
          <cell r="C4186" t="str">
            <v>NG</v>
          </cell>
          <cell r="D4186" t="str">
            <v>200409</v>
          </cell>
          <cell r="E4186">
            <v>3.944</v>
          </cell>
        </row>
        <row r="4187">
          <cell r="A4187" t="str">
            <v>37614200410</v>
          </cell>
          <cell r="B4187">
            <v>37614</v>
          </cell>
          <cell r="C4187" t="str">
            <v>NG</v>
          </cell>
          <cell r="D4187" t="str">
            <v>200410</v>
          </cell>
          <cell r="E4187">
            <v>3.9590000000000001</v>
          </cell>
        </row>
        <row r="4188">
          <cell r="A4188" t="str">
            <v>37614200411</v>
          </cell>
          <cell r="B4188">
            <v>37614</v>
          </cell>
          <cell r="C4188" t="str">
            <v>NG</v>
          </cell>
          <cell r="D4188" t="str">
            <v>200411</v>
          </cell>
          <cell r="E4188">
            <v>4.1059999999999999</v>
          </cell>
        </row>
        <row r="4189">
          <cell r="A4189" t="str">
            <v>37614200412</v>
          </cell>
          <cell r="B4189">
            <v>37614</v>
          </cell>
          <cell r="C4189" t="str">
            <v>NG</v>
          </cell>
          <cell r="D4189" t="str">
            <v>200412</v>
          </cell>
          <cell r="E4189">
            <v>4.2709999999999999</v>
          </cell>
        </row>
        <row r="4190">
          <cell r="A4190" t="str">
            <v>37615200401</v>
          </cell>
          <cell r="B4190">
            <v>37615</v>
          </cell>
          <cell r="C4190" t="str">
            <v>NG</v>
          </cell>
          <cell r="D4190" t="str">
            <v>200401</v>
          </cell>
          <cell r="E4190">
            <v>4.7839999999999998</v>
          </cell>
        </row>
        <row r="4191">
          <cell r="A4191" t="str">
            <v>37615200402</v>
          </cell>
          <cell r="B4191">
            <v>37615</v>
          </cell>
          <cell r="C4191" t="str">
            <v>NG</v>
          </cell>
          <cell r="D4191" t="str">
            <v>200402</v>
          </cell>
          <cell r="E4191">
            <v>4.6689999999999996</v>
          </cell>
        </row>
        <row r="4192">
          <cell r="A4192" t="str">
            <v>37615200403</v>
          </cell>
          <cell r="B4192">
            <v>37615</v>
          </cell>
          <cell r="C4192" t="str">
            <v>NG</v>
          </cell>
          <cell r="D4192" t="str">
            <v>200403</v>
          </cell>
          <cell r="E4192">
            <v>4.4489999999999998</v>
          </cell>
        </row>
        <row r="4193">
          <cell r="A4193" t="str">
            <v>37615200404</v>
          </cell>
          <cell r="B4193">
            <v>37615</v>
          </cell>
          <cell r="C4193" t="str">
            <v>NG</v>
          </cell>
          <cell r="D4193" t="str">
            <v>200404</v>
          </cell>
          <cell r="E4193">
            <v>4.0990000000000002</v>
          </cell>
        </row>
        <row r="4194">
          <cell r="A4194" t="str">
            <v>37615200405</v>
          </cell>
          <cell r="B4194">
            <v>37615</v>
          </cell>
          <cell r="C4194" t="str">
            <v>NG</v>
          </cell>
          <cell r="D4194" t="str">
            <v>200405</v>
          </cell>
          <cell r="E4194">
            <v>3.9940000000000002</v>
          </cell>
        </row>
        <row r="4195">
          <cell r="A4195" t="str">
            <v>37615200406</v>
          </cell>
          <cell r="B4195">
            <v>37615</v>
          </cell>
          <cell r="C4195" t="str">
            <v>NG</v>
          </cell>
          <cell r="D4195" t="str">
            <v>200406</v>
          </cell>
          <cell r="E4195">
            <v>3.9590000000000001</v>
          </cell>
        </row>
        <row r="4196">
          <cell r="A4196" t="str">
            <v>37615200407</v>
          </cell>
          <cell r="B4196">
            <v>37615</v>
          </cell>
          <cell r="C4196" t="str">
            <v>NG</v>
          </cell>
          <cell r="D4196" t="str">
            <v>200407</v>
          </cell>
          <cell r="E4196">
            <v>3.9540000000000002</v>
          </cell>
        </row>
        <row r="4197">
          <cell r="A4197" t="str">
            <v>37615200408</v>
          </cell>
          <cell r="B4197">
            <v>37615</v>
          </cell>
          <cell r="C4197" t="str">
            <v>NG</v>
          </cell>
          <cell r="D4197" t="str">
            <v>200408</v>
          </cell>
          <cell r="E4197">
            <v>3.9540000000000002</v>
          </cell>
        </row>
        <row r="4198">
          <cell r="A4198" t="str">
            <v>37615200409</v>
          </cell>
          <cell r="B4198">
            <v>37615</v>
          </cell>
          <cell r="C4198" t="str">
            <v>NG</v>
          </cell>
          <cell r="D4198" t="str">
            <v>200409</v>
          </cell>
          <cell r="E4198">
            <v>3.944</v>
          </cell>
        </row>
        <row r="4199">
          <cell r="A4199" t="str">
            <v>37615200410</v>
          </cell>
          <cell r="B4199">
            <v>37615</v>
          </cell>
          <cell r="C4199" t="str">
            <v>NG</v>
          </cell>
          <cell r="D4199" t="str">
            <v>200410</v>
          </cell>
          <cell r="E4199">
            <v>3.9590000000000001</v>
          </cell>
        </row>
        <row r="4200">
          <cell r="A4200" t="str">
            <v>37615200411</v>
          </cell>
          <cell r="B4200">
            <v>37615</v>
          </cell>
          <cell r="C4200" t="str">
            <v>NG</v>
          </cell>
          <cell r="D4200" t="str">
            <v>200411</v>
          </cell>
          <cell r="E4200">
            <v>4.1059999999999999</v>
          </cell>
        </row>
        <row r="4201">
          <cell r="A4201" t="str">
            <v>37615200412</v>
          </cell>
          <cell r="B4201">
            <v>37615</v>
          </cell>
          <cell r="C4201" t="str">
            <v>NG</v>
          </cell>
          <cell r="D4201" t="str">
            <v>200412</v>
          </cell>
          <cell r="E4201">
            <v>4.2709999999999999</v>
          </cell>
        </row>
        <row r="4202">
          <cell r="A4202" t="str">
            <v>37616200401</v>
          </cell>
          <cell r="B4202">
            <v>37616</v>
          </cell>
          <cell r="C4202" t="str">
            <v>NG</v>
          </cell>
          <cell r="D4202" t="str">
            <v>200401</v>
          </cell>
          <cell r="E4202">
            <v>4.7919999999999998</v>
          </cell>
        </row>
        <row r="4203">
          <cell r="A4203" t="str">
            <v>37616200402</v>
          </cell>
          <cell r="B4203">
            <v>37616</v>
          </cell>
          <cell r="C4203" t="str">
            <v>NG</v>
          </cell>
          <cell r="D4203" t="str">
            <v>200402</v>
          </cell>
          <cell r="E4203">
            <v>4.6870000000000003</v>
          </cell>
        </row>
        <row r="4204">
          <cell r="A4204" t="str">
            <v>37616200403</v>
          </cell>
          <cell r="B4204">
            <v>37616</v>
          </cell>
          <cell r="C4204" t="str">
            <v>NG</v>
          </cell>
          <cell r="D4204" t="str">
            <v>200403</v>
          </cell>
          <cell r="E4204">
            <v>4.4720000000000004</v>
          </cell>
        </row>
        <row r="4205">
          <cell r="A4205" t="str">
            <v>37616200404</v>
          </cell>
          <cell r="B4205">
            <v>37616</v>
          </cell>
          <cell r="C4205" t="str">
            <v>NG</v>
          </cell>
          <cell r="D4205" t="str">
            <v>200404</v>
          </cell>
          <cell r="E4205">
            <v>4.1319999999999997</v>
          </cell>
        </row>
        <row r="4206">
          <cell r="A4206" t="str">
            <v>37616200405</v>
          </cell>
          <cell r="B4206">
            <v>37616</v>
          </cell>
          <cell r="C4206" t="str">
            <v>NG</v>
          </cell>
          <cell r="D4206" t="str">
            <v>200405</v>
          </cell>
          <cell r="E4206">
            <v>4.032</v>
          </cell>
        </row>
        <row r="4207">
          <cell r="A4207" t="str">
            <v>37616200406</v>
          </cell>
          <cell r="B4207">
            <v>37616</v>
          </cell>
          <cell r="C4207" t="str">
            <v>NG</v>
          </cell>
          <cell r="D4207" t="str">
            <v>200406</v>
          </cell>
          <cell r="E4207">
            <v>3.9969999999999999</v>
          </cell>
        </row>
        <row r="4208">
          <cell r="A4208" t="str">
            <v>37616200407</v>
          </cell>
          <cell r="B4208">
            <v>37616</v>
          </cell>
          <cell r="C4208" t="str">
            <v>NG</v>
          </cell>
          <cell r="D4208" t="str">
            <v>200407</v>
          </cell>
          <cell r="E4208">
            <v>4.0019999999999998</v>
          </cell>
        </row>
        <row r="4209">
          <cell r="A4209" t="str">
            <v>37616200408</v>
          </cell>
          <cell r="B4209">
            <v>37616</v>
          </cell>
          <cell r="C4209" t="str">
            <v>NG</v>
          </cell>
          <cell r="D4209" t="str">
            <v>200408</v>
          </cell>
          <cell r="E4209">
            <v>4.0069999999999997</v>
          </cell>
        </row>
        <row r="4210">
          <cell r="A4210" t="str">
            <v>37616200409</v>
          </cell>
          <cell r="B4210">
            <v>37616</v>
          </cell>
          <cell r="C4210" t="str">
            <v>NG</v>
          </cell>
          <cell r="D4210" t="str">
            <v>200409</v>
          </cell>
          <cell r="E4210">
            <v>3.9969999999999999</v>
          </cell>
        </row>
        <row r="4211">
          <cell r="A4211" t="str">
            <v>37616200410</v>
          </cell>
          <cell r="B4211">
            <v>37616</v>
          </cell>
          <cell r="C4211" t="str">
            <v>NG</v>
          </cell>
          <cell r="D4211" t="str">
            <v>200410</v>
          </cell>
          <cell r="E4211">
            <v>4.0119999999999996</v>
          </cell>
        </row>
        <row r="4212">
          <cell r="A4212" t="str">
            <v>37616200411</v>
          </cell>
          <cell r="B4212">
            <v>37616</v>
          </cell>
          <cell r="C4212" t="str">
            <v>NG</v>
          </cell>
          <cell r="D4212" t="str">
            <v>200411</v>
          </cell>
          <cell r="E4212">
            <v>4.149</v>
          </cell>
        </row>
        <row r="4213">
          <cell r="A4213" t="str">
            <v>37616200412</v>
          </cell>
          <cell r="B4213">
            <v>37616</v>
          </cell>
          <cell r="C4213" t="str">
            <v>NG</v>
          </cell>
          <cell r="D4213" t="str">
            <v>200412</v>
          </cell>
          <cell r="E4213">
            <v>4.3090000000000002</v>
          </cell>
        </row>
        <row r="4214">
          <cell r="A4214" t="str">
            <v>37617200401</v>
          </cell>
          <cell r="B4214">
            <v>37617</v>
          </cell>
          <cell r="C4214" t="str">
            <v>NG</v>
          </cell>
          <cell r="D4214" t="str">
            <v>200401</v>
          </cell>
          <cell r="E4214">
            <v>4.88</v>
          </cell>
        </row>
        <row r="4215">
          <cell r="A4215" t="str">
            <v>37617200402</v>
          </cell>
          <cell r="B4215">
            <v>37617</v>
          </cell>
          <cell r="C4215" t="str">
            <v>NG</v>
          </cell>
          <cell r="D4215" t="str">
            <v>200402</v>
          </cell>
          <cell r="E4215">
            <v>4.7699999999999996</v>
          </cell>
        </row>
        <row r="4216">
          <cell r="A4216" t="str">
            <v>37617200403</v>
          </cell>
          <cell r="B4216">
            <v>37617</v>
          </cell>
          <cell r="C4216" t="str">
            <v>NG</v>
          </cell>
          <cell r="D4216" t="str">
            <v>200403</v>
          </cell>
          <cell r="E4216">
            <v>4.5549999999999997</v>
          </cell>
        </row>
        <row r="4217">
          <cell r="A4217" t="str">
            <v>37617200404</v>
          </cell>
          <cell r="B4217">
            <v>37617</v>
          </cell>
          <cell r="C4217" t="str">
            <v>NG</v>
          </cell>
          <cell r="D4217" t="str">
            <v>200404</v>
          </cell>
          <cell r="E4217">
            <v>4.21</v>
          </cell>
        </row>
        <row r="4218">
          <cell r="A4218" t="str">
            <v>37617200405</v>
          </cell>
          <cell r="B4218">
            <v>37617</v>
          </cell>
          <cell r="C4218" t="str">
            <v>NG</v>
          </cell>
          <cell r="D4218" t="str">
            <v>200405</v>
          </cell>
          <cell r="E4218">
            <v>4.0750000000000002</v>
          </cell>
        </row>
        <row r="4219">
          <cell r="A4219" t="str">
            <v>37617200406</v>
          </cell>
          <cell r="B4219">
            <v>37617</v>
          </cell>
          <cell r="C4219" t="str">
            <v>NG</v>
          </cell>
          <cell r="D4219" t="str">
            <v>200406</v>
          </cell>
          <cell r="E4219">
            <v>4.0250000000000004</v>
          </cell>
        </row>
        <row r="4220">
          <cell r="A4220" t="str">
            <v>37617200407</v>
          </cell>
          <cell r="B4220">
            <v>37617</v>
          </cell>
          <cell r="C4220" t="str">
            <v>NG</v>
          </cell>
          <cell r="D4220" t="str">
            <v>200407</v>
          </cell>
          <cell r="E4220">
            <v>4.0149999999999997</v>
          </cell>
        </row>
        <row r="4221">
          <cell r="A4221" t="str">
            <v>37617200408</v>
          </cell>
          <cell r="B4221">
            <v>37617</v>
          </cell>
          <cell r="C4221" t="str">
            <v>NG</v>
          </cell>
          <cell r="D4221" t="str">
            <v>200408</v>
          </cell>
          <cell r="E4221">
            <v>4.0149999999999997</v>
          </cell>
        </row>
        <row r="4222">
          <cell r="A4222" t="str">
            <v>37617200409</v>
          </cell>
          <cell r="B4222">
            <v>37617</v>
          </cell>
          <cell r="C4222" t="str">
            <v>NG</v>
          </cell>
          <cell r="D4222" t="str">
            <v>200409</v>
          </cell>
          <cell r="E4222">
            <v>3.9950000000000001</v>
          </cell>
        </row>
        <row r="4223">
          <cell r="A4223" t="str">
            <v>37617200410</v>
          </cell>
          <cell r="B4223">
            <v>37617</v>
          </cell>
          <cell r="C4223" t="str">
            <v>NG</v>
          </cell>
          <cell r="D4223" t="str">
            <v>200410</v>
          </cell>
          <cell r="E4223">
            <v>4.01</v>
          </cell>
        </row>
        <row r="4224">
          <cell r="A4224" t="str">
            <v>37617200411</v>
          </cell>
          <cell r="B4224">
            <v>37617</v>
          </cell>
          <cell r="C4224" t="str">
            <v>NG</v>
          </cell>
          <cell r="D4224" t="str">
            <v>200411</v>
          </cell>
          <cell r="E4224">
            <v>4.16</v>
          </cell>
        </row>
        <row r="4225">
          <cell r="A4225" t="str">
            <v>37617200412</v>
          </cell>
          <cell r="B4225">
            <v>37617</v>
          </cell>
          <cell r="C4225" t="str">
            <v>NG</v>
          </cell>
          <cell r="D4225" t="str">
            <v>200412</v>
          </cell>
          <cell r="E4225">
            <v>4.3129999999999997</v>
          </cell>
        </row>
        <row r="4226">
          <cell r="A4226" t="str">
            <v>37618200401</v>
          </cell>
          <cell r="B4226">
            <v>37618</v>
          </cell>
          <cell r="C4226" t="str">
            <v>NG</v>
          </cell>
          <cell r="D4226" t="str">
            <v>200401</v>
          </cell>
          <cell r="E4226">
            <v>4.88</v>
          </cell>
        </row>
        <row r="4227">
          <cell r="A4227" t="str">
            <v>37618200402</v>
          </cell>
          <cell r="B4227">
            <v>37618</v>
          </cell>
          <cell r="C4227" t="str">
            <v>NG</v>
          </cell>
          <cell r="D4227" t="str">
            <v>200402</v>
          </cell>
          <cell r="E4227">
            <v>4.7699999999999996</v>
          </cell>
        </row>
        <row r="4228">
          <cell r="A4228" t="str">
            <v>37618200403</v>
          </cell>
          <cell r="B4228">
            <v>37618</v>
          </cell>
          <cell r="C4228" t="str">
            <v>NG</v>
          </cell>
          <cell r="D4228" t="str">
            <v>200403</v>
          </cell>
          <cell r="E4228">
            <v>4.5549999999999997</v>
          </cell>
        </row>
        <row r="4229">
          <cell r="A4229" t="str">
            <v>37618200404</v>
          </cell>
          <cell r="B4229">
            <v>37618</v>
          </cell>
          <cell r="C4229" t="str">
            <v>NG</v>
          </cell>
          <cell r="D4229" t="str">
            <v>200404</v>
          </cell>
          <cell r="E4229">
            <v>4.21</v>
          </cell>
        </row>
        <row r="4230">
          <cell r="A4230" t="str">
            <v>37618200405</v>
          </cell>
          <cell r="B4230">
            <v>37618</v>
          </cell>
          <cell r="C4230" t="str">
            <v>NG</v>
          </cell>
          <cell r="D4230" t="str">
            <v>200405</v>
          </cell>
          <cell r="E4230">
            <v>4.0750000000000002</v>
          </cell>
        </row>
        <row r="4231">
          <cell r="A4231" t="str">
            <v>37618200406</v>
          </cell>
          <cell r="B4231">
            <v>37618</v>
          </cell>
          <cell r="C4231" t="str">
            <v>NG</v>
          </cell>
          <cell r="D4231" t="str">
            <v>200406</v>
          </cell>
          <cell r="E4231">
            <v>4.0250000000000004</v>
          </cell>
        </row>
        <row r="4232">
          <cell r="A4232" t="str">
            <v>37618200407</v>
          </cell>
          <cell r="B4232">
            <v>37618</v>
          </cell>
          <cell r="C4232" t="str">
            <v>NG</v>
          </cell>
          <cell r="D4232" t="str">
            <v>200407</v>
          </cell>
          <cell r="E4232">
            <v>4.0149999999999997</v>
          </cell>
        </row>
        <row r="4233">
          <cell r="A4233" t="str">
            <v>37618200408</v>
          </cell>
          <cell r="B4233">
            <v>37618</v>
          </cell>
          <cell r="C4233" t="str">
            <v>NG</v>
          </cell>
          <cell r="D4233" t="str">
            <v>200408</v>
          </cell>
          <cell r="E4233">
            <v>4.0149999999999997</v>
          </cell>
        </row>
        <row r="4234">
          <cell r="A4234" t="str">
            <v>37618200409</v>
          </cell>
          <cell r="B4234">
            <v>37618</v>
          </cell>
          <cell r="C4234" t="str">
            <v>NG</v>
          </cell>
          <cell r="D4234" t="str">
            <v>200409</v>
          </cell>
          <cell r="E4234">
            <v>3.9950000000000001</v>
          </cell>
        </row>
        <row r="4235">
          <cell r="A4235" t="str">
            <v>37618200410</v>
          </cell>
          <cell r="B4235">
            <v>37618</v>
          </cell>
          <cell r="C4235" t="str">
            <v>NG</v>
          </cell>
          <cell r="D4235" t="str">
            <v>200410</v>
          </cell>
          <cell r="E4235">
            <v>4.01</v>
          </cell>
        </row>
        <row r="4236">
          <cell r="A4236" t="str">
            <v>37618200411</v>
          </cell>
          <cell r="B4236">
            <v>37618</v>
          </cell>
          <cell r="C4236" t="str">
            <v>NG</v>
          </cell>
          <cell r="D4236" t="str">
            <v>200411</v>
          </cell>
          <cell r="E4236">
            <v>4.16</v>
          </cell>
        </row>
        <row r="4237">
          <cell r="A4237" t="str">
            <v>37618200412</v>
          </cell>
          <cell r="B4237">
            <v>37618</v>
          </cell>
          <cell r="C4237" t="str">
            <v>NG</v>
          </cell>
          <cell r="D4237" t="str">
            <v>200412</v>
          </cell>
          <cell r="E4237">
            <v>4.3129999999999997</v>
          </cell>
        </row>
        <row r="4238">
          <cell r="A4238" t="str">
            <v>37619200401</v>
          </cell>
          <cell r="B4238">
            <v>37619</v>
          </cell>
          <cell r="C4238" t="str">
            <v>NG</v>
          </cell>
          <cell r="D4238" t="str">
            <v>200401</v>
          </cell>
          <cell r="E4238">
            <v>4.88</v>
          </cell>
        </row>
        <row r="4239">
          <cell r="A4239" t="str">
            <v>37619200402</v>
          </cell>
          <cell r="B4239">
            <v>37619</v>
          </cell>
          <cell r="C4239" t="str">
            <v>NG</v>
          </cell>
          <cell r="D4239" t="str">
            <v>200402</v>
          </cell>
          <cell r="E4239">
            <v>4.7699999999999996</v>
          </cell>
        </row>
        <row r="4240">
          <cell r="A4240" t="str">
            <v>37619200403</v>
          </cell>
          <cell r="B4240">
            <v>37619</v>
          </cell>
          <cell r="C4240" t="str">
            <v>NG</v>
          </cell>
          <cell r="D4240" t="str">
            <v>200403</v>
          </cell>
          <cell r="E4240">
            <v>4.5549999999999997</v>
          </cell>
        </row>
        <row r="4241">
          <cell r="A4241" t="str">
            <v>37619200404</v>
          </cell>
          <cell r="B4241">
            <v>37619</v>
          </cell>
          <cell r="C4241" t="str">
            <v>NG</v>
          </cell>
          <cell r="D4241" t="str">
            <v>200404</v>
          </cell>
          <cell r="E4241">
            <v>4.21</v>
          </cell>
        </row>
        <row r="4242">
          <cell r="A4242" t="str">
            <v>37619200405</v>
          </cell>
          <cell r="B4242">
            <v>37619</v>
          </cell>
          <cell r="C4242" t="str">
            <v>NG</v>
          </cell>
          <cell r="D4242" t="str">
            <v>200405</v>
          </cell>
          <cell r="E4242">
            <v>4.0750000000000002</v>
          </cell>
        </row>
        <row r="4243">
          <cell r="A4243" t="str">
            <v>37619200406</v>
          </cell>
          <cell r="B4243">
            <v>37619</v>
          </cell>
          <cell r="C4243" t="str">
            <v>NG</v>
          </cell>
          <cell r="D4243" t="str">
            <v>200406</v>
          </cell>
          <cell r="E4243">
            <v>4.0250000000000004</v>
          </cell>
        </row>
        <row r="4244">
          <cell r="A4244" t="str">
            <v>37619200407</v>
          </cell>
          <cell r="B4244">
            <v>37619</v>
          </cell>
          <cell r="C4244" t="str">
            <v>NG</v>
          </cell>
          <cell r="D4244" t="str">
            <v>200407</v>
          </cell>
          <cell r="E4244">
            <v>4.0149999999999997</v>
          </cell>
        </row>
        <row r="4245">
          <cell r="A4245" t="str">
            <v>37619200408</v>
          </cell>
          <cell r="B4245">
            <v>37619</v>
          </cell>
          <cell r="C4245" t="str">
            <v>NG</v>
          </cell>
          <cell r="D4245" t="str">
            <v>200408</v>
          </cell>
          <cell r="E4245">
            <v>4.0149999999999997</v>
          </cell>
        </row>
        <row r="4246">
          <cell r="A4246" t="str">
            <v>37619200409</v>
          </cell>
          <cell r="B4246">
            <v>37619</v>
          </cell>
          <cell r="C4246" t="str">
            <v>NG</v>
          </cell>
          <cell r="D4246" t="str">
            <v>200409</v>
          </cell>
          <cell r="E4246">
            <v>3.9950000000000001</v>
          </cell>
        </row>
        <row r="4247">
          <cell r="A4247" t="str">
            <v>37619200410</v>
          </cell>
          <cell r="B4247">
            <v>37619</v>
          </cell>
          <cell r="C4247" t="str">
            <v>NG</v>
          </cell>
          <cell r="D4247" t="str">
            <v>200410</v>
          </cell>
          <cell r="E4247">
            <v>4.01</v>
          </cell>
        </row>
        <row r="4248">
          <cell r="A4248" t="str">
            <v>37619200411</v>
          </cell>
          <cell r="B4248">
            <v>37619</v>
          </cell>
          <cell r="C4248" t="str">
            <v>NG</v>
          </cell>
          <cell r="D4248" t="str">
            <v>200411</v>
          </cell>
          <cell r="E4248">
            <v>4.16</v>
          </cell>
        </row>
        <row r="4249">
          <cell r="A4249" t="str">
            <v>37619200412</v>
          </cell>
          <cell r="B4249">
            <v>37619</v>
          </cell>
          <cell r="C4249" t="str">
            <v>NG</v>
          </cell>
          <cell r="D4249" t="str">
            <v>200412</v>
          </cell>
          <cell r="E4249">
            <v>4.3129999999999997</v>
          </cell>
        </row>
        <row r="4250">
          <cell r="A4250" t="str">
            <v>37620200401</v>
          </cell>
          <cell r="B4250">
            <v>37620</v>
          </cell>
          <cell r="C4250" t="str">
            <v>NG</v>
          </cell>
          <cell r="D4250" t="str">
            <v>200401</v>
          </cell>
          <cell r="E4250">
            <v>4.8120000000000003</v>
          </cell>
        </row>
        <row r="4251">
          <cell r="A4251" t="str">
            <v>37620200402</v>
          </cell>
          <cell r="B4251">
            <v>37620</v>
          </cell>
          <cell r="C4251" t="str">
            <v>NG</v>
          </cell>
          <cell r="D4251" t="str">
            <v>200402</v>
          </cell>
          <cell r="E4251">
            <v>4.7030000000000003</v>
          </cell>
        </row>
        <row r="4252">
          <cell r="A4252" t="str">
            <v>37620200403</v>
          </cell>
          <cell r="B4252">
            <v>37620</v>
          </cell>
          <cell r="C4252" t="str">
            <v>NG</v>
          </cell>
          <cell r="D4252" t="str">
            <v>200403</v>
          </cell>
          <cell r="E4252">
            <v>4.5030000000000001</v>
          </cell>
        </row>
        <row r="4253">
          <cell r="A4253" t="str">
            <v>37620200404</v>
          </cell>
          <cell r="B4253">
            <v>37620</v>
          </cell>
          <cell r="C4253" t="str">
            <v>NG</v>
          </cell>
          <cell r="D4253" t="str">
            <v>200404</v>
          </cell>
          <cell r="E4253">
            <v>4.1680000000000001</v>
          </cell>
        </row>
        <row r="4254">
          <cell r="A4254" t="str">
            <v>37620200405</v>
          </cell>
          <cell r="B4254">
            <v>37620</v>
          </cell>
          <cell r="C4254" t="str">
            <v>NG</v>
          </cell>
          <cell r="D4254" t="str">
            <v>200405</v>
          </cell>
          <cell r="E4254">
            <v>4.0579999999999998</v>
          </cell>
        </row>
        <row r="4255">
          <cell r="A4255" t="str">
            <v>37620200406</v>
          </cell>
          <cell r="B4255">
            <v>37620</v>
          </cell>
          <cell r="C4255" t="str">
            <v>NG</v>
          </cell>
          <cell r="D4255" t="str">
            <v>200406</v>
          </cell>
          <cell r="E4255">
            <v>4.0229999999999997</v>
          </cell>
        </row>
        <row r="4256">
          <cell r="A4256" t="str">
            <v>37620200407</v>
          </cell>
          <cell r="B4256">
            <v>37620</v>
          </cell>
          <cell r="C4256" t="str">
            <v>NG</v>
          </cell>
          <cell r="D4256" t="str">
            <v>200407</v>
          </cell>
          <cell r="E4256">
            <v>4.0279999999999996</v>
          </cell>
        </row>
        <row r="4257">
          <cell r="A4257" t="str">
            <v>37620200408</v>
          </cell>
          <cell r="B4257">
            <v>37620</v>
          </cell>
          <cell r="C4257" t="str">
            <v>NG</v>
          </cell>
          <cell r="D4257" t="str">
            <v>200408</v>
          </cell>
          <cell r="E4257">
            <v>4.0330000000000004</v>
          </cell>
        </row>
        <row r="4258">
          <cell r="A4258" t="str">
            <v>37620200409</v>
          </cell>
          <cell r="B4258">
            <v>37620</v>
          </cell>
          <cell r="C4258" t="str">
            <v>NG</v>
          </cell>
          <cell r="D4258" t="str">
            <v>200409</v>
          </cell>
          <cell r="E4258">
            <v>4.0229999999999997</v>
          </cell>
        </row>
        <row r="4259">
          <cell r="A4259" t="str">
            <v>37620200410</v>
          </cell>
          <cell r="B4259">
            <v>37620</v>
          </cell>
          <cell r="C4259" t="str">
            <v>NG</v>
          </cell>
          <cell r="D4259" t="str">
            <v>200410</v>
          </cell>
          <cell r="E4259">
            <v>4.0430000000000001</v>
          </cell>
        </row>
        <row r="4260">
          <cell r="A4260" t="str">
            <v>37620200411</v>
          </cell>
          <cell r="B4260">
            <v>37620</v>
          </cell>
          <cell r="C4260" t="str">
            <v>NG</v>
          </cell>
          <cell r="D4260" t="str">
            <v>200411</v>
          </cell>
          <cell r="E4260">
            <v>4.1929999999999996</v>
          </cell>
        </row>
        <row r="4261">
          <cell r="A4261" t="str">
            <v>37620200412</v>
          </cell>
          <cell r="B4261">
            <v>37620</v>
          </cell>
          <cell r="C4261" t="str">
            <v>NG</v>
          </cell>
          <cell r="D4261" t="str">
            <v>200412</v>
          </cell>
          <cell r="E4261">
            <v>4.3529999999999998</v>
          </cell>
        </row>
        <row r="4262">
          <cell r="A4262" t="str">
            <v>37621200401</v>
          </cell>
          <cell r="B4262">
            <v>37621</v>
          </cell>
          <cell r="C4262" t="str">
            <v>NG</v>
          </cell>
          <cell r="D4262" t="str">
            <v>200401</v>
          </cell>
          <cell r="E4262">
            <v>4.8090000000000002</v>
          </cell>
        </row>
        <row r="4263">
          <cell r="A4263" t="str">
            <v>37621200402</v>
          </cell>
          <cell r="B4263">
            <v>37621</v>
          </cell>
          <cell r="C4263" t="str">
            <v>NG</v>
          </cell>
          <cell r="D4263" t="str">
            <v>200402</v>
          </cell>
          <cell r="E4263">
            <v>4.7039999999999997</v>
          </cell>
        </row>
        <row r="4264">
          <cell r="A4264" t="str">
            <v>37621200403</v>
          </cell>
          <cell r="B4264">
            <v>37621</v>
          </cell>
          <cell r="C4264" t="str">
            <v>NG</v>
          </cell>
          <cell r="D4264" t="str">
            <v>200403</v>
          </cell>
          <cell r="E4264">
            <v>4.5090000000000003</v>
          </cell>
        </row>
        <row r="4265">
          <cell r="A4265" t="str">
            <v>37621200404</v>
          </cell>
          <cell r="B4265">
            <v>37621</v>
          </cell>
          <cell r="C4265" t="str">
            <v>NG</v>
          </cell>
          <cell r="D4265" t="str">
            <v>200404</v>
          </cell>
          <cell r="E4265">
            <v>4.1790000000000003</v>
          </cell>
        </row>
        <row r="4266">
          <cell r="A4266" t="str">
            <v>37621200405</v>
          </cell>
          <cell r="B4266">
            <v>37621</v>
          </cell>
          <cell r="C4266" t="str">
            <v>NG</v>
          </cell>
          <cell r="D4266" t="str">
            <v>200405</v>
          </cell>
          <cell r="E4266">
            <v>4.069</v>
          </cell>
        </row>
        <row r="4267">
          <cell r="A4267" t="str">
            <v>37621200406</v>
          </cell>
          <cell r="B4267">
            <v>37621</v>
          </cell>
          <cell r="C4267" t="str">
            <v>NG</v>
          </cell>
          <cell r="D4267" t="str">
            <v>200406</v>
          </cell>
          <cell r="E4267">
            <v>4.0389999999999997</v>
          </cell>
        </row>
        <row r="4268">
          <cell r="A4268" t="str">
            <v>37621200407</v>
          </cell>
          <cell r="B4268">
            <v>37621</v>
          </cell>
          <cell r="C4268" t="str">
            <v>NG</v>
          </cell>
          <cell r="D4268" t="str">
            <v>200407</v>
          </cell>
          <cell r="E4268">
            <v>4.0439999999999996</v>
          </cell>
        </row>
        <row r="4269">
          <cell r="A4269" t="str">
            <v>37621200408</v>
          </cell>
          <cell r="B4269">
            <v>37621</v>
          </cell>
          <cell r="C4269" t="str">
            <v>NG</v>
          </cell>
          <cell r="D4269" t="str">
            <v>200408</v>
          </cell>
          <cell r="E4269">
            <v>4.0490000000000004</v>
          </cell>
        </row>
        <row r="4270">
          <cell r="A4270" t="str">
            <v>37621200409</v>
          </cell>
          <cell r="B4270">
            <v>37621</v>
          </cell>
          <cell r="C4270" t="str">
            <v>NG</v>
          </cell>
          <cell r="D4270" t="str">
            <v>200409</v>
          </cell>
          <cell r="E4270">
            <v>4.0289999999999999</v>
          </cell>
        </row>
        <row r="4271">
          <cell r="A4271" t="str">
            <v>37621200410</v>
          </cell>
          <cell r="B4271">
            <v>37621</v>
          </cell>
          <cell r="C4271" t="str">
            <v>NG</v>
          </cell>
          <cell r="D4271" t="str">
            <v>200410</v>
          </cell>
          <cell r="E4271">
            <v>4.0439999999999996</v>
          </cell>
        </row>
        <row r="4272">
          <cell r="A4272" t="str">
            <v>37621200411</v>
          </cell>
          <cell r="B4272">
            <v>37621</v>
          </cell>
          <cell r="C4272" t="str">
            <v>NG</v>
          </cell>
          <cell r="D4272" t="str">
            <v>200411</v>
          </cell>
          <cell r="E4272">
            <v>4.1959999999999997</v>
          </cell>
        </row>
        <row r="4273">
          <cell r="A4273" t="str">
            <v>37621200412</v>
          </cell>
          <cell r="B4273">
            <v>37621</v>
          </cell>
          <cell r="C4273" t="str">
            <v>NG</v>
          </cell>
          <cell r="D4273" t="str">
            <v>200412</v>
          </cell>
          <cell r="E4273">
            <v>4.3479999999999999</v>
          </cell>
        </row>
        <row r="4274">
          <cell r="A4274" t="str">
            <v>37622200401</v>
          </cell>
          <cell r="B4274">
            <v>37622</v>
          </cell>
          <cell r="C4274" t="str">
            <v>NG</v>
          </cell>
          <cell r="D4274" t="str">
            <v>200401</v>
          </cell>
          <cell r="E4274">
            <v>4.8090000000000002</v>
          </cell>
        </row>
        <row r="4275">
          <cell r="A4275" t="str">
            <v>37622200402</v>
          </cell>
          <cell r="B4275">
            <v>37622</v>
          </cell>
          <cell r="C4275" t="str">
            <v>NG</v>
          </cell>
          <cell r="D4275" t="str">
            <v>200402</v>
          </cell>
          <cell r="E4275">
            <v>4.7039999999999997</v>
          </cell>
        </row>
        <row r="4276">
          <cell r="A4276" t="str">
            <v>37622200403</v>
          </cell>
          <cell r="B4276">
            <v>37622</v>
          </cell>
          <cell r="C4276" t="str">
            <v>NG</v>
          </cell>
          <cell r="D4276" t="str">
            <v>200403</v>
          </cell>
          <cell r="E4276">
            <v>4.5090000000000003</v>
          </cell>
        </row>
        <row r="4277">
          <cell r="A4277" t="str">
            <v>37622200404</v>
          </cell>
          <cell r="B4277">
            <v>37622</v>
          </cell>
          <cell r="C4277" t="str">
            <v>NG</v>
          </cell>
          <cell r="D4277" t="str">
            <v>200404</v>
          </cell>
          <cell r="E4277">
            <v>4.1790000000000003</v>
          </cell>
        </row>
        <row r="4278">
          <cell r="A4278" t="str">
            <v>37622200405</v>
          </cell>
          <cell r="B4278">
            <v>37622</v>
          </cell>
          <cell r="C4278" t="str">
            <v>NG</v>
          </cell>
          <cell r="D4278" t="str">
            <v>200405</v>
          </cell>
          <cell r="E4278">
            <v>4.069</v>
          </cell>
        </row>
        <row r="4279">
          <cell r="A4279" t="str">
            <v>37622200406</v>
          </cell>
          <cell r="B4279">
            <v>37622</v>
          </cell>
          <cell r="C4279" t="str">
            <v>NG</v>
          </cell>
          <cell r="D4279" t="str">
            <v>200406</v>
          </cell>
          <cell r="E4279">
            <v>4.0389999999999997</v>
          </cell>
        </row>
        <row r="4280">
          <cell r="A4280" t="str">
            <v>37622200407</v>
          </cell>
          <cell r="B4280">
            <v>37622</v>
          </cell>
          <cell r="C4280" t="str">
            <v>NG</v>
          </cell>
          <cell r="D4280" t="str">
            <v>200407</v>
          </cell>
          <cell r="E4280">
            <v>4.0439999999999996</v>
          </cell>
        </row>
        <row r="4281">
          <cell r="A4281" t="str">
            <v>37622200408</v>
          </cell>
          <cell r="B4281">
            <v>37622</v>
          </cell>
          <cell r="C4281" t="str">
            <v>NG</v>
          </cell>
          <cell r="D4281" t="str">
            <v>200408</v>
          </cell>
          <cell r="E4281">
            <v>4.0490000000000004</v>
          </cell>
        </row>
        <row r="4282">
          <cell r="A4282" t="str">
            <v>37622200409</v>
          </cell>
          <cell r="B4282">
            <v>37622</v>
          </cell>
          <cell r="C4282" t="str">
            <v>NG</v>
          </cell>
          <cell r="D4282" t="str">
            <v>200409</v>
          </cell>
          <cell r="E4282">
            <v>4.0289999999999999</v>
          </cell>
        </row>
        <row r="4283">
          <cell r="A4283" t="str">
            <v>37622200410</v>
          </cell>
          <cell r="B4283">
            <v>37622</v>
          </cell>
          <cell r="C4283" t="str">
            <v>NG</v>
          </cell>
          <cell r="D4283" t="str">
            <v>200410</v>
          </cell>
          <cell r="E4283">
            <v>4.0439999999999996</v>
          </cell>
        </row>
        <row r="4284">
          <cell r="A4284" t="str">
            <v>37622200411</v>
          </cell>
          <cell r="B4284">
            <v>37622</v>
          </cell>
          <cell r="C4284" t="str">
            <v>NG</v>
          </cell>
          <cell r="D4284" t="str">
            <v>200411</v>
          </cell>
          <cell r="E4284">
            <v>4.1959999999999997</v>
          </cell>
        </row>
        <row r="4285">
          <cell r="A4285" t="str">
            <v>37622200412</v>
          </cell>
          <cell r="B4285">
            <v>37622</v>
          </cell>
          <cell r="C4285" t="str">
            <v>NG</v>
          </cell>
          <cell r="D4285" t="str">
            <v>200412</v>
          </cell>
          <cell r="E4285">
            <v>4.3479999999999999</v>
          </cell>
        </row>
        <row r="4286">
          <cell r="A4286" t="str">
            <v>37623200401</v>
          </cell>
          <cell r="B4286">
            <v>37623</v>
          </cell>
          <cell r="C4286" t="str">
            <v>NG</v>
          </cell>
          <cell r="D4286" t="str">
            <v>200401</v>
          </cell>
          <cell r="E4286">
            <v>4.9909999999999997</v>
          </cell>
        </row>
        <row r="4287">
          <cell r="A4287" t="str">
            <v>37623200402</v>
          </cell>
          <cell r="B4287">
            <v>37623</v>
          </cell>
          <cell r="C4287" t="str">
            <v>NG</v>
          </cell>
          <cell r="D4287" t="str">
            <v>200402</v>
          </cell>
          <cell r="E4287">
            <v>4.8710000000000004</v>
          </cell>
        </row>
        <row r="4288">
          <cell r="A4288" t="str">
            <v>37623200403</v>
          </cell>
          <cell r="B4288">
            <v>37623</v>
          </cell>
          <cell r="C4288" t="str">
            <v>NG</v>
          </cell>
          <cell r="D4288" t="str">
            <v>200403</v>
          </cell>
          <cell r="E4288">
            <v>4.6580000000000004</v>
          </cell>
        </row>
        <row r="4289">
          <cell r="A4289" t="str">
            <v>37623200404</v>
          </cell>
          <cell r="B4289">
            <v>37623</v>
          </cell>
          <cell r="C4289" t="str">
            <v>NG</v>
          </cell>
          <cell r="D4289" t="str">
            <v>200404</v>
          </cell>
          <cell r="E4289">
            <v>4.2930000000000001</v>
          </cell>
        </row>
        <row r="4290">
          <cell r="A4290" t="str">
            <v>37623200405</v>
          </cell>
          <cell r="B4290">
            <v>37623</v>
          </cell>
          <cell r="C4290" t="str">
            <v>NG</v>
          </cell>
          <cell r="D4290" t="str">
            <v>200405</v>
          </cell>
          <cell r="E4290">
            <v>4.173</v>
          </cell>
        </row>
        <row r="4291">
          <cell r="A4291" t="str">
            <v>37623200406</v>
          </cell>
          <cell r="B4291">
            <v>37623</v>
          </cell>
          <cell r="C4291" t="str">
            <v>NG</v>
          </cell>
          <cell r="D4291" t="str">
            <v>200406</v>
          </cell>
          <cell r="E4291">
            <v>4.133</v>
          </cell>
        </row>
        <row r="4292">
          <cell r="A4292" t="str">
            <v>37623200407</v>
          </cell>
          <cell r="B4292">
            <v>37623</v>
          </cell>
          <cell r="C4292" t="str">
            <v>NG</v>
          </cell>
          <cell r="D4292" t="str">
            <v>200407</v>
          </cell>
          <cell r="E4292">
            <v>4.1379999999999999</v>
          </cell>
        </row>
        <row r="4293">
          <cell r="A4293" t="str">
            <v>37623200408</v>
          </cell>
          <cell r="B4293">
            <v>37623</v>
          </cell>
          <cell r="C4293" t="str">
            <v>NG</v>
          </cell>
          <cell r="D4293" t="str">
            <v>200408</v>
          </cell>
          <cell r="E4293">
            <v>4.1529999999999996</v>
          </cell>
        </row>
        <row r="4294">
          <cell r="A4294" t="str">
            <v>37623200409</v>
          </cell>
          <cell r="B4294">
            <v>37623</v>
          </cell>
          <cell r="C4294" t="str">
            <v>NG</v>
          </cell>
          <cell r="D4294" t="str">
            <v>200409</v>
          </cell>
          <cell r="E4294">
            <v>4.133</v>
          </cell>
        </row>
        <row r="4295">
          <cell r="A4295" t="str">
            <v>37623200410</v>
          </cell>
          <cell r="B4295">
            <v>37623</v>
          </cell>
          <cell r="C4295" t="str">
            <v>NG</v>
          </cell>
          <cell r="D4295" t="str">
            <v>200410</v>
          </cell>
          <cell r="E4295">
            <v>4.1479999999999997</v>
          </cell>
        </row>
        <row r="4296">
          <cell r="A4296" t="str">
            <v>37623200411</v>
          </cell>
          <cell r="B4296">
            <v>37623</v>
          </cell>
          <cell r="C4296" t="str">
            <v>NG</v>
          </cell>
          <cell r="D4296" t="str">
            <v>200411</v>
          </cell>
          <cell r="E4296">
            <v>4.2779999999999996</v>
          </cell>
        </row>
        <row r="4297">
          <cell r="A4297" t="str">
            <v>37623200412</v>
          </cell>
          <cell r="B4297">
            <v>37623</v>
          </cell>
          <cell r="C4297" t="str">
            <v>NG</v>
          </cell>
          <cell r="D4297" t="str">
            <v>200412</v>
          </cell>
          <cell r="E4297">
            <v>4.41</v>
          </cell>
        </row>
        <row r="4298">
          <cell r="A4298" t="str">
            <v>37624200401</v>
          </cell>
          <cell r="B4298">
            <v>37624</v>
          </cell>
          <cell r="C4298" t="str">
            <v>NG</v>
          </cell>
          <cell r="D4298" t="str">
            <v>200401</v>
          </cell>
          <cell r="E4298">
            <v>5.0529999999999999</v>
          </cell>
        </row>
        <row r="4299">
          <cell r="A4299" t="str">
            <v>37624200402</v>
          </cell>
          <cell r="B4299">
            <v>37624</v>
          </cell>
          <cell r="C4299" t="str">
            <v>NG</v>
          </cell>
          <cell r="D4299" t="str">
            <v>200402</v>
          </cell>
          <cell r="E4299">
            <v>4.9329999999999998</v>
          </cell>
        </row>
        <row r="4300">
          <cell r="A4300" t="str">
            <v>37624200403</v>
          </cell>
          <cell r="B4300">
            <v>37624</v>
          </cell>
          <cell r="C4300" t="str">
            <v>NG</v>
          </cell>
          <cell r="D4300" t="str">
            <v>200403</v>
          </cell>
          <cell r="E4300">
            <v>4.72</v>
          </cell>
        </row>
        <row r="4301">
          <cell r="A4301" t="str">
            <v>37624200404</v>
          </cell>
          <cell r="B4301">
            <v>37624</v>
          </cell>
          <cell r="C4301" t="str">
            <v>NG</v>
          </cell>
          <cell r="D4301" t="str">
            <v>200404</v>
          </cell>
          <cell r="E4301">
            <v>4.335</v>
          </cell>
        </row>
        <row r="4302">
          <cell r="A4302" t="str">
            <v>37624200405</v>
          </cell>
          <cell r="B4302">
            <v>37624</v>
          </cell>
          <cell r="C4302" t="str">
            <v>NG</v>
          </cell>
          <cell r="D4302" t="str">
            <v>200405</v>
          </cell>
          <cell r="E4302">
            <v>4.2</v>
          </cell>
        </row>
        <row r="4303">
          <cell r="A4303" t="str">
            <v>37624200406</v>
          </cell>
          <cell r="B4303">
            <v>37624</v>
          </cell>
          <cell r="C4303" t="str">
            <v>NG</v>
          </cell>
          <cell r="D4303" t="str">
            <v>200406</v>
          </cell>
          <cell r="E4303">
            <v>4.16</v>
          </cell>
        </row>
        <row r="4304">
          <cell r="A4304" t="str">
            <v>37624200407</v>
          </cell>
          <cell r="B4304">
            <v>37624</v>
          </cell>
          <cell r="C4304" t="str">
            <v>NG</v>
          </cell>
          <cell r="D4304" t="str">
            <v>200407</v>
          </cell>
          <cell r="E4304">
            <v>4.165</v>
          </cell>
        </row>
        <row r="4305">
          <cell r="A4305" t="str">
            <v>37624200408</v>
          </cell>
          <cell r="B4305">
            <v>37624</v>
          </cell>
          <cell r="C4305" t="str">
            <v>NG</v>
          </cell>
          <cell r="D4305" t="str">
            <v>200408</v>
          </cell>
          <cell r="E4305">
            <v>4.1680000000000001</v>
          </cell>
        </row>
        <row r="4306">
          <cell r="A4306" t="str">
            <v>37624200409</v>
          </cell>
          <cell r="B4306">
            <v>37624</v>
          </cell>
          <cell r="C4306" t="str">
            <v>NG</v>
          </cell>
          <cell r="D4306" t="str">
            <v>200409</v>
          </cell>
          <cell r="E4306">
            <v>4.1479999999999997</v>
          </cell>
        </row>
        <row r="4307">
          <cell r="A4307" t="str">
            <v>37624200410</v>
          </cell>
          <cell r="B4307">
            <v>37624</v>
          </cell>
          <cell r="C4307" t="str">
            <v>NG</v>
          </cell>
          <cell r="D4307" t="str">
            <v>200410</v>
          </cell>
          <cell r="E4307">
            <v>4.1630000000000003</v>
          </cell>
        </row>
        <row r="4308">
          <cell r="A4308" t="str">
            <v>37624200411</v>
          </cell>
          <cell r="B4308">
            <v>37624</v>
          </cell>
          <cell r="C4308" t="str">
            <v>NG</v>
          </cell>
          <cell r="D4308" t="str">
            <v>200411</v>
          </cell>
          <cell r="E4308">
            <v>4.2930000000000001</v>
          </cell>
        </row>
        <row r="4309">
          <cell r="A4309" t="str">
            <v>37624200412</v>
          </cell>
          <cell r="B4309">
            <v>37624</v>
          </cell>
          <cell r="C4309" t="str">
            <v>NG</v>
          </cell>
          <cell r="D4309" t="str">
            <v>200412</v>
          </cell>
          <cell r="E4309">
            <v>4.4249999999999998</v>
          </cell>
        </row>
        <row r="4310">
          <cell r="A4310" t="str">
            <v>37625200401</v>
          </cell>
          <cell r="B4310">
            <v>37625</v>
          </cell>
          <cell r="C4310" t="str">
            <v>NG</v>
          </cell>
          <cell r="D4310" t="str">
            <v>200401</v>
          </cell>
          <cell r="E4310">
            <v>5.0529999999999999</v>
          </cell>
        </row>
        <row r="4311">
          <cell r="A4311" t="str">
            <v>37625200402</v>
          </cell>
          <cell r="B4311">
            <v>37625</v>
          </cell>
          <cell r="C4311" t="str">
            <v>NG</v>
          </cell>
          <cell r="D4311" t="str">
            <v>200402</v>
          </cell>
          <cell r="E4311">
            <v>4.9329999999999998</v>
          </cell>
        </row>
        <row r="4312">
          <cell r="A4312" t="str">
            <v>37625200403</v>
          </cell>
          <cell r="B4312">
            <v>37625</v>
          </cell>
          <cell r="C4312" t="str">
            <v>NG</v>
          </cell>
          <cell r="D4312" t="str">
            <v>200403</v>
          </cell>
          <cell r="E4312">
            <v>4.72</v>
          </cell>
        </row>
        <row r="4313">
          <cell r="A4313" t="str">
            <v>37625200404</v>
          </cell>
          <cell r="B4313">
            <v>37625</v>
          </cell>
          <cell r="C4313" t="str">
            <v>NG</v>
          </cell>
          <cell r="D4313" t="str">
            <v>200404</v>
          </cell>
          <cell r="E4313">
            <v>4.335</v>
          </cell>
        </row>
        <row r="4314">
          <cell r="A4314" t="str">
            <v>37625200405</v>
          </cell>
          <cell r="B4314">
            <v>37625</v>
          </cell>
          <cell r="C4314" t="str">
            <v>NG</v>
          </cell>
          <cell r="D4314" t="str">
            <v>200405</v>
          </cell>
          <cell r="E4314">
            <v>4.2</v>
          </cell>
        </row>
        <row r="4315">
          <cell r="A4315" t="str">
            <v>37625200406</v>
          </cell>
          <cell r="B4315">
            <v>37625</v>
          </cell>
          <cell r="C4315" t="str">
            <v>NG</v>
          </cell>
          <cell r="D4315" t="str">
            <v>200406</v>
          </cell>
          <cell r="E4315">
            <v>4.16</v>
          </cell>
        </row>
        <row r="4316">
          <cell r="A4316" t="str">
            <v>37625200407</v>
          </cell>
          <cell r="B4316">
            <v>37625</v>
          </cell>
          <cell r="C4316" t="str">
            <v>NG</v>
          </cell>
          <cell r="D4316" t="str">
            <v>200407</v>
          </cell>
          <cell r="E4316">
            <v>4.165</v>
          </cell>
        </row>
        <row r="4317">
          <cell r="A4317" t="str">
            <v>37625200408</v>
          </cell>
          <cell r="B4317">
            <v>37625</v>
          </cell>
          <cell r="C4317" t="str">
            <v>NG</v>
          </cell>
          <cell r="D4317" t="str">
            <v>200408</v>
          </cell>
          <cell r="E4317">
            <v>4.1680000000000001</v>
          </cell>
        </row>
        <row r="4318">
          <cell r="A4318" t="str">
            <v>37625200409</v>
          </cell>
          <cell r="B4318">
            <v>37625</v>
          </cell>
          <cell r="C4318" t="str">
            <v>NG</v>
          </cell>
          <cell r="D4318" t="str">
            <v>200409</v>
          </cell>
          <cell r="E4318">
            <v>4.1479999999999997</v>
          </cell>
        </row>
        <row r="4319">
          <cell r="A4319" t="str">
            <v>37625200410</v>
          </cell>
          <cell r="B4319">
            <v>37625</v>
          </cell>
          <cell r="C4319" t="str">
            <v>NG</v>
          </cell>
          <cell r="D4319" t="str">
            <v>200410</v>
          </cell>
          <cell r="E4319">
            <v>4.1630000000000003</v>
          </cell>
        </row>
        <row r="4320">
          <cell r="A4320" t="str">
            <v>37625200411</v>
          </cell>
          <cell r="B4320">
            <v>37625</v>
          </cell>
          <cell r="C4320" t="str">
            <v>NG</v>
          </cell>
          <cell r="D4320" t="str">
            <v>200411</v>
          </cell>
          <cell r="E4320">
            <v>4.2930000000000001</v>
          </cell>
        </row>
        <row r="4321">
          <cell r="A4321" t="str">
            <v>37625200412</v>
          </cell>
          <cell r="B4321">
            <v>37625</v>
          </cell>
          <cell r="C4321" t="str">
            <v>NG</v>
          </cell>
          <cell r="D4321" t="str">
            <v>200412</v>
          </cell>
          <cell r="E4321">
            <v>4.4249999999999998</v>
          </cell>
        </row>
        <row r="4322">
          <cell r="A4322" t="str">
            <v>37626200401</v>
          </cell>
          <cell r="B4322">
            <v>37626</v>
          </cell>
          <cell r="C4322" t="str">
            <v>NG</v>
          </cell>
          <cell r="D4322" t="str">
            <v>200401</v>
          </cell>
          <cell r="E4322">
            <v>5.0529999999999999</v>
          </cell>
        </row>
        <row r="4323">
          <cell r="A4323" t="str">
            <v>37626200402</v>
          </cell>
          <cell r="B4323">
            <v>37626</v>
          </cell>
          <cell r="C4323" t="str">
            <v>NG</v>
          </cell>
          <cell r="D4323" t="str">
            <v>200402</v>
          </cell>
          <cell r="E4323">
            <v>4.9329999999999998</v>
          </cell>
        </row>
        <row r="4324">
          <cell r="A4324" t="str">
            <v>37626200403</v>
          </cell>
          <cell r="B4324">
            <v>37626</v>
          </cell>
          <cell r="C4324" t="str">
            <v>NG</v>
          </cell>
          <cell r="D4324" t="str">
            <v>200403</v>
          </cell>
          <cell r="E4324">
            <v>4.72</v>
          </cell>
        </row>
        <row r="4325">
          <cell r="A4325" t="str">
            <v>37626200404</v>
          </cell>
          <cell r="B4325">
            <v>37626</v>
          </cell>
          <cell r="C4325" t="str">
            <v>NG</v>
          </cell>
          <cell r="D4325" t="str">
            <v>200404</v>
          </cell>
          <cell r="E4325">
            <v>4.335</v>
          </cell>
        </row>
        <row r="4326">
          <cell r="A4326" t="str">
            <v>37626200405</v>
          </cell>
          <cell r="B4326">
            <v>37626</v>
          </cell>
          <cell r="C4326" t="str">
            <v>NG</v>
          </cell>
          <cell r="D4326" t="str">
            <v>200405</v>
          </cell>
          <cell r="E4326">
            <v>4.2</v>
          </cell>
        </row>
        <row r="4327">
          <cell r="A4327" t="str">
            <v>37626200406</v>
          </cell>
          <cell r="B4327">
            <v>37626</v>
          </cell>
          <cell r="C4327" t="str">
            <v>NG</v>
          </cell>
          <cell r="D4327" t="str">
            <v>200406</v>
          </cell>
          <cell r="E4327">
            <v>4.16</v>
          </cell>
        </row>
        <row r="4328">
          <cell r="A4328" t="str">
            <v>37626200407</v>
          </cell>
          <cell r="B4328">
            <v>37626</v>
          </cell>
          <cell r="C4328" t="str">
            <v>NG</v>
          </cell>
          <cell r="D4328" t="str">
            <v>200407</v>
          </cell>
          <cell r="E4328">
            <v>4.165</v>
          </cell>
        </row>
        <row r="4329">
          <cell r="A4329" t="str">
            <v>37626200408</v>
          </cell>
          <cell r="B4329">
            <v>37626</v>
          </cell>
          <cell r="C4329" t="str">
            <v>NG</v>
          </cell>
          <cell r="D4329" t="str">
            <v>200408</v>
          </cell>
          <cell r="E4329">
            <v>4.1680000000000001</v>
          </cell>
        </row>
        <row r="4330">
          <cell r="A4330" t="str">
            <v>37626200409</v>
          </cell>
          <cell r="B4330">
            <v>37626</v>
          </cell>
          <cell r="C4330" t="str">
            <v>NG</v>
          </cell>
          <cell r="D4330" t="str">
            <v>200409</v>
          </cell>
          <cell r="E4330">
            <v>4.1479999999999997</v>
          </cell>
        </row>
        <row r="4331">
          <cell r="A4331" t="str">
            <v>37626200410</v>
          </cell>
          <cell r="B4331">
            <v>37626</v>
          </cell>
          <cell r="C4331" t="str">
            <v>NG</v>
          </cell>
          <cell r="D4331" t="str">
            <v>200410</v>
          </cell>
          <cell r="E4331">
            <v>4.1630000000000003</v>
          </cell>
        </row>
        <row r="4332">
          <cell r="A4332" t="str">
            <v>37626200411</v>
          </cell>
          <cell r="B4332">
            <v>37626</v>
          </cell>
          <cell r="C4332" t="str">
            <v>NG</v>
          </cell>
          <cell r="D4332" t="str">
            <v>200411</v>
          </cell>
          <cell r="E4332">
            <v>4.2930000000000001</v>
          </cell>
        </row>
        <row r="4333">
          <cell r="A4333" t="str">
            <v>37626200412</v>
          </cell>
          <cell r="B4333">
            <v>37626</v>
          </cell>
          <cell r="C4333" t="str">
            <v>NG</v>
          </cell>
          <cell r="D4333" t="str">
            <v>200412</v>
          </cell>
          <cell r="E4333">
            <v>4.4249999999999998</v>
          </cell>
        </row>
        <row r="4334">
          <cell r="A4334" t="str">
            <v>37627200401</v>
          </cell>
          <cell r="B4334">
            <v>37627</v>
          </cell>
          <cell r="C4334" t="str">
            <v>NG</v>
          </cell>
          <cell r="D4334" t="str">
            <v>200401</v>
          </cell>
          <cell r="E4334">
            <v>4.9630000000000001</v>
          </cell>
        </row>
        <row r="4335">
          <cell r="A4335" t="str">
            <v>37627200402</v>
          </cell>
          <cell r="B4335">
            <v>37627</v>
          </cell>
          <cell r="C4335" t="str">
            <v>NG</v>
          </cell>
          <cell r="D4335" t="str">
            <v>200402</v>
          </cell>
          <cell r="E4335">
            <v>4.851</v>
          </cell>
        </row>
        <row r="4336">
          <cell r="A4336" t="str">
            <v>37627200403</v>
          </cell>
          <cell r="B4336">
            <v>37627</v>
          </cell>
          <cell r="C4336" t="str">
            <v>NG</v>
          </cell>
          <cell r="D4336" t="str">
            <v>200403</v>
          </cell>
          <cell r="E4336">
            <v>4.6509999999999998</v>
          </cell>
        </row>
        <row r="4337">
          <cell r="A4337" t="str">
            <v>37627200404</v>
          </cell>
          <cell r="B4337">
            <v>37627</v>
          </cell>
          <cell r="C4337" t="str">
            <v>NG</v>
          </cell>
          <cell r="D4337" t="str">
            <v>200404</v>
          </cell>
          <cell r="E4337">
            <v>4.3019999999999996</v>
          </cell>
        </row>
        <row r="4338">
          <cell r="A4338" t="str">
            <v>37627200405</v>
          </cell>
          <cell r="B4338">
            <v>37627</v>
          </cell>
          <cell r="C4338" t="str">
            <v>NG</v>
          </cell>
          <cell r="D4338" t="str">
            <v>200405</v>
          </cell>
          <cell r="E4338">
            <v>4.1820000000000004</v>
          </cell>
        </row>
        <row r="4339">
          <cell r="A4339" t="str">
            <v>37627200406</v>
          </cell>
          <cell r="B4339">
            <v>37627</v>
          </cell>
          <cell r="C4339" t="str">
            <v>NG</v>
          </cell>
          <cell r="D4339" t="str">
            <v>200406</v>
          </cell>
          <cell r="E4339">
            <v>4.1420000000000003</v>
          </cell>
        </row>
        <row r="4340">
          <cell r="A4340" t="str">
            <v>37627200407</v>
          </cell>
          <cell r="B4340">
            <v>37627</v>
          </cell>
          <cell r="C4340" t="str">
            <v>NG</v>
          </cell>
          <cell r="D4340" t="str">
            <v>200407</v>
          </cell>
          <cell r="E4340">
            <v>4.1470000000000002</v>
          </cell>
        </row>
        <row r="4341">
          <cell r="A4341" t="str">
            <v>37627200408</v>
          </cell>
          <cell r="B4341">
            <v>37627</v>
          </cell>
          <cell r="C4341" t="str">
            <v>NG</v>
          </cell>
          <cell r="D4341" t="str">
            <v>200408</v>
          </cell>
          <cell r="E4341">
            <v>4.1500000000000004</v>
          </cell>
        </row>
        <row r="4342">
          <cell r="A4342" t="str">
            <v>37627200409</v>
          </cell>
          <cell r="B4342">
            <v>37627</v>
          </cell>
          <cell r="C4342" t="str">
            <v>NG</v>
          </cell>
          <cell r="D4342" t="str">
            <v>200409</v>
          </cell>
          <cell r="E4342">
            <v>4.13</v>
          </cell>
        </row>
        <row r="4343">
          <cell r="A4343" t="str">
            <v>37627200410</v>
          </cell>
          <cell r="B4343">
            <v>37627</v>
          </cell>
          <cell r="C4343" t="str">
            <v>NG</v>
          </cell>
          <cell r="D4343" t="str">
            <v>200410</v>
          </cell>
          <cell r="E4343">
            <v>4.1449999999999996</v>
          </cell>
        </row>
        <row r="4344">
          <cell r="A4344" t="str">
            <v>37627200411</v>
          </cell>
          <cell r="B4344">
            <v>37627</v>
          </cell>
          <cell r="C4344" t="str">
            <v>NG</v>
          </cell>
          <cell r="D4344" t="str">
            <v>200411</v>
          </cell>
          <cell r="E4344">
            <v>4.2699999999999996</v>
          </cell>
        </row>
        <row r="4345">
          <cell r="A4345" t="str">
            <v>37627200412</v>
          </cell>
          <cell r="B4345">
            <v>37627</v>
          </cell>
          <cell r="C4345" t="str">
            <v>NG</v>
          </cell>
          <cell r="D4345" t="str">
            <v>200412</v>
          </cell>
          <cell r="E4345">
            <v>4.3970000000000002</v>
          </cell>
        </row>
        <row r="4346">
          <cell r="A4346" t="str">
            <v>37628200401</v>
          </cell>
          <cell r="B4346">
            <v>37628</v>
          </cell>
          <cell r="C4346" t="str">
            <v>NG</v>
          </cell>
          <cell r="D4346" t="str">
            <v>200401</v>
          </cell>
          <cell r="E4346">
            <v>5.0599999999999996</v>
          </cell>
        </row>
        <row r="4347">
          <cell r="A4347" t="str">
            <v>37628200402</v>
          </cell>
          <cell r="B4347">
            <v>37628</v>
          </cell>
          <cell r="C4347" t="str">
            <v>NG</v>
          </cell>
          <cell r="D4347" t="str">
            <v>200402</v>
          </cell>
          <cell r="E4347">
            <v>4.9450000000000003</v>
          </cell>
        </row>
        <row r="4348">
          <cell r="A4348" t="str">
            <v>37628200403</v>
          </cell>
          <cell r="B4348">
            <v>37628</v>
          </cell>
          <cell r="C4348" t="str">
            <v>NG</v>
          </cell>
          <cell r="D4348" t="str">
            <v>200403</v>
          </cell>
          <cell r="E4348">
            <v>4.7350000000000003</v>
          </cell>
        </row>
        <row r="4349">
          <cell r="A4349" t="str">
            <v>37628200404</v>
          </cell>
          <cell r="B4349">
            <v>37628</v>
          </cell>
          <cell r="C4349" t="str">
            <v>NG</v>
          </cell>
          <cell r="D4349" t="str">
            <v>200404</v>
          </cell>
          <cell r="E4349">
            <v>4.3849999999999998</v>
          </cell>
        </row>
        <row r="4350">
          <cell r="A4350" t="str">
            <v>37628200405</v>
          </cell>
          <cell r="B4350">
            <v>37628</v>
          </cell>
          <cell r="C4350" t="str">
            <v>NG</v>
          </cell>
          <cell r="D4350" t="str">
            <v>200405</v>
          </cell>
          <cell r="E4350">
            <v>4.2350000000000003</v>
          </cell>
        </row>
        <row r="4351">
          <cell r="A4351" t="str">
            <v>37628200406</v>
          </cell>
          <cell r="B4351">
            <v>37628</v>
          </cell>
          <cell r="C4351" t="str">
            <v>NG</v>
          </cell>
          <cell r="D4351" t="str">
            <v>200406</v>
          </cell>
          <cell r="E4351">
            <v>4.1950000000000003</v>
          </cell>
        </row>
        <row r="4352">
          <cell r="A4352" t="str">
            <v>37628200407</v>
          </cell>
          <cell r="B4352">
            <v>37628</v>
          </cell>
          <cell r="C4352" t="str">
            <v>NG</v>
          </cell>
          <cell r="D4352" t="str">
            <v>200407</v>
          </cell>
          <cell r="E4352">
            <v>4.2050000000000001</v>
          </cell>
        </row>
        <row r="4353">
          <cell r="A4353" t="str">
            <v>37628200408</v>
          </cell>
          <cell r="B4353">
            <v>37628</v>
          </cell>
          <cell r="C4353" t="str">
            <v>NG</v>
          </cell>
          <cell r="D4353" t="str">
            <v>200408</v>
          </cell>
          <cell r="E4353">
            <v>4.2149999999999999</v>
          </cell>
        </row>
        <row r="4354">
          <cell r="A4354" t="str">
            <v>37628200409</v>
          </cell>
          <cell r="B4354">
            <v>37628</v>
          </cell>
          <cell r="C4354" t="str">
            <v>NG</v>
          </cell>
          <cell r="D4354" t="str">
            <v>200409</v>
          </cell>
          <cell r="E4354">
            <v>4.1950000000000003</v>
          </cell>
        </row>
        <row r="4355">
          <cell r="A4355" t="str">
            <v>37628200410</v>
          </cell>
          <cell r="B4355">
            <v>37628</v>
          </cell>
          <cell r="C4355" t="str">
            <v>NG</v>
          </cell>
          <cell r="D4355" t="str">
            <v>200410</v>
          </cell>
          <cell r="E4355">
            <v>4.2</v>
          </cell>
        </row>
        <row r="4356">
          <cell r="A4356" t="str">
            <v>37628200411</v>
          </cell>
          <cell r="B4356">
            <v>37628</v>
          </cell>
          <cell r="C4356" t="str">
            <v>NG</v>
          </cell>
          <cell r="D4356" t="str">
            <v>200411</v>
          </cell>
          <cell r="E4356">
            <v>4.3250000000000002</v>
          </cell>
        </row>
        <row r="4357">
          <cell r="A4357" t="str">
            <v>37628200412</v>
          </cell>
          <cell r="B4357">
            <v>37628</v>
          </cell>
          <cell r="C4357" t="str">
            <v>NG</v>
          </cell>
          <cell r="D4357" t="str">
            <v>200412</v>
          </cell>
          <cell r="E4357">
            <v>4.46</v>
          </cell>
        </row>
        <row r="4358">
          <cell r="A4358" t="str">
            <v>37629200401</v>
          </cell>
          <cell r="B4358">
            <v>37629</v>
          </cell>
          <cell r="C4358" t="str">
            <v>NG</v>
          </cell>
          <cell r="D4358" t="str">
            <v>200401</v>
          </cell>
          <cell r="E4358">
            <v>5.0730000000000004</v>
          </cell>
        </row>
        <row r="4359">
          <cell r="A4359" t="str">
            <v>37629200402</v>
          </cell>
          <cell r="B4359">
            <v>37629</v>
          </cell>
          <cell r="C4359" t="str">
            <v>NG</v>
          </cell>
          <cell r="D4359" t="str">
            <v>200402</v>
          </cell>
          <cell r="E4359">
            <v>4.9530000000000003</v>
          </cell>
        </row>
        <row r="4360">
          <cell r="A4360" t="str">
            <v>37629200403</v>
          </cell>
          <cell r="B4360">
            <v>37629</v>
          </cell>
          <cell r="C4360" t="str">
            <v>NG</v>
          </cell>
          <cell r="D4360" t="str">
            <v>200403</v>
          </cell>
          <cell r="E4360">
            <v>4.7380000000000004</v>
          </cell>
        </row>
        <row r="4361">
          <cell r="A4361" t="str">
            <v>37629200404</v>
          </cell>
          <cell r="B4361">
            <v>37629</v>
          </cell>
          <cell r="C4361" t="str">
            <v>NG</v>
          </cell>
          <cell r="D4361" t="str">
            <v>200404</v>
          </cell>
          <cell r="E4361">
            <v>4.3879999999999999</v>
          </cell>
        </row>
        <row r="4362">
          <cell r="A4362" t="str">
            <v>37629200405</v>
          </cell>
          <cell r="B4362">
            <v>37629</v>
          </cell>
          <cell r="C4362" t="str">
            <v>NG</v>
          </cell>
          <cell r="D4362" t="str">
            <v>200405</v>
          </cell>
          <cell r="E4362">
            <v>4.2380000000000004</v>
          </cell>
        </row>
        <row r="4363">
          <cell r="A4363" t="str">
            <v>37629200406</v>
          </cell>
          <cell r="B4363">
            <v>37629</v>
          </cell>
          <cell r="C4363" t="str">
            <v>NG</v>
          </cell>
          <cell r="D4363" t="str">
            <v>200406</v>
          </cell>
          <cell r="E4363">
            <v>4.1980000000000004</v>
          </cell>
        </row>
        <row r="4364">
          <cell r="A4364" t="str">
            <v>37629200407</v>
          </cell>
          <cell r="B4364">
            <v>37629</v>
          </cell>
          <cell r="C4364" t="str">
            <v>NG</v>
          </cell>
          <cell r="D4364" t="str">
            <v>200407</v>
          </cell>
          <cell r="E4364">
            <v>4.2080000000000002</v>
          </cell>
        </row>
        <row r="4365">
          <cell r="A4365" t="str">
            <v>37629200408</v>
          </cell>
          <cell r="B4365">
            <v>37629</v>
          </cell>
          <cell r="C4365" t="str">
            <v>NG</v>
          </cell>
          <cell r="D4365" t="str">
            <v>200408</v>
          </cell>
          <cell r="E4365">
            <v>4.218</v>
          </cell>
        </row>
        <row r="4366">
          <cell r="A4366" t="str">
            <v>37629200409</v>
          </cell>
          <cell r="B4366">
            <v>37629</v>
          </cell>
          <cell r="C4366" t="str">
            <v>NG</v>
          </cell>
          <cell r="D4366" t="str">
            <v>200409</v>
          </cell>
          <cell r="E4366">
            <v>4.1980000000000004</v>
          </cell>
        </row>
        <row r="4367">
          <cell r="A4367" t="str">
            <v>37629200410</v>
          </cell>
          <cell r="B4367">
            <v>37629</v>
          </cell>
          <cell r="C4367" t="str">
            <v>NG</v>
          </cell>
          <cell r="D4367" t="str">
            <v>200410</v>
          </cell>
          <cell r="E4367">
            <v>4.202</v>
          </cell>
        </row>
        <row r="4368">
          <cell r="A4368" t="str">
            <v>37629200411</v>
          </cell>
          <cell r="B4368">
            <v>37629</v>
          </cell>
          <cell r="C4368" t="str">
            <v>NG</v>
          </cell>
          <cell r="D4368" t="str">
            <v>200411</v>
          </cell>
          <cell r="E4368">
            <v>4.327</v>
          </cell>
        </row>
        <row r="4369">
          <cell r="A4369" t="str">
            <v>37629200412</v>
          </cell>
          <cell r="B4369">
            <v>37629</v>
          </cell>
          <cell r="C4369" t="str">
            <v>NG</v>
          </cell>
          <cell r="D4369" t="str">
            <v>200412</v>
          </cell>
          <cell r="E4369">
            <v>4.4619999999999997</v>
          </cell>
        </row>
        <row r="4370">
          <cell r="A4370" t="str">
            <v>37630200401</v>
          </cell>
          <cell r="B4370">
            <v>37630</v>
          </cell>
          <cell r="C4370" t="str">
            <v>NG</v>
          </cell>
          <cell r="D4370" t="str">
            <v>200401</v>
          </cell>
          <cell r="E4370">
            <v>5.1360000000000001</v>
          </cell>
        </row>
        <row r="4371">
          <cell r="A4371" t="str">
            <v>37630200402</v>
          </cell>
          <cell r="B4371">
            <v>37630</v>
          </cell>
          <cell r="C4371" t="str">
            <v>NG</v>
          </cell>
          <cell r="D4371" t="str">
            <v>200402</v>
          </cell>
          <cell r="E4371">
            <v>5.016</v>
          </cell>
        </row>
        <row r="4372">
          <cell r="A4372" t="str">
            <v>37630200403</v>
          </cell>
          <cell r="B4372">
            <v>37630</v>
          </cell>
          <cell r="C4372" t="str">
            <v>NG</v>
          </cell>
          <cell r="D4372" t="str">
            <v>200403</v>
          </cell>
          <cell r="E4372">
            <v>4.8109999999999999</v>
          </cell>
        </row>
        <row r="4373">
          <cell r="A4373" t="str">
            <v>37630200404</v>
          </cell>
          <cell r="B4373">
            <v>37630</v>
          </cell>
          <cell r="C4373" t="str">
            <v>NG</v>
          </cell>
          <cell r="D4373" t="str">
            <v>200404</v>
          </cell>
          <cell r="E4373">
            <v>4.4610000000000003</v>
          </cell>
        </row>
        <row r="4374">
          <cell r="A4374" t="str">
            <v>37630200405</v>
          </cell>
          <cell r="B4374">
            <v>37630</v>
          </cell>
          <cell r="C4374" t="str">
            <v>NG</v>
          </cell>
          <cell r="D4374" t="str">
            <v>200405</v>
          </cell>
          <cell r="E4374">
            <v>4.3209999999999997</v>
          </cell>
        </row>
        <row r="4375">
          <cell r="A4375" t="str">
            <v>37630200406</v>
          </cell>
          <cell r="B4375">
            <v>37630</v>
          </cell>
          <cell r="C4375" t="str">
            <v>NG</v>
          </cell>
          <cell r="D4375" t="str">
            <v>200406</v>
          </cell>
          <cell r="E4375">
            <v>4.2809999999999997</v>
          </cell>
        </row>
        <row r="4376">
          <cell r="A4376" t="str">
            <v>37630200407</v>
          </cell>
          <cell r="B4376">
            <v>37630</v>
          </cell>
          <cell r="C4376" t="str">
            <v>NG</v>
          </cell>
          <cell r="D4376" t="str">
            <v>200407</v>
          </cell>
          <cell r="E4376">
            <v>4.2809999999999997</v>
          </cell>
        </row>
        <row r="4377">
          <cell r="A4377" t="str">
            <v>37630200408</v>
          </cell>
          <cell r="B4377">
            <v>37630</v>
          </cell>
          <cell r="C4377" t="str">
            <v>NG</v>
          </cell>
          <cell r="D4377" t="str">
            <v>200408</v>
          </cell>
          <cell r="E4377">
            <v>4.2809999999999997</v>
          </cell>
        </row>
        <row r="4378">
          <cell r="A4378" t="str">
            <v>37630200409</v>
          </cell>
          <cell r="B4378">
            <v>37630</v>
          </cell>
          <cell r="C4378" t="str">
            <v>NG</v>
          </cell>
          <cell r="D4378" t="str">
            <v>200409</v>
          </cell>
          <cell r="E4378">
            <v>4.2610000000000001</v>
          </cell>
        </row>
        <row r="4379">
          <cell r="A4379" t="str">
            <v>37630200410</v>
          </cell>
          <cell r="B4379">
            <v>37630</v>
          </cell>
          <cell r="C4379" t="str">
            <v>NG</v>
          </cell>
          <cell r="D4379" t="str">
            <v>200410</v>
          </cell>
          <cell r="E4379">
            <v>4.2649999999999997</v>
          </cell>
        </row>
        <row r="4380">
          <cell r="A4380" t="str">
            <v>37630200411</v>
          </cell>
          <cell r="B4380">
            <v>37630</v>
          </cell>
          <cell r="C4380" t="str">
            <v>NG</v>
          </cell>
          <cell r="D4380" t="str">
            <v>200411</v>
          </cell>
          <cell r="E4380">
            <v>4.3949999999999996</v>
          </cell>
        </row>
        <row r="4381">
          <cell r="A4381" t="str">
            <v>37630200412</v>
          </cell>
          <cell r="B4381">
            <v>37630</v>
          </cell>
          <cell r="C4381" t="str">
            <v>NG</v>
          </cell>
          <cell r="D4381" t="str">
            <v>200412</v>
          </cell>
          <cell r="E4381">
            <v>4.53</v>
          </cell>
        </row>
        <row r="4382">
          <cell r="A4382" t="str">
            <v>37631200401</v>
          </cell>
          <cell r="B4382">
            <v>37631</v>
          </cell>
          <cell r="C4382" t="str">
            <v>NG</v>
          </cell>
          <cell r="D4382" t="str">
            <v>200401</v>
          </cell>
          <cell r="E4382">
            <v>5.0270000000000001</v>
          </cell>
        </row>
        <row r="4383">
          <cell r="A4383" t="str">
            <v>37631200402</v>
          </cell>
          <cell r="B4383">
            <v>37631</v>
          </cell>
          <cell r="C4383" t="str">
            <v>NG</v>
          </cell>
          <cell r="D4383" t="str">
            <v>200402</v>
          </cell>
          <cell r="E4383">
            <v>4.8970000000000002</v>
          </cell>
        </row>
        <row r="4384">
          <cell r="A4384" t="str">
            <v>37631200403</v>
          </cell>
          <cell r="B4384">
            <v>37631</v>
          </cell>
          <cell r="C4384" t="str">
            <v>NG</v>
          </cell>
          <cell r="D4384" t="str">
            <v>200403</v>
          </cell>
          <cell r="E4384">
            <v>4.6950000000000003</v>
          </cell>
        </row>
        <row r="4385">
          <cell r="A4385" t="str">
            <v>37631200404</v>
          </cell>
          <cell r="B4385">
            <v>37631</v>
          </cell>
          <cell r="C4385" t="str">
            <v>NG</v>
          </cell>
          <cell r="D4385" t="str">
            <v>200404</v>
          </cell>
          <cell r="E4385">
            <v>4.3449999999999998</v>
          </cell>
        </row>
        <row r="4386">
          <cell r="A4386" t="str">
            <v>37631200405</v>
          </cell>
          <cell r="B4386">
            <v>37631</v>
          </cell>
          <cell r="C4386" t="str">
            <v>NG</v>
          </cell>
          <cell r="D4386" t="str">
            <v>200405</v>
          </cell>
          <cell r="E4386">
            <v>4.2</v>
          </cell>
        </row>
        <row r="4387">
          <cell r="A4387" t="str">
            <v>37631200406</v>
          </cell>
          <cell r="B4387">
            <v>37631</v>
          </cell>
          <cell r="C4387" t="str">
            <v>NG</v>
          </cell>
          <cell r="D4387" t="str">
            <v>200406</v>
          </cell>
          <cell r="E4387">
            <v>4.16</v>
          </cell>
        </row>
        <row r="4388">
          <cell r="A4388" t="str">
            <v>37631200407</v>
          </cell>
          <cell r="B4388">
            <v>37631</v>
          </cell>
          <cell r="C4388" t="str">
            <v>NG</v>
          </cell>
          <cell r="D4388" t="str">
            <v>200407</v>
          </cell>
          <cell r="E4388">
            <v>4.16</v>
          </cell>
        </row>
        <row r="4389">
          <cell r="A4389" t="str">
            <v>37631200408</v>
          </cell>
          <cell r="B4389">
            <v>37631</v>
          </cell>
          <cell r="C4389" t="str">
            <v>NG</v>
          </cell>
          <cell r="D4389" t="str">
            <v>200408</v>
          </cell>
          <cell r="E4389">
            <v>4.16</v>
          </cell>
        </row>
        <row r="4390">
          <cell r="A4390" t="str">
            <v>37631200409</v>
          </cell>
          <cell r="B4390">
            <v>37631</v>
          </cell>
          <cell r="C4390" t="str">
            <v>NG</v>
          </cell>
          <cell r="D4390" t="str">
            <v>200409</v>
          </cell>
          <cell r="E4390">
            <v>4.1399999999999997</v>
          </cell>
        </row>
        <row r="4391">
          <cell r="A4391" t="str">
            <v>37631200410</v>
          </cell>
          <cell r="B4391">
            <v>37631</v>
          </cell>
          <cell r="C4391" t="str">
            <v>NG</v>
          </cell>
          <cell r="D4391" t="str">
            <v>200410</v>
          </cell>
          <cell r="E4391">
            <v>4.1390000000000002</v>
          </cell>
        </row>
        <row r="4392">
          <cell r="A4392" t="str">
            <v>37631200411</v>
          </cell>
          <cell r="B4392">
            <v>37631</v>
          </cell>
          <cell r="C4392" t="str">
            <v>NG</v>
          </cell>
          <cell r="D4392" t="str">
            <v>200411</v>
          </cell>
          <cell r="E4392">
            <v>4.2690000000000001</v>
          </cell>
        </row>
        <row r="4393">
          <cell r="A4393" t="str">
            <v>37631200412</v>
          </cell>
          <cell r="B4393">
            <v>37631</v>
          </cell>
          <cell r="C4393" t="str">
            <v>NG</v>
          </cell>
          <cell r="D4393" t="str">
            <v>200412</v>
          </cell>
          <cell r="E4393">
            <v>4.4039999999999999</v>
          </cell>
        </row>
        <row r="4394">
          <cell r="A4394" t="str">
            <v>37632200401</v>
          </cell>
          <cell r="B4394">
            <v>37632</v>
          </cell>
          <cell r="C4394" t="str">
            <v>NG</v>
          </cell>
          <cell r="D4394" t="str">
            <v>200401</v>
          </cell>
          <cell r="E4394">
            <v>5.0270000000000001</v>
          </cell>
        </row>
        <row r="4395">
          <cell r="A4395" t="str">
            <v>37632200402</v>
          </cell>
          <cell r="B4395">
            <v>37632</v>
          </cell>
          <cell r="C4395" t="str">
            <v>NG</v>
          </cell>
          <cell r="D4395" t="str">
            <v>200402</v>
          </cell>
          <cell r="E4395">
            <v>4.8970000000000002</v>
          </cell>
        </row>
        <row r="4396">
          <cell r="A4396" t="str">
            <v>37632200403</v>
          </cell>
          <cell r="B4396">
            <v>37632</v>
          </cell>
          <cell r="C4396" t="str">
            <v>NG</v>
          </cell>
          <cell r="D4396" t="str">
            <v>200403</v>
          </cell>
          <cell r="E4396">
            <v>4.6950000000000003</v>
          </cell>
        </row>
        <row r="4397">
          <cell r="A4397" t="str">
            <v>37632200404</v>
          </cell>
          <cell r="B4397">
            <v>37632</v>
          </cell>
          <cell r="C4397" t="str">
            <v>NG</v>
          </cell>
          <cell r="D4397" t="str">
            <v>200404</v>
          </cell>
          <cell r="E4397">
            <v>4.3449999999999998</v>
          </cell>
        </row>
        <row r="4398">
          <cell r="A4398" t="str">
            <v>37632200405</v>
          </cell>
          <cell r="B4398">
            <v>37632</v>
          </cell>
          <cell r="C4398" t="str">
            <v>NG</v>
          </cell>
          <cell r="D4398" t="str">
            <v>200405</v>
          </cell>
          <cell r="E4398">
            <v>4.2</v>
          </cell>
        </row>
        <row r="4399">
          <cell r="A4399" t="str">
            <v>37632200406</v>
          </cell>
          <cell r="B4399">
            <v>37632</v>
          </cell>
          <cell r="C4399" t="str">
            <v>NG</v>
          </cell>
          <cell r="D4399" t="str">
            <v>200406</v>
          </cell>
          <cell r="E4399">
            <v>4.16</v>
          </cell>
        </row>
        <row r="4400">
          <cell r="A4400" t="str">
            <v>37632200407</v>
          </cell>
          <cell r="B4400">
            <v>37632</v>
          </cell>
          <cell r="C4400" t="str">
            <v>NG</v>
          </cell>
          <cell r="D4400" t="str">
            <v>200407</v>
          </cell>
          <cell r="E4400">
            <v>4.16</v>
          </cell>
        </row>
        <row r="4401">
          <cell r="A4401" t="str">
            <v>37632200408</v>
          </cell>
          <cell r="B4401">
            <v>37632</v>
          </cell>
          <cell r="C4401" t="str">
            <v>NG</v>
          </cell>
          <cell r="D4401" t="str">
            <v>200408</v>
          </cell>
          <cell r="E4401">
            <v>4.16</v>
          </cell>
        </row>
        <row r="4402">
          <cell r="A4402" t="str">
            <v>37632200409</v>
          </cell>
          <cell r="B4402">
            <v>37632</v>
          </cell>
          <cell r="C4402" t="str">
            <v>NG</v>
          </cell>
          <cell r="D4402" t="str">
            <v>200409</v>
          </cell>
          <cell r="E4402">
            <v>4.1399999999999997</v>
          </cell>
        </row>
        <row r="4403">
          <cell r="A4403" t="str">
            <v>37632200410</v>
          </cell>
          <cell r="B4403">
            <v>37632</v>
          </cell>
          <cell r="C4403" t="str">
            <v>NG</v>
          </cell>
          <cell r="D4403" t="str">
            <v>200410</v>
          </cell>
          <cell r="E4403">
            <v>4.1390000000000002</v>
          </cell>
        </row>
        <row r="4404">
          <cell r="A4404" t="str">
            <v>37632200411</v>
          </cell>
          <cell r="B4404">
            <v>37632</v>
          </cell>
          <cell r="C4404" t="str">
            <v>NG</v>
          </cell>
          <cell r="D4404" t="str">
            <v>200411</v>
          </cell>
          <cell r="E4404">
            <v>4.2690000000000001</v>
          </cell>
        </row>
        <row r="4405">
          <cell r="A4405" t="str">
            <v>37632200412</v>
          </cell>
          <cell r="B4405">
            <v>37632</v>
          </cell>
          <cell r="C4405" t="str">
            <v>NG</v>
          </cell>
          <cell r="D4405" t="str">
            <v>200412</v>
          </cell>
          <cell r="E4405">
            <v>4.4039999999999999</v>
          </cell>
        </row>
        <row r="4406">
          <cell r="A4406" t="str">
            <v>37633200401</v>
          </cell>
          <cell r="B4406">
            <v>37633</v>
          </cell>
          <cell r="C4406" t="str">
            <v>NG</v>
          </cell>
          <cell r="D4406" t="str">
            <v>200401</v>
          </cell>
          <cell r="E4406">
            <v>5.0270000000000001</v>
          </cell>
        </row>
        <row r="4407">
          <cell r="A4407" t="str">
            <v>37633200402</v>
          </cell>
          <cell r="B4407">
            <v>37633</v>
          </cell>
          <cell r="C4407" t="str">
            <v>NG</v>
          </cell>
          <cell r="D4407" t="str">
            <v>200402</v>
          </cell>
          <cell r="E4407">
            <v>4.8970000000000002</v>
          </cell>
        </row>
        <row r="4408">
          <cell r="A4408" t="str">
            <v>37633200403</v>
          </cell>
          <cell r="B4408">
            <v>37633</v>
          </cell>
          <cell r="C4408" t="str">
            <v>NG</v>
          </cell>
          <cell r="D4408" t="str">
            <v>200403</v>
          </cell>
          <cell r="E4408">
            <v>4.6950000000000003</v>
          </cell>
        </row>
        <row r="4409">
          <cell r="A4409" t="str">
            <v>37633200404</v>
          </cell>
          <cell r="B4409">
            <v>37633</v>
          </cell>
          <cell r="C4409" t="str">
            <v>NG</v>
          </cell>
          <cell r="D4409" t="str">
            <v>200404</v>
          </cell>
          <cell r="E4409">
            <v>4.3449999999999998</v>
          </cell>
        </row>
        <row r="4410">
          <cell r="A4410" t="str">
            <v>37633200405</v>
          </cell>
          <cell r="B4410">
            <v>37633</v>
          </cell>
          <cell r="C4410" t="str">
            <v>NG</v>
          </cell>
          <cell r="D4410" t="str">
            <v>200405</v>
          </cell>
          <cell r="E4410">
            <v>4.2</v>
          </cell>
        </row>
        <row r="4411">
          <cell r="A4411" t="str">
            <v>37633200406</v>
          </cell>
          <cell r="B4411">
            <v>37633</v>
          </cell>
          <cell r="C4411" t="str">
            <v>NG</v>
          </cell>
          <cell r="D4411" t="str">
            <v>200406</v>
          </cell>
          <cell r="E4411">
            <v>4.16</v>
          </cell>
        </row>
        <row r="4412">
          <cell r="A4412" t="str">
            <v>37633200407</v>
          </cell>
          <cell r="B4412">
            <v>37633</v>
          </cell>
          <cell r="C4412" t="str">
            <v>NG</v>
          </cell>
          <cell r="D4412" t="str">
            <v>200407</v>
          </cell>
          <cell r="E4412">
            <v>4.16</v>
          </cell>
        </row>
        <row r="4413">
          <cell r="A4413" t="str">
            <v>37633200408</v>
          </cell>
          <cell r="B4413">
            <v>37633</v>
          </cell>
          <cell r="C4413" t="str">
            <v>NG</v>
          </cell>
          <cell r="D4413" t="str">
            <v>200408</v>
          </cell>
          <cell r="E4413">
            <v>4.16</v>
          </cell>
        </row>
        <row r="4414">
          <cell r="A4414" t="str">
            <v>37633200409</v>
          </cell>
          <cell r="B4414">
            <v>37633</v>
          </cell>
          <cell r="C4414" t="str">
            <v>NG</v>
          </cell>
          <cell r="D4414" t="str">
            <v>200409</v>
          </cell>
          <cell r="E4414">
            <v>4.1399999999999997</v>
          </cell>
        </row>
        <row r="4415">
          <cell r="A4415" t="str">
            <v>37633200410</v>
          </cell>
          <cell r="B4415">
            <v>37633</v>
          </cell>
          <cell r="C4415" t="str">
            <v>NG</v>
          </cell>
          <cell r="D4415" t="str">
            <v>200410</v>
          </cell>
          <cell r="E4415">
            <v>4.1390000000000002</v>
          </cell>
        </row>
        <row r="4416">
          <cell r="A4416" t="str">
            <v>37633200411</v>
          </cell>
          <cell r="B4416">
            <v>37633</v>
          </cell>
          <cell r="C4416" t="str">
            <v>NG</v>
          </cell>
          <cell r="D4416" t="str">
            <v>200411</v>
          </cell>
          <cell r="E4416">
            <v>4.2690000000000001</v>
          </cell>
        </row>
        <row r="4417">
          <cell r="A4417" t="str">
            <v>37633200412</v>
          </cell>
          <cell r="B4417">
            <v>37633</v>
          </cell>
          <cell r="C4417" t="str">
            <v>NG</v>
          </cell>
          <cell r="D4417" t="str">
            <v>200412</v>
          </cell>
          <cell r="E4417">
            <v>4.4039999999999999</v>
          </cell>
        </row>
        <row r="4418">
          <cell r="A4418" t="str">
            <v>37634200401</v>
          </cell>
          <cell r="B4418">
            <v>37634</v>
          </cell>
          <cell r="C4418" t="str">
            <v>NG</v>
          </cell>
          <cell r="D4418" t="str">
            <v>200401</v>
          </cell>
          <cell r="E4418">
            <v>5.0190000000000001</v>
          </cell>
        </row>
        <row r="4419">
          <cell r="A4419" t="str">
            <v>37634200402</v>
          </cell>
          <cell r="B4419">
            <v>37634</v>
          </cell>
          <cell r="C4419" t="str">
            <v>NG</v>
          </cell>
          <cell r="D4419" t="str">
            <v>200402</v>
          </cell>
          <cell r="E4419">
            <v>4.891</v>
          </cell>
        </row>
        <row r="4420">
          <cell r="A4420" t="str">
            <v>37634200403</v>
          </cell>
          <cell r="B4420">
            <v>37634</v>
          </cell>
          <cell r="C4420" t="str">
            <v>NG</v>
          </cell>
          <cell r="D4420" t="str">
            <v>200403</v>
          </cell>
          <cell r="E4420">
            <v>4.6840000000000002</v>
          </cell>
        </row>
        <row r="4421">
          <cell r="A4421" t="str">
            <v>37634200404</v>
          </cell>
          <cell r="B4421">
            <v>37634</v>
          </cell>
          <cell r="C4421" t="str">
            <v>NG</v>
          </cell>
          <cell r="D4421" t="str">
            <v>200404</v>
          </cell>
          <cell r="E4421">
            <v>4.3239999999999998</v>
          </cell>
        </row>
        <row r="4422">
          <cell r="A4422" t="str">
            <v>37634200405</v>
          </cell>
          <cell r="B4422">
            <v>37634</v>
          </cell>
          <cell r="C4422" t="str">
            <v>NG</v>
          </cell>
          <cell r="D4422" t="str">
            <v>200405</v>
          </cell>
          <cell r="E4422">
            <v>4.1790000000000003</v>
          </cell>
        </row>
        <row r="4423">
          <cell r="A4423" t="str">
            <v>37634200406</v>
          </cell>
          <cell r="B4423">
            <v>37634</v>
          </cell>
          <cell r="C4423" t="str">
            <v>NG</v>
          </cell>
          <cell r="D4423" t="str">
            <v>200406</v>
          </cell>
          <cell r="E4423">
            <v>4.1390000000000002</v>
          </cell>
        </row>
        <row r="4424">
          <cell r="A4424" t="str">
            <v>37634200407</v>
          </cell>
          <cell r="B4424">
            <v>37634</v>
          </cell>
          <cell r="C4424" t="str">
            <v>NG</v>
          </cell>
          <cell r="D4424" t="str">
            <v>200407</v>
          </cell>
          <cell r="E4424">
            <v>4.1390000000000002</v>
          </cell>
        </row>
        <row r="4425">
          <cell r="A4425" t="str">
            <v>37634200408</v>
          </cell>
          <cell r="B4425">
            <v>37634</v>
          </cell>
          <cell r="C4425" t="str">
            <v>NG</v>
          </cell>
          <cell r="D4425" t="str">
            <v>200408</v>
          </cell>
          <cell r="E4425">
            <v>4.1440000000000001</v>
          </cell>
        </row>
        <row r="4426">
          <cell r="A4426" t="str">
            <v>37634200409</v>
          </cell>
          <cell r="B4426">
            <v>37634</v>
          </cell>
          <cell r="C4426" t="str">
            <v>NG</v>
          </cell>
          <cell r="D4426" t="str">
            <v>200409</v>
          </cell>
          <cell r="E4426">
            <v>4.1189999999999998</v>
          </cell>
        </row>
        <row r="4427">
          <cell r="A4427" t="str">
            <v>37634200410</v>
          </cell>
          <cell r="B4427">
            <v>37634</v>
          </cell>
          <cell r="C4427" t="str">
            <v>NG</v>
          </cell>
          <cell r="D4427" t="str">
            <v>200410</v>
          </cell>
          <cell r="E4427">
            <v>4.1289999999999996</v>
          </cell>
        </row>
        <row r="4428">
          <cell r="A4428" t="str">
            <v>37634200411</v>
          </cell>
          <cell r="B4428">
            <v>37634</v>
          </cell>
          <cell r="C4428" t="str">
            <v>NG</v>
          </cell>
          <cell r="D4428" t="str">
            <v>200411</v>
          </cell>
          <cell r="E4428">
            <v>4.2640000000000002</v>
          </cell>
        </row>
        <row r="4429">
          <cell r="A4429" t="str">
            <v>37634200412</v>
          </cell>
          <cell r="B4429">
            <v>37634</v>
          </cell>
          <cell r="C4429" t="str">
            <v>NG</v>
          </cell>
          <cell r="D4429" t="str">
            <v>200412</v>
          </cell>
          <cell r="E4429">
            <v>4.3879999999999999</v>
          </cell>
        </row>
        <row r="4430">
          <cell r="A4430" t="str">
            <v>37635200401</v>
          </cell>
          <cell r="B4430">
            <v>37635</v>
          </cell>
          <cell r="C4430" t="str">
            <v>NG</v>
          </cell>
          <cell r="D4430" t="str">
            <v>200401</v>
          </cell>
          <cell r="E4430">
            <v>5.008</v>
          </cell>
        </row>
        <row r="4431">
          <cell r="A4431" t="str">
            <v>37635200402</v>
          </cell>
          <cell r="B4431">
            <v>37635</v>
          </cell>
          <cell r="C4431" t="str">
            <v>NG</v>
          </cell>
          <cell r="D4431" t="str">
            <v>200402</v>
          </cell>
          <cell r="E4431">
            <v>4.8879999999999999</v>
          </cell>
        </row>
        <row r="4432">
          <cell r="A4432" t="str">
            <v>37635200403</v>
          </cell>
          <cell r="B4432">
            <v>37635</v>
          </cell>
          <cell r="C4432" t="str">
            <v>NG</v>
          </cell>
          <cell r="D4432" t="str">
            <v>200403</v>
          </cell>
          <cell r="E4432">
            <v>4.6779999999999999</v>
          </cell>
        </row>
        <row r="4433">
          <cell r="A4433" t="str">
            <v>37635200404</v>
          </cell>
          <cell r="B4433">
            <v>37635</v>
          </cell>
          <cell r="C4433" t="str">
            <v>NG</v>
          </cell>
          <cell r="D4433" t="str">
            <v>200404</v>
          </cell>
          <cell r="E4433">
            <v>4.3280000000000003</v>
          </cell>
        </row>
        <row r="4434">
          <cell r="A4434" t="str">
            <v>37635200405</v>
          </cell>
          <cell r="B4434">
            <v>37635</v>
          </cell>
          <cell r="C4434" t="str">
            <v>NG</v>
          </cell>
          <cell r="D4434" t="str">
            <v>200405</v>
          </cell>
          <cell r="E4434">
            <v>4.1959999999999997</v>
          </cell>
        </row>
        <row r="4435">
          <cell r="A4435" t="str">
            <v>37635200406</v>
          </cell>
          <cell r="B4435">
            <v>37635</v>
          </cell>
          <cell r="C4435" t="str">
            <v>NG</v>
          </cell>
          <cell r="D4435" t="str">
            <v>200406</v>
          </cell>
          <cell r="E4435">
            <v>4.1459999999999999</v>
          </cell>
        </row>
        <row r="4436">
          <cell r="A4436" t="str">
            <v>37635200407</v>
          </cell>
          <cell r="B4436">
            <v>37635</v>
          </cell>
          <cell r="C4436" t="str">
            <v>NG</v>
          </cell>
          <cell r="D4436" t="str">
            <v>200407</v>
          </cell>
          <cell r="E4436">
            <v>4.1459999999999999</v>
          </cell>
        </row>
        <row r="4437">
          <cell r="A4437" t="str">
            <v>37635200408</v>
          </cell>
          <cell r="B4437">
            <v>37635</v>
          </cell>
          <cell r="C4437" t="str">
            <v>NG</v>
          </cell>
          <cell r="D4437" t="str">
            <v>200408</v>
          </cell>
          <cell r="E4437">
            <v>4.1459999999999999</v>
          </cell>
        </row>
        <row r="4438">
          <cell r="A4438" t="str">
            <v>37635200409</v>
          </cell>
          <cell r="B4438">
            <v>37635</v>
          </cell>
          <cell r="C4438" t="str">
            <v>NG</v>
          </cell>
          <cell r="D4438" t="str">
            <v>200409</v>
          </cell>
          <cell r="E4438">
            <v>4.1260000000000003</v>
          </cell>
        </row>
        <row r="4439">
          <cell r="A4439" t="str">
            <v>37635200410</v>
          </cell>
          <cell r="B4439">
            <v>37635</v>
          </cell>
          <cell r="C4439" t="str">
            <v>NG</v>
          </cell>
          <cell r="D4439" t="str">
            <v>200410</v>
          </cell>
          <cell r="E4439">
            <v>4.141</v>
          </cell>
        </row>
        <row r="4440">
          <cell r="A4440" t="str">
            <v>37635200411</v>
          </cell>
          <cell r="B4440">
            <v>37635</v>
          </cell>
          <cell r="C4440" t="str">
            <v>NG</v>
          </cell>
          <cell r="D4440" t="str">
            <v>200411</v>
          </cell>
          <cell r="E4440">
            <v>4.2759999999999998</v>
          </cell>
        </row>
        <row r="4441">
          <cell r="A4441" t="str">
            <v>37635200412</v>
          </cell>
          <cell r="B4441">
            <v>37635</v>
          </cell>
          <cell r="C4441" t="str">
            <v>NG</v>
          </cell>
          <cell r="D4441" t="str">
            <v>200412</v>
          </cell>
          <cell r="E4441">
            <v>4.4009999999999998</v>
          </cell>
        </row>
        <row r="4442">
          <cell r="A4442" t="str">
            <v>37636200401</v>
          </cell>
          <cell r="B4442">
            <v>37636</v>
          </cell>
          <cell r="C4442" t="str">
            <v>NG</v>
          </cell>
          <cell r="D4442" t="str">
            <v>200401</v>
          </cell>
          <cell r="E4442">
            <v>5.1109999999999998</v>
          </cell>
        </row>
        <row r="4443">
          <cell r="A4443" t="str">
            <v>37636200402</v>
          </cell>
          <cell r="B4443">
            <v>37636</v>
          </cell>
          <cell r="C4443" t="str">
            <v>NG</v>
          </cell>
          <cell r="D4443" t="str">
            <v>200402</v>
          </cell>
          <cell r="E4443">
            <v>4.9800000000000004</v>
          </cell>
        </row>
        <row r="4444">
          <cell r="A4444" t="str">
            <v>37636200403</v>
          </cell>
          <cell r="B4444">
            <v>37636</v>
          </cell>
          <cell r="C4444" t="str">
            <v>NG</v>
          </cell>
          <cell r="D4444" t="str">
            <v>200403</v>
          </cell>
          <cell r="E4444">
            <v>4.7649999999999997</v>
          </cell>
        </row>
        <row r="4445">
          <cell r="A4445" t="str">
            <v>37636200404</v>
          </cell>
          <cell r="B4445">
            <v>37636</v>
          </cell>
          <cell r="C4445" t="str">
            <v>NG</v>
          </cell>
          <cell r="D4445" t="str">
            <v>200404</v>
          </cell>
          <cell r="E4445">
            <v>4.3899999999999997</v>
          </cell>
        </row>
        <row r="4446">
          <cell r="A4446" t="str">
            <v>37636200405</v>
          </cell>
          <cell r="B4446">
            <v>37636</v>
          </cell>
          <cell r="C4446" t="str">
            <v>NG</v>
          </cell>
          <cell r="D4446" t="str">
            <v>200405</v>
          </cell>
          <cell r="E4446">
            <v>4.2450000000000001</v>
          </cell>
        </row>
        <row r="4447">
          <cell r="A4447" t="str">
            <v>37636200406</v>
          </cell>
          <cell r="B4447">
            <v>37636</v>
          </cell>
          <cell r="C4447" t="str">
            <v>NG</v>
          </cell>
          <cell r="D4447" t="str">
            <v>200406</v>
          </cell>
          <cell r="E4447">
            <v>4.1950000000000003</v>
          </cell>
        </row>
        <row r="4448">
          <cell r="A4448" t="str">
            <v>37636200407</v>
          </cell>
          <cell r="B4448">
            <v>37636</v>
          </cell>
          <cell r="C4448" t="str">
            <v>NG</v>
          </cell>
          <cell r="D4448" t="str">
            <v>200407</v>
          </cell>
          <cell r="E4448">
            <v>4.1950000000000003</v>
          </cell>
        </row>
        <row r="4449">
          <cell r="A4449" t="str">
            <v>37636200408</v>
          </cell>
          <cell r="B4449">
            <v>37636</v>
          </cell>
          <cell r="C4449" t="str">
            <v>NG</v>
          </cell>
          <cell r="D4449" t="str">
            <v>200408</v>
          </cell>
          <cell r="E4449">
            <v>4.1950000000000003</v>
          </cell>
        </row>
        <row r="4450">
          <cell r="A4450" t="str">
            <v>37636200409</v>
          </cell>
          <cell r="B4450">
            <v>37636</v>
          </cell>
          <cell r="C4450" t="str">
            <v>NG</v>
          </cell>
          <cell r="D4450" t="str">
            <v>200409</v>
          </cell>
          <cell r="E4450">
            <v>4.1749999999999998</v>
          </cell>
        </row>
        <row r="4451">
          <cell r="A4451" t="str">
            <v>37636200410</v>
          </cell>
          <cell r="B4451">
            <v>37636</v>
          </cell>
          <cell r="C4451" t="str">
            <v>NG</v>
          </cell>
          <cell r="D4451" t="str">
            <v>200410</v>
          </cell>
          <cell r="E4451">
            <v>4.1900000000000004</v>
          </cell>
        </row>
        <row r="4452">
          <cell r="A4452" t="str">
            <v>37636200411</v>
          </cell>
          <cell r="B4452">
            <v>37636</v>
          </cell>
          <cell r="C4452" t="str">
            <v>NG</v>
          </cell>
          <cell r="D4452" t="str">
            <v>200411</v>
          </cell>
          <cell r="E4452">
            <v>4.33</v>
          </cell>
        </row>
        <row r="4453">
          <cell r="A4453" t="str">
            <v>37636200412</v>
          </cell>
          <cell r="B4453">
            <v>37636</v>
          </cell>
          <cell r="C4453" t="str">
            <v>NG</v>
          </cell>
          <cell r="D4453" t="str">
            <v>200412</v>
          </cell>
          <cell r="E4453">
            <v>4.47</v>
          </cell>
        </row>
        <row r="4454">
          <cell r="A4454" t="str">
            <v>37637200401</v>
          </cell>
          <cell r="B4454">
            <v>37637</v>
          </cell>
          <cell r="C4454" t="str">
            <v>NG</v>
          </cell>
          <cell r="D4454" t="str">
            <v>200401</v>
          </cell>
          <cell r="E4454">
            <v>5.165</v>
          </cell>
        </row>
        <row r="4455">
          <cell r="A4455" t="str">
            <v>37637200402</v>
          </cell>
          <cell r="B4455">
            <v>37637</v>
          </cell>
          <cell r="C4455" t="str">
            <v>NG</v>
          </cell>
          <cell r="D4455" t="str">
            <v>200402</v>
          </cell>
          <cell r="E4455">
            <v>5.0250000000000004</v>
          </cell>
        </row>
        <row r="4456">
          <cell r="A4456" t="str">
            <v>37637200403</v>
          </cell>
          <cell r="B4456">
            <v>37637</v>
          </cell>
          <cell r="C4456" t="str">
            <v>NG</v>
          </cell>
          <cell r="D4456" t="str">
            <v>200403</v>
          </cell>
          <cell r="E4456">
            <v>4.8049999999999997</v>
          </cell>
        </row>
        <row r="4457">
          <cell r="A4457" t="str">
            <v>37637200404</v>
          </cell>
          <cell r="B4457">
            <v>37637</v>
          </cell>
          <cell r="C4457" t="str">
            <v>NG</v>
          </cell>
          <cell r="D4457" t="str">
            <v>200404</v>
          </cell>
          <cell r="E4457">
            <v>4.4249999999999998</v>
          </cell>
        </row>
        <row r="4458">
          <cell r="A4458" t="str">
            <v>37637200405</v>
          </cell>
          <cell r="B4458">
            <v>37637</v>
          </cell>
          <cell r="C4458" t="str">
            <v>NG</v>
          </cell>
          <cell r="D4458" t="str">
            <v>200405</v>
          </cell>
          <cell r="E4458">
            <v>4.2750000000000004</v>
          </cell>
        </row>
        <row r="4459">
          <cell r="A4459" t="str">
            <v>37637200406</v>
          </cell>
          <cell r="B4459">
            <v>37637</v>
          </cell>
          <cell r="C4459" t="str">
            <v>NG</v>
          </cell>
          <cell r="D4459" t="str">
            <v>200406</v>
          </cell>
          <cell r="E4459">
            <v>4.22</v>
          </cell>
        </row>
        <row r="4460">
          <cell r="A4460" t="str">
            <v>37637200407</v>
          </cell>
          <cell r="B4460">
            <v>37637</v>
          </cell>
          <cell r="C4460" t="str">
            <v>NG</v>
          </cell>
          <cell r="D4460" t="str">
            <v>200407</v>
          </cell>
          <cell r="E4460">
            <v>4.22</v>
          </cell>
        </row>
        <row r="4461">
          <cell r="A4461" t="str">
            <v>37637200408</v>
          </cell>
          <cell r="B4461">
            <v>37637</v>
          </cell>
          <cell r="C4461" t="str">
            <v>NG</v>
          </cell>
          <cell r="D4461" t="str">
            <v>200408</v>
          </cell>
          <cell r="E4461">
            <v>4.2249999999999996</v>
          </cell>
        </row>
        <row r="4462">
          <cell r="A4462" t="str">
            <v>37637200409</v>
          </cell>
          <cell r="B4462">
            <v>37637</v>
          </cell>
          <cell r="C4462" t="str">
            <v>NG</v>
          </cell>
          <cell r="D4462" t="str">
            <v>200409</v>
          </cell>
          <cell r="E4462">
            <v>4.2149999999999999</v>
          </cell>
        </row>
        <row r="4463">
          <cell r="A4463" t="str">
            <v>37637200410</v>
          </cell>
          <cell r="B4463">
            <v>37637</v>
          </cell>
          <cell r="C4463" t="str">
            <v>NG</v>
          </cell>
          <cell r="D4463" t="str">
            <v>200410</v>
          </cell>
          <cell r="E4463">
            <v>4.2300000000000004</v>
          </cell>
        </row>
        <row r="4464">
          <cell r="A4464" t="str">
            <v>37637200411</v>
          </cell>
          <cell r="B4464">
            <v>37637</v>
          </cell>
          <cell r="C4464" t="str">
            <v>NG</v>
          </cell>
          <cell r="D4464" t="str">
            <v>200411</v>
          </cell>
          <cell r="E4464">
            <v>4.3600000000000003</v>
          </cell>
        </row>
        <row r="4465">
          <cell r="A4465" t="str">
            <v>37637200412</v>
          </cell>
          <cell r="B4465">
            <v>37637</v>
          </cell>
          <cell r="C4465" t="str">
            <v>NG</v>
          </cell>
          <cell r="D4465" t="str">
            <v>200412</v>
          </cell>
          <cell r="E4465">
            <v>4.4850000000000003</v>
          </cell>
        </row>
        <row r="4466">
          <cell r="A4466" t="str">
            <v>37638200401</v>
          </cell>
          <cell r="B4466">
            <v>37638</v>
          </cell>
          <cell r="C4466" t="str">
            <v>NG</v>
          </cell>
          <cell r="D4466" t="str">
            <v>200401</v>
          </cell>
          <cell r="E4466">
            <v>5.1479999999999997</v>
          </cell>
        </row>
        <row r="4467">
          <cell r="A4467" t="str">
            <v>37638200402</v>
          </cell>
          <cell r="B4467">
            <v>37638</v>
          </cell>
          <cell r="C4467" t="str">
            <v>NG</v>
          </cell>
          <cell r="D4467" t="str">
            <v>200402</v>
          </cell>
          <cell r="E4467">
            <v>5.0129999999999999</v>
          </cell>
        </row>
        <row r="4468">
          <cell r="A4468" t="str">
            <v>37638200403</v>
          </cell>
          <cell r="B4468">
            <v>37638</v>
          </cell>
          <cell r="C4468" t="str">
            <v>NG</v>
          </cell>
          <cell r="D4468" t="str">
            <v>200403</v>
          </cell>
          <cell r="E4468">
            <v>4.798</v>
          </cell>
        </row>
        <row r="4469">
          <cell r="A4469" t="str">
            <v>37638200404</v>
          </cell>
          <cell r="B4469">
            <v>37638</v>
          </cell>
          <cell r="C4469" t="str">
            <v>NG</v>
          </cell>
          <cell r="D4469" t="str">
            <v>200404</v>
          </cell>
          <cell r="E4469">
            <v>4.4279999999999999</v>
          </cell>
        </row>
        <row r="4470">
          <cell r="A4470" t="str">
            <v>37638200405</v>
          </cell>
          <cell r="B4470">
            <v>37638</v>
          </cell>
          <cell r="C4470" t="str">
            <v>NG</v>
          </cell>
          <cell r="D4470" t="str">
            <v>200405</v>
          </cell>
          <cell r="E4470">
            <v>4.2880000000000003</v>
          </cell>
        </row>
        <row r="4471">
          <cell r="A4471" t="str">
            <v>37638200406</v>
          </cell>
          <cell r="B4471">
            <v>37638</v>
          </cell>
          <cell r="C4471" t="str">
            <v>NG</v>
          </cell>
          <cell r="D4471" t="str">
            <v>200406</v>
          </cell>
          <cell r="E4471">
            <v>4.2329999999999997</v>
          </cell>
        </row>
        <row r="4472">
          <cell r="A4472" t="str">
            <v>37638200407</v>
          </cell>
          <cell r="B4472">
            <v>37638</v>
          </cell>
          <cell r="C4472" t="str">
            <v>NG</v>
          </cell>
          <cell r="D4472" t="str">
            <v>200407</v>
          </cell>
          <cell r="E4472">
            <v>4.2329999999999997</v>
          </cell>
        </row>
        <row r="4473">
          <cell r="A4473" t="str">
            <v>37638200408</v>
          </cell>
          <cell r="B4473">
            <v>37638</v>
          </cell>
          <cell r="C4473" t="str">
            <v>NG</v>
          </cell>
          <cell r="D4473" t="str">
            <v>200408</v>
          </cell>
          <cell r="E4473">
            <v>4.2279999999999998</v>
          </cell>
        </row>
        <row r="4474">
          <cell r="A4474" t="str">
            <v>37638200409</v>
          </cell>
          <cell r="B4474">
            <v>37638</v>
          </cell>
          <cell r="C4474" t="str">
            <v>NG</v>
          </cell>
          <cell r="D4474" t="str">
            <v>200409</v>
          </cell>
          <cell r="E4474">
            <v>4.2080000000000002</v>
          </cell>
        </row>
        <row r="4475">
          <cell r="A4475" t="str">
            <v>37638200410</v>
          </cell>
          <cell r="B4475">
            <v>37638</v>
          </cell>
          <cell r="C4475" t="str">
            <v>NG</v>
          </cell>
          <cell r="D4475" t="str">
            <v>200410</v>
          </cell>
          <cell r="E4475">
            <v>4.2229999999999999</v>
          </cell>
        </row>
        <row r="4476">
          <cell r="A4476" t="str">
            <v>37638200411</v>
          </cell>
          <cell r="B4476">
            <v>37638</v>
          </cell>
          <cell r="C4476" t="str">
            <v>NG</v>
          </cell>
          <cell r="D4476" t="str">
            <v>200411</v>
          </cell>
          <cell r="E4476">
            <v>4.3479999999999999</v>
          </cell>
        </row>
        <row r="4477">
          <cell r="A4477" t="str">
            <v>37638200412</v>
          </cell>
          <cell r="B4477">
            <v>37638</v>
          </cell>
          <cell r="C4477" t="str">
            <v>NG</v>
          </cell>
          <cell r="D4477" t="str">
            <v>200412</v>
          </cell>
          <cell r="E4477">
            <v>4.468</v>
          </cell>
        </row>
        <row r="4478">
          <cell r="A4478" t="str">
            <v>37639200401</v>
          </cell>
          <cell r="B4478">
            <v>37639</v>
          </cell>
          <cell r="C4478" t="str">
            <v>NG</v>
          </cell>
          <cell r="D4478" t="str">
            <v>200401</v>
          </cell>
          <cell r="E4478">
            <v>5.1479999999999997</v>
          </cell>
        </row>
        <row r="4479">
          <cell r="A4479" t="str">
            <v>37639200402</v>
          </cell>
          <cell r="B4479">
            <v>37639</v>
          </cell>
          <cell r="C4479" t="str">
            <v>NG</v>
          </cell>
          <cell r="D4479" t="str">
            <v>200402</v>
          </cell>
          <cell r="E4479">
            <v>5.0129999999999999</v>
          </cell>
        </row>
        <row r="4480">
          <cell r="A4480" t="str">
            <v>37639200403</v>
          </cell>
          <cell r="B4480">
            <v>37639</v>
          </cell>
          <cell r="C4480" t="str">
            <v>NG</v>
          </cell>
          <cell r="D4480" t="str">
            <v>200403</v>
          </cell>
          <cell r="E4480">
            <v>4.798</v>
          </cell>
        </row>
        <row r="4481">
          <cell r="A4481" t="str">
            <v>37639200404</v>
          </cell>
          <cell r="B4481">
            <v>37639</v>
          </cell>
          <cell r="C4481" t="str">
            <v>NG</v>
          </cell>
          <cell r="D4481" t="str">
            <v>200404</v>
          </cell>
          <cell r="E4481">
            <v>4.4279999999999999</v>
          </cell>
        </row>
        <row r="4482">
          <cell r="A4482" t="str">
            <v>37639200405</v>
          </cell>
          <cell r="B4482">
            <v>37639</v>
          </cell>
          <cell r="C4482" t="str">
            <v>NG</v>
          </cell>
          <cell r="D4482" t="str">
            <v>200405</v>
          </cell>
          <cell r="E4482">
            <v>4.2880000000000003</v>
          </cell>
        </row>
        <row r="4483">
          <cell r="A4483" t="str">
            <v>37639200406</v>
          </cell>
          <cell r="B4483">
            <v>37639</v>
          </cell>
          <cell r="C4483" t="str">
            <v>NG</v>
          </cell>
          <cell r="D4483" t="str">
            <v>200406</v>
          </cell>
          <cell r="E4483">
            <v>4.2329999999999997</v>
          </cell>
        </row>
        <row r="4484">
          <cell r="A4484" t="str">
            <v>37639200407</v>
          </cell>
          <cell r="B4484">
            <v>37639</v>
          </cell>
          <cell r="C4484" t="str">
            <v>NG</v>
          </cell>
          <cell r="D4484" t="str">
            <v>200407</v>
          </cell>
          <cell r="E4484">
            <v>4.2329999999999997</v>
          </cell>
        </row>
        <row r="4485">
          <cell r="A4485" t="str">
            <v>37639200408</v>
          </cell>
          <cell r="B4485">
            <v>37639</v>
          </cell>
          <cell r="C4485" t="str">
            <v>NG</v>
          </cell>
          <cell r="D4485" t="str">
            <v>200408</v>
          </cell>
          <cell r="E4485">
            <v>4.2279999999999998</v>
          </cell>
        </row>
        <row r="4486">
          <cell r="A4486" t="str">
            <v>37639200409</v>
          </cell>
          <cell r="B4486">
            <v>37639</v>
          </cell>
          <cell r="C4486" t="str">
            <v>NG</v>
          </cell>
          <cell r="D4486" t="str">
            <v>200409</v>
          </cell>
          <cell r="E4486">
            <v>4.2080000000000002</v>
          </cell>
        </row>
        <row r="4487">
          <cell r="A4487" t="str">
            <v>37639200410</v>
          </cell>
          <cell r="B4487">
            <v>37639</v>
          </cell>
          <cell r="C4487" t="str">
            <v>NG</v>
          </cell>
          <cell r="D4487" t="str">
            <v>200410</v>
          </cell>
          <cell r="E4487">
            <v>4.2229999999999999</v>
          </cell>
        </row>
        <row r="4488">
          <cell r="A4488" t="str">
            <v>37639200411</v>
          </cell>
          <cell r="B4488">
            <v>37639</v>
          </cell>
          <cell r="C4488" t="str">
            <v>NG</v>
          </cell>
          <cell r="D4488" t="str">
            <v>200411</v>
          </cell>
          <cell r="E4488">
            <v>4.3479999999999999</v>
          </cell>
        </row>
        <row r="4489">
          <cell r="A4489" t="str">
            <v>37639200412</v>
          </cell>
          <cell r="B4489">
            <v>37639</v>
          </cell>
          <cell r="C4489" t="str">
            <v>NG</v>
          </cell>
          <cell r="D4489" t="str">
            <v>200412</v>
          </cell>
          <cell r="E4489">
            <v>4.468</v>
          </cell>
        </row>
        <row r="4490">
          <cell r="A4490" t="str">
            <v>37640200401</v>
          </cell>
          <cell r="B4490">
            <v>37640</v>
          </cell>
          <cell r="C4490" t="str">
            <v>NG</v>
          </cell>
          <cell r="D4490" t="str">
            <v>200401</v>
          </cell>
          <cell r="E4490">
            <v>5.1479999999999997</v>
          </cell>
        </row>
        <row r="4491">
          <cell r="A4491" t="str">
            <v>37640200402</v>
          </cell>
          <cell r="B4491">
            <v>37640</v>
          </cell>
          <cell r="C4491" t="str">
            <v>NG</v>
          </cell>
          <cell r="D4491" t="str">
            <v>200402</v>
          </cell>
          <cell r="E4491">
            <v>5.0129999999999999</v>
          </cell>
        </row>
        <row r="4492">
          <cell r="A4492" t="str">
            <v>37640200403</v>
          </cell>
          <cell r="B4492">
            <v>37640</v>
          </cell>
          <cell r="C4492" t="str">
            <v>NG</v>
          </cell>
          <cell r="D4492" t="str">
            <v>200403</v>
          </cell>
          <cell r="E4492">
            <v>4.798</v>
          </cell>
        </row>
        <row r="4493">
          <cell r="A4493" t="str">
            <v>37640200404</v>
          </cell>
          <cell r="B4493">
            <v>37640</v>
          </cell>
          <cell r="C4493" t="str">
            <v>NG</v>
          </cell>
          <cell r="D4493" t="str">
            <v>200404</v>
          </cell>
          <cell r="E4493">
            <v>4.4279999999999999</v>
          </cell>
        </row>
        <row r="4494">
          <cell r="A4494" t="str">
            <v>37640200405</v>
          </cell>
          <cell r="B4494">
            <v>37640</v>
          </cell>
          <cell r="C4494" t="str">
            <v>NG</v>
          </cell>
          <cell r="D4494" t="str">
            <v>200405</v>
          </cell>
          <cell r="E4494">
            <v>4.2880000000000003</v>
          </cell>
        </row>
        <row r="4495">
          <cell r="A4495" t="str">
            <v>37640200406</v>
          </cell>
          <cell r="B4495">
            <v>37640</v>
          </cell>
          <cell r="C4495" t="str">
            <v>NG</v>
          </cell>
          <cell r="D4495" t="str">
            <v>200406</v>
          </cell>
          <cell r="E4495">
            <v>4.2329999999999997</v>
          </cell>
        </row>
        <row r="4496">
          <cell r="A4496" t="str">
            <v>37640200407</v>
          </cell>
          <cell r="B4496">
            <v>37640</v>
          </cell>
          <cell r="C4496" t="str">
            <v>NG</v>
          </cell>
          <cell r="D4496" t="str">
            <v>200407</v>
          </cell>
          <cell r="E4496">
            <v>4.2329999999999997</v>
          </cell>
        </row>
        <row r="4497">
          <cell r="A4497" t="str">
            <v>37640200408</v>
          </cell>
          <cell r="B4497">
            <v>37640</v>
          </cell>
          <cell r="C4497" t="str">
            <v>NG</v>
          </cell>
          <cell r="D4497" t="str">
            <v>200408</v>
          </cell>
          <cell r="E4497">
            <v>4.2279999999999998</v>
          </cell>
        </row>
        <row r="4498">
          <cell r="A4498" t="str">
            <v>37640200409</v>
          </cell>
          <cell r="B4498">
            <v>37640</v>
          </cell>
          <cell r="C4498" t="str">
            <v>NG</v>
          </cell>
          <cell r="D4498" t="str">
            <v>200409</v>
          </cell>
          <cell r="E4498">
            <v>4.2080000000000002</v>
          </cell>
        </row>
        <row r="4499">
          <cell r="A4499" t="str">
            <v>37640200410</v>
          </cell>
          <cell r="B4499">
            <v>37640</v>
          </cell>
          <cell r="C4499" t="str">
            <v>NG</v>
          </cell>
          <cell r="D4499" t="str">
            <v>200410</v>
          </cell>
          <cell r="E4499">
            <v>4.2229999999999999</v>
          </cell>
        </row>
        <row r="4500">
          <cell r="A4500" t="str">
            <v>37640200411</v>
          </cell>
          <cell r="B4500">
            <v>37640</v>
          </cell>
          <cell r="C4500" t="str">
            <v>NG</v>
          </cell>
          <cell r="D4500" t="str">
            <v>200411</v>
          </cell>
          <cell r="E4500">
            <v>4.3479999999999999</v>
          </cell>
        </row>
        <row r="4501">
          <cell r="A4501" t="str">
            <v>37640200412</v>
          </cell>
          <cell r="B4501">
            <v>37640</v>
          </cell>
          <cell r="C4501" t="str">
            <v>NG</v>
          </cell>
          <cell r="D4501" t="str">
            <v>200412</v>
          </cell>
          <cell r="E4501">
            <v>4.468</v>
          </cell>
        </row>
        <row r="4502">
          <cell r="A4502" t="str">
            <v>37641200401</v>
          </cell>
          <cell r="B4502">
            <v>37641</v>
          </cell>
          <cell r="C4502" t="str">
            <v>NG</v>
          </cell>
          <cell r="D4502" t="str">
            <v>200401</v>
          </cell>
          <cell r="E4502">
            <v>5.1479999999999997</v>
          </cell>
        </row>
        <row r="4503">
          <cell r="A4503" t="str">
            <v>37641200402</v>
          </cell>
          <cell r="B4503">
            <v>37641</v>
          </cell>
          <cell r="C4503" t="str">
            <v>NG</v>
          </cell>
          <cell r="D4503" t="str">
            <v>200402</v>
          </cell>
          <cell r="E4503">
            <v>5.0129999999999999</v>
          </cell>
        </row>
        <row r="4504">
          <cell r="A4504" t="str">
            <v>37641200403</v>
          </cell>
          <cell r="B4504">
            <v>37641</v>
          </cell>
          <cell r="C4504" t="str">
            <v>NG</v>
          </cell>
          <cell r="D4504" t="str">
            <v>200403</v>
          </cell>
          <cell r="E4504">
            <v>4.798</v>
          </cell>
        </row>
        <row r="4505">
          <cell r="A4505" t="str">
            <v>37641200404</v>
          </cell>
          <cell r="B4505">
            <v>37641</v>
          </cell>
          <cell r="C4505" t="str">
            <v>NG</v>
          </cell>
          <cell r="D4505" t="str">
            <v>200404</v>
          </cell>
          <cell r="E4505">
            <v>4.4279999999999999</v>
          </cell>
        </row>
        <row r="4506">
          <cell r="A4506" t="str">
            <v>37641200405</v>
          </cell>
          <cell r="B4506">
            <v>37641</v>
          </cell>
          <cell r="C4506" t="str">
            <v>NG</v>
          </cell>
          <cell r="D4506" t="str">
            <v>200405</v>
          </cell>
          <cell r="E4506">
            <v>4.2880000000000003</v>
          </cell>
        </row>
        <row r="4507">
          <cell r="A4507" t="str">
            <v>37641200406</v>
          </cell>
          <cell r="B4507">
            <v>37641</v>
          </cell>
          <cell r="C4507" t="str">
            <v>NG</v>
          </cell>
          <cell r="D4507" t="str">
            <v>200406</v>
          </cell>
          <cell r="E4507">
            <v>4.2329999999999997</v>
          </cell>
        </row>
        <row r="4508">
          <cell r="A4508" t="str">
            <v>37641200407</v>
          </cell>
          <cell r="B4508">
            <v>37641</v>
          </cell>
          <cell r="C4508" t="str">
            <v>NG</v>
          </cell>
          <cell r="D4508" t="str">
            <v>200407</v>
          </cell>
          <cell r="E4508">
            <v>4.2329999999999997</v>
          </cell>
        </row>
        <row r="4509">
          <cell r="A4509" t="str">
            <v>37641200408</v>
          </cell>
          <cell r="B4509">
            <v>37641</v>
          </cell>
          <cell r="C4509" t="str">
            <v>NG</v>
          </cell>
          <cell r="D4509" t="str">
            <v>200408</v>
          </cell>
          <cell r="E4509">
            <v>4.2279999999999998</v>
          </cell>
        </row>
        <row r="4510">
          <cell r="A4510" t="str">
            <v>37641200409</v>
          </cell>
          <cell r="B4510">
            <v>37641</v>
          </cell>
          <cell r="C4510" t="str">
            <v>NG</v>
          </cell>
          <cell r="D4510" t="str">
            <v>200409</v>
          </cell>
          <cell r="E4510">
            <v>4.2080000000000002</v>
          </cell>
        </row>
        <row r="4511">
          <cell r="A4511" t="str">
            <v>37641200410</v>
          </cell>
          <cell r="B4511">
            <v>37641</v>
          </cell>
          <cell r="C4511" t="str">
            <v>NG</v>
          </cell>
          <cell r="D4511" t="str">
            <v>200410</v>
          </cell>
          <cell r="E4511">
            <v>4.2229999999999999</v>
          </cell>
        </row>
        <row r="4512">
          <cell r="A4512" t="str">
            <v>37641200411</v>
          </cell>
          <cell r="B4512">
            <v>37641</v>
          </cell>
          <cell r="C4512" t="str">
            <v>NG</v>
          </cell>
          <cell r="D4512" t="str">
            <v>200411</v>
          </cell>
          <cell r="E4512">
            <v>4.3479999999999999</v>
          </cell>
        </row>
        <row r="4513">
          <cell r="A4513" t="str">
            <v>37641200412</v>
          </cell>
          <cell r="B4513">
            <v>37641</v>
          </cell>
          <cell r="C4513" t="str">
            <v>NG</v>
          </cell>
          <cell r="D4513" t="str">
            <v>200412</v>
          </cell>
          <cell r="E4513">
            <v>4.468</v>
          </cell>
        </row>
        <row r="4514">
          <cell r="A4514" t="str">
            <v>37642200401</v>
          </cell>
          <cell r="B4514">
            <v>37642</v>
          </cell>
          <cell r="C4514" t="str">
            <v>NG</v>
          </cell>
          <cell r="D4514" t="str">
            <v>200401</v>
          </cell>
          <cell r="E4514">
            <v>5.13</v>
          </cell>
        </row>
        <row r="4515">
          <cell r="A4515" t="str">
            <v>37642200402</v>
          </cell>
          <cell r="B4515">
            <v>37642</v>
          </cell>
          <cell r="C4515" t="str">
            <v>NG</v>
          </cell>
          <cell r="D4515" t="str">
            <v>200402</v>
          </cell>
          <cell r="E4515">
            <v>4.9950000000000001</v>
          </cell>
        </row>
        <row r="4516">
          <cell r="A4516" t="str">
            <v>37642200403</v>
          </cell>
          <cell r="B4516">
            <v>37642</v>
          </cell>
          <cell r="C4516" t="str">
            <v>NG</v>
          </cell>
          <cell r="D4516" t="str">
            <v>200403</v>
          </cell>
          <cell r="E4516">
            <v>4.78</v>
          </cell>
        </row>
        <row r="4517">
          <cell r="A4517" t="str">
            <v>37642200404</v>
          </cell>
          <cell r="B4517">
            <v>37642</v>
          </cell>
          <cell r="C4517" t="str">
            <v>NG</v>
          </cell>
          <cell r="D4517" t="str">
            <v>200404</v>
          </cell>
          <cell r="E4517">
            <v>4.4130000000000003</v>
          </cell>
        </row>
        <row r="4518">
          <cell r="A4518" t="str">
            <v>37642200405</v>
          </cell>
          <cell r="B4518">
            <v>37642</v>
          </cell>
          <cell r="C4518" t="str">
            <v>NG</v>
          </cell>
          <cell r="D4518" t="str">
            <v>200405</v>
          </cell>
          <cell r="E4518">
            <v>4.2729999999999997</v>
          </cell>
        </row>
        <row r="4519">
          <cell r="A4519" t="str">
            <v>37642200406</v>
          </cell>
          <cell r="B4519">
            <v>37642</v>
          </cell>
          <cell r="C4519" t="str">
            <v>NG</v>
          </cell>
          <cell r="D4519" t="str">
            <v>200406</v>
          </cell>
          <cell r="E4519">
            <v>4.2229999999999999</v>
          </cell>
        </row>
        <row r="4520">
          <cell r="A4520" t="str">
            <v>37642200407</v>
          </cell>
          <cell r="B4520">
            <v>37642</v>
          </cell>
          <cell r="C4520" t="str">
            <v>NG</v>
          </cell>
          <cell r="D4520" t="str">
            <v>200407</v>
          </cell>
          <cell r="E4520">
            <v>4.2229999999999999</v>
          </cell>
        </row>
        <row r="4521">
          <cell r="A4521" t="str">
            <v>37642200408</v>
          </cell>
          <cell r="B4521">
            <v>37642</v>
          </cell>
          <cell r="C4521" t="str">
            <v>NG</v>
          </cell>
          <cell r="D4521" t="str">
            <v>200408</v>
          </cell>
          <cell r="E4521">
            <v>4.2229999999999999</v>
          </cell>
        </row>
        <row r="4522">
          <cell r="A4522" t="str">
            <v>37642200409</v>
          </cell>
          <cell r="B4522">
            <v>37642</v>
          </cell>
          <cell r="C4522" t="str">
            <v>NG</v>
          </cell>
          <cell r="D4522" t="str">
            <v>200409</v>
          </cell>
          <cell r="E4522">
            <v>4.2030000000000003</v>
          </cell>
        </row>
        <row r="4523">
          <cell r="A4523" t="str">
            <v>37642200410</v>
          </cell>
          <cell r="B4523">
            <v>37642</v>
          </cell>
          <cell r="C4523" t="str">
            <v>NG</v>
          </cell>
          <cell r="D4523" t="str">
            <v>200410</v>
          </cell>
          <cell r="E4523">
            <v>4.218</v>
          </cell>
        </row>
        <row r="4524">
          <cell r="A4524" t="str">
            <v>37642200411</v>
          </cell>
          <cell r="B4524">
            <v>37642</v>
          </cell>
          <cell r="C4524" t="str">
            <v>NG</v>
          </cell>
          <cell r="D4524" t="str">
            <v>200411</v>
          </cell>
          <cell r="E4524">
            <v>4.343</v>
          </cell>
        </row>
        <row r="4525">
          <cell r="A4525" t="str">
            <v>37642200412</v>
          </cell>
          <cell r="B4525">
            <v>37642</v>
          </cell>
          <cell r="C4525" t="str">
            <v>NG</v>
          </cell>
          <cell r="D4525" t="str">
            <v>200412</v>
          </cell>
          <cell r="E4525">
            <v>4.468</v>
          </cell>
        </row>
        <row r="4526">
          <cell r="A4526" t="str">
            <v>37643200401</v>
          </cell>
          <cell r="B4526">
            <v>37643</v>
          </cell>
          <cell r="C4526" t="str">
            <v>NG</v>
          </cell>
          <cell r="D4526" t="str">
            <v>200401</v>
          </cell>
          <cell r="E4526">
            <v>5.18</v>
          </cell>
        </row>
        <row r="4527">
          <cell r="A4527" t="str">
            <v>37643200402</v>
          </cell>
          <cell r="B4527">
            <v>37643</v>
          </cell>
          <cell r="C4527" t="str">
            <v>NG</v>
          </cell>
          <cell r="D4527" t="str">
            <v>200402</v>
          </cell>
          <cell r="E4527">
            <v>5.0350000000000001</v>
          </cell>
        </row>
        <row r="4528">
          <cell r="A4528" t="str">
            <v>37643200403</v>
          </cell>
          <cell r="B4528">
            <v>37643</v>
          </cell>
          <cell r="C4528" t="str">
            <v>NG</v>
          </cell>
          <cell r="D4528" t="str">
            <v>200403</v>
          </cell>
          <cell r="E4528">
            <v>4.8150000000000004</v>
          </cell>
        </row>
        <row r="4529">
          <cell r="A4529" t="str">
            <v>37643200404</v>
          </cell>
          <cell r="B4529">
            <v>37643</v>
          </cell>
          <cell r="C4529" t="str">
            <v>NG</v>
          </cell>
          <cell r="D4529" t="str">
            <v>200404</v>
          </cell>
          <cell r="E4529">
            <v>4.4450000000000003</v>
          </cell>
        </row>
        <row r="4530">
          <cell r="A4530" t="str">
            <v>37643200405</v>
          </cell>
          <cell r="B4530">
            <v>37643</v>
          </cell>
          <cell r="C4530" t="str">
            <v>NG</v>
          </cell>
          <cell r="D4530" t="str">
            <v>200405</v>
          </cell>
          <cell r="E4530">
            <v>4.3049999999999997</v>
          </cell>
        </row>
        <row r="4531">
          <cell r="A4531" t="str">
            <v>37643200406</v>
          </cell>
          <cell r="B4531">
            <v>37643</v>
          </cell>
          <cell r="C4531" t="str">
            <v>NG</v>
          </cell>
          <cell r="D4531" t="str">
            <v>200406</v>
          </cell>
          <cell r="E4531">
            <v>4.2549999999999999</v>
          </cell>
        </row>
        <row r="4532">
          <cell r="A4532" t="str">
            <v>37643200407</v>
          </cell>
          <cell r="B4532">
            <v>37643</v>
          </cell>
          <cell r="C4532" t="str">
            <v>NG</v>
          </cell>
          <cell r="D4532" t="str">
            <v>200407</v>
          </cell>
          <cell r="E4532">
            <v>4.24</v>
          </cell>
        </row>
        <row r="4533">
          <cell r="A4533" t="str">
            <v>37643200408</v>
          </cell>
          <cell r="B4533">
            <v>37643</v>
          </cell>
          <cell r="C4533" t="str">
            <v>NG</v>
          </cell>
          <cell r="D4533" t="str">
            <v>200408</v>
          </cell>
          <cell r="E4533">
            <v>4.24</v>
          </cell>
        </row>
        <row r="4534">
          <cell r="A4534" t="str">
            <v>37643200409</v>
          </cell>
          <cell r="B4534">
            <v>37643</v>
          </cell>
          <cell r="C4534" t="str">
            <v>NG</v>
          </cell>
          <cell r="D4534" t="str">
            <v>200409</v>
          </cell>
          <cell r="E4534">
            <v>4.2149999999999999</v>
          </cell>
        </row>
        <row r="4535">
          <cell r="A4535" t="str">
            <v>37643200410</v>
          </cell>
          <cell r="B4535">
            <v>37643</v>
          </cell>
          <cell r="C4535" t="str">
            <v>NG</v>
          </cell>
          <cell r="D4535" t="str">
            <v>200410</v>
          </cell>
          <cell r="E4535">
            <v>4.2249999999999996</v>
          </cell>
        </row>
        <row r="4536">
          <cell r="A4536" t="str">
            <v>37643200411</v>
          </cell>
          <cell r="B4536">
            <v>37643</v>
          </cell>
          <cell r="C4536" t="str">
            <v>NG</v>
          </cell>
          <cell r="D4536" t="str">
            <v>200411</v>
          </cell>
          <cell r="E4536">
            <v>4.3449999999999998</v>
          </cell>
        </row>
        <row r="4537">
          <cell r="A4537" t="str">
            <v>37643200412</v>
          </cell>
          <cell r="B4537">
            <v>37643</v>
          </cell>
          <cell r="C4537" t="str">
            <v>NG</v>
          </cell>
          <cell r="D4537" t="str">
            <v>200412</v>
          </cell>
          <cell r="E4537">
            <v>4.4649999999999999</v>
          </cell>
        </row>
        <row r="4538">
          <cell r="A4538" t="str">
            <v>37644200401</v>
          </cell>
          <cell r="B4538">
            <v>37644</v>
          </cell>
          <cell r="C4538" t="str">
            <v>NG</v>
          </cell>
          <cell r="D4538" t="str">
            <v>200401</v>
          </cell>
          <cell r="E4538">
            <v>5.1319999999999997</v>
          </cell>
        </row>
        <row r="4539">
          <cell r="A4539" t="str">
            <v>37644200402</v>
          </cell>
          <cell r="B4539">
            <v>37644</v>
          </cell>
          <cell r="C4539" t="str">
            <v>NG</v>
          </cell>
          <cell r="D4539" t="str">
            <v>200402</v>
          </cell>
          <cell r="E4539">
            <v>4.992</v>
          </cell>
        </row>
        <row r="4540">
          <cell r="A4540" t="str">
            <v>37644200403</v>
          </cell>
          <cell r="B4540">
            <v>37644</v>
          </cell>
          <cell r="C4540" t="str">
            <v>NG</v>
          </cell>
          <cell r="D4540" t="str">
            <v>200403</v>
          </cell>
          <cell r="E4540">
            <v>4.7770000000000001</v>
          </cell>
        </row>
        <row r="4541">
          <cell r="A4541" t="str">
            <v>37644200404</v>
          </cell>
          <cell r="B4541">
            <v>37644</v>
          </cell>
          <cell r="C4541" t="str">
            <v>NG</v>
          </cell>
          <cell r="D4541" t="str">
            <v>200404</v>
          </cell>
          <cell r="E4541">
            <v>4.4169999999999998</v>
          </cell>
        </row>
        <row r="4542">
          <cell r="A4542" t="str">
            <v>37644200405</v>
          </cell>
          <cell r="B4542">
            <v>37644</v>
          </cell>
          <cell r="C4542" t="str">
            <v>NG</v>
          </cell>
          <cell r="D4542" t="str">
            <v>200405</v>
          </cell>
          <cell r="E4542">
            <v>4.282</v>
          </cell>
        </row>
        <row r="4543">
          <cell r="A4543" t="str">
            <v>37644200406</v>
          </cell>
          <cell r="B4543">
            <v>37644</v>
          </cell>
          <cell r="C4543" t="str">
            <v>NG</v>
          </cell>
          <cell r="D4543" t="str">
            <v>200406</v>
          </cell>
          <cell r="E4543">
            <v>4.2370000000000001</v>
          </cell>
        </row>
        <row r="4544">
          <cell r="A4544" t="str">
            <v>37644200407</v>
          </cell>
          <cell r="B4544">
            <v>37644</v>
          </cell>
          <cell r="C4544" t="str">
            <v>NG</v>
          </cell>
          <cell r="D4544" t="str">
            <v>200407</v>
          </cell>
          <cell r="E4544">
            <v>4.2220000000000004</v>
          </cell>
        </row>
        <row r="4545">
          <cell r="A4545" t="str">
            <v>37644200408</v>
          </cell>
          <cell r="B4545">
            <v>37644</v>
          </cell>
          <cell r="C4545" t="str">
            <v>NG</v>
          </cell>
          <cell r="D4545" t="str">
            <v>200408</v>
          </cell>
          <cell r="E4545">
            <v>4.2220000000000004</v>
          </cell>
        </row>
        <row r="4546">
          <cell r="A4546" t="str">
            <v>37644200409</v>
          </cell>
          <cell r="B4546">
            <v>37644</v>
          </cell>
          <cell r="C4546" t="str">
            <v>NG</v>
          </cell>
          <cell r="D4546" t="str">
            <v>200409</v>
          </cell>
          <cell r="E4546">
            <v>4.1970000000000001</v>
          </cell>
        </row>
        <row r="4547">
          <cell r="A4547" t="str">
            <v>37644200410</v>
          </cell>
          <cell r="B4547">
            <v>37644</v>
          </cell>
          <cell r="C4547" t="str">
            <v>NG</v>
          </cell>
          <cell r="D4547" t="str">
            <v>200410</v>
          </cell>
          <cell r="E4547">
            <v>4.2119999999999997</v>
          </cell>
        </row>
        <row r="4548">
          <cell r="A4548" t="str">
            <v>37644200411</v>
          </cell>
          <cell r="B4548">
            <v>37644</v>
          </cell>
          <cell r="C4548" t="str">
            <v>NG</v>
          </cell>
          <cell r="D4548" t="str">
            <v>200411</v>
          </cell>
          <cell r="E4548">
            <v>4.3419999999999996</v>
          </cell>
        </row>
        <row r="4549">
          <cell r="A4549" t="str">
            <v>37644200412</v>
          </cell>
          <cell r="B4549">
            <v>37644</v>
          </cell>
          <cell r="C4549" t="str">
            <v>NG</v>
          </cell>
          <cell r="D4549" t="str">
            <v>200412</v>
          </cell>
          <cell r="E4549">
            <v>4.4669999999999996</v>
          </cell>
        </row>
        <row r="4550">
          <cell r="A4550" t="str">
            <v>37645200401</v>
          </cell>
          <cell r="B4550">
            <v>37645</v>
          </cell>
          <cell r="C4550" t="str">
            <v>NG</v>
          </cell>
          <cell r="D4550" t="str">
            <v>200401</v>
          </cell>
          <cell r="E4550">
            <v>5.0869999999999997</v>
          </cell>
        </row>
        <row r="4551">
          <cell r="A4551" t="str">
            <v>37645200402</v>
          </cell>
          <cell r="B4551">
            <v>37645</v>
          </cell>
          <cell r="C4551" t="str">
            <v>NG</v>
          </cell>
          <cell r="D4551" t="str">
            <v>200402</v>
          </cell>
          <cell r="E4551">
            <v>4.9450000000000003</v>
          </cell>
        </row>
        <row r="4552">
          <cell r="A4552" t="str">
            <v>37645200403</v>
          </cell>
          <cell r="B4552">
            <v>37645</v>
          </cell>
          <cell r="C4552" t="str">
            <v>NG</v>
          </cell>
          <cell r="D4552" t="str">
            <v>200403</v>
          </cell>
          <cell r="E4552">
            <v>4.72</v>
          </cell>
        </row>
        <row r="4553">
          <cell r="A4553" t="str">
            <v>37645200404</v>
          </cell>
          <cell r="B4553">
            <v>37645</v>
          </cell>
          <cell r="C4553" t="str">
            <v>NG</v>
          </cell>
          <cell r="D4553" t="str">
            <v>200404</v>
          </cell>
          <cell r="E4553">
            <v>4.3550000000000004</v>
          </cell>
        </row>
        <row r="4554">
          <cell r="A4554" t="str">
            <v>37645200405</v>
          </cell>
          <cell r="B4554">
            <v>37645</v>
          </cell>
          <cell r="C4554" t="str">
            <v>NG</v>
          </cell>
          <cell r="D4554" t="str">
            <v>200405</v>
          </cell>
          <cell r="E4554">
            <v>4.2149999999999999</v>
          </cell>
        </row>
        <row r="4555">
          <cell r="A4555" t="str">
            <v>37645200406</v>
          </cell>
          <cell r="B4555">
            <v>37645</v>
          </cell>
          <cell r="C4555" t="str">
            <v>NG</v>
          </cell>
          <cell r="D4555" t="str">
            <v>200406</v>
          </cell>
          <cell r="E4555">
            <v>4.1749999999999998</v>
          </cell>
        </row>
        <row r="4556">
          <cell r="A4556" t="str">
            <v>37645200407</v>
          </cell>
          <cell r="B4556">
            <v>37645</v>
          </cell>
          <cell r="C4556" t="str">
            <v>NG</v>
          </cell>
          <cell r="D4556" t="str">
            <v>200407</v>
          </cell>
          <cell r="E4556">
            <v>4.165</v>
          </cell>
        </row>
        <row r="4557">
          <cell r="A4557" t="str">
            <v>37645200408</v>
          </cell>
          <cell r="B4557">
            <v>37645</v>
          </cell>
          <cell r="C4557" t="str">
            <v>NG</v>
          </cell>
          <cell r="D4557" t="str">
            <v>200408</v>
          </cell>
          <cell r="E4557">
            <v>4.1749999999999998</v>
          </cell>
        </row>
        <row r="4558">
          <cell r="A4558" t="str">
            <v>37645200409</v>
          </cell>
          <cell r="B4558">
            <v>37645</v>
          </cell>
          <cell r="C4558" t="str">
            <v>NG</v>
          </cell>
          <cell r="D4558" t="str">
            <v>200409</v>
          </cell>
          <cell r="E4558">
            <v>4.1500000000000004</v>
          </cell>
        </row>
        <row r="4559">
          <cell r="A4559" t="str">
            <v>37645200410</v>
          </cell>
          <cell r="B4559">
            <v>37645</v>
          </cell>
          <cell r="C4559" t="str">
            <v>NG</v>
          </cell>
          <cell r="D4559" t="str">
            <v>200410</v>
          </cell>
          <cell r="E4559">
            <v>4.165</v>
          </cell>
        </row>
        <row r="4560">
          <cell r="A4560" t="str">
            <v>37645200411</v>
          </cell>
          <cell r="B4560">
            <v>37645</v>
          </cell>
          <cell r="C4560" t="str">
            <v>NG</v>
          </cell>
          <cell r="D4560" t="str">
            <v>200411</v>
          </cell>
          <cell r="E4560">
            <v>4.2949999999999999</v>
          </cell>
        </row>
        <row r="4561">
          <cell r="A4561" t="str">
            <v>37645200412</v>
          </cell>
          <cell r="B4561">
            <v>37645</v>
          </cell>
          <cell r="C4561" t="str">
            <v>NG</v>
          </cell>
          <cell r="D4561" t="str">
            <v>200412</v>
          </cell>
          <cell r="E4561">
            <v>4.42</v>
          </cell>
        </row>
        <row r="4562">
          <cell r="A4562" t="str">
            <v>37646200401</v>
          </cell>
          <cell r="B4562">
            <v>37646</v>
          </cell>
          <cell r="C4562" t="str">
            <v>NG</v>
          </cell>
          <cell r="D4562" t="str">
            <v>200401</v>
          </cell>
          <cell r="E4562">
            <v>5.0869999999999997</v>
          </cell>
        </row>
        <row r="4563">
          <cell r="A4563" t="str">
            <v>37646200402</v>
          </cell>
          <cell r="B4563">
            <v>37646</v>
          </cell>
          <cell r="C4563" t="str">
            <v>NG</v>
          </cell>
          <cell r="D4563" t="str">
            <v>200402</v>
          </cell>
          <cell r="E4563">
            <v>4.9450000000000003</v>
          </cell>
        </row>
        <row r="4564">
          <cell r="A4564" t="str">
            <v>37646200403</v>
          </cell>
          <cell r="B4564">
            <v>37646</v>
          </cell>
          <cell r="C4564" t="str">
            <v>NG</v>
          </cell>
          <cell r="D4564" t="str">
            <v>200403</v>
          </cell>
          <cell r="E4564">
            <v>4.72</v>
          </cell>
        </row>
        <row r="4565">
          <cell r="A4565" t="str">
            <v>37646200404</v>
          </cell>
          <cell r="B4565">
            <v>37646</v>
          </cell>
          <cell r="C4565" t="str">
            <v>NG</v>
          </cell>
          <cell r="D4565" t="str">
            <v>200404</v>
          </cell>
          <cell r="E4565">
            <v>4.3550000000000004</v>
          </cell>
        </row>
        <row r="4566">
          <cell r="A4566" t="str">
            <v>37646200405</v>
          </cell>
          <cell r="B4566">
            <v>37646</v>
          </cell>
          <cell r="C4566" t="str">
            <v>NG</v>
          </cell>
          <cell r="D4566" t="str">
            <v>200405</v>
          </cell>
          <cell r="E4566">
            <v>4.2149999999999999</v>
          </cell>
        </row>
        <row r="4567">
          <cell r="A4567" t="str">
            <v>37646200406</v>
          </cell>
          <cell r="B4567">
            <v>37646</v>
          </cell>
          <cell r="C4567" t="str">
            <v>NG</v>
          </cell>
          <cell r="D4567" t="str">
            <v>200406</v>
          </cell>
          <cell r="E4567">
            <v>4.1749999999999998</v>
          </cell>
        </row>
        <row r="4568">
          <cell r="A4568" t="str">
            <v>37646200407</v>
          </cell>
          <cell r="B4568">
            <v>37646</v>
          </cell>
          <cell r="C4568" t="str">
            <v>NG</v>
          </cell>
          <cell r="D4568" t="str">
            <v>200407</v>
          </cell>
          <cell r="E4568">
            <v>4.165</v>
          </cell>
        </row>
        <row r="4569">
          <cell r="A4569" t="str">
            <v>37646200408</v>
          </cell>
          <cell r="B4569">
            <v>37646</v>
          </cell>
          <cell r="C4569" t="str">
            <v>NG</v>
          </cell>
          <cell r="D4569" t="str">
            <v>200408</v>
          </cell>
          <cell r="E4569">
            <v>4.1749999999999998</v>
          </cell>
        </row>
        <row r="4570">
          <cell r="A4570" t="str">
            <v>37646200409</v>
          </cell>
          <cell r="B4570">
            <v>37646</v>
          </cell>
          <cell r="C4570" t="str">
            <v>NG</v>
          </cell>
          <cell r="D4570" t="str">
            <v>200409</v>
          </cell>
          <cell r="E4570">
            <v>4.1500000000000004</v>
          </cell>
        </row>
        <row r="4571">
          <cell r="A4571" t="str">
            <v>37646200410</v>
          </cell>
          <cell r="B4571">
            <v>37646</v>
          </cell>
          <cell r="C4571" t="str">
            <v>NG</v>
          </cell>
          <cell r="D4571" t="str">
            <v>200410</v>
          </cell>
          <cell r="E4571">
            <v>4.165</v>
          </cell>
        </row>
        <row r="4572">
          <cell r="A4572" t="str">
            <v>37646200411</v>
          </cell>
          <cell r="B4572">
            <v>37646</v>
          </cell>
          <cell r="C4572" t="str">
            <v>NG</v>
          </cell>
          <cell r="D4572" t="str">
            <v>200411</v>
          </cell>
          <cell r="E4572">
            <v>4.2949999999999999</v>
          </cell>
        </row>
        <row r="4573">
          <cell r="A4573" t="str">
            <v>37646200412</v>
          </cell>
          <cell r="B4573">
            <v>37646</v>
          </cell>
          <cell r="C4573" t="str">
            <v>NG</v>
          </cell>
          <cell r="D4573" t="str">
            <v>200412</v>
          </cell>
          <cell r="E4573">
            <v>4.42</v>
          </cell>
        </row>
        <row r="4574">
          <cell r="A4574" t="str">
            <v>37647200401</v>
          </cell>
          <cell r="B4574">
            <v>37647</v>
          </cell>
          <cell r="C4574" t="str">
            <v>NG</v>
          </cell>
          <cell r="D4574" t="str">
            <v>200401</v>
          </cell>
          <cell r="E4574">
            <v>5.0869999999999997</v>
          </cell>
        </row>
        <row r="4575">
          <cell r="A4575" t="str">
            <v>37647200402</v>
          </cell>
          <cell r="B4575">
            <v>37647</v>
          </cell>
          <cell r="C4575" t="str">
            <v>NG</v>
          </cell>
          <cell r="D4575" t="str">
            <v>200402</v>
          </cell>
          <cell r="E4575">
            <v>4.9450000000000003</v>
          </cell>
        </row>
        <row r="4576">
          <cell r="A4576" t="str">
            <v>37647200403</v>
          </cell>
          <cell r="B4576">
            <v>37647</v>
          </cell>
          <cell r="C4576" t="str">
            <v>NG</v>
          </cell>
          <cell r="D4576" t="str">
            <v>200403</v>
          </cell>
          <cell r="E4576">
            <v>4.72</v>
          </cell>
        </row>
        <row r="4577">
          <cell r="A4577" t="str">
            <v>37647200404</v>
          </cell>
          <cell r="B4577">
            <v>37647</v>
          </cell>
          <cell r="C4577" t="str">
            <v>NG</v>
          </cell>
          <cell r="D4577" t="str">
            <v>200404</v>
          </cell>
          <cell r="E4577">
            <v>4.3550000000000004</v>
          </cell>
        </row>
        <row r="4578">
          <cell r="A4578" t="str">
            <v>37647200405</v>
          </cell>
          <cell r="B4578">
            <v>37647</v>
          </cell>
          <cell r="C4578" t="str">
            <v>NG</v>
          </cell>
          <cell r="D4578" t="str">
            <v>200405</v>
          </cell>
          <cell r="E4578">
            <v>4.2149999999999999</v>
          </cell>
        </row>
        <row r="4579">
          <cell r="A4579" t="str">
            <v>37647200406</v>
          </cell>
          <cell r="B4579">
            <v>37647</v>
          </cell>
          <cell r="C4579" t="str">
            <v>NG</v>
          </cell>
          <cell r="D4579" t="str">
            <v>200406</v>
          </cell>
          <cell r="E4579">
            <v>4.1749999999999998</v>
          </cell>
        </row>
        <row r="4580">
          <cell r="A4580" t="str">
            <v>37647200407</v>
          </cell>
          <cell r="B4580">
            <v>37647</v>
          </cell>
          <cell r="C4580" t="str">
            <v>NG</v>
          </cell>
          <cell r="D4580" t="str">
            <v>200407</v>
          </cell>
          <cell r="E4580">
            <v>4.165</v>
          </cell>
        </row>
        <row r="4581">
          <cell r="A4581" t="str">
            <v>37647200408</v>
          </cell>
          <cell r="B4581">
            <v>37647</v>
          </cell>
          <cell r="C4581" t="str">
            <v>NG</v>
          </cell>
          <cell r="D4581" t="str">
            <v>200408</v>
          </cell>
          <cell r="E4581">
            <v>4.1749999999999998</v>
          </cell>
        </row>
        <row r="4582">
          <cell r="A4582" t="str">
            <v>37647200409</v>
          </cell>
          <cell r="B4582">
            <v>37647</v>
          </cell>
          <cell r="C4582" t="str">
            <v>NG</v>
          </cell>
          <cell r="D4582" t="str">
            <v>200409</v>
          </cell>
          <cell r="E4582">
            <v>4.1500000000000004</v>
          </cell>
        </row>
        <row r="4583">
          <cell r="A4583" t="str">
            <v>37647200410</v>
          </cell>
          <cell r="B4583">
            <v>37647</v>
          </cell>
          <cell r="C4583" t="str">
            <v>NG</v>
          </cell>
          <cell r="D4583" t="str">
            <v>200410</v>
          </cell>
          <cell r="E4583">
            <v>4.165</v>
          </cell>
        </row>
        <row r="4584">
          <cell r="A4584" t="str">
            <v>37647200411</v>
          </cell>
          <cell r="B4584">
            <v>37647</v>
          </cell>
          <cell r="C4584" t="str">
            <v>NG</v>
          </cell>
          <cell r="D4584" t="str">
            <v>200411</v>
          </cell>
          <cell r="E4584">
            <v>4.2949999999999999</v>
          </cell>
        </row>
        <row r="4585">
          <cell r="A4585" t="str">
            <v>37647200412</v>
          </cell>
          <cell r="B4585">
            <v>37647</v>
          </cell>
          <cell r="C4585" t="str">
            <v>NG</v>
          </cell>
          <cell r="D4585" t="str">
            <v>200412</v>
          </cell>
          <cell r="E4585">
            <v>4.42</v>
          </cell>
        </row>
        <row r="4586">
          <cell r="A4586" t="str">
            <v>37648200401</v>
          </cell>
          <cell r="B4586">
            <v>37648</v>
          </cell>
          <cell r="C4586" t="str">
            <v>NG</v>
          </cell>
          <cell r="D4586" t="str">
            <v>200401</v>
          </cell>
          <cell r="E4586">
            <v>5.0199999999999996</v>
          </cell>
        </row>
        <row r="4587">
          <cell r="A4587" t="str">
            <v>37648200402</v>
          </cell>
          <cell r="B4587">
            <v>37648</v>
          </cell>
          <cell r="C4587" t="str">
            <v>NG</v>
          </cell>
          <cell r="D4587" t="str">
            <v>200402</v>
          </cell>
          <cell r="E4587">
            <v>4.8849999999999998</v>
          </cell>
        </row>
        <row r="4588">
          <cell r="A4588" t="str">
            <v>37648200403</v>
          </cell>
          <cell r="B4588">
            <v>37648</v>
          </cell>
          <cell r="C4588" t="str">
            <v>NG</v>
          </cell>
          <cell r="D4588" t="str">
            <v>200403</v>
          </cell>
          <cell r="E4588">
            <v>4.66</v>
          </cell>
        </row>
        <row r="4589">
          <cell r="A4589" t="str">
            <v>37648200404</v>
          </cell>
          <cell r="B4589">
            <v>37648</v>
          </cell>
          <cell r="C4589" t="str">
            <v>NG</v>
          </cell>
          <cell r="D4589" t="str">
            <v>200404</v>
          </cell>
          <cell r="E4589">
            <v>4.3150000000000004</v>
          </cell>
        </row>
        <row r="4590">
          <cell r="A4590" t="str">
            <v>37648200405</v>
          </cell>
          <cell r="B4590">
            <v>37648</v>
          </cell>
          <cell r="C4590" t="str">
            <v>NG</v>
          </cell>
          <cell r="D4590" t="str">
            <v>200405</v>
          </cell>
          <cell r="E4590">
            <v>4.18</v>
          </cell>
        </row>
        <row r="4591">
          <cell r="A4591" t="str">
            <v>37648200406</v>
          </cell>
          <cell r="B4591">
            <v>37648</v>
          </cell>
          <cell r="C4591" t="str">
            <v>NG</v>
          </cell>
          <cell r="D4591" t="str">
            <v>200406</v>
          </cell>
          <cell r="E4591">
            <v>4.1399999999999997</v>
          </cell>
        </row>
        <row r="4592">
          <cell r="A4592" t="str">
            <v>37648200407</v>
          </cell>
          <cell r="B4592">
            <v>37648</v>
          </cell>
          <cell r="C4592" t="str">
            <v>NG</v>
          </cell>
          <cell r="D4592" t="str">
            <v>200407</v>
          </cell>
          <cell r="E4592">
            <v>4.13</v>
          </cell>
        </row>
        <row r="4593">
          <cell r="A4593" t="str">
            <v>37648200408</v>
          </cell>
          <cell r="B4593">
            <v>37648</v>
          </cell>
          <cell r="C4593" t="str">
            <v>NG</v>
          </cell>
          <cell r="D4593" t="str">
            <v>200408</v>
          </cell>
          <cell r="E4593">
            <v>4.13</v>
          </cell>
        </row>
        <row r="4594">
          <cell r="A4594" t="str">
            <v>37648200409</v>
          </cell>
          <cell r="B4594">
            <v>37648</v>
          </cell>
          <cell r="C4594" t="str">
            <v>NG</v>
          </cell>
          <cell r="D4594" t="str">
            <v>200409</v>
          </cell>
          <cell r="E4594">
            <v>4.1050000000000004</v>
          </cell>
        </row>
        <row r="4595">
          <cell r="A4595" t="str">
            <v>37648200410</v>
          </cell>
          <cell r="B4595">
            <v>37648</v>
          </cell>
          <cell r="C4595" t="str">
            <v>NG</v>
          </cell>
          <cell r="D4595" t="str">
            <v>200410</v>
          </cell>
          <cell r="E4595">
            <v>4.12</v>
          </cell>
        </row>
        <row r="4596">
          <cell r="A4596" t="str">
            <v>37648200411</v>
          </cell>
          <cell r="B4596">
            <v>37648</v>
          </cell>
          <cell r="C4596" t="str">
            <v>NG</v>
          </cell>
          <cell r="D4596" t="str">
            <v>200411</v>
          </cell>
          <cell r="E4596">
            <v>4.25</v>
          </cell>
        </row>
        <row r="4597">
          <cell r="A4597" t="str">
            <v>37648200412</v>
          </cell>
          <cell r="B4597">
            <v>37648</v>
          </cell>
          <cell r="C4597" t="str">
            <v>NG</v>
          </cell>
          <cell r="D4597" t="str">
            <v>200412</v>
          </cell>
          <cell r="E4597">
            <v>4.375</v>
          </cell>
        </row>
        <row r="4598">
          <cell r="A4598" t="str">
            <v>37649200401</v>
          </cell>
          <cell r="B4598">
            <v>37649</v>
          </cell>
          <cell r="C4598" t="str">
            <v>NG</v>
          </cell>
          <cell r="D4598" t="str">
            <v>200401</v>
          </cell>
          <cell r="E4598">
            <v>5.0250000000000004</v>
          </cell>
        </row>
        <row r="4599">
          <cell r="A4599" t="str">
            <v>37649200402</v>
          </cell>
          <cell r="B4599">
            <v>37649</v>
          </cell>
          <cell r="C4599" t="str">
            <v>NG</v>
          </cell>
          <cell r="D4599" t="str">
            <v>200402</v>
          </cell>
          <cell r="E4599">
            <v>4.8899999999999997</v>
          </cell>
        </row>
        <row r="4600">
          <cell r="A4600" t="str">
            <v>37649200403</v>
          </cell>
          <cell r="B4600">
            <v>37649</v>
          </cell>
          <cell r="C4600" t="str">
            <v>NG</v>
          </cell>
          <cell r="D4600" t="str">
            <v>200403</v>
          </cell>
          <cell r="E4600">
            <v>4.6749999999999998</v>
          </cell>
        </row>
        <row r="4601">
          <cell r="A4601" t="str">
            <v>37649200404</v>
          </cell>
          <cell r="B4601">
            <v>37649</v>
          </cell>
          <cell r="C4601" t="str">
            <v>NG</v>
          </cell>
          <cell r="D4601" t="str">
            <v>200404</v>
          </cell>
          <cell r="E4601">
            <v>4.3250000000000002</v>
          </cell>
        </row>
        <row r="4602">
          <cell r="A4602" t="str">
            <v>37649200405</v>
          </cell>
          <cell r="B4602">
            <v>37649</v>
          </cell>
          <cell r="C4602" t="str">
            <v>NG</v>
          </cell>
          <cell r="D4602" t="str">
            <v>200405</v>
          </cell>
          <cell r="E4602">
            <v>4.1900000000000004</v>
          </cell>
        </row>
        <row r="4603">
          <cell r="A4603" t="str">
            <v>37649200406</v>
          </cell>
          <cell r="B4603">
            <v>37649</v>
          </cell>
          <cell r="C4603" t="str">
            <v>NG</v>
          </cell>
          <cell r="D4603" t="str">
            <v>200406</v>
          </cell>
          <cell r="E4603">
            <v>4.1479999999999997</v>
          </cell>
        </row>
        <row r="4604">
          <cell r="A4604" t="str">
            <v>37649200407</v>
          </cell>
          <cell r="B4604">
            <v>37649</v>
          </cell>
          <cell r="C4604" t="str">
            <v>NG</v>
          </cell>
          <cell r="D4604" t="str">
            <v>200407</v>
          </cell>
          <cell r="E4604">
            <v>4.1500000000000004</v>
          </cell>
        </row>
        <row r="4605">
          <cell r="A4605" t="str">
            <v>37649200408</v>
          </cell>
          <cell r="B4605">
            <v>37649</v>
          </cell>
          <cell r="C4605" t="str">
            <v>NG</v>
          </cell>
          <cell r="D4605" t="str">
            <v>200408</v>
          </cell>
          <cell r="E4605">
            <v>4.1349999999999998</v>
          </cell>
        </row>
        <row r="4606">
          <cell r="A4606" t="str">
            <v>37649200409</v>
          </cell>
          <cell r="B4606">
            <v>37649</v>
          </cell>
          <cell r="C4606" t="str">
            <v>NG</v>
          </cell>
          <cell r="D4606" t="str">
            <v>200409</v>
          </cell>
          <cell r="E4606">
            <v>4.1100000000000003</v>
          </cell>
        </row>
        <row r="4607">
          <cell r="A4607" t="str">
            <v>37649200410</v>
          </cell>
          <cell r="B4607">
            <v>37649</v>
          </cell>
          <cell r="C4607" t="str">
            <v>NG</v>
          </cell>
          <cell r="D4607" t="str">
            <v>200410</v>
          </cell>
          <cell r="E4607">
            <v>4.125</v>
          </cell>
        </row>
        <row r="4608">
          <cell r="A4608" t="str">
            <v>37649200411</v>
          </cell>
          <cell r="B4608">
            <v>37649</v>
          </cell>
          <cell r="C4608" t="str">
            <v>NG</v>
          </cell>
          <cell r="D4608" t="str">
            <v>200411</v>
          </cell>
          <cell r="E4608">
            <v>4.2649999999999997</v>
          </cell>
        </row>
        <row r="4609">
          <cell r="A4609" t="str">
            <v>37649200412</v>
          </cell>
          <cell r="B4609">
            <v>37649</v>
          </cell>
          <cell r="C4609" t="str">
            <v>NG</v>
          </cell>
          <cell r="D4609" t="str">
            <v>200412</v>
          </cell>
          <cell r="E4609">
            <v>4.4000000000000004</v>
          </cell>
        </row>
        <row r="4610">
          <cell r="A4610" t="str">
            <v>37650200401</v>
          </cell>
          <cell r="B4610">
            <v>37650</v>
          </cell>
          <cell r="C4610" t="str">
            <v>NG</v>
          </cell>
          <cell r="D4610" t="str">
            <v>200401</v>
          </cell>
          <cell r="E4610">
            <v>5.0990000000000002</v>
          </cell>
        </row>
        <row r="4611">
          <cell r="A4611" t="str">
            <v>37650200402</v>
          </cell>
          <cell r="B4611">
            <v>37650</v>
          </cell>
          <cell r="C4611" t="str">
            <v>NG</v>
          </cell>
          <cell r="D4611" t="str">
            <v>200402</v>
          </cell>
          <cell r="E4611">
            <v>4.9640000000000004</v>
          </cell>
        </row>
        <row r="4612">
          <cell r="A4612" t="str">
            <v>37650200403</v>
          </cell>
          <cell r="B4612">
            <v>37650</v>
          </cell>
          <cell r="C4612" t="str">
            <v>NG</v>
          </cell>
          <cell r="D4612" t="str">
            <v>200403</v>
          </cell>
          <cell r="E4612">
            <v>4.7439999999999998</v>
          </cell>
        </row>
        <row r="4613">
          <cell r="A4613" t="str">
            <v>37650200404</v>
          </cell>
          <cell r="B4613">
            <v>37650</v>
          </cell>
          <cell r="C4613" t="str">
            <v>NG</v>
          </cell>
          <cell r="D4613" t="str">
            <v>200404</v>
          </cell>
          <cell r="E4613">
            <v>4.3840000000000003</v>
          </cell>
        </row>
        <row r="4614">
          <cell r="A4614" t="str">
            <v>37650200405</v>
          </cell>
          <cell r="B4614">
            <v>37650</v>
          </cell>
          <cell r="C4614" t="str">
            <v>NG</v>
          </cell>
          <cell r="D4614" t="str">
            <v>200405</v>
          </cell>
          <cell r="E4614">
            <v>4.2439999999999998</v>
          </cell>
        </row>
        <row r="4615">
          <cell r="A4615" t="str">
            <v>37650200406</v>
          </cell>
          <cell r="B4615">
            <v>37650</v>
          </cell>
          <cell r="C4615" t="str">
            <v>NG</v>
          </cell>
          <cell r="D4615" t="str">
            <v>200406</v>
          </cell>
          <cell r="E4615">
            <v>4.202</v>
          </cell>
        </row>
        <row r="4616">
          <cell r="A4616" t="str">
            <v>37650200407</v>
          </cell>
          <cell r="B4616">
            <v>37650</v>
          </cell>
          <cell r="C4616" t="str">
            <v>NG</v>
          </cell>
          <cell r="D4616" t="str">
            <v>200407</v>
          </cell>
          <cell r="E4616">
            <v>4.1989999999999998</v>
          </cell>
        </row>
        <row r="4617">
          <cell r="A4617" t="str">
            <v>37650200408</v>
          </cell>
          <cell r="B4617">
            <v>37650</v>
          </cell>
          <cell r="C4617" t="str">
            <v>NG</v>
          </cell>
          <cell r="D4617" t="str">
            <v>200408</v>
          </cell>
          <cell r="E4617">
            <v>4.1989999999999998</v>
          </cell>
        </row>
        <row r="4618">
          <cell r="A4618" t="str">
            <v>37650200409</v>
          </cell>
          <cell r="B4618">
            <v>37650</v>
          </cell>
          <cell r="C4618" t="str">
            <v>NG</v>
          </cell>
          <cell r="D4618" t="str">
            <v>200409</v>
          </cell>
          <cell r="E4618">
            <v>4.1689999999999996</v>
          </cell>
        </row>
        <row r="4619">
          <cell r="A4619" t="str">
            <v>37650200410</v>
          </cell>
          <cell r="B4619">
            <v>37650</v>
          </cell>
          <cell r="C4619" t="str">
            <v>NG</v>
          </cell>
          <cell r="D4619" t="str">
            <v>200410</v>
          </cell>
          <cell r="E4619">
            <v>4.1890000000000001</v>
          </cell>
        </row>
        <row r="4620">
          <cell r="A4620" t="str">
            <v>37650200411</v>
          </cell>
          <cell r="B4620">
            <v>37650</v>
          </cell>
          <cell r="C4620" t="str">
            <v>NG</v>
          </cell>
          <cell r="D4620" t="str">
            <v>200411</v>
          </cell>
          <cell r="E4620">
            <v>4.3339999999999996</v>
          </cell>
        </row>
        <row r="4621">
          <cell r="A4621" t="str">
            <v>37650200412</v>
          </cell>
          <cell r="B4621">
            <v>37650</v>
          </cell>
          <cell r="C4621" t="str">
            <v>NG</v>
          </cell>
          <cell r="D4621" t="str">
            <v>200412</v>
          </cell>
          <cell r="E4621">
            <v>4.4740000000000002</v>
          </cell>
        </row>
        <row r="4622">
          <cell r="A4622" t="str">
            <v>37651200401</v>
          </cell>
          <cell r="B4622">
            <v>37651</v>
          </cell>
          <cell r="C4622" t="str">
            <v>NG</v>
          </cell>
          <cell r="D4622" t="str">
            <v>200401</v>
          </cell>
          <cell r="E4622">
            <v>5.093</v>
          </cell>
        </row>
        <row r="4623">
          <cell r="A4623" t="str">
            <v>37651200402</v>
          </cell>
          <cell r="B4623">
            <v>37651</v>
          </cell>
          <cell r="C4623" t="str">
            <v>NG</v>
          </cell>
          <cell r="D4623" t="str">
            <v>200402</v>
          </cell>
          <cell r="E4623">
            <v>4.95</v>
          </cell>
        </row>
        <row r="4624">
          <cell r="A4624" t="str">
            <v>37651200403</v>
          </cell>
          <cell r="B4624">
            <v>37651</v>
          </cell>
          <cell r="C4624" t="str">
            <v>NG</v>
          </cell>
          <cell r="D4624" t="str">
            <v>200403</v>
          </cell>
          <cell r="E4624">
            <v>4.7300000000000004</v>
          </cell>
        </row>
        <row r="4625">
          <cell r="A4625" t="str">
            <v>37651200404</v>
          </cell>
          <cell r="B4625">
            <v>37651</v>
          </cell>
          <cell r="C4625" t="str">
            <v>NG</v>
          </cell>
          <cell r="D4625" t="str">
            <v>200404</v>
          </cell>
          <cell r="E4625">
            <v>4.3600000000000003</v>
          </cell>
        </row>
        <row r="4626">
          <cell r="A4626" t="str">
            <v>37651200405</v>
          </cell>
          <cell r="B4626">
            <v>37651</v>
          </cell>
          <cell r="C4626" t="str">
            <v>NG</v>
          </cell>
          <cell r="D4626" t="str">
            <v>200405</v>
          </cell>
          <cell r="E4626">
            <v>4.21</v>
          </cell>
        </row>
        <row r="4627">
          <cell r="A4627" t="str">
            <v>37651200406</v>
          </cell>
          <cell r="B4627">
            <v>37651</v>
          </cell>
          <cell r="C4627" t="str">
            <v>NG</v>
          </cell>
          <cell r="D4627" t="str">
            <v>200406</v>
          </cell>
          <cell r="E4627">
            <v>4.1680000000000001</v>
          </cell>
        </row>
        <row r="4628">
          <cell r="A4628" t="str">
            <v>37651200407</v>
          </cell>
          <cell r="B4628">
            <v>37651</v>
          </cell>
          <cell r="C4628" t="str">
            <v>NG</v>
          </cell>
          <cell r="D4628" t="str">
            <v>200407</v>
          </cell>
          <cell r="E4628">
            <v>4.173</v>
          </cell>
        </row>
        <row r="4629">
          <cell r="A4629" t="str">
            <v>37651200408</v>
          </cell>
          <cell r="B4629">
            <v>37651</v>
          </cell>
          <cell r="C4629" t="str">
            <v>NG</v>
          </cell>
          <cell r="D4629" t="str">
            <v>200408</v>
          </cell>
          <cell r="E4629">
            <v>4.165</v>
          </cell>
        </row>
        <row r="4630">
          <cell r="A4630" t="str">
            <v>37651200409</v>
          </cell>
          <cell r="B4630">
            <v>37651</v>
          </cell>
          <cell r="C4630" t="str">
            <v>NG</v>
          </cell>
          <cell r="D4630" t="str">
            <v>200409</v>
          </cell>
          <cell r="E4630">
            <v>4.1399999999999997</v>
          </cell>
        </row>
        <row r="4631">
          <cell r="A4631" t="str">
            <v>37651200410</v>
          </cell>
          <cell r="B4631">
            <v>37651</v>
          </cell>
          <cell r="C4631" t="str">
            <v>NG</v>
          </cell>
          <cell r="D4631" t="str">
            <v>200410</v>
          </cell>
          <cell r="E4631">
            <v>4.165</v>
          </cell>
        </row>
        <row r="4632">
          <cell r="A4632" t="str">
            <v>37651200411</v>
          </cell>
          <cell r="B4632">
            <v>37651</v>
          </cell>
          <cell r="C4632" t="str">
            <v>NG</v>
          </cell>
          <cell r="D4632" t="str">
            <v>200411</v>
          </cell>
          <cell r="E4632">
            <v>4.3250000000000002</v>
          </cell>
        </row>
        <row r="4633">
          <cell r="A4633" t="str">
            <v>37651200412</v>
          </cell>
          <cell r="B4633">
            <v>37651</v>
          </cell>
          <cell r="C4633" t="str">
            <v>NG</v>
          </cell>
          <cell r="D4633" t="str">
            <v>200412</v>
          </cell>
          <cell r="E4633">
            <v>4.4850000000000003</v>
          </cell>
        </row>
        <row r="4634">
          <cell r="A4634" t="str">
            <v>37652200401</v>
          </cell>
          <cell r="B4634">
            <v>37652</v>
          </cell>
          <cell r="C4634" t="str">
            <v>NG</v>
          </cell>
          <cell r="D4634" t="str">
            <v>200401</v>
          </cell>
          <cell r="E4634">
            <v>5.0869999999999997</v>
          </cell>
        </row>
        <row r="4635">
          <cell r="A4635" t="str">
            <v>37652200402</v>
          </cell>
          <cell r="B4635">
            <v>37652</v>
          </cell>
          <cell r="C4635" t="str">
            <v>NG</v>
          </cell>
          <cell r="D4635" t="str">
            <v>200402</v>
          </cell>
          <cell r="E4635">
            <v>4.944</v>
          </cell>
        </row>
        <row r="4636">
          <cell r="A4636" t="str">
            <v>37652200403</v>
          </cell>
          <cell r="B4636">
            <v>37652</v>
          </cell>
          <cell r="C4636" t="str">
            <v>NG</v>
          </cell>
          <cell r="D4636" t="str">
            <v>200403</v>
          </cell>
          <cell r="E4636">
            <v>4.7240000000000002</v>
          </cell>
        </row>
        <row r="4637">
          <cell r="A4637" t="str">
            <v>37652200404</v>
          </cell>
          <cell r="B4637">
            <v>37652</v>
          </cell>
          <cell r="C4637" t="str">
            <v>NG</v>
          </cell>
          <cell r="D4637" t="str">
            <v>200404</v>
          </cell>
          <cell r="E4637">
            <v>4.3440000000000003</v>
          </cell>
        </row>
        <row r="4638">
          <cell r="A4638" t="str">
            <v>37652200405</v>
          </cell>
          <cell r="B4638">
            <v>37652</v>
          </cell>
          <cell r="C4638" t="str">
            <v>NG</v>
          </cell>
          <cell r="D4638" t="str">
            <v>200405</v>
          </cell>
          <cell r="E4638">
            <v>4.1909999999999998</v>
          </cell>
        </row>
        <row r="4639">
          <cell r="A4639" t="str">
            <v>37652200406</v>
          </cell>
          <cell r="B4639">
            <v>37652</v>
          </cell>
          <cell r="C4639" t="str">
            <v>NG</v>
          </cell>
          <cell r="D4639" t="str">
            <v>200406</v>
          </cell>
          <cell r="E4639">
            <v>4.149</v>
          </cell>
        </row>
        <row r="4640">
          <cell r="A4640" t="str">
            <v>37652200407</v>
          </cell>
          <cell r="B4640">
            <v>37652</v>
          </cell>
          <cell r="C4640" t="str">
            <v>NG</v>
          </cell>
          <cell r="D4640" t="str">
            <v>200407</v>
          </cell>
          <cell r="E4640">
            <v>4.1539999999999999</v>
          </cell>
        </row>
        <row r="4641">
          <cell r="A4641" t="str">
            <v>37652200408</v>
          </cell>
          <cell r="B4641">
            <v>37652</v>
          </cell>
          <cell r="C4641" t="str">
            <v>NG</v>
          </cell>
          <cell r="D4641" t="str">
            <v>200408</v>
          </cell>
          <cell r="E4641">
            <v>4.1639999999999997</v>
          </cell>
        </row>
        <row r="4642">
          <cell r="A4642" t="str">
            <v>37652200409</v>
          </cell>
          <cell r="B4642">
            <v>37652</v>
          </cell>
          <cell r="C4642" t="str">
            <v>NG</v>
          </cell>
          <cell r="D4642" t="str">
            <v>200409</v>
          </cell>
          <cell r="E4642">
            <v>4.1390000000000002</v>
          </cell>
        </row>
        <row r="4643">
          <cell r="A4643" t="str">
            <v>37652200410</v>
          </cell>
          <cell r="B4643">
            <v>37652</v>
          </cell>
          <cell r="C4643" t="str">
            <v>NG</v>
          </cell>
          <cell r="D4643" t="str">
            <v>200410</v>
          </cell>
          <cell r="E4643">
            <v>4.1639999999999997</v>
          </cell>
        </row>
        <row r="4644">
          <cell r="A4644" t="str">
            <v>37652200411</v>
          </cell>
          <cell r="B4644">
            <v>37652</v>
          </cell>
          <cell r="C4644" t="str">
            <v>NG</v>
          </cell>
          <cell r="D4644" t="str">
            <v>200411</v>
          </cell>
          <cell r="E4644">
            <v>4.3339999999999996</v>
          </cell>
        </row>
        <row r="4645">
          <cell r="A4645" t="str">
            <v>37652200412</v>
          </cell>
          <cell r="B4645">
            <v>37652</v>
          </cell>
          <cell r="C4645" t="str">
            <v>NG</v>
          </cell>
          <cell r="D4645" t="str">
            <v>200412</v>
          </cell>
          <cell r="E4645">
            <v>4.5039999999999996</v>
          </cell>
        </row>
        <row r="4646">
          <cell r="A4646" t="str">
            <v>37653200401</v>
          </cell>
          <cell r="B4646">
            <v>37653</v>
          </cell>
          <cell r="C4646" t="str">
            <v>NG</v>
          </cell>
          <cell r="D4646" t="str">
            <v>200401</v>
          </cell>
          <cell r="E4646">
            <v>5.0869999999999997</v>
          </cell>
        </row>
        <row r="4647">
          <cell r="A4647" t="str">
            <v>37653200402</v>
          </cell>
          <cell r="B4647">
            <v>37653</v>
          </cell>
          <cell r="C4647" t="str">
            <v>NG</v>
          </cell>
          <cell r="D4647" t="str">
            <v>200402</v>
          </cell>
          <cell r="E4647">
            <v>4.944</v>
          </cell>
        </row>
        <row r="4648">
          <cell r="A4648" t="str">
            <v>37653200403</v>
          </cell>
          <cell r="B4648">
            <v>37653</v>
          </cell>
          <cell r="C4648" t="str">
            <v>NG</v>
          </cell>
          <cell r="D4648" t="str">
            <v>200403</v>
          </cell>
          <cell r="E4648">
            <v>4.7240000000000002</v>
          </cell>
        </row>
        <row r="4649">
          <cell r="A4649" t="str">
            <v>37653200404</v>
          </cell>
          <cell r="B4649">
            <v>37653</v>
          </cell>
          <cell r="C4649" t="str">
            <v>NG</v>
          </cell>
          <cell r="D4649" t="str">
            <v>200404</v>
          </cell>
          <cell r="E4649">
            <v>4.3440000000000003</v>
          </cell>
        </row>
        <row r="4650">
          <cell r="A4650" t="str">
            <v>37653200405</v>
          </cell>
          <cell r="B4650">
            <v>37653</v>
          </cell>
          <cell r="C4650" t="str">
            <v>NG</v>
          </cell>
          <cell r="D4650" t="str">
            <v>200405</v>
          </cell>
          <cell r="E4650">
            <v>4.1909999999999998</v>
          </cell>
        </row>
        <row r="4651">
          <cell r="A4651" t="str">
            <v>37653200406</v>
          </cell>
          <cell r="B4651">
            <v>37653</v>
          </cell>
          <cell r="C4651" t="str">
            <v>NG</v>
          </cell>
          <cell r="D4651" t="str">
            <v>200406</v>
          </cell>
          <cell r="E4651">
            <v>4.149</v>
          </cell>
        </row>
        <row r="4652">
          <cell r="A4652" t="str">
            <v>37653200407</v>
          </cell>
          <cell r="B4652">
            <v>37653</v>
          </cell>
          <cell r="C4652" t="str">
            <v>NG</v>
          </cell>
          <cell r="D4652" t="str">
            <v>200407</v>
          </cell>
          <cell r="E4652">
            <v>4.1539999999999999</v>
          </cell>
        </row>
        <row r="4653">
          <cell r="A4653" t="str">
            <v>37653200408</v>
          </cell>
          <cell r="B4653">
            <v>37653</v>
          </cell>
          <cell r="C4653" t="str">
            <v>NG</v>
          </cell>
          <cell r="D4653" t="str">
            <v>200408</v>
          </cell>
          <cell r="E4653">
            <v>4.1639999999999997</v>
          </cell>
        </row>
        <row r="4654">
          <cell r="A4654" t="str">
            <v>37653200409</v>
          </cell>
          <cell r="B4654">
            <v>37653</v>
          </cell>
          <cell r="C4654" t="str">
            <v>NG</v>
          </cell>
          <cell r="D4654" t="str">
            <v>200409</v>
          </cell>
          <cell r="E4654">
            <v>4.1390000000000002</v>
          </cell>
        </row>
        <row r="4655">
          <cell r="A4655" t="str">
            <v>37653200410</v>
          </cell>
          <cell r="B4655">
            <v>37653</v>
          </cell>
          <cell r="C4655" t="str">
            <v>NG</v>
          </cell>
          <cell r="D4655" t="str">
            <v>200410</v>
          </cell>
          <cell r="E4655">
            <v>4.1639999999999997</v>
          </cell>
        </row>
        <row r="4656">
          <cell r="A4656" t="str">
            <v>37653200411</v>
          </cell>
          <cell r="B4656">
            <v>37653</v>
          </cell>
          <cell r="C4656" t="str">
            <v>NG</v>
          </cell>
          <cell r="D4656" t="str">
            <v>200411</v>
          </cell>
          <cell r="E4656">
            <v>4.3339999999999996</v>
          </cell>
        </row>
        <row r="4657">
          <cell r="A4657" t="str">
            <v>37653200412</v>
          </cell>
          <cell r="B4657">
            <v>37653</v>
          </cell>
          <cell r="C4657" t="str">
            <v>NG</v>
          </cell>
          <cell r="D4657" t="str">
            <v>200412</v>
          </cell>
          <cell r="E4657">
            <v>4.5039999999999996</v>
          </cell>
        </row>
        <row r="4658">
          <cell r="A4658" t="str">
            <v>37654200401</v>
          </cell>
          <cell r="B4658">
            <v>37654</v>
          </cell>
          <cell r="C4658" t="str">
            <v>NG</v>
          </cell>
          <cell r="D4658" t="str">
            <v>200401</v>
          </cell>
          <cell r="E4658">
            <v>5.0869999999999997</v>
          </cell>
        </row>
        <row r="4659">
          <cell r="A4659" t="str">
            <v>37654200402</v>
          </cell>
          <cell r="B4659">
            <v>37654</v>
          </cell>
          <cell r="C4659" t="str">
            <v>NG</v>
          </cell>
          <cell r="D4659" t="str">
            <v>200402</v>
          </cell>
          <cell r="E4659">
            <v>4.944</v>
          </cell>
        </row>
        <row r="4660">
          <cell r="A4660" t="str">
            <v>37654200403</v>
          </cell>
          <cell r="B4660">
            <v>37654</v>
          </cell>
          <cell r="C4660" t="str">
            <v>NG</v>
          </cell>
          <cell r="D4660" t="str">
            <v>200403</v>
          </cell>
          <cell r="E4660">
            <v>4.7240000000000002</v>
          </cell>
        </row>
        <row r="4661">
          <cell r="A4661" t="str">
            <v>37654200404</v>
          </cell>
          <cell r="B4661">
            <v>37654</v>
          </cell>
          <cell r="C4661" t="str">
            <v>NG</v>
          </cell>
          <cell r="D4661" t="str">
            <v>200404</v>
          </cell>
          <cell r="E4661">
            <v>4.3440000000000003</v>
          </cell>
        </row>
        <row r="4662">
          <cell r="A4662" t="str">
            <v>37654200405</v>
          </cell>
          <cell r="B4662">
            <v>37654</v>
          </cell>
          <cell r="C4662" t="str">
            <v>NG</v>
          </cell>
          <cell r="D4662" t="str">
            <v>200405</v>
          </cell>
          <cell r="E4662">
            <v>4.1909999999999998</v>
          </cell>
        </row>
        <row r="4663">
          <cell r="A4663" t="str">
            <v>37654200406</v>
          </cell>
          <cell r="B4663">
            <v>37654</v>
          </cell>
          <cell r="C4663" t="str">
            <v>NG</v>
          </cell>
          <cell r="D4663" t="str">
            <v>200406</v>
          </cell>
          <cell r="E4663">
            <v>4.149</v>
          </cell>
        </row>
        <row r="4664">
          <cell r="A4664" t="str">
            <v>37654200407</v>
          </cell>
          <cell r="B4664">
            <v>37654</v>
          </cell>
          <cell r="C4664" t="str">
            <v>NG</v>
          </cell>
          <cell r="D4664" t="str">
            <v>200407</v>
          </cell>
          <cell r="E4664">
            <v>4.1539999999999999</v>
          </cell>
        </row>
        <row r="4665">
          <cell r="A4665" t="str">
            <v>37654200408</v>
          </cell>
          <cell r="B4665">
            <v>37654</v>
          </cell>
          <cell r="C4665" t="str">
            <v>NG</v>
          </cell>
          <cell r="D4665" t="str">
            <v>200408</v>
          </cell>
          <cell r="E4665">
            <v>4.1639999999999997</v>
          </cell>
        </row>
        <row r="4666">
          <cell r="A4666" t="str">
            <v>37654200409</v>
          </cell>
          <cell r="B4666">
            <v>37654</v>
          </cell>
          <cell r="C4666" t="str">
            <v>NG</v>
          </cell>
          <cell r="D4666" t="str">
            <v>200409</v>
          </cell>
          <cell r="E4666">
            <v>4.1390000000000002</v>
          </cell>
        </row>
        <row r="4667">
          <cell r="A4667" t="str">
            <v>37654200410</v>
          </cell>
          <cell r="B4667">
            <v>37654</v>
          </cell>
          <cell r="C4667" t="str">
            <v>NG</v>
          </cell>
          <cell r="D4667" t="str">
            <v>200410</v>
          </cell>
          <cell r="E4667">
            <v>4.1639999999999997</v>
          </cell>
        </row>
        <row r="4668">
          <cell r="A4668" t="str">
            <v>37654200411</v>
          </cell>
          <cell r="B4668">
            <v>37654</v>
          </cell>
          <cell r="C4668" t="str">
            <v>NG</v>
          </cell>
          <cell r="D4668" t="str">
            <v>200411</v>
          </cell>
          <cell r="E4668">
            <v>4.3339999999999996</v>
          </cell>
        </row>
        <row r="4669">
          <cell r="A4669" t="str">
            <v>37654200412</v>
          </cell>
          <cell r="B4669">
            <v>37654</v>
          </cell>
          <cell r="C4669" t="str">
            <v>NG</v>
          </cell>
          <cell r="D4669" t="str">
            <v>200412</v>
          </cell>
          <cell r="E4669">
            <v>4.5039999999999996</v>
          </cell>
        </row>
        <row r="4670">
          <cell r="A4670" t="str">
            <v>37655200401</v>
          </cell>
          <cell r="B4670">
            <v>37655</v>
          </cell>
          <cell r="C4670" t="str">
            <v>NG</v>
          </cell>
          <cell r="D4670" t="str">
            <v>200401</v>
          </cell>
          <cell r="E4670">
            <v>5.14</v>
          </cell>
        </row>
        <row r="4671">
          <cell r="A4671" t="str">
            <v>37655200402</v>
          </cell>
          <cell r="B4671">
            <v>37655</v>
          </cell>
          <cell r="C4671" t="str">
            <v>NG</v>
          </cell>
          <cell r="D4671" t="str">
            <v>200402</v>
          </cell>
          <cell r="E4671">
            <v>5</v>
          </cell>
        </row>
        <row r="4672">
          <cell r="A4672" t="str">
            <v>37655200403</v>
          </cell>
          <cell r="B4672">
            <v>37655</v>
          </cell>
          <cell r="C4672" t="str">
            <v>NG</v>
          </cell>
          <cell r="D4672" t="str">
            <v>200403</v>
          </cell>
          <cell r="E4672">
            <v>4.78</v>
          </cell>
        </row>
        <row r="4673">
          <cell r="A4673" t="str">
            <v>37655200404</v>
          </cell>
          <cell r="B4673">
            <v>37655</v>
          </cell>
          <cell r="C4673" t="str">
            <v>NG</v>
          </cell>
          <cell r="D4673" t="str">
            <v>200404</v>
          </cell>
          <cell r="E4673">
            <v>4.3849999999999998</v>
          </cell>
        </row>
        <row r="4674">
          <cell r="A4674" t="str">
            <v>37655200405</v>
          </cell>
          <cell r="B4674">
            <v>37655</v>
          </cell>
          <cell r="C4674" t="str">
            <v>NG</v>
          </cell>
          <cell r="D4674" t="str">
            <v>200405</v>
          </cell>
          <cell r="E4674">
            <v>4.22</v>
          </cell>
        </row>
        <row r="4675">
          <cell r="A4675" t="str">
            <v>37655200406</v>
          </cell>
          <cell r="B4675">
            <v>37655</v>
          </cell>
          <cell r="C4675" t="str">
            <v>NG</v>
          </cell>
          <cell r="D4675" t="str">
            <v>200406</v>
          </cell>
          <cell r="E4675">
            <v>4.1749999999999998</v>
          </cell>
        </row>
        <row r="4676">
          <cell r="A4676" t="str">
            <v>37655200407</v>
          </cell>
          <cell r="B4676">
            <v>37655</v>
          </cell>
          <cell r="C4676" t="str">
            <v>NG</v>
          </cell>
          <cell r="D4676" t="str">
            <v>200407</v>
          </cell>
          <cell r="E4676">
            <v>4.18</v>
          </cell>
        </row>
        <row r="4677">
          <cell r="A4677" t="str">
            <v>37655200408</v>
          </cell>
          <cell r="B4677">
            <v>37655</v>
          </cell>
          <cell r="C4677" t="str">
            <v>NG</v>
          </cell>
          <cell r="D4677" t="str">
            <v>200408</v>
          </cell>
          <cell r="E4677">
            <v>4.18</v>
          </cell>
        </row>
        <row r="4678">
          <cell r="A4678" t="str">
            <v>37655200409</v>
          </cell>
          <cell r="B4678">
            <v>37655</v>
          </cell>
          <cell r="C4678" t="str">
            <v>NG</v>
          </cell>
          <cell r="D4678" t="str">
            <v>200409</v>
          </cell>
          <cell r="E4678">
            <v>4.16</v>
          </cell>
        </row>
        <row r="4679">
          <cell r="A4679" t="str">
            <v>37655200410</v>
          </cell>
          <cell r="B4679">
            <v>37655</v>
          </cell>
          <cell r="C4679" t="str">
            <v>NG</v>
          </cell>
          <cell r="D4679" t="str">
            <v>200410</v>
          </cell>
          <cell r="E4679">
            <v>4.1900000000000004</v>
          </cell>
        </row>
        <row r="4680">
          <cell r="A4680" t="str">
            <v>37655200411</v>
          </cell>
          <cell r="B4680">
            <v>37655</v>
          </cell>
          <cell r="C4680" t="str">
            <v>NG</v>
          </cell>
          <cell r="D4680" t="str">
            <v>200411</v>
          </cell>
          <cell r="E4680">
            <v>4.3449999999999998</v>
          </cell>
        </row>
        <row r="4681">
          <cell r="A4681" t="str">
            <v>37655200412</v>
          </cell>
          <cell r="B4681">
            <v>37655</v>
          </cell>
          <cell r="C4681" t="str">
            <v>NG</v>
          </cell>
          <cell r="D4681" t="str">
            <v>200412</v>
          </cell>
          <cell r="E4681">
            <v>4.5049999999999999</v>
          </cell>
        </row>
        <row r="4682">
          <cell r="A4682" t="str">
            <v>37656200401</v>
          </cell>
          <cell r="B4682">
            <v>37656</v>
          </cell>
          <cell r="C4682" t="str">
            <v>NG</v>
          </cell>
          <cell r="D4682" t="str">
            <v>200401</v>
          </cell>
          <cell r="E4682">
            <v>5.2009999999999996</v>
          </cell>
        </row>
        <row r="4683">
          <cell r="A4683" t="str">
            <v>37656200402</v>
          </cell>
          <cell r="B4683">
            <v>37656</v>
          </cell>
          <cell r="C4683" t="str">
            <v>NG</v>
          </cell>
          <cell r="D4683" t="str">
            <v>200402</v>
          </cell>
          <cell r="E4683">
            <v>5.0570000000000004</v>
          </cell>
        </row>
        <row r="4684">
          <cell r="A4684" t="str">
            <v>37656200403</v>
          </cell>
          <cell r="B4684">
            <v>37656</v>
          </cell>
          <cell r="C4684" t="str">
            <v>NG</v>
          </cell>
          <cell r="D4684" t="str">
            <v>200403</v>
          </cell>
          <cell r="E4684">
            <v>4.835</v>
          </cell>
        </row>
        <row r="4685">
          <cell r="A4685" t="str">
            <v>37656200404</v>
          </cell>
          <cell r="B4685">
            <v>37656</v>
          </cell>
          <cell r="C4685" t="str">
            <v>NG</v>
          </cell>
          <cell r="D4685" t="str">
            <v>200404</v>
          </cell>
          <cell r="E4685">
            <v>4.4160000000000004</v>
          </cell>
        </row>
        <row r="4686">
          <cell r="A4686" t="str">
            <v>37656200405</v>
          </cell>
          <cell r="B4686">
            <v>37656</v>
          </cell>
          <cell r="C4686" t="str">
            <v>NG</v>
          </cell>
          <cell r="D4686" t="str">
            <v>200405</v>
          </cell>
          <cell r="E4686">
            <v>4.2359999999999998</v>
          </cell>
        </row>
        <row r="4687">
          <cell r="A4687" t="str">
            <v>37656200406</v>
          </cell>
          <cell r="B4687">
            <v>37656</v>
          </cell>
          <cell r="C4687" t="str">
            <v>NG</v>
          </cell>
          <cell r="D4687" t="str">
            <v>200406</v>
          </cell>
          <cell r="E4687">
            <v>4.1760000000000002</v>
          </cell>
        </row>
        <row r="4688">
          <cell r="A4688" t="str">
            <v>37656200407</v>
          </cell>
          <cell r="B4688">
            <v>37656</v>
          </cell>
          <cell r="C4688" t="str">
            <v>NG</v>
          </cell>
          <cell r="D4688" t="str">
            <v>200407</v>
          </cell>
          <cell r="E4688">
            <v>4.1760000000000002</v>
          </cell>
        </row>
        <row r="4689">
          <cell r="A4689" t="str">
            <v>37656200408</v>
          </cell>
          <cell r="B4689">
            <v>37656</v>
          </cell>
          <cell r="C4689" t="str">
            <v>NG</v>
          </cell>
          <cell r="D4689" t="str">
            <v>200408</v>
          </cell>
          <cell r="E4689">
            <v>4.1760000000000002</v>
          </cell>
        </row>
        <row r="4690">
          <cell r="A4690" t="str">
            <v>37656200409</v>
          </cell>
          <cell r="B4690">
            <v>37656</v>
          </cell>
          <cell r="C4690" t="str">
            <v>NG</v>
          </cell>
          <cell r="D4690" t="str">
            <v>200409</v>
          </cell>
          <cell r="E4690">
            <v>4.1559999999999997</v>
          </cell>
        </row>
        <row r="4691">
          <cell r="A4691" t="str">
            <v>37656200410</v>
          </cell>
          <cell r="B4691">
            <v>37656</v>
          </cell>
          <cell r="C4691" t="str">
            <v>NG</v>
          </cell>
          <cell r="D4691" t="str">
            <v>200410</v>
          </cell>
          <cell r="E4691">
            <v>4.1859999999999999</v>
          </cell>
        </row>
        <row r="4692">
          <cell r="A4692" t="str">
            <v>37656200411</v>
          </cell>
          <cell r="B4692">
            <v>37656</v>
          </cell>
          <cell r="C4692" t="str">
            <v>NG</v>
          </cell>
          <cell r="D4692" t="str">
            <v>200411</v>
          </cell>
          <cell r="E4692">
            <v>4.3559999999999999</v>
          </cell>
        </row>
        <row r="4693">
          <cell r="A4693" t="str">
            <v>37656200412</v>
          </cell>
          <cell r="B4693">
            <v>37656</v>
          </cell>
          <cell r="C4693" t="str">
            <v>NG</v>
          </cell>
          <cell r="D4693" t="str">
            <v>200412</v>
          </cell>
          <cell r="E4693">
            <v>4.5309999999999997</v>
          </cell>
        </row>
        <row r="4694">
          <cell r="A4694" t="str">
            <v>37657200401</v>
          </cell>
          <cell r="B4694">
            <v>37657</v>
          </cell>
          <cell r="C4694" t="str">
            <v>NG</v>
          </cell>
          <cell r="D4694" t="str">
            <v>200401</v>
          </cell>
          <cell r="E4694">
            <v>5.2439999999999998</v>
          </cell>
        </row>
        <row r="4695">
          <cell r="A4695" t="str">
            <v>37657200402</v>
          </cell>
          <cell r="B4695">
            <v>37657</v>
          </cell>
          <cell r="C4695" t="str">
            <v>NG</v>
          </cell>
          <cell r="D4695" t="str">
            <v>200402</v>
          </cell>
          <cell r="E4695">
            <v>5.1040000000000001</v>
          </cell>
        </row>
        <row r="4696">
          <cell r="A4696" t="str">
            <v>37657200403</v>
          </cell>
          <cell r="B4696">
            <v>37657</v>
          </cell>
          <cell r="C4696" t="str">
            <v>NG</v>
          </cell>
          <cell r="D4696" t="str">
            <v>200403</v>
          </cell>
          <cell r="E4696">
            <v>4.8890000000000002</v>
          </cell>
        </row>
        <row r="4697">
          <cell r="A4697" t="str">
            <v>37657200404</v>
          </cell>
          <cell r="B4697">
            <v>37657</v>
          </cell>
          <cell r="C4697" t="str">
            <v>NG</v>
          </cell>
          <cell r="D4697" t="str">
            <v>200404</v>
          </cell>
          <cell r="E4697">
            <v>4.4640000000000004</v>
          </cell>
        </row>
        <row r="4698">
          <cell r="A4698" t="str">
            <v>37657200405</v>
          </cell>
          <cell r="B4698">
            <v>37657</v>
          </cell>
          <cell r="C4698" t="str">
            <v>NG</v>
          </cell>
          <cell r="D4698" t="str">
            <v>200405</v>
          </cell>
          <cell r="E4698">
            <v>4.2889999999999997</v>
          </cell>
        </row>
        <row r="4699">
          <cell r="A4699" t="str">
            <v>37657200406</v>
          </cell>
          <cell r="B4699">
            <v>37657</v>
          </cell>
          <cell r="C4699" t="str">
            <v>NG</v>
          </cell>
          <cell r="D4699" t="str">
            <v>200406</v>
          </cell>
          <cell r="E4699">
            <v>4.2389999999999999</v>
          </cell>
        </row>
        <row r="4700">
          <cell r="A4700" t="str">
            <v>37657200407</v>
          </cell>
          <cell r="B4700">
            <v>37657</v>
          </cell>
          <cell r="C4700" t="str">
            <v>NG</v>
          </cell>
          <cell r="D4700" t="str">
            <v>200407</v>
          </cell>
          <cell r="E4700">
            <v>4.2439999999999998</v>
          </cell>
        </row>
        <row r="4701">
          <cell r="A4701" t="str">
            <v>37657200408</v>
          </cell>
          <cell r="B4701">
            <v>37657</v>
          </cell>
          <cell r="C4701" t="str">
            <v>NG</v>
          </cell>
          <cell r="D4701" t="str">
            <v>200408</v>
          </cell>
          <cell r="E4701">
            <v>4.2469999999999999</v>
          </cell>
        </row>
        <row r="4702">
          <cell r="A4702" t="str">
            <v>37657200409</v>
          </cell>
          <cell r="B4702">
            <v>37657</v>
          </cell>
          <cell r="C4702" t="str">
            <v>NG</v>
          </cell>
          <cell r="D4702" t="str">
            <v>200409</v>
          </cell>
          <cell r="E4702">
            <v>4.2290000000000001</v>
          </cell>
        </row>
        <row r="4703">
          <cell r="A4703" t="str">
            <v>37657200410</v>
          </cell>
          <cell r="B4703">
            <v>37657</v>
          </cell>
          <cell r="C4703" t="str">
            <v>NG</v>
          </cell>
          <cell r="D4703" t="str">
            <v>200410</v>
          </cell>
          <cell r="E4703">
            <v>4.2489999999999997</v>
          </cell>
        </row>
        <row r="4704">
          <cell r="A4704" t="str">
            <v>37657200411</v>
          </cell>
          <cell r="B4704">
            <v>37657</v>
          </cell>
          <cell r="C4704" t="str">
            <v>NG</v>
          </cell>
          <cell r="D4704" t="str">
            <v>200411</v>
          </cell>
          <cell r="E4704">
            <v>4.4139999999999997</v>
          </cell>
        </row>
        <row r="4705">
          <cell r="A4705" t="str">
            <v>37657200412</v>
          </cell>
          <cell r="B4705">
            <v>37657</v>
          </cell>
          <cell r="C4705" t="str">
            <v>NG</v>
          </cell>
          <cell r="D4705" t="str">
            <v>200412</v>
          </cell>
          <cell r="E4705">
            <v>4.5839999999999996</v>
          </cell>
        </row>
        <row r="4706">
          <cell r="A4706" t="str">
            <v>37658200401</v>
          </cell>
          <cell r="B4706">
            <v>37658</v>
          </cell>
          <cell r="C4706" t="str">
            <v>NG</v>
          </cell>
          <cell r="D4706" t="str">
            <v>200401</v>
          </cell>
          <cell r="E4706">
            <v>5.2729999999999997</v>
          </cell>
        </row>
        <row r="4707">
          <cell r="A4707" t="str">
            <v>37658200402</v>
          </cell>
          <cell r="B4707">
            <v>37658</v>
          </cell>
          <cell r="C4707" t="str">
            <v>NG</v>
          </cell>
          <cell r="D4707" t="str">
            <v>200402</v>
          </cell>
          <cell r="E4707">
            <v>5.133</v>
          </cell>
        </row>
        <row r="4708">
          <cell r="A4708" t="str">
            <v>37658200403</v>
          </cell>
          <cell r="B4708">
            <v>37658</v>
          </cell>
          <cell r="C4708" t="str">
            <v>NG</v>
          </cell>
          <cell r="D4708" t="str">
            <v>200403</v>
          </cell>
          <cell r="E4708">
            <v>4.9050000000000002</v>
          </cell>
        </row>
        <row r="4709">
          <cell r="A4709" t="str">
            <v>37658200404</v>
          </cell>
          <cell r="B4709">
            <v>37658</v>
          </cell>
          <cell r="C4709" t="str">
            <v>NG</v>
          </cell>
          <cell r="D4709" t="str">
            <v>200404</v>
          </cell>
          <cell r="E4709">
            <v>4.4550000000000001</v>
          </cell>
        </row>
        <row r="4710">
          <cell r="A4710" t="str">
            <v>37658200405</v>
          </cell>
          <cell r="B4710">
            <v>37658</v>
          </cell>
          <cell r="C4710" t="str">
            <v>NG</v>
          </cell>
          <cell r="D4710" t="str">
            <v>200405</v>
          </cell>
          <cell r="E4710">
            <v>4.2699999999999996</v>
          </cell>
        </row>
        <row r="4711">
          <cell r="A4711" t="str">
            <v>37658200406</v>
          </cell>
          <cell r="B4711">
            <v>37658</v>
          </cell>
          <cell r="C4711" t="str">
            <v>NG</v>
          </cell>
          <cell r="D4711" t="str">
            <v>200406</v>
          </cell>
          <cell r="E4711">
            <v>4.22</v>
          </cell>
        </row>
        <row r="4712">
          <cell r="A4712" t="str">
            <v>37658200407</v>
          </cell>
          <cell r="B4712">
            <v>37658</v>
          </cell>
          <cell r="C4712" t="str">
            <v>NG</v>
          </cell>
          <cell r="D4712" t="str">
            <v>200407</v>
          </cell>
          <cell r="E4712">
            <v>4.22</v>
          </cell>
        </row>
        <row r="4713">
          <cell r="A4713" t="str">
            <v>37658200408</v>
          </cell>
          <cell r="B4713">
            <v>37658</v>
          </cell>
          <cell r="C4713" t="str">
            <v>NG</v>
          </cell>
          <cell r="D4713" t="str">
            <v>200408</v>
          </cell>
          <cell r="E4713">
            <v>4.2229999999999999</v>
          </cell>
        </row>
        <row r="4714">
          <cell r="A4714" t="str">
            <v>37658200409</v>
          </cell>
          <cell r="B4714">
            <v>37658</v>
          </cell>
          <cell r="C4714" t="str">
            <v>NG</v>
          </cell>
          <cell r="D4714" t="str">
            <v>200409</v>
          </cell>
          <cell r="E4714">
            <v>4.1959999999999997</v>
          </cell>
        </row>
        <row r="4715">
          <cell r="A4715" t="str">
            <v>37658200410</v>
          </cell>
          <cell r="B4715">
            <v>37658</v>
          </cell>
          <cell r="C4715" t="str">
            <v>NG</v>
          </cell>
          <cell r="D4715" t="str">
            <v>200410</v>
          </cell>
          <cell r="E4715">
            <v>4.21</v>
          </cell>
        </row>
        <row r="4716">
          <cell r="A4716" t="str">
            <v>37658200411</v>
          </cell>
          <cell r="B4716">
            <v>37658</v>
          </cell>
          <cell r="C4716" t="str">
            <v>NG</v>
          </cell>
          <cell r="D4716" t="str">
            <v>200411</v>
          </cell>
          <cell r="E4716">
            <v>4.3899999999999997</v>
          </cell>
        </row>
        <row r="4717">
          <cell r="A4717" t="str">
            <v>37658200412</v>
          </cell>
          <cell r="B4717">
            <v>37658</v>
          </cell>
          <cell r="C4717" t="str">
            <v>NG</v>
          </cell>
          <cell r="D4717" t="str">
            <v>200412</v>
          </cell>
          <cell r="E4717">
            <v>4.57</v>
          </cell>
        </row>
        <row r="4718">
          <cell r="A4718" t="str">
            <v>37659200401</v>
          </cell>
          <cell r="B4718">
            <v>37659</v>
          </cell>
          <cell r="C4718" t="str">
            <v>NG</v>
          </cell>
          <cell r="D4718" t="str">
            <v>200401</v>
          </cell>
          <cell r="E4718">
            <v>5.3680000000000003</v>
          </cell>
        </row>
        <row r="4719">
          <cell r="A4719" t="str">
            <v>37659200402</v>
          </cell>
          <cell r="B4719">
            <v>37659</v>
          </cell>
          <cell r="C4719" t="str">
            <v>NG</v>
          </cell>
          <cell r="D4719" t="str">
            <v>200402</v>
          </cell>
          <cell r="E4719">
            <v>5.2279999999999998</v>
          </cell>
        </row>
        <row r="4720">
          <cell r="A4720" t="str">
            <v>37659200403</v>
          </cell>
          <cell r="B4720">
            <v>37659</v>
          </cell>
          <cell r="C4720" t="str">
            <v>NG</v>
          </cell>
          <cell r="D4720" t="str">
            <v>200403</v>
          </cell>
          <cell r="E4720">
            <v>4.9880000000000004</v>
          </cell>
        </row>
        <row r="4721">
          <cell r="A4721" t="str">
            <v>37659200404</v>
          </cell>
          <cell r="B4721">
            <v>37659</v>
          </cell>
          <cell r="C4721" t="str">
            <v>NG</v>
          </cell>
          <cell r="D4721" t="str">
            <v>200404</v>
          </cell>
          <cell r="E4721">
            <v>4.5179999999999998</v>
          </cell>
        </row>
        <row r="4722">
          <cell r="A4722" t="str">
            <v>37659200405</v>
          </cell>
          <cell r="B4722">
            <v>37659</v>
          </cell>
          <cell r="C4722" t="str">
            <v>NG</v>
          </cell>
          <cell r="D4722" t="str">
            <v>200405</v>
          </cell>
          <cell r="E4722">
            <v>4.3280000000000003</v>
          </cell>
        </row>
        <row r="4723">
          <cell r="A4723" t="str">
            <v>37659200406</v>
          </cell>
          <cell r="B4723">
            <v>37659</v>
          </cell>
          <cell r="C4723" t="str">
            <v>NG</v>
          </cell>
          <cell r="D4723" t="str">
            <v>200406</v>
          </cell>
          <cell r="E4723">
            <v>4.2779999999999996</v>
          </cell>
        </row>
        <row r="4724">
          <cell r="A4724" t="str">
            <v>37659200407</v>
          </cell>
          <cell r="B4724">
            <v>37659</v>
          </cell>
          <cell r="C4724" t="str">
            <v>NG</v>
          </cell>
          <cell r="D4724" t="str">
            <v>200407</v>
          </cell>
          <cell r="E4724">
            <v>4.2729999999999997</v>
          </cell>
        </row>
        <row r="4725">
          <cell r="A4725" t="str">
            <v>37659200408</v>
          </cell>
          <cell r="B4725">
            <v>37659</v>
          </cell>
          <cell r="C4725" t="str">
            <v>NG</v>
          </cell>
          <cell r="D4725" t="str">
            <v>200408</v>
          </cell>
          <cell r="E4725">
            <v>4.2679999999999998</v>
          </cell>
        </row>
        <row r="4726">
          <cell r="A4726" t="str">
            <v>37659200409</v>
          </cell>
          <cell r="B4726">
            <v>37659</v>
          </cell>
          <cell r="C4726" t="str">
            <v>NG</v>
          </cell>
          <cell r="D4726" t="str">
            <v>200409</v>
          </cell>
          <cell r="E4726">
            <v>4.2329999999999997</v>
          </cell>
        </row>
        <row r="4727">
          <cell r="A4727" t="str">
            <v>37659200410</v>
          </cell>
          <cell r="B4727">
            <v>37659</v>
          </cell>
          <cell r="C4727" t="str">
            <v>NG</v>
          </cell>
          <cell r="D4727" t="str">
            <v>200410</v>
          </cell>
          <cell r="E4727">
            <v>4.2430000000000003</v>
          </cell>
        </row>
        <row r="4728">
          <cell r="A4728" t="str">
            <v>37659200411</v>
          </cell>
          <cell r="B4728">
            <v>37659</v>
          </cell>
          <cell r="C4728" t="str">
            <v>NG</v>
          </cell>
          <cell r="D4728" t="str">
            <v>200411</v>
          </cell>
          <cell r="E4728">
            <v>4.4279999999999999</v>
          </cell>
        </row>
        <row r="4729">
          <cell r="A4729" t="str">
            <v>37659200412</v>
          </cell>
          <cell r="B4729">
            <v>37659</v>
          </cell>
          <cell r="C4729" t="str">
            <v>NG</v>
          </cell>
          <cell r="D4729" t="str">
            <v>200412</v>
          </cell>
          <cell r="E4729">
            <v>4.6029999999999998</v>
          </cell>
        </row>
        <row r="4730">
          <cell r="A4730" t="str">
            <v>37660200401</v>
          </cell>
          <cell r="B4730">
            <v>37660</v>
          </cell>
          <cell r="C4730" t="str">
            <v>NG</v>
          </cell>
          <cell r="D4730" t="str">
            <v>200401</v>
          </cell>
          <cell r="E4730">
            <v>5.3680000000000003</v>
          </cell>
        </row>
        <row r="4731">
          <cell r="A4731" t="str">
            <v>37660200402</v>
          </cell>
          <cell r="B4731">
            <v>37660</v>
          </cell>
          <cell r="C4731" t="str">
            <v>NG</v>
          </cell>
          <cell r="D4731" t="str">
            <v>200402</v>
          </cell>
          <cell r="E4731">
            <v>5.2279999999999998</v>
          </cell>
        </row>
        <row r="4732">
          <cell r="A4732" t="str">
            <v>37660200403</v>
          </cell>
          <cell r="B4732">
            <v>37660</v>
          </cell>
          <cell r="C4732" t="str">
            <v>NG</v>
          </cell>
          <cell r="D4732" t="str">
            <v>200403</v>
          </cell>
          <cell r="E4732">
            <v>4.9880000000000004</v>
          </cell>
        </row>
        <row r="4733">
          <cell r="A4733" t="str">
            <v>37660200404</v>
          </cell>
          <cell r="B4733">
            <v>37660</v>
          </cell>
          <cell r="C4733" t="str">
            <v>NG</v>
          </cell>
          <cell r="D4733" t="str">
            <v>200404</v>
          </cell>
          <cell r="E4733">
            <v>4.5179999999999998</v>
          </cell>
        </row>
        <row r="4734">
          <cell r="A4734" t="str">
            <v>37660200405</v>
          </cell>
          <cell r="B4734">
            <v>37660</v>
          </cell>
          <cell r="C4734" t="str">
            <v>NG</v>
          </cell>
          <cell r="D4734" t="str">
            <v>200405</v>
          </cell>
          <cell r="E4734">
            <v>4.3280000000000003</v>
          </cell>
        </row>
        <row r="4735">
          <cell r="A4735" t="str">
            <v>37660200406</v>
          </cell>
          <cell r="B4735">
            <v>37660</v>
          </cell>
          <cell r="C4735" t="str">
            <v>NG</v>
          </cell>
          <cell r="D4735" t="str">
            <v>200406</v>
          </cell>
          <cell r="E4735">
            <v>4.2779999999999996</v>
          </cell>
        </row>
        <row r="4736">
          <cell r="A4736" t="str">
            <v>37660200407</v>
          </cell>
          <cell r="B4736">
            <v>37660</v>
          </cell>
          <cell r="C4736" t="str">
            <v>NG</v>
          </cell>
          <cell r="D4736" t="str">
            <v>200407</v>
          </cell>
          <cell r="E4736">
            <v>4.2729999999999997</v>
          </cell>
        </row>
        <row r="4737">
          <cell r="A4737" t="str">
            <v>37660200408</v>
          </cell>
          <cell r="B4737">
            <v>37660</v>
          </cell>
          <cell r="C4737" t="str">
            <v>NG</v>
          </cell>
          <cell r="D4737" t="str">
            <v>200408</v>
          </cell>
          <cell r="E4737">
            <v>4.2679999999999998</v>
          </cell>
        </row>
        <row r="4738">
          <cell r="A4738" t="str">
            <v>37660200409</v>
          </cell>
          <cell r="B4738">
            <v>37660</v>
          </cell>
          <cell r="C4738" t="str">
            <v>NG</v>
          </cell>
          <cell r="D4738" t="str">
            <v>200409</v>
          </cell>
          <cell r="E4738">
            <v>4.2329999999999997</v>
          </cell>
        </row>
        <row r="4739">
          <cell r="A4739" t="str">
            <v>37660200410</v>
          </cell>
          <cell r="B4739">
            <v>37660</v>
          </cell>
          <cell r="C4739" t="str">
            <v>NG</v>
          </cell>
          <cell r="D4739" t="str">
            <v>200410</v>
          </cell>
          <cell r="E4739">
            <v>4.2430000000000003</v>
          </cell>
        </row>
        <row r="4740">
          <cell r="A4740" t="str">
            <v>37660200411</v>
          </cell>
          <cell r="B4740">
            <v>37660</v>
          </cell>
          <cell r="C4740" t="str">
            <v>NG</v>
          </cell>
          <cell r="D4740" t="str">
            <v>200411</v>
          </cell>
          <cell r="E4740">
            <v>4.4279999999999999</v>
          </cell>
        </row>
        <row r="4741">
          <cell r="A4741" t="str">
            <v>37660200412</v>
          </cell>
          <cell r="B4741">
            <v>37660</v>
          </cell>
          <cell r="C4741" t="str">
            <v>NG</v>
          </cell>
          <cell r="D4741" t="str">
            <v>200412</v>
          </cell>
          <cell r="E4741">
            <v>4.6029999999999998</v>
          </cell>
        </row>
        <row r="4742">
          <cell r="A4742" t="str">
            <v>37661200401</v>
          </cell>
          <cell r="B4742">
            <v>37661</v>
          </cell>
          <cell r="C4742" t="str">
            <v>NG</v>
          </cell>
          <cell r="D4742" t="str">
            <v>200401</v>
          </cell>
          <cell r="E4742">
            <v>5.3680000000000003</v>
          </cell>
        </row>
        <row r="4743">
          <cell r="A4743" t="str">
            <v>37661200402</v>
          </cell>
          <cell r="B4743">
            <v>37661</v>
          </cell>
          <cell r="C4743" t="str">
            <v>NG</v>
          </cell>
          <cell r="D4743" t="str">
            <v>200402</v>
          </cell>
          <cell r="E4743">
            <v>5.2279999999999998</v>
          </cell>
        </row>
        <row r="4744">
          <cell r="A4744" t="str">
            <v>37661200403</v>
          </cell>
          <cell r="B4744">
            <v>37661</v>
          </cell>
          <cell r="C4744" t="str">
            <v>NG</v>
          </cell>
          <cell r="D4744" t="str">
            <v>200403</v>
          </cell>
          <cell r="E4744">
            <v>4.9880000000000004</v>
          </cell>
        </row>
        <row r="4745">
          <cell r="A4745" t="str">
            <v>37661200404</v>
          </cell>
          <cell r="B4745">
            <v>37661</v>
          </cell>
          <cell r="C4745" t="str">
            <v>NG</v>
          </cell>
          <cell r="D4745" t="str">
            <v>200404</v>
          </cell>
          <cell r="E4745">
            <v>4.5179999999999998</v>
          </cell>
        </row>
        <row r="4746">
          <cell r="A4746" t="str">
            <v>37661200405</v>
          </cell>
          <cell r="B4746">
            <v>37661</v>
          </cell>
          <cell r="C4746" t="str">
            <v>NG</v>
          </cell>
          <cell r="D4746" t="str">
            <v>200405</v>
          </cell>
          <cell r="E4746">
            <v>4.3280000000000003</v>
          </cell>
        </row>
        <row r="4747">
          <cell r="A4747" t="str">
            <v>37661200406</v>
          </cell>
          <cell r="B4747">
            <v>37661</v>
          </cell>
          <cell r="C4747" t="str">
            <v>NG</v>
          </cell>
          <cell r="D4747" t="str">
            <v>200406</v>
          </cell>
          <cell r="E4747">
            <v>4.2779999999999996</v>
          </cell>
        </row>
        <row r="4748">
          <cell r="A4748" t="str">
            <v>37661200407</v>
          </cell>
          <cell r="B4748">
            <v>37661</v>
          </cell>
          <cell r="C4748" t="str">
            <v>NG</v>
          </cell>
          <cell r="D4748" t="str">
            <v>200407</v>
          </cell>
          <cell r="E4748">
            <v>4.2729999999999997</v>
          </cell>
        </row>
        <row r="4749">
          <cell r="A4749" t="str">
            <v>37661200408</v>
          </cell>
          <cell r="B4749">
            <v>37661</v>
          </cell>
          <cell r="C4749" t="str">
            <v>NG</v>
          </cell>
          <cell r="D4749" t="str">
            <v>200408</v>
          </cell>
          <cell r="E4749">
            <v>4.2679999999999998</v>
          </cell>
        </row>
        <row r="4750">
          <cell r="A4750" t="str">
            <v>37661200409</v>
          </cell>
          <cell r="B4750">
            <v>37661</v>
          </cell>
          <cell r="C4750" t="str">
            <v>NG</v>
          </cell>
          <cell r="D4750" t="str">
            <v>200409</v>
          </cell>
          <cell r="E4750">
            <v>4.2329999999999997</v>
          </cell>
        </row>
        <row r="4751">
          <cell r="A4751" t="str">
            <v>37661200410</v>
          </cell>
          <cell r="B4751">
            <v>37661</v>
          </cell>
          <cell r="C4751" t="str">
            <v>NG</v>
          </cell>
          <cell r="D4751" t="str">
            <v>200410</v>
          </cell>
          <cell r="E4751">
            <v>4.2430000000000003</v>
          </cell>
        </row>
        <row r="4752">
          <cell r="A4752" t="str">
            <v>37661200411</v>
          </cell>
          <cell r="B4752">
            <v>37661</v>
          </cell>
          <cell r="C4752" t="str">
            <v>NG</v>
          </cell>
          <cell r="D4752" t="str">
            <v>200411</v>
          </cell>
          <cell r="E4752">
            <v>4.4279999999999999</v>
          </cell>
        </row>
        <row r="4753">
          <cell r="A4753" t="str">
            <v>37661200412</v>
          </cell>
          <cell r="B4753">
            <v>37661</v>
          </cell>
          <cell r="C4753" t="str">
            <v>NG</v>
          </cell>
          <cell r="D4753" t="str">
            <v>200412</v>
          </cell>
          <cell r="E4753">
            <v>4.6029999999999998</v>
          </cell>
        </row>
        <row r="4754">
          <cell r="A4754" t="str">
            <v>37662200401</v>
          </cell>
          <cell r="B4754">
            <v>37662</v>
          </cell>
          <cell r="C4754" t="str">
            <v>NG</v>
          </cell>
          <cell r="D4754" t="str">
            <v>200401</v>
          </cell>
          <cell r="E4754">
            <v>5.3570000000000002</v>
          </cell>
        </row>
        <row r="4755">
          <cell r="A4755" t="str">
            <v>37662200402</v>
          </cell>
          <cell r="B4755">
            <v>37662</v>
          </cell>
          <cell r="C4755" t="str">
            <v>NG</v>
          </cell>
          <cell r="D4755" t="str">
            <v>200402</v>
          </cell>
          <cell r="E4755">
            <v>5.2249999999999996</v>
          </cell>
        </row>
        <row r="4756">
          <cell r="A4756" t="str">
            <v>37662200403</v>
          </cell>
          <cell r="B4756">
            <v>37662</v>
          </cell>
          <cell r="C4756" t="str">
            <v>NG</v>
          </cell>
          <cell r="D4756" t="str">
            <v>200403</v>
          </cell>
          <cell r="E4756">
            <v>4.9950000000000001</v>
          </cell>
        </row>
        <row r="4757">
          <cell r="A4757" t="str">
            <v>37662200404</v>
          </cell>
          <cell r="B4757">
            <v>37662</v>
          </cell>
          <cell r="C4757" t="str">
            <v>NG</v>
          </cell>
          <cell r="D4757" t="str">
            <v>200404</v>
          </cell>
          <cell r="E4757">
            <v>4.5250000000000004</v>
          </cell>
        </row>
        <row r="4758">
          <cell r="A4758" t="str">
            <v>37662200405</v>
          </cell>
          <cell r="B4758">
            <v>37662</v>
          </cell>
          <cell r="C4758" t="str">
            <v>NG</v>
          </cell>
          <cell r="D4758" t="str">
            <v>200405</v>
          </cell>
          <cell r="E4758">
            <v>4.3449999999999998</v>
          </cell>
        </row>
        <row r="4759">
          <cell r="A4759" t="str">
            <v>37662200406</v>
          </cell>
          <cell r="B4759">
            <v>37662</v>
          </cell>
          <cell r="C4759" t="str">
            <v>NG</v>
          </cell>
          <cell r="D4759" t="str">
            <v>200406</v>
          </cell>
          <cell r="E4759">
            <v>4.2949999999999999</v>
          </cell>
        </row>
        <row r="4760">
          <cell r="A4760" t="str">
            <v>37662200407</v>
          </cell>
          <cell r="B4760">
            <v>37662</v>
          </cell>
          <cell r="C4760" t="str">
            <v>NG</v>
          </cell>
          <cell r="D4760" t="str">
            <v>200407</v>
          </cell>
          <cell r="E4760">
            <v>4.29</v>
          </cell>
        </row>
        <row r="4761">
          <cell r="A4761" t="str">
            <v>37662200408</v>
          </cell>
          <cell r="B4761">
            <v>37662</v>
          </cell>
          <cell r="C4761" t="str">
            <v>NG</v>
          </cell>
          <cell r="D4761" t="str">
            <v>200408</v>
          </cell>
          <cell r="E4761">
            <v>4.2850000000000001</v>
          </cell>
        </row>
        <row r="4762">
          <cell r="A4762" t="str">
            <v>37662200409</v>
          </cell>
          <cell r="B4762">
            <v>37662</v>
          </cell>
          <cell r="C4762" t="str">
            <v>NG</v>
          </cell>
          <cell r="D4762" t="str">
            <v>200409</v>
          </cell>
          <cell r="E4762">
            <v>4.2530000000000001</v>
          </cell>
        </row>
        <row r="4763">
          <cell r="A4763" t="str">
            <v>37662200410</v>
          </cell>
          <cell r="B4763">
            <v>37662</v>
          </cell>
          <cell r="C4763" t="str">
            <v>NG</v>
          </cell>
          <cell r="D4763" t="str">
            <v>200410</v>
          </cell>
          <cell r="E4763">
            <v>4.2649999999999997</v>
          </cell>
        </row>
        <row r="4764">
          <cell r="A4764" t="str">
            <v>37662200411</v>
          </cell>
          <cell r="B4764">
            <v>37662</v>
          </cell>
          <cell r="C4764" t="str">
            <v>NG</v>
          </cell>
          <cell r="D4764" t="str">
            <v>200411</v>
          </cell>
          <cell r="E4764">
            <v>4.4400000000000004</v>
          </cell>
        </row>
        <row r="4765">
          <cell r="A4765" t="str">
            <v>37662200412</v>
          </cell>
          <cell r="B4765">
            <v>37662</v>
          </cell>
          <cell r="C4765" t="str">
            <v>NG</v>
          </cell>
          <cell r="D4765" t="str">
            <v>200412</v>
          </cell>
          <cell r="E4765">
            <v>4.625</v>
          </cell>
        </row>
        <row r="4766">
          <cell r="A4766" t="str">
            <v>37663200401</v>
          </cell>
          <cell r="B4766">
            <v>37663</v>
          </cell>
          <cell r="C4766" t="str">
            <v>NG</v>
          </cell>
          <cell r="D4766" t="str">
            <v>200401</v>
          </cell>
          <cell r="E4766">
            <v>5.4420000000000002</v>
          </cell>
        </row>
        <row r="4767">
          <cell r="A4767" t="str">
            <v>37663200402</v>
          </cell>
          <cell r="B4767">
            <v>37663</v>
          </cell>
          <cell r="C4767" t="str">
            <v>NG</v>
          </cell>
          <cell r="D4767" t="str">
            <v>200402</v>
          </cell>
          <cell r="E4767">
            <v>5.3019999999999996</v>
          </cell>
        </row>
        <row r="4768">
          <cell r="A4768" t="str">
            <v>37663200403</v>
          </cell>
          <cell r="B4768">
            <v>37663</v>
          </cell>
          <cell r="C4768" t="str">
            <v>NG</v>
          </cell>
          <cell r="D4768" t="str">
            <v>200403</v>
          </cell>
          <cell r="E4768">
            <v>5.0670000000000002</v>
          </cell>
        </row>
        <row r="4769">
          <cell r="A4769" t="str">
            <v>37663200404</v>
          </cell>
          <cell r="B4769">
            <v>37663</v>
          </cell>
          <cell r="C4769" t="str">
            <v>NG</v>
          </cell>
          <cell r="D4769" t="str">
            <v>200404</v>
          </cell>
          <cell r="E4769">
            <v>4.5570000000000004</v>
          </cell>
        </row>
        <row r="4770">
          <cell r="A4770" t="str">
            <v>37663200405</v>
          </cell>
          <cell r="B4770">
            <v>37663</v>
          </cell>
          <cell r="C4770" t="str">
            <v>NG</v>
          </cell>
          <cell r="D4770" t="str">
            <v>200405</v>
          </cell>
          <cell r="E4770">
            <v>4.367</v>
          </cell>
        </row>
        <row r="4771">
          <cell r="A4771" t="str">
            <v>37663200406</v>
          </cell>
          <cell r="B4771">
            <v>37663</v>
          </cell>
          <cell r="C4771" t="str">
            <v>NG</v>
          </cell>
          <cell r="D4771" t="str">
            <v>200406</v>
          </cell>
          <cell r="E4771">
            <v>4.3170000000000002</v>
          </cell>
        </row>
        <row r="4772">
          <cell r="A4772" t="str">
            <v>37663200407</v>
          </cell>
          <cell r="B4772">
            <v>37663</v>
          </cell>
          <cell r="C4772" t="str">
            <v>NG</v>
          </cell>
          <cell r="D4772" t="str">
            <v>200407</v>
          </cell>
          <cell r="E4772">
            <v>4.3120000000000003</v>
          </cell>
        </row>
        <row r="4773">
          <cell r="A4773" t="str">
            <v>37663200408</v>
          </cell>
          <cell r="B4773">
            <v>37663</v>
          </cell>
          <cell r="C4773" t="str">
            <v>NG</v>
          </cell>
          <cell r="D4773" t="str">
            <v>200408</v>
          </cell>
          <cell r="E4773">
            <v>4.3070000000000004</v>
          </cell>
        </row>
        <row r="4774">
          <cell r="A4774" t="str">
            <v>37663200409</v>
          </cell>
          <cell r="B4774">
            <v>37663</v>
          </cell>
          <cell r="C4774" t="str">
            <v>NG</v>
          </cell>
          <cell r="D4774" t="str">
            <v>200409</v>
          </cell>
          <cell r="E4774">
            <v>4.2770000000000001</v>
          </cell>
        </row>
        <row r="4775">
          <cell r="A4775" t="str">
            <v>37663200410</v>
          </cell>
          <cell r="B4775">
            <v>37663</v>
          </cell>
          <cell r="C4775" t="str">
            <v>NG</v>
          </cell>
          <cell r="D4775" t="str">
            <v>200410</v>
          </cell>
          <cell r="E4775">
            <v>4.2919999999999998</v>
          </cell>
        </row>
        <row r="4776">
          <cell r="A4776" t="str">
            <v>37663200411</v>
          </cell>
          <cell r="B4776">
            <v>37663</v>
          </cell>
          <cell r="C4776" t="str">
            <v>NG</v>
          </cell>
          <cell r="D4776" t="str">
            <v>200411</v>
          </cell>
          <cell r="E4776">
            <v>4.4669999999999996</v>
          </cell>
        </row>
        <row r="4777">
          <cell r="A4777" t="str">
            <v>37663200412</v>
          </cell>
          <cell r="B4777">
            <v>37663</v>
          </cell>
          <cell r="C4777" t="str">
            <v>NG</v>
          </cell>
          <cell r="D4777" t="str">
            <v>200412</v>
          </cell>
          <cell r="E4777">
            <v>4.6619999999999999</v>
          </cell>
        </row>
        <row r="4778">
          <cell r="A4778" t="str">
            <v>37664200401</v>
          </cell>
          <cell r="B4778">
            <v>37664</v>
          </cell>
          <cell r="C4778" t="str">
            <v>NG</v>
          </cell>
          <cell r="D4778" t="str">
            <v>200401</v>
          </cell>
          <cell r="E4778">
            <v>5.4470000000000001</v>
          </cell>
        </row>
        <row r="4779">
          <cell r="A4779" t="str">
            <v>37664200402</v>
          </cell>
          <cell r="B4779">
            <v>37664</v>
          </cell>
          <cell r="C4779" t="str">
            <v>NG</v>
          </cell>
          <cell r="D4779" t="str">
            <v>200402</v>
          </cell>
          <cell r="E4779">
            <v>5.3120000000000003</v>
          </cell>
        </row>
        <row r="4780">
          <cell r="A4780" t="str">
            <v>37664200403</v>
          </cell>
          <cell r="B4780">
            <v>37664</v>
          </cell>
          <cell r="C4780" t="str">
            <v>NG</v>
          </cell>
          <cell r="D4780" t="str">
            <v>200403</v>
          </cell>
          <cell r="E4780">
            <v>5.0819999999999999</v>
          </cell>
        </row>
        <row r="4781">
          <cell r="A4781" t="str">
            <v>37664200404</v>
          </cell>
          <cell r="B4781">
            <v>37664</v>
          </cell>
          <cell r="C4781" t="str">
            <v>NG</v>
          </cell>
          <cell r="D4781" t="str">
            <v>200404</v>
          </cell>
          <cell r="E4781">
            <v>4.5720000000000001</v>
          </cell>
        </row>
        <row r="4782">
          <cell r="A4782" t="str">
            <v>37664200405</v>
          </cell>
          <cell r="B4782">
            <v>37664</v>
          </cell>
          <cell r="C4782" t="str">
            <v>NG</v>
          </cell>
          <cell r="D4782" t="str">
            <v>200405</v>
          </cell>
          <cell r="E4782">
            <v>4.3819999999999997</v>
          </cell>
        </row>
        <row r="4783">
          <cell r="A4783" t="str">
            <v>37664200406</v>
          </cell>
          <cell r="B4783">
            <v>37664</v>
          </cell>
          <cell r="C4783" t="str">
            <v>NG</v>
          </cell>
          <cell r="D4783" t="str">
            <v>200406</v>
          </cell>
          <cell r="E4783">
            <v>4.3319999999999999</v>
          </cell>
        </row>
        <row r="4784">
          <cell r="A4784" t="str">
            <v>37664200407</v>
          </cell>
          <cell r="B4784">
            <v>37664</v>
          </cell>
          <cell r="C4784" t="str">
            <v>NG</v>
          </cell>
          <cell r="D4784" t="str">
            <v>200407</v>
          </cell>
          <cell r="E4784">
            <v>4.3220000000000001</v>
          </cell>
        </row>
        <row r="4785">
          <cell r="A4785" t="str">
            <v>37664200408</v>
          </cell>
          <cell r="B4785">
            <v>37664</v>
          </cell>
          <cell r="C4785" t="str">
            <v>NG</v>
          </cell>
          <cell r="D4785" t="str">
            <v>200408</v>
          </cell>
          <cell r="E4785">
            <v>4.3170000000000002</v>
          </cell>
        </row>
        <row r="4786">
          <cell r="A4786" t="str">
            <v>37664200409</v>
          </cell>
          <cell r="B4786">
            <v>37664</v>
          </cell>
          <cell r="C4786" t="str">
            <v>NG</v>
          </cell>
          <cell r="D4786" t="str">
            <v>200409</v>
          </cell>
          <cell r="E4786">
            <v>4.2919999999999998</v>
          </cell>
        </row>
        <row r="4787">
          <cell r="A4787" t="str">
            <v>37664200410</v>
          </cell>
          <cell r="B4787">
            <v>37664</v>
          </cell>
          <cell r="C4787" t="str">
            <v>NG</v>
          </cell>
          <cell r="D4787" t="str">
            <v>200410</v>
          </cell>
          <cell r="E4787">
            <v>4.3079999999999998</v>
          </cell>
        </row>
        <row r="4788">
          <cell r="A4788" t="str">
            <v>37664200411</v>
          </cell>
          <cell r="B4788">
            <v>37664</v>
          </cell>
          <cell r="C4788" t="str">
            <v>NG</v>
          </cell>
          <cell r="D4788" t="str">
            <v>200411</v>
          </cell>
          <cell r="E4788">
            <v>4.4829999999999997</v>
          </cell>
        </row>
        <row r="4789">
          <cell r="A4789" t="str">
            <v>37664200412</v>
          </cell>
          <cell r="B4789">
            <v>37664</v>
          </cell>
          <cell r="C4789" t="str">
            <v>NG</v>
          </cell>
          <cell r="D4789" t="str">
            <v>200412</v>
          </cell>
          <cell r="E4789">
            <v>4.6680000000000001</v>
          </cell>
        </row>
        <row r="4790">
          <cell r="A4790" t="str">
            <v>37665200401</v>
          </cell>
          <cell r="B4790">
            <v>37665</v>
          </cell>
          <cell r="C4790" t="str">
            <v>NG</v>
          </cell>
          <cell r="D4790" t="str">
            <v>200401</v>
          </cell>
          <cell r="E4790">
            <v>5.53</v>
          </cell>
        </row>
        <row r="4791">
          <cell r="A4791" t="str">
            <v>37665200402</v>
          </cell>
          <cell r="B4791">
            <v>37665</v>
          </cell>
          <cell r="C4791" t="str">
            <v>NG</v>
          </cell>
          <cell r="D4791" t="str">
            <v>200402</v>
          </cell>
          <cell r="E4791">
            <v>5.39</v>
          </cell>
        </row>
        <row r="4792">
          <cell r="A4792" t="str">
            <v>37665200403</v>
          </cell>
          <cell r="B4792">
            <v>37665</v>
          </cell>
          <cell r="C4792" t="str">
            <v>NG</v>
          </cell>
          <cell r="D4792" t="str">
            <v>200403</v>
          </cell>
          <cell r="E4792">
            <v>5.1550000000000002</v>
          </cell>
        </row>
        <row r="4793">
          <cell r="A4793" t="str">
            <v>37665200404</v>
          </cell>
          <cell r="B4793">
            <v>37665</v>
          </cell>
          <cell r="C4793" t="str">
            <v>NG</v>
          </cell>
          <cell r="D4793" t="str">
            <v>200404</v>
          </cell>
          <cell r="E4793">
            <v>4.625</v>
          </cell>
        </row>
        <row r="4794">
          <cell r="A4794" t="str">
            <v>37665200405</v>
          </cell>
          <cell r="B4794">
            <v>37665</v>
          </cell>
          <cell r="C4794" t="str">
            <v>NG</v>
          </cell>
          <cell r="D4794" t="str">
            <v>200405</v>
          </cell>
          <cell r="E4794">
            <v>4.43</v>
          </cell>
        </row>
        <row r="4795">
          <cell r="A4795" t="str">
            <v>37665200406</v>
          </cell>
          <cell r="B4795">
            <v>37665</v>
          </cell>
          <cell r="C4795" t="str">
            <v>NG</v>
          </cell>
          <cell r="D4795" t="str">
            <v>200406</v>
          </cell>
          <cell r="E4795">
            <v>4.37</v>
          </cell>
        </row>
        <row r="4796">
          <cell r="A4796" t="str">
            <v>37665200407</v>
          </cell>
          <cell r="B4796">
            <v>37665</v>
          </cell>
          <cell r="C4796" t="str">
            <v>NG</v>
          </cell>
          <cell r="D4796" t="str">
            <v>200407</v>
          </cell>
          <cell r="E4796">
            <v>4.3550000000000004</v>
          </cell>
        </row>
        <row r="4797">
          <cell r="A4797" t="str">
            <v>37665200408</v>
          </cell>
          <cell r="B4797">
            <v>37665</v>
          </cell>
          <cell r="C4797" t="str">
            <v>NG</v>
          </cell>
          <cell r="D4797" t="str">
            <v>200408</v>
          </cell>
          <cell r="E4797">
            <v>4.3499999999999996</v>
          </cell>
        </row>
        <row r="4798">
          <cell r="A4798" t="str">
            <v>37665200409</v>
          </cell>
          <cell r="B4798">
            <v>37665</v>
          </cell>
          <cell r="C4798" t="str">
            <v>NG</v>
          </cell>
          <cell r="D4798" t="str">
            <v>200409</v>
          </cell>
          <cell r="E4798">
            <v>4.335</v>
          </cell>
        </row>
        <row r="4799">
          <cell r="A4799" t="str">
            <v>37665200410</v>
          </cell>
          <cell r="B4799">
            <v>37665</v>
          </cell>
          <cell r="C4799" t="str">
            <v>NG</v>
          </cell>
          <cell r="D4799" t="str">
            <v>200410</v>
          </cell>
          <cell r="E4799">
            <v>4.3550000000000004</v>
          </cell>
        </row>
        <row r="4800">
          <cell r="A4800" t="str">
            <v>37665200411</v>
          </cell>
          <cell r="B4800">
            <v>37665</v>
          </cell>
          <cell r="C4800" t="str">
            <v>NG</v>
          </cell>
          <cell r="D4800" t="str">
            <v>200411</v>
          </cell>
          <cell r="E4800">
            <v>4.5449999999999999</v>
          </cell>
        </row>
        <row r="4801">
          <cell r="A4801" t="str">
            <v>37665200412</v>
          </cell>
          <cell r="B4801">
            <v>37665</v>
          </cell>
          <cell r="C4801" t="str">
            <v>NG</v>
          </cell>
          <cell r="D4801" t="str">
            <v>200412</v>
          </cell>
          <cell r="E4801">
            <v>4.7249999999999996</v>
          </cell>
        </row>
        <row r="4802">
          <cell r="A4802" t="str">
            <v>37666200401</v>
          </cell>
          <cell r="B4802">
            <v>37666</v>
          </cell>
          <cell r="C4802" t="str">
            <v>NG</v>
          </cell>
          <cell r="D4802" t="str">
            <v>200401</v>
          </cell>
          <cell r="E4802">
            <v>5.6390000000000002</v>
          </cell>
        </row>
        <row r="4803">
          <cell r="A4803" t="str">
            <v>37666200402</v>
          </cell>
          <cell r="B4803">
            <v>37666</v>
          </cell>
          <cell r="C4803" t="str">
            <v>NG</v>
          </cell>
          <cell r="D4803" t="str">
            <v>200402</v>
          </cell>
          <cell r="E4803">
            <v>5.4969999999999999</v>
          </cell>
        </row>
        <row r="4804">
          <cell r="A4804" t="str">
            <v>37666200403</v>
          </cell>
          <cell r="B4804">
            <v>37666</v>
          </cell>
          <cell r="C4804" t="str">
            <v>NG</v>
          </cell>
          <cell r="D4804" t="str">
            <v>200403</v>
          </cell>
          <cell r="E4804">
            <v>5.2619999999999996</v>
          </cell>
        </row>
        <row r="4805">
          <cell r="A4805" t="str">
            <v>37666200404</v>
          </cell>
          <cell r="B4805">
            <v>37666</v>
          </cell>
          <cell r="C4805" t="str">
            <v>NG</v>
          </cell>
          <cell r="D4805" t="str">
            <v>200404</v>
          </cell>
          <cell r="E4805">
            <v>4.702</v>
          </cell>
        </row>
        <row r="4806">
          <cell r="A4806" t="str">
            <v>37666200405</v>
          </cell>
          <cell r="B4806">
            <v>37666</v>
          </cell>
          <cell r="C4806" t="str">
            <v>NG</v>
          </cell>
          <cell r="D4806" t="str">
            <v>200405</v>
          </cell>
          <cell r="E4806">
            <v>4.5019999999999998</v>
          </cell>
        </row>
        <row r="4807">
          <cell r="A4807" t="str">
            <v>37666200406</v>
          </cell>
          <cell r="B4807">
            <v>37666</v>
          </cell>
          <cell r="C4807" t="str">
            <v>NG</v>
          </cell>
          <cell r="D4807" t="str">
            <v>200406</v>
          </cell>
          <cell r="E4807">
            <v>4.4370000000000003</v>
          </cell>
        </row>
        <row r="4808">
          <cell r="A4808" t="str">
            <v>37666200407</v>
          </cell>
          <cell r="B4808">
            <v>37666</v>
          </cell>
          <cell r="C4808" t="str">
            <v>NG</v>
          </cell>
          <cell r="D4808" t="str">
            <v>200407</v>
          </cell>
          <cell r="E4808">
            <v>4.4219999999999997</v>
          </cell>
        </row>
        <row r="4809">
          <cell r="A4809" t="str">
            <v>37666200408</v>
          </cell>
          <cell r="B4809">
            <v>37666</v>
          </cell>
          <cell r="C4809" t="str">
            <v>NG</v>
          </cell>
          <cell r="D4809" t="str">
            <v>200408</v>
          </cell>
          <cell r="E4809">
            <v>4.4169999999999998</v>
          </cell>
        </row>
        <row r="4810">
          <cell r="A4810" t="str">
            <v>37666200409</v>
          </cell>
          <cell r="B4810">
            <v>37666</v>
          </cell>
          <cell r="C4810" t="str">
            <v>NG</v>
          </cell>
          <cell r="D4810" t="str">
            <v>200409</v>
          </cell>
          <cell r="E4810">
            <v>4.407</v>
          </cell>
        </row>
        <row r="4811">
          <cell r="A4811" t="str">
            <v>37666200410</v>
          </cell>
          <cell r="B4811">
            <v>37666</v>
          </cell>
          <cell r="C4811" t="str">
            <v>NG</v>
          </cell>
          <cell r="D4811" t="str">
            <v>200410</v>
          </cell>
          <cell r="E4811">
            <v>4.4320000000000004</v>
          </cell>
        </row>
        <row r="4812">
          <cell r="A4812" t="str">
            <v>37666200411</v>
          </cell>
          <cell r="B4812">
            <v>37666</v>
          </cell>
          <cell r="C4812" t="str">
            <v>NG</v>
          </cell>
          <cell r="D4812" t="str">
            <v>200411</v>
          </cell>
          <cell r="E4812">
            <v>4.6219999999999999</v>
          </cell>
        </row>
        <row r="4813">
          <cell r="A4813" t="str">
            <v>37666200412</v>
          </cell>
          <cell r="B4813">
            <v>37666</v>
          </cell>
          <cell r="C4813" t="str">
            <v>NG</v>
          </cell>
          <cell r="D4813" t="str">
            <v>200412</v>
          </cell>
          <cell r="E4813">
            <v>4.8019999999999996</v>
          </cell>
        </row>
        <row r="4814">
          <cell r="A4814" t="str">
            <v>37667200401</v>
          </cell>
          <cell r="B4814">
            <v>37667</v>
          </cell>
          <cell r="C4814" t="str">
            <v>NG</v>
          </cell>
          <cell r="D4814" t="str">
            <v>200401</v>
          </cell>
          <cell r="E4814">
            <v>5.6390000000000002</v>
          </cell>
        </row>
        <row r="4815">
          <cell r="A4815" t="str">
            <v>37667200402</v>
          </cell>
          <cell r="B4815">
            <v>37667</v>
          </cell>
          <cell r="C4815" t="str">
            <v>NG</v>
          </cell>
          <cell r="D4815" t="str">
            <v>200402</v>
          </cell>
          <cell r="E4815">
            <v>5.4969999999999999</v>
          </cell>
        </row>
        <row r="4816">
          <cell r="A4816" t="str">
            <v>37667200403</v>
          </cell>
          <cell r="B4816">
            <v>37667</v>
          </cell>
          <cell r="C4816" t="str">
            <v>NG</v>
          </cell>
          <cell r="D4816" t="str">
            <v>200403</v>
          </cell>
          <cell r="E4816">
            <v>5.2619999999999996</v>
          </cell>
        </row>
        <row r="4817">
          <cell r="A4817" t="str">
            <v>37667200404</v>
          </cell>
          <cell r="B4817">
            <v>37667</v>
          </cell>
          <cell r="C4817" t="str">
            <v>NG</v>
          </cell>
          <cell r="D4817" t="str">
            <v>200404</v>
          </cell>
          <cell r="E4817">
            <v>4.702</v>
          </cell>
        </row>
        <row r="4818">
          <cell r="A4818" t="str">
            <v>37667200405</v>
          </cell>
          <cell r="B4818">
            <v>37667</v>
          </cell>
          <cell r="C4818" t="str">
            <v>NG</v>
          </cell>
          <cell r="D4818" t="str">
            <v>200405</v>
          </cell>
          <cell r="E4818">
            <v>4.5019999999999998</v>
          </cell>
        </row>
        <row r="4819">
          <cell r="A4819" t="str">
            <v>37667200406</v>
          </cell>
          <cell r="B4819">
            <v>37667</v>
          </cell>
          <cell r="C4819" t="str">
            <v>NG</v>
          </cell>
          <cell r="D4819" t="str">
            <v>200406</v>
          </cell>
          <cell r="E4819">
            <v>4.4370000000000003</v>
          </cell>
        </row>
        <row r="4820">
          <cell r="A4820" t="str">
            <v>37667200407</v>
          </cell>
          <cell r="B4820">
            <v>37667</v>
          </cell>
          <cell r="C4820" t="str">
            <v>NG</v>
          </cell>
          <cell r="D4820" t="str">
            <v>200407</v>
          </cell>
          <cell r="E4820">
            <v>4.4219999999999997</v>
          </cell>
        </row>
        <row r="4821">
          <cell r="A4821" t="str">
            <v>37667200408</v>
          </cell>
          <cell r="B4821">
            <v>37667</v>
          </cell>
          <cell r="C4821" t="str">
            <v>NG</v>
          </cell>
          <cell r="D4821" t="str">
            <v>200408</v>
          </cell>
          <cell r="E4821">
            <v>4.4169999999999998</v>
          </cell>
        </row>
        <row r="4822">
          <cell r="A4822" t="str">
            <v>37667200409</v>
          </cell>
          <cell r="B4822">
            <v>37667</v>
          </cell>
          <cell r="C4822" t="str">
            <v>NG</v>
          </cell>
          <cell r="D4822" t="str">
            <v>200409</v>
          </cell>
          <cell r="E4822">
            <v>4.407</v>
          </cell>
        </row>
        <row r="4823">
          <cell r="A4823" t="str">
            <v>37667200410</v>
          </cell>
          <cell r="B4823">
            <v>37667</v>
          </cell>
          <cell r="C4823" t="str">
            <v>NG</v>
          </cell>
          <cell r="D4823" t="str">
            <v>200410</v>
          </cell>
          <cell r="E4823">
            <v>4.4320000000000004</v>
          </cell>
        </row>
        <row r="4824">
          <cell r="A4824" t="str">
            <v>37667200411</v>
          </cell>
          <cell r="B4824">
            <v>37667</v>
          </cell>
          <cell r="C4824" t="str">
            <v>NG</v>
          </cell>
          <cell r="D4824" t="str">
            <v>200411</v>
          </cell>
          <cell r="E4824">
            <v>4.6219999999999999</v>
          </cell>
        </row>
        <row r="4825">
          <cell r="A4825" t="str">
            <v>37667200412</v>
          </cell>
          <cell r="B4825">
            <v>37667</v>
          </cell>
          <cell r="C4825" t="str">
            <v>NG</v>
          </cell>
          <cell r="D4825" t="str">
            <v>200412</v>
          </cell>
          <cell r="E4825">
            <v>4.8019999999999996</v>
          </cell>
        </row>
        <row r="4826">
          <cell r="A4826" t="str">
            <v>37668200401</v>
          </cell>
          <cell r="B4826">
            <v>37668</v>
          </cell>
          <cell r="C4826" t="str">
            <v>NG</v>
          </cell>
          <cell r="D4826" t="str">
            <v>200401</v>
          </cell>
          <cell r="E4826">
            <v>5.6390000000000002</v>
          </cell>
        </row>
        <row r="4827">
          <cell r="A4827" t="str">
            <v>37668200402</v>
          </cell>
          <cell r="B4827">
            <v>37668</v>
          </cell>
          <cell r="C4827" t="str">
            <v>NG</v>
          </cell>
          <cell r="D4827" t="str">
            <v>200402</v>
          </cell>
          <cell r="E4827">
            <v>5.4969999999999999</v>
          </cell>
        </row>
        <row r="4828">
          <cell r="A4828" t="str">
            <v>37668200403</v>
          </cell>
          <cell r="B4828">
            <v>37668</v>
          </cell>
          <cell r="C4828" t="str">
            <v>NG</v>
          </cell>
          <cell r="D4828" t="str">
            <v>200403</v>
          </cell>
          <cell r="E4828">
            <v>5.2619999999999996</v>
          </cell>
        </row>
        <row r="4829">
          <cell r="A4829" t="str">
            <v>37668200404</v>
          </cell>
          <cell r="B4829">
            <v>37668</v>
          </cell>
          <cell r="C4829" t="str">
            <v>NG</v>
          </cell>
          <cell r="D4829" t="str">
            <v>200404</v>
          </cell>
          <cell r="E4829">
            <v>4.702</v>
          </cell>
        </row>
        <row r="4830">
          <cell r="A4830" t="str">
            <v>37668200405</v>
          </cell>
          <cell r="B4830">
            <v>37668</v>
          </cell>
          <cell r="C4830" t="str">
            <v>NG</v>
          </cell>
          <cell r="D4830" t="str">
            <v>200405</v>
          </cell>
          <cell r="E4830">
            <v>4.5019999999999998</v>
          </cell>
        </row>
        <row r="4831">
          <cell r="A4831" t="str">
            <v>37668200406</v>
          </cell>
          <cell r="B4831">
            <v>37668</v>
          </cell>
          <cell r="C4831" t="str">
            <v>NG</v>
          </cell>
          <cell r="D4831" t="str">
            <v>200406</v>
          </cell>
          <cell r="E4831">
            <v>4.4370000000000003</v>
          </cell>
        </row>
        <row r="4832">
          <cell r="A4832" t="str">
            <v>37668200407</v>
          </cell>
          <cell r="B4832">
            <v>37668</v>
          </cell>
          <cell r="C4832" t="str">
            <v>NG</v>
          </cell>
          <cell r="D4832" t="str">
            <v>200407</v>
          </cell>
          <cell r="E4832">
            <v>4.4219999999999997</v>
          </cell>
        </row>
        <row r="4833">
          <cell r="A4833" t="str">
            <v>37668200408</v>
          </cell>
          <cell r="B4833">
            <v>37668</v>
          </cell>
          <cell r="C4833" t="str">
            <v>NG</v>
          </cell>
          <cell r="D4833" t="str">
            <v>200408</v>
          </cell>
          <cell r="E4833">
            <v>4.4169999999999998</v>
          </cell>
        </row>
        <row r="4834">
          <cell r="A4834" t="str">
            <v>37668200409</v>
          </cell>
          <cell r="B4834">
            <v>37668</v>
          </cell>
          <cell r="C4834" t="str">
            <v>NG</v>
          </cell>
          <cell r="D4834" t="str">
            <v>200409</v>
          </cell>
          <cell r="E4834">
            <v>4.407</v>
          </cell>
        </row>
        <row r="4835">
          <cell r="A4835" t="str">
            <v>37668200410</v>
          </cell>
          <cell r="B4835">
            <v>37668</v>
          </cell>
          <cell r="C4835" t="str">
            <v>NG</v>
          </cell>
          <cell r="D4835" t="str">
            <v>200410</v>
          </cell>
          <cell r="E4835">
            <v>4.4320000000000004</v>
          </cell>
        </row>
        <row r="4836">
          <cell r="A4836" t="str">
            <v>37668200411</v>
          </cell>
          <cell r="B4836">
            <v>37668</v>
          </cell>
          <cell r="C4836" t="str">
            <v>NG</v>
          </cell>
          <cell r="D4836" t="str">
            <v>200411</v>
          </cell>
          <cell r="E4836">
            <v>4.6219999999999999</v>
          </cell>
        </row>
        <row r="4837">
          <cell r="A4837" t="str">
            <v>37668200412</v>
          </cell>
          <cell r="B4837">
            <v>37668</v>
          </cell>
          <cell r="C4837" t="str">
            <v>NG</v>
          </cell>
          <cell r="D4837" t="str">
            <v>200412</v>
          </cell>
          <cell r="E4837">
            <v>4.8019999999999996</v>
          </cell>
        </row>
        <row r="4838">
          <cell r="A4838" t="str">
            <v>37669200401</v>
          </cell>
          <cell r="B4838">
            <v>37669</v>
          </cell>
          <cell r="C4838" t="str">
            <v>NG</v>
          </cell>
          <cell r="D4838" t="str">
            <v>200401</v>
          </cell>
          <cell r="E4838">
            <v>5.6390000000000002</v>
          </cell>
        </row>
        <row r="4839">
          <cell r="A4839" t="str">
            <v>37669200402</v>
          </cell>
          <cell r="B4839">
            <v>37669</v>
          </cell>
          <cell r="C4839" t="str">
            <v>NG</v>
          </cell>
          <cell r="D4839" t="str">
            <v>200402</v>
          </cell>
          <cell r="E4839">
            <v>5.4969999999999999</v>
          </cell>
        </row>
        <row r="4840">
          <cell r="A4840" t="str">
            <v>37669200403</v>
          </cell>
          <cell r="B4840">
            <v>37669</v>
          </cell>
          <cell r="C4840" t="str">
            <v>NG</v>
          </cell>
          <cell r="D4840" t="str">
            <v>200403</v>
          </cell>
          <cell r="E4840">
            <v>5.2619999999999996</v>
          </cell>
        </row>
        <row r="4841">
          <cell r="A4841" t="str">
            <v>37669200404</v>
          </cell>
          <cell r="B4841">
            <v>37669</v>
          </cell>
          <cell r="C4841" t="str">
            <v>NG</v>
          </cell>
          <cell r="D4841" t="str">
            <v>200404</v>
          </cell>
          <cell r="E4841">
            <v>4.702</v>
          </cell>
        </row>
        <row r="4842">
          <cell r="A4842" t="str">
            <v>37669200405</v>
          </cell>
          <cell r="B4842">
            <v>37669</v>
          </cell>
          <cell r="C4842" t="str">
            <v>NG</v>
          </cell>
          <cell r="D4842" t="str">
            <v>200405</v>
          </cell>
          <cell r="E4842">
            <v>4.5019999999999998</v>
          </cell>
        </row>
        <row r="4843">
          <cell r="A4843" t="str">
            <v>37669200406</v>
          </cell>
          <cell r="B4843">
            <v>37669</v>
          </cell>
          <cell r="C4843" t="str">
            <v>NG</v>
          </cell>
          <cell r="D4843" t="str">
            <v>200406</v>
          </cell>
          <cell r="E4843">
            <v>4.4370000000000003</v>
          </cell>
        </row>
        <row r="4844">
          <cell r="A4844" t="str">
            <v>37669200407</v>
          </cell>
          <cell r="B4844">
            <v>37669</v>
          </cell>
          <cell r="C4844" t="str">
            <v>NG</v>
          </cell>
          <cell r="D4844" t="str">
            <v>200407</v>
          </cell>
          <cell r="E4844">
            <v>4.4219999999999997</v>
          </cell>
        </row>
        <row r="4845">
          <cell r="A4845" t="str">
            <v>37669200408</v>
          </cell>
          <cell r="B4845">
            <v>37669</v>
          </cell>
          <cell r="C4845" t="str">
            <v>NG</v>
          </cell>
          <cell r="D4845" t="str">
            <v>200408</v>
          </cell>
          <cell r="E4845">
            <v>4.4169999999999998</v>
          </cell>
        </row>
        <row r="4846">
          <cell r="A4846" t="str">
            <v>37669200409</v>
          </cell>
          <cell r="B4846">
            <v>37669</v>
          </cell>
          <cell r="C4846" t="str">
            <v>NG</v>
          </cell>
          <cell r="D4846" t="str">
            <v>200409</v>
          </cell>
          <cell r="E4846">
            <v>4.407</v>
          </cell>
        </row>
        <row r="4847">
          <cell r="A4847" t="str">
            <v>37669200410</v>
          </cell>
          <cell r="B4847">
            <v>37669</v>
          </cell>
          <cell r="C4847" t="str">
            <v>NG</v>
          </cell>
          <cell r="D4847" t="str">
            <v>200410</v>
          </cell>
          <cell r="E4847">
            <v>4.4320000000000004</v>
          </cell>
        </row>
        <row r="4848">
          <cell r="A4848" t="str">
            <v>37669200411</v>
          </cell>
          <cell r="B4848">
            <v>37669</v>
          </cell>
          <cell r="C4848" t="str">
            <v>NG</v>
          </cell>
          <cell r="D4848" t="str">
            <v>200411</v>
          </cell>
          <cell r="E4848">
            <v>4.6219999999999999</v>
          </cell>
        </row>
        <row r="4849">
          <cell r="A4849" t="str">
            <v>37669200412</v>
          </cell>
          <cell r="B4849">
            <v>37669</v>
          </cell>
          <cell r="C4849" t="str">
            <v>NG</v>
          </cell>
          <cell r="D4849" t="str">
            <v>200412</v>
          </cell>
          <cell r="E4849">
            <v>4.8019999999999996</v>
          </cell>
        </row>
        <row r="4850">
          <cell r="A4850" t="str">
            <v>37670200401</v>
          </cell>
          <cell r="B4850">
            <v>37670</v>
          </cell>
          <cell r="C4850" t="str">
            <v>NG</v>
          </cell>
          <cell r="D4850" t="str">
            <v>200401</v>
          </cell>
          <cell r="E4850">
            <v>5.7149999999999999</v>
          </cell>
        </row>
        <row r="4851">
          <cell r="A4851" t="str">
            <v>37670200402</v>
          </cell>
          <cell r="B4851">
            <v>37670</v>
          </cell>
          <cell r="C4851" t="str">
            <v>NG</v>
          </cell>
          <cell r="D4851" t="str">
            <v>200402</v>
          </cell>
          <cell r="E4851">
            <v>5.5730000000000004</v>
          </cell>
        </row>
        <row r="4852">
          <cell r="A4852" t="str">
            <v>37670200403</v>
          </cell>
          <cell r="B4852">
            <v>37670</v>
          </cell>
          <cell r="C4852" t="str">
            <v>NG</v>
          </cell>
          <cell r="D4852" t="str">
            <v>200403</v>
          </cell>
          <cell r="E4852">
            <v>5.3230000000000004</v>
          </cell>
        </row>
        <row r="4853">
          <cell r="A4853" t="str">
            <v>37670200404</v>
          </cell>
          <cell r="B4853">
            <v>37670</v>
          </cell>
          <cell r="C4853" t="str">
            <v>NG</v>
          </cell>
          <cell r="D4853" t="str">
            <v>200404</v>
          </cell>
          <cell r="E4853">
            <v>4.7430000000000003</v>
          </cell>
        </row>
        <row r="4854">
          <cell r="A4854" t="str">
            <v>37670200405</v>
          </cell>
          <cell r="B4854">
            <v>37670</v>
          </cell>
          <cell r="C4854" t="str">
            <v>NG</v>
          </cell>
          <cell r="D4854" t="str">
            <v>200405</v>
          </cell>
          <cell r="E4854">
            <v>4.5330000000000004</v>
          </cell>
        </row>
        <row r="4855">
          <cell r="A4855" t="str">
            <v>37670200406</v>
          </cell>
          <cell r="B4855">
            <v>37670</v>
          </cell>
          <cell r="C4855" t="str">
            <v>NG</v>
          </cell>
          <cell r="D4855" t="str">
            <v>200406</v>
          </cell>
          <cell r="E4855">
            <v>4.4580000000000002</v>
          </cell>
        </row>
        <row r="4856">
          <cell r="A4856" t="str">
            <v>37670200407</v>
          </cell>
          <cell r="B4856">
            <v>37670</v>
          </cell>
          <cell r="C4856" t="str">
            <v>NG</v>
          </cell>
          <cell r="D4856" t="str">
            <v>200407</v>
          </cell>
          <cell r="E4856">
            <v>4.4429999999999996</v>
          </cell>
        </row>
        <row r="4857">
          <cell r="A4857" t="str">
            <v>37670200408</v>
          </cell>
          <cell r="B4857">
            <v>37670</v>
          </cell>
          <cell r="C4857" t="str">
            <v>NG</v>
          </cell>
          <cell r="D4857" t="str">
            <v>200408</v>
          </cell>
          <cell r="E4857">
            <v>4.4379999999999997</v>
          </cell>
        </row>
        <row r="4858">
          <cell r="A4858" t="str">
            <v>37670200409</v>
          </cell>
          <cell r="B4858">
            <v>37670</v>
          </cell>
          <cell r="C4858" t="str">
            <v>NG</v>
          </cell>
          <cell r="D4858" t="str">
            <v>200409</v>
          </cell>
          <cell r="E4858">
            <v>4.4279999999999999</v>
          </cell>
        </row>
        <row r="4859">
          <cell r="A4859" t="str">
            <v>37670200410</v>
          </cell>
          <cell r="B4859">
            <v>37670</v>
          </cell>
          <cell r="C4859" t="str">
            <v>NG</v>
          </cell>
          <cell r="D4859" t="str">
            <v>200410</v>
          </cell>
          <cell r="E4859">
            <v>4.4530000000000003</v>
          </cell>
        </row>
        <row r="4860">
          <cell r="A4860" t="str">
            <v>37670200411</v>
          </cell>
          <cell r="B4860">
            <v>37670</v>
          </cell>
          <cell r="C4860" t="str">
            <v>NG</v>
          </cell>
          <cell r="D4860" t="str">
            <v>200411</v>
          </cell>
          <cell r="E4860">
            <v>4.6429999999999998</v>
          </cell>
        </row>
        <row r="4861">
          <cell r="A4861" t="str">
            <v>37670200412</v>
          </cell>
          <cell r="B4861">
            <v>37670</v>
          </cell>
          <cell r="C4861" t="str">
            <v>NG</v>
          </cell>
          <cell r="D4861" t="str">
            <v>200412</v>
          </cell>
          <cell r="E4861">
            <v>4.8230000000000004</v>
          </cell>
        </row>
        <row r="4862">
          <cell r="A4862" t="str">
            <v>37671200401</v>
          </cell>
          <cell r="B4862">
            <v>37671</v>
          </cell>
          <cell r="C4862" t="str">
            <v>NG</v>
          </cell>
          <cell r="D4862" t="str">
            <v>200401</v>
          </cell>
          <cell r="E4862">
            <v>5.75</v>
          </cell>
        </row>
        <row r="4863">
          <cell r="A4863" t="str">
            <v>37671200402</v>
          </cell>
          <cell r="B4863">
            <v>37671</v>
          </cell>
          <cell r="C4863" t="str">
            <v>NG</v>
          </cell>
          <cell r="D4863" t="str">
            <v>200402</v>
          </cell>
          <cell r="E4863">
            <v>5.6</v>
          </cell>
        </row>
        <row r="4864">
          <cell r="A4864" t="str">
            <v>37671200403</v>
          </cell>
          <cell r="B4864">
            <v>37671</v>
          </cell>
          <cell r="C4864" t="str">
            <v>NG</v>
          </cell>
          <cell r="D4864" t="str">
            <v>200403</v>
          </cell>
          <cell r="E4864">
            <v>5.34</v>
          </cell>
        </row>
        <row r="4865">
          <cell r="A4865" t="str">
            <v>37671200404</v>
          </cell>
          <cell r="B4865">
            <v>37671</v>
          </cell>
          <cell r="C4865" t="str">
            <v>NG</v>
          </cell>
          <cell r="D4865" t="str">
            <v>200404</v>
          </cell>
          <cell r="E4865">
            <v>4.7249999999999996</v>
          </cell>
        </row>
        <row r="4866">
          <cell r="A4866" t="str">
            <v>37671200405</v>
          </cell>
          <cell r="B4866">
            <v>37671</v>
          </cell>
          <cell r="C4866" t="str">
            <v>NG</v>
          </cell>
          <cell r="D4866" t="str">
            <v>200405</v>
          </cell>
          <cell r="E4866">
            <v>4.51</v>
          </cell>
        </row>
        <row r="4867">
          <cell r="A4867" t="str">
            <v>37671200406</v>
          </cell>
          <cell r="B4867">
            <v>37671</v>
          </cell>
          <cell r="C4867" t="str">
            <v>NG</v>
          </cell>
          <cell r="D4867" t="str">
            <v>200406</v>
          </cell>
          <cell r="E4867">
            <v>4.43</v>
          </cell>
        </row>
        <row r="4868">
          <cell r="A4868" t="str">
            <v>37671200407</v>
          </cell>
          <cell r="B4868">
            <v>37671</v>
          </cell>
          <cell r="C4868" t="str">
            <v>NG</v>
          </cell>
          <cell r="D4868" t="str">
            <v>200407</v>
          </cell>
          <cell r="E4868">
            <v>4.4050000000000002</v>
          </cell>
        </row>
        <row r="4869">
          <cell r="A4869" t="str">
            <v>37671200408</v>
          </cell>
          <cell r="B4869">
            <v>37671</v>
          </cell>
          <cell r="C4869" t="str">
            <v>NG</v>
          </cell>
          <cell r="D4869" t="str">
            <v>200408</v>
          </cell>
          <cell r="E4869">
            <v>4.4000000000000004</v>
          </cell>
        </row>
        <row r="4870">
          <cell r="A4870" t="str">
            <v>37671200409</v>
          </cell>
          <cell r="B4870">
            <v>37671</v>
          </cell>
          <cell r="C4870" t="str">
            <v>NG</v>
          </cell>
          <cell r="D4870" t="str">
            <v>200409</v>
          </cell>
          <cell r="E4870">
            <v>4.3899999999999997</v>
          </cell>
        </row>
        <row r="4871">
          <cell r="A4871" t="str">
            <v>37671200410</v>
          </cell>
          <cell r="B4871">
            <v>37671</v>
          </cell>
          <cell r="C4871" t="str">
            <v>NG</v>
          </cell>
          <cell r="D4871" t="str">
            <v>200410</v>
          </cell>
          <cell r="E4871">
            <v>4.415</v>
          </cell>
        </row>
        <row r="4872">
          <cell r="A4872" t="str">
            <v>37671200411</v>
          </cell>
          <cell r="B4872">
            <v>37671</v>
          </cell>
          <cell r="C4872" t="str">
            <v>NG</v>
          </cell>
          <cell r="D4872" t="str">
            <v>200411</v>
          </cell>
          <cell r="E4872">
            <v>4.585</v>
          </cell>
        </row>
        <row r="4873">
          <cell r="A4873" t="str">
            <v>37671200412</v>
          </cell>
          <cell r="B4873">
            <v>37671</v>
          </cell>
          <cell r="C4873" t="str">
            <v>NG</v>
          </cell>
          <cell r="D4873" t="str">
            <v>200412</v>
          </cell>
          <cell r="E4873">
            <v>4.7549999999999999</v>
          </cell>
        </row>
        <row r="4874">
          <cell r="A4874" t="str">
            <v>37672200401</v>
          </cell>
          <cell r="B4874">
            <v>37672</v>
          </cell>
          <cell r="C4874" t="str">
            <v>NG</v>
          </cell>
          <cell r="D4874" t="str">
            <v>200401</v>
          </cell>
          <cell r="E4874">
            <v>5.7480000000000002</v>
          </cell>
        </row>
        <row r="4875">
          <cell r="A4875" t="str">
            <v>37672200402</v>
          </cell>
          <cell r="B4875">
            <v>37672</v>
          </cell>
          <cell r="C4875" t="str">
            <v>NG</v>
          </cell>
          <cell r="D4875" t="str">
            <v>200402</v>
          </cell>
          <cell r="E4875">
            <v>5.5979999999999999</v>
          </cell>
        </row>
        <row r="4876">
          <cell r="A4876" t="str">
            <v>37672200403</v>
          </cell>
          <cell r="B4876">
            <v>37672</v>
          </cell>
          <cell r="C4876" t="str">
            <v>NG</v>
          </cell>
          <cell r="D4876" t="str">
            <v>200403</v>
          </cell>
          <cell r="E4876">
            <v>5.3380000000000001</v>
          </cell>
        </row>
        <row r="4877">
          <cell r="A4877" t="str">
            <v>37672200404</v>
          </cell>
          <cell r="B4877">
            <v>37672</v>
          </cell>
          <cell r="C4877" t="str">
            <v>NG</v>
          </cell>
          <cell r="D4877" t="str">
            <v>200404</v>
          </cell>
          <cell r="E4877">
            <v>4.7279999999999998</v>
          </cell>
        </row>
        <row r="4878">
          <cell r="A4878" t="str">
            <v>37672200405</v>
          </cell>
          <cell r="B4878">
            <v>37672</v>
          </cell>
          <cell r="C4878" t="str">
            <v>NG</v>
          </cell>
          <cell r="D4878" t="str">
            <v>200405</v>
          </cell>
          <cell r="E4878">
            <v>4.5129999999999999</v>
          </cell>
        </row>
        <row r="4879">
          <cell r="A4879" t="str">
            <v>37672200406</v>
          </cell>
          <cell r="B4879">
            <v>37672</v>
          </cell>
          <cell r="C4879" t="str">
            <v>NG</v>
          </cell>
          <cell r="D4879" t="str">
            <v>200406</v>
          </cell>
          <cell r="E4879">
            <v>4.4340000000000002</v>
          </cell>
        </row>
        <row r="4880">
          <cell r="A4880" t="str">
            <v>37672200407</v>
          </cell>
          <cell r="B4880">
            <v>37672</v>
          </cell>
          <cell r="C4880" t="str">
            <v>NG</v>
          </cell>
          <cell r="D4880" t="str">
            <v>200407</v>
          </cell>
          <cell r="E4880">
            <v>4.4089999999999998</v>
          </cell>
        </row>
        <row r="4881">
          <cell r="A4881" t="str">
            <v>37672200408</v>
          </cell>
          <cell r="B4881">
            <v>37672</v>
          </cell>
          <cell r="C4881" t="str">
            <v>NG</v>
          </cell>
          <cell r="D4881" t="str">
            <v>200408</v>
          </cell>
          <cell r="E4881">
            <v>4.4039999999999999</v>
          </cell>
        </row>
        <row r="4882">
          <cell r="A4882" t="str">
            <v>37672200409</v>
          </cell>
          <cell r="B4882">
            <v>37672</v>
          </cell>
          <cell r="C4882" t="str">
            <v>NG</v>
          </cell>
          <cell r="D4882" t="str">
            <v>200409</v>
          </cell>
          <cell r="E4882">
            <v>4.3970000000000002</v>
          </cell>
        </row>
        <row r="4883">
          <cell r="A4883" t="str">
            <v>37672200410</v>
          </cell>
          <cell r="B4883">
            <v>37672</v>
          </cell>
          <cell r="C4883" t="str">
            <v>NG</v>
          </cell>
          <cell r="D4883" t="str">
            <v>200410</v>
          </cell>
          <cell r="E4883">
            <v>4.4219999999999997</v>
          </cell>
        </row>
        <row r="4884">
          <cell r="A4884" t="str">
            <v>37672200411</v>
          </cell>
          <cell r="B4884">
            <v>37672</v>
          </cell>
          <cell r="C4884" t="str">
            <v>NG</v>
          </cell>
          <cell r="D4884" t="str">
            <v>200411</v>
          </cell>
          <cell r="E4884">
            <v>4.5869999999999997</v>
          </cell>
        </row>
        <row r="4885">
          <cell r="A4885" t="str">
            <v>37672200412</v>
          </cell>
          <cell r="B4885">
            <v>37672</v>
          </cell>
          <cell r="C4885" t="str">
            <v>NG</v>
          </cell>
          <cell r="D4885" t="str">
            <v>200412</v>
          </cell>
          <cell r="E4885">
            <v>4.7519999999999998</v>
          </cell>
        </row>
        <row r="4886">
          <cell r="A4886" t="str">
            <v>37673200401</v>
          </cell>
          <cell r="B4886">
            <v>37673</v>
          </cell>
          <cell r="C4886" t="str">
            <v>NG</v>
          </cell>
          <cell r="D4886" t="str">
            <v>200401</v>
          </cell>
          <cell r="E4886">
            <v>5.8630000000000004</v>
          </cell>
        </row>
        <row r="4887">
          <cell r="A4887" t="str">
            <v>37673200402</v>
          </cell>
          <cell r="B4887">
            <v>37673</v>
          </cell>
          <cell r="C4887" t="str">
            <v>NG</v>
          </cell>
          <cell r="D4887" t="str">
            <v>200402</v>
          </cell>
          <cell r="E4887">
            <v>5.7110000000000003</v>
          </cell>
        </row>
        <row r="4888">
          <cell r="A4888" t="str">
            <v>37673200403</v>
          </cell>
          <cell r="B4888">
            <v>37673</v>
          </cell>
          <cell r="C4888" t="str">
            <v>NG</v>
          </cell>
          <cell r="D4888" t="str">
            <v>200403</v>
          </cell>
          <cell r="E4888">
            <v>5.431</v>
          </cell>
        </row>
        <row r="4889">
          <cell r="A4889" t="str">
            <v>37673200404</v>
          </cell>
          <cell r="B4889">
            <v>37673</v>
          </cell>
          <cell r="C4889" t="str">
            <v>NG</v>
          </cell>
          <cell r="D4889" t="str">
            <v>200404</v>
          </cell>
          <cell r="E4889">
            <v>4.7859999999999996</v>
          </cell>
        </row>
        <row r="4890">
          <cell r="A4890" t="str">
            <v>37673200405</v>
          </cell>
          <cell r="B4890">
            <v>37673</v>
          </cell>
          <cell r="C4890" t="str">
            <v>NG</v>
          </cell>
          <cell r="D4890" t="str">
            <v>200405</v>
          </cell>
          <cell r="E4890">
            <v>4.585</v>
          </cell>
        </row>
        <row r="4891">
          <cell r="A4891" t="str">
            <v>37673200406</v>
          </cell>
          <cell r="B4891">
            <v>37673</v>
          </cell>
          <cell r="C4891" t="str">
            <v>NG</v>
          </cell>
          <cell r="D4891" t="str">
            <v>200406</v>
          </cell>
          <cell r="E4891">
            <v>4.5030000000000001</v>
          </cell>
        </row>
        <row r="4892">
          <cell r="A4892" t="str">
            <v>37673200407</v>
          </cell>
          <cell r="B4892">
            <v>37673</v>
          </cell>
          <cell r="C4892" t="str">
            <v>NG</v>
          </cell>
          <cell r="D4892" t="str">
            <v>200407</v>
          </cell>
          <cell r="E4892">
            <v>4.4729999999999999</v>
          </cell>
        </row>
        <row r="4893">
          <cell r="A4893" t="str">
            <v>37673200408</v>
          </cell>
          <cell r="B4893">
            <v>37673</v>
          </cell>
          <cell r="C4893" t="str">
            <v>NG</v>
          </cell>
          <cell r="D4893" t="str">
            <v>200408</v>
          </cell>
          <cell r="E4893">
            <v>4.468</v>
          </cell>
        </row>
        <row r="4894">
          <cell r="A4894" t="str">
            <v>37673200409</v>
          </cell>
          <cell r="B4894">
            <v>37673</v>
          </cell>
          <cell r="C4894" t="str">
            <v>NG</v>
          </cell>
          <cell r="D4894" t="str">
            <v>200409</v>
          </cell>
          <cell r="E4894">
            <v>4.4610000000000003</v>
          </cell>
        </row>
        <row r="4895">
          <cell r="A4895" t="str">
            <v>37673200410</v>
          </cell>
          <cell r="B4895">
            <v>37673</v>
          </cell>
          <cell r="C4895" t="str">
            <v>NG</v>
          </cell>
          <cell r="D4895" t="str">
            <v>200410</v>
          </cell>
          <cell r="E4895">
            <v>4.4859999999999998</v>
          </cell>
        </row>
        <row r="4896">
          <cell r="A4896" t="str">
            <v>37673200411</v>
          </cell>
          <cell r="B4896">
            <v>37673</v>
          </cell>
          <cell r="C4896" t="str">
            <v>NG</v>
          </cell>
          <cell r="D4896" t="str">
            <v>200411</v>
          </cell>
          <cell r="E4896">
            <v>4.6539999999999999</v>
          </cell>
        </row>
        <row r="4897">
          <cell r="A4897" t="str">
            <v>37673200412</v>
          </cell>
          <cell r="B4897">
            <v>37673</v>
          </cell>
          <cell r="C4897" t="str">
            <v>NG</v>
          </cell>
          <cell r="D4897" t="str">
            <v>200412</v>
          </cell>
          <cell r="E4897">
            <v>4.8109999999999999</v>
          </cell>
        </row>
        <row r="4898">
          <cell r="A4898" t="str">
            <v>37674200401</v>
          </cell>
          <cell r="B4898">
            <v>37674</v>
          </cell>
          <cell r="C4898" t="str">
            <v>NG</v>
          </cell>
          <cell r="D4898" t="str">
            <v>200401</v>
          </cell>
          <cell r="E4898">
            <v>5.8630000000000004</v>
          </cell>
        </row>
        <row r="4899">
          <cell r="A4899" t="str">
            <v>37674200402</v>
          </cell>
          <cell r="B4899">
            <v>37674</v>
          </cell>
          <cell r="C4899" t="str">
            <v>NG</v>
          </cell>
          <cell r="D4899" t="str">
            <v>200402</v>
          </cell>
          <cell r="E4899">
            <v>5.7110000000000003</v>
          </cell>
        </row>
        <row r="4900">
          <cell r="A4900" t="str">
            <v>37674200403</v>
          </cell>
          <cell r="B4900">
            <v>37674</v>
          </cell>
          <cell r="C4900" t="str">
            <v>NG</v>
          </cell>
          <cell r="D4900" t="str">
            <v>200403</v>
          </cell>
          <cell r="E4900">
            <v>5.431</v>
          </cell>
        </row>
        <row r="4901">
          <cell r="A4901" t="str">
            <v>37674200404</v>
          </cell>
          <cell r="B4901">
            <v>37674</v>
          </cell>
          <cell r="C4901" t="str">
            <v>NG</v>
          </cell>
          <cell r="D4901" t="str">
            <v>200404</v>
          </cell>
          <cell r="E4901">
            <v>4.7859999999999996</v>
          </cell>
        </row>
        <row r="4902">
          <cell r="A4902" t="str">
            <v>37674200405</v>
          </cell>
          <cell r="B4902">
            <v>37674</v>
          </cell>
          <cell r="C4902" t="str">
            <v>NG</v>
          </cell>
          <cell r="D4902" t="str">
            <v>200405</v>
          </cell>
          <cell r="E4902">
            <v>4.585</v>
          </cell>
        </row>
        <row r="4903">
          <cell r="A4903" t="str">
            <v>37674200406</v>
          </cell>
          <cell r="B4903">
            <v>37674</v>
          </cell>
          <cell r="C4903" t="str">
            <v>NG</v>
          </cell>
          <cell r="D4903" t="str">
            <v>200406</v>
          </cell>
          <cell r="E4903">
            <v>4.5030000000000001</v>
          </cell>
        </row>
        <row r="4904">
          <cell r="A4904" t="str">
            <v>37674200407</v>
          </cell>
          <cell r="B4904">
            <v>37674</v>
          </cell>
          <cell r="C4904" t="str">
            <v>NG</v>
          </cell>
          <cell r="D4904" t="str">
            <v>200407</v>
          </cell>
          <cell r="E4904">
            <v>4.4729999999999999</v>
          </cell>
        </row>
        <row r="4905">
          <cell r="A4905" t="str">
            <v>37674200408</v>
          </cell>
          <cell r="B4905">
            <v>37674</v>
          </cell>
          <cell r="C4905" t="str">
            <v>NG</v>
          </cell>
          <cell r="D4905" t="str">
            <v>200408</v>
          </cell>
          <cell r="E4905">
            <v>4.468</v>
          </cell>
        </row>
        <row r="4906">
          <cell r="A4906" t="str">
            <v>37674200409</v>
          </cell>
          <cell r="B4906">
            <v>37674</v>
          </cell>
          <cell r="C4906" t="str">
            <v>NG</v>
          </cell>
          <cell r="D4906" t="str">
            <v>200409</v>
          </cell>
          <cell r="E4906">
            <v>4.4610000000000003</v>
          </cell>
        </row>
        <row r="4907">
          <cell r="A4907" t="str">
            <v>37674200410</v>
          </cell>
          <cell r="B4907">
            <v>37674</v>
          </cell>
          <cell r="C4907" t="str">
            <v>NG</v>
          </cell>
          <cell r="D4907" t="str">
            <v>200410</v>
          </cell>
          <cell r="E4907">
            <v>4.4859999999999998</v>
          </cell>
        </row>
        <row r="4908">
          <cell r="A4908" t="str">
            <v>37674200411</v>
          </cell>
          <cell r="B4908">
            <v>37674</v>
          </cell>
          <cell r="C4908" t="str">
            <v>NG</v>
          </cell>
          <cell r="D4908" t="str">
            <v>200411</v>
          </cell>
          <cell r="E4908">
            <v>4.6539999999999999</v>
          </cell>
        </row>
        <row r="4909">
          <cell r="A4909" t="str">
            <v>37674200412</v>
          </cell>
          <cell r="B4909">
            <v>37674</v>
          </cell>
          <cell r="C4909" t="str">
            <v>NG</v>
          </cell>
          <cell r="D4909" t="str">
            <v>200412</v>
          </cell>
          <cell r="E4909">
            <v>4.8109999999999999</v>
          </cell>
        </row>
        <row r="4910">
          <cell r="A4910" t="str">
            <v>37675200401</v>
          </cell>
          <cell r="B4910">
            <v>37675</v>
          </cell>
          <cell r="C4910" t="str">
            <v>NG</v>
          </cell>
          <cell r="D4910" t="str">
            <v>200401</v>
          </cell>
          <cell r="E4910">
            <v>5.8630000000000004</v>
          </cell>
        </row>
        <row r="4911">
          <cell r="A4911" t="str">
            <v>37675200402</v>
          </cell>
          <cell r="B4911">
            <v>37675</v>
          </cell>
          <cell r="C4911" t="str">
            <v>NG</v>
          </cell>
          <cell r="D4911" t="str">
            <v>200402</v>
          </cell>
          <cell r="E4911">
            <v>5.7110000000000003</v>
          </cell>
        </row>
        <row r="4912">
          <cell r="A4912" t="str">
            <v>37675200403</v>
          </cell>
          <cell r="B4912">
            <v>37675</v>
          </cell>
          <cell r="C4912" t="str">
            <v>NG</v>
          </cell>
          <cell r="D4912" t="str">
            <v>200403</v>
          </cell>
          <cell r="E4912">
            <v>5.431</v>
          </cell>
        </row>
        <row r="4913">
          <cell r="A4913" t="str">
            <v>37675200404</v>
          </cell>
          <cell r="B4913">
            <v>37675</v>
          </cell>
          <cell r="C4913" t="str">
            <v>NG</v>
          </cell>
          <cell r="D4913" t="str">
            <v>200404</v>
          </cell>
          <cell r="E4913">
            <v>4.7859999999999996</v>
          </cell>
        </row>
        <row r="4914">
          <cell r="A4914" t="str">
            <v>37675200405</v>
          </cell>
          <cell r="B4914">
            <v>37675</v>
          </cell>
          <cell r="C4914" t="str">
            <v>NG</v>
          </cell>
          <cell r="D4914" t="str">
            <v>200405</v>
          </cell>
          <cell r="E4914">
            <v>4.585</v>
          </cell>
        </row>
        <row r="4915">
          <cell r="A4915" t="str">
            <v>37675200406</v>
          </cell>
          <cell r="B4915">
            <v>37675</v>
          </cell>
          <cell r="C4915" t="str">
            <v>NG</v>
          </cell>
          <cell r="D4915" t="str">
            <v>200406</v>
          </cell>
          <cell r="E4915">
            <v>4.5030000000000001</v>
          </cell>
        </row>
        <row r="4916">
          <cell r="A4916" t="str">
            <v>37675200407</v>
          </cell>
          <cell r="B4916">
            <v>37675</v>
          </cell>
          <cell r="C4916" t="str">
            <v>NG</v>
          </cell>
          <cell r="D4916" t="str">
            <v>200407</v>
          </cell>
          <cell r="E4916">
            <v>4.4729999999999999</v>
          </cell>
        </row>
        <row r="4917">
          <cell r="A4917" t="str">
            <v>37675200408</v>
          </cell>
          <cell r="B4917">
            <v>37675</v>
          </cell>
          <cell r="C4917" t="str">
            <v>NG</v>
          </cell>
          <cell r="D4917" t="str">
            <v>200408</v>
          </cell>
          <cell r="E4917">
            <v>4.468</v>
          </cell>
        </row>
        <row r="4918">
          <cell r="A4918" t="str">
            <v>37675200409</v>
          </cell>
          <cell r="B4918">
            <v>37675</v>
          </cell>
          <cell r="C4918" t="str">
            <v>NG</v>
          </cell>
          <cell r="D4918" t="str">
            <v>200409</v>
          </cell>
          <cell r="E4918">
            <v>4.4610000000000003</v>
          </cell>
        </row>
        <row r="4919">
          <cell r="A4919" t="str">
            <v>37675200410</v>
          </cell>
          <cell r="B4919">
            <v>37675</v>
          </cell>
          <cell r="C4919" t="str">
            <v>NG</v>
          </cell>
          <cell r="D4919" t="str">
            <v>200410</v>
          </cell>
          <cell r="E4919">
            <v>4.4859999999999998</v>
          </cell>
        </row>
        <row r="4920">
          <cell r="A4920" t="str">
            <v>37675200411</v>
          </cell>
          <cell r="B4920">
            <v>37675</v>
          </cell>
          <cell r="C4920" t="str">
            <v>NG</v>
          </cell>
          <cell r="D4920" t="str">
            <v>200411</v>
          </cell>
          <cell r="E4920">
            <v>4.6539999999999999</v>
          </cell>
        </row>
        <row r="4921">
          <cell r="A4921" t="str">
            <v>37675200412</v>
          </cell>
          <cell r="B4921">
            <v>37675</v>
          </cell>
          <cell r="C4921" t="str">
            <v>NG</v>
          </cell>
          <cell r="D4921" t="str">
            <v>200412</v>
          </cell>
          <cell r="E4921">
            <v>4.8109999999999999</v>
          </cell>
        </row>
        <row r="4922">
          <cell r="A4922" t="str">
            <v>37676200401</v>
          </cell>
          <cell r="B4922">
            <v>37676</v>
          </cell>
          <cell r="C4922" t="str">
            <v>NG</v>
          </cell>
          <cell r="D4922" t="str">
            <v>200401</v>
          </cell>
          <cell r="E4922">
            <v>6.2919999999999998</v>
          </cell>
        </row>
        <row r="4923">
          <cell r="A4923" t="str">
            <v>37676200402</v>
          </cell>
          <cell r="B4923">
            <v>37676</v>
          </cell>
          <cell r="C4923" t="str">
            <v>NG</v>
          </cell>
          <cell r="D4923" t="str">
            <v>200402</v>
          </cell>
          <cell r="E4923">
            <v>6.1150000000000002</v>
          </cell>
        </row>
        <row r="4924">
          <cell r="A4924" t="str">
            <v>37676200403</v>
          </cell>
          <cell r="B4924">
            <v>37676</v>
          </cell>
          <cell r="C4924" t="str">
            <v>NG</v>
          </cell>
          <cell r="D4924" t="str">
            <v>200403</v>
          </cell>
          <cell r="E4924">
            <v>5.8250000000000002</v>
          </cell>
        </row>
        <row r="4925">
          <cell r="A4925" t="str">
            <v>37676200404</v>
          </cell>
          <cell r="B4925">
            <v>37676</v>
          </cell>
          <cell r="C4925" t="str">
            <v>NG</v>
          </cell>
          <cell r="D4925" t="str">
            <v>200404</v>
          </cell>
          <cell r="E4925">
            <v>5.125</v>
          </cell>
        </row>
        <row r="4926">
          <cell r="A4926" t="str">
            <v>37676200405</v>
          </cell>
          <cell r="B4926">
            <v>37676</v>
          </cell>
          <cell r="C4926" t="str">
            <v>NG</v>
          </cell>
          <cell r="D4926" t="str">
            <v>200405</v>
          </cell>
          <cell r="E4926">
            <v>4.8869999999999996</v>
          </cell>
        </row>
        <row r="4927">
          <cell r="A4927" t="str">
            <v>37676200406</v>
          </cell>
          <cell r="B4927">
            <v>37676</v>
          </cell>
          <cell r="C4927" t="str">
            <v>NG</v>
          </cell>
          <cell r="D4927" t="str">
            <v>200406</v>
          </cell>
          <cell r="E4927">
            <v>4.7670000000000003</v>
          </cell>
        </row>
        <row r="4928">
          <cell r="A4928" t="str">
            <v>37676200407</v>
          </cell>
          <cell r="B4928">
            <v>37676</v>
          </cell>
          <cell r="C4928" t="str">
            <v>NG</v>
          </cell>
          <cell r="D4928" t="str">
            <v>200407</v>
          </cell>
          <cell r="E4928">
            <v>4.6870000000000003</v>
          </cell>
        </row>
        <row r="4929">
          <cell r="A4929" t="str">
            <v>37676200408</v>
          </cell>
          <cell r="B4929">
            <v>37676</v>
          </cell>
          <cell r="C4929" t="str">
            <v>NG</v>
          </cell>
          <cell r="D4929" t="str">
            <v>200408</v>
          </cell>
          <cell r="E4929">
            <v>4.6820000000000004</v>
          </cell>
        </row>
        <row r="4930">
          <cell r="A4930" t="str">
            <v>37676200409</v>
          </cell>
          <cell r="B4930">
            <v>37676</v>
          </cell>
          <cell r="C4930" t="str">
            <v>NG</v>
          </cell>
          <cell r="D4930" t="str">
            <v>200409</v>
          </cell>
          <cell r="E4930">
            <v>4.6749999999999998</v>
          </cell>
        </row>
        <row r="4931">
          <cell r="A4931" t="str">
            <v>37676200410</v>
          </cell>
          <cell r="B4931">
            <v>37676</v>
          </cell>
          <cell r="C4931" t="str">
            <v>NG</v>
          </cell>
          <cell r="D4931" t="str">
            <v>200410</v>
          </cell>
          <cell r="E4931">
            <v>4.7</v>
          </cell>
        </row>
        <row r="4932">
          <cell r="A4932" t="str">
            <v>37676200411</v>
          </cell>
          <cell r="B4932">
            <v>37676</v>
          </cell>
          <cell r="C4932" t="str">
            <v>NG</v>
          </cell>
          <cell r="D4932" t="str">
            <v>200411</v>
          </cell>
          <cell r="E4932">
            <v>4.8499999999999996</v>
          </cell>
        </row>
        <row r="4933">
          <cell r="A4933" t="str">
            <v>37676200412</v>
          </cell>
          <cell r="B4933">
            <v>37676</v>
          </cell>
          <cell r="C4933" t="str">
            <v>NG</v>
          </cell>
          <cell r="D4933" t="str">
            <v>200412</v>
          </cell>
          <cell r="E4933">
            <v>5</v>
          </cell>
        </row>
        <row r="4934">
          <cell r="A4934" t="str">
            <v>37677200401</v>
          </cell>
          <cell r="B4934">
            <v>37677</v>
          </cell>
          <cell r="C4934" t="str">
            <v>NG</v>
          </cell>
          <cell r="D4934" t="str">
            <v>200401</v>
          </cell>
          <cell r="E4934">
            <v>5.8760000000000003</v>
          </cell>
        </row>
        <row r="4935">
          <cell r="A4935" t="str">
            <v>37677200402</v>
          </cell>
          <cell r="B4935">
            <v>37677</v>
          </cell>
          <cell r="C4935" t="str">
            <v>NG</v>
          </cell>
          <cell r="D4935" t="str">
            <v>200402</v>
          </cell>
          <cell r="E4935">
            <v>5.7460000000000004</v>
          </cell>
        </row>
        <row r="4936">
          <cell r="A4936" t="str">
            <v>37677200403</v>
          </cell>
          <cell r="B4936">
            <v>37677</v>
          </cell>
          <cell r="C4936" t="str">
            <v>NG</v>
          </cell>
          <cell r="D4936" t="str">
            <v>200403</v>
          </cell>
          <cell r="E4936">
            <v>5.4960000000000004</v>
          </cell>
        </row>
        <row r="4937">
          <cell r="A4937" t="str">
            <v>37677200404</v>
          </cell>
          <cell r="B4937">
            <v>37677</v>
          </cell>
          <cell r="C4937" t="str">
            <v>NG</v>
          </cell>
          <cell r="D4937" t="str">
            <v>200404</v>
          </cell>
          <cell r="E4937">
            <v>4.8460000000000001</v>
          </cell>
        </row>
        <row r="4938">
          <cell r="A4938" t="str">
            <v>37677200405</v>
          </cell>
          <cell r="B4938">
            <v>37677</v>
          </cell>
          <cell r="C4938" t="str">
            <v>NG</v>
          </cell>
          <cell r="D4938" t="str">
            <v>200405</v>
          </cell>
          <cell r="E4938">
            <v>4.6260000000000003</v>
          </cell>
        </row>
        <row r="4939">
          <cell r="A4939" t="str">
            <v>37677200406</v>
          </cell>
          <cell r="B4939">
            <v>37677</v>
          </cell>
          <cell r="C4939" t="str">
            <v>NG</v>
          </cell>
          <cell r="D4939" t="str">
            <v>200406</v>
          </cell>
          <cell r="E4939">
            <v>4.5060000000000002</v>
          </cell>
        </row>
        <row r="4940">
          <cell r="A4940" t="str">
            <v>37677200407</v>
          </cell>
          <cell r="B4940">
            <v>37677</v>
          </cell>
          <cell r="C4940" t="str">
            <v>NG</v>
          </cell>
          <cell r="D4940" t="str">
            <v>200407</v>
          </cell>
          <cell r="E4940">
            <v>4.4260000000000002</v>
          </cell>
        </row>
        <row r="4941">
          <cell r="A4941" t="str">
            <v>37677200408</v>
          </cell>
          <cell r="B4941">
            <v>37677</v>
          </cell>
          <cell r="C4941" t="str">
            <v>NG</v>
          </cell>
          <cell r="D4941" t="str">
            <v>200408</v>
          </cell>
          <cell r="E4941">
            <v>4.4210000000000003</v>
          </cell>
        </row>
        <row r="4942">
          <cell r="A4942" t="str">
            <v>37677200409</v>
          </cell>
          <cell r="B4942">
            <v>37677</v>
          </cell>
          <cell r="C4942" t="str">
            <v>NG</v>
          </cell>
          <cell r="D4942" t="str">
            <v>200409</v>
          </cell>
          <cell r="E4942">
            <v>4.4139999999999997</v>
          </cell>
        </row>
        <row r="4943">
          <cell r="A4943" t="str">
            <v>37677200410</v>
          </cell>
          <cell r="B4943">
            <v>37677</v>
          </cell>
          <cell r="C4943" t="str">
            <v>NG</v>
          </cell>
          <cell r="D4943" t="str">
            <v>200410</v>
          </cell>
          <cell r="E4943">
            <v>4.68</v>
          </cell>
        </row>
        <row r="4944">
          <cell r="A4944" t="str">
            <v>37677200411</v>
          </cell>
          <cell r="B4944">
            <v>37677</v>
          </cell>
          <cell r="C4944" t="str">
            <v>NG</v>
          </cell>
          <cell r="D4944" t="str">
            <v>200411</v>
          </cell>
          <cell r="E4944">
            <v>4.5890000000000004</v>
          </cell>
        </row>
        <row r="4945">
          <cell r="A4945" t="str">
            <v>37677200412</v>
          </cell>
          <cell r="B4945">
            <v>37677</v>
          </cell>
          <cell r="C4945" t="str">
            <v>NG</v>
          </cell>
          <cell r="D4945" t="str">
            <v>200412</v>
          </cell>
          <cell r="E4945">
            <v>4.7690000000000001</v>
          </cell>
        </row>
        <row r="4946">
          <cell r="A4946" t="str">
            <v>37678200401</v>
          </cell>
          <cell r="B4946">
            <v>37678</v>
          </cell>
          <cell r="C4946" t="str">
            <v>NG</v>
          </cell>
          <cell r="D4946" t="str">
            <v>200401</v>
          </cell>
          <cell r="E4946">
            <v>5.87</v>
          </cell>
        </row>
        <row r="4947">
          <cell r="A4947" t="str">
            <v>37678200402</v>
          </cell>
          <cell r="B4947">
            <v>37678</v>
          </cell>
          <cell r="C4947" t="str">
            <v>NG</v>
          </cell>
          <cell r="D4947" t="str">
            <v>200402</v>
          </cell>
          <cell r="E4947">
            <v>5.73</v>
          </cell>
        </row>
        <row r="4948">
          <cell r="A4948" t="str">
            <v>37678200403</v>
          </cell>
          <cell r="B4948">
            <v>37678</v>
          </cell>
          <cell r="C4948" t="str">
            <v>NG</v>
          </cell>
          <cell r="D4948" t="str">
            <v>200403</v>
          </cell>
          <cell r="E4948">
            <v>5.4720000000000004</v>
          </cell>
        </row>
        <row r="4949">
          <cell r="A4949" t="str">
            <v>37678200404</v>
          </cell>
          <cell r="B4949">
            <v>37678</v>
          </cell>
          <cell r="C4949" t="str">
            <v>NG</v>
          </cell>
          <cell r="D4949" t="str">
            <v>200404</v>
          </cell>
          <cell r="E4949">
            <v>4.8369999999999997</v>
          </cell>
        </row>
        <row r="4950">
          <cell r="A4950" t="str">
            <v>37678200405</v>
          </cell>
          <cell r="B4950">
            <v>37678</v>
          </cell>
          <cell r="C4950" t="str">
            <v>NG</v>
          </cell>
          <cell r="D4950" t="str">
            <v>200405</v>
          </cell>
          <cell r="E4950">
            <v>4.617</v>
          </cell>
        </row>
        <row r="4951">
          <cell r="A4951" t="str">
            <v>37678200406</v>
          </cell>
          <cell r="B4951">
            <v>37678</v>
          </cell>
          <cell r="C4951" t="str">
            <v>NG</v>
          </cell>
          <cell r="D4951" t="str">
            <v>200406</v>
          </cell>
          <cell r="E4951">
            <v>4.492</v>
          </cell>
        </row>
        <row r="4952">
          <cell r="A4952" t="str">
            <v>37678200407</v>
          </cell>
          <cell r="B4952">
            <v>37678</v>
          </cell>
          <cell r="C4952" t="str">
            <v>NG</v>
          </cell>
          <cell r="D4952" t="str">
            <v>200407</v>
          </cell>
          <cell r="E4952">
            <v>4.407</v>
          </cell>
        </row>
        <row r="4953">
          <cell r="A4953" t="str">
            <v>37678200408</v>
          </cell>
          <cell r="B4953">
            <v>37678</v>
          </cell>
          <cell r="C4953" t="str">
            <v>NG</v>
          </cell>
          <cell r="D4953" t="str">
            <v>200408</v>
          </cell>
          <cell r="E4953">
            <v>4.3970000000000002</v>
          </cell>
        </row>
        <row r="4954">
          <cell r="A4954" t="str">
            <v>37678200409</v>
          </cell>
          <cell r="B4954">
            <v>37678</v>
          </cell>
          <cell r="C4954" t="str">
            <v>NG</v>
          </cell>
          <cell r="D4954" t="str">
            <v>200409</v>
          </cell>
          <cell r="E4954">
            <v>4.3899999999999997</v>
          </cell>
        </row>
        <row r="4955">
          <cell r="A4955" t="str">
            <v>37678200410</v>
          </cell>
          <cell r="B4955">
            <v>37678</v>
          </cell>
          <cell r="C4955" t="str">
            <v>NG</v>
          </cell>
          <cell r="D4955" t="str">
            <v>200410</v>
          </cell>
          <cell r="E4955">
            <v>4.415</v>
          </cell>
        </row>
        <row r="4956">
          <cell r="A4956" t="str">
            <v>37678200411</v>
          </cell>
          <cell r="B4956">
            <v>37678</v>
          </cell>
          <cell r="C4956" t="str">
            <v>NG</v>
          </cell>
          <cell r="D4956" t="str">
            <v>200411</v>
          </cell>
          <cell r="E4956">
            <v>4.58</v>
          </cell>
        </row>
        <row r="4957">
          <cell r="A4957" t="str">
            <v>37678200412</v>
          </cell>
          <cell r="B4957">
            <v>37678</v>
          </cell>
          <cell r="C4957" t="str">
            <v>NG</v>
          </cell>
          <cell r="D4957" t="str">
            <v>200412</v>
          </cell>
          <cell r="E4957">
            <v>4.7699999999999996</v>
          </cell>
        </row>
        <row r="4958">
          <cell r="A4958" t="str">
            <v>37679200401</v>
          </cell>
          <cell r="B4958">
            <v>37679</v>
          </cell>
          <cell r="C4958" t="str">
            <v>NG</v>
          </cell>
          <cell r="D4958" t="str">
            <v>200401</v>
          </cell>
          <cell r="E4958">
            <v>5.8150000000000004</v>
          </cell>
        </row>
        <row r="4959">
          <cell r="A4959" t="str">
            <v>37679200402</v>
          </cell>
          <cell r="B4959">
            <v>37679</v>
          </cell>
          <cell r="C4959" t="str">
            <v>NG</v>
          </cell>
          <cell r="D4959" t="str">
            <v>200402</v>
          </cell>
          <cell r="E4959">
            <v>5.69</v>
          </cell>
        </row>
        <row r="4960">
          <cell r="A4960" t="str">
            <v>37679200403</v>
          </cell>
          <cell r="B4960">
            <v>37679</v>
          </cell>
          <cell r="C4960" t="str">
            <v>NG</v>
          </cell>
          <cell r="D4960" t="str">
            <v>200403</v>
          </cell>
          <cell r="E4960">
            <v>5.46</v>
          </cell>
        </row>
        <row r="4961">
          <cell r="A4961" t="str">
            <v>37679200404</v>
          </cell>
          <cell r="B4961">
            <v>37679</v>
          </cell>
          <cell r="C4961" t="str">
            <v>NG</v>
          </cell>
          <cell r="D4961" t="str">
            <v>200404</v>
          </cell>
          <cell r="E4961">
            <v>4.83</v>
          </cell>
        </row>
        <row r="4962">
          <cell r="A4962" t="str">
            <v>37679200405</v>
          </cell>
          <cell r="B4962">
            <v>37679</v>
          </cell>
          <cell r="C4962" t="str">
            <v>NG</v>
          </cell>
          <cell r="D4962" t="str">
            <v>200405</v>
          </cell>
          <cell r="E4962">
            <v>4.6150000000000002</v>
          </cell>
        </row>
        <row r="4963">
          <cell r="A4963" t="str">
            <v>37679200406</v>
          </cell>
          <cell r="B4963">
            <v>37679</v>
          </cell>
          <cell r="C4963" t="str">
            <v>NG</v>
          </cell>
          <cell r="D4963" t="str">
            <v>200406</v>
          </cell>
          <cell r="E4963">
            <v>4.4950000000000001</v>
          </cell>
        </row>
        <row r="4964">
          <cell r="A4964" t="str">
            <v>37679200407</v>
          </cell>
          <cell r="B4964">
            <v>37679</v>
          </cell>
          <cell r="C4964" t="str">
            <v>NG</v>
          </cell>
          <cell r="D4964" t="str">
            <v>200407</v>
          </cell>
          <cell r="E4964">
            <v>4.4249999999999998</v>
          </cell>
        </row>
        <row r="4965">
          <cell r="A4965" t="str">
            <v>37679200408</v>
          </cell>
          <cell r="B4965">
            <v>37679</v>
          </cell>
          <cell r="C4965" t="str">
            <v>NG</v>
          </cell>
          <cell r="D4965" t="str">
            <v>200408</v>
          </cell>
          <cell r="E4965">
            <v>4.4249999999999998</v>
          </cell>
        </row>
        <row r="4966">
          <cell r="A4966" t="str">
            <v>37679200409</v>
          </cell>
          <cell r="B4966">
            <v>37679</v>
          </cell>
          <cell r="C4966" t="str">
            <v>NG</v>
          </cell>
          <cell r="D4966" t="str">
            <v>200409</v>
          </cell>
          <cell r="E4966">
            <v>4.4180000000000001</v>
          </cell>
        </row>
        <row r="4967">
          <cell r="A4967" t="str">
            <v>37679200410</v>
          </cell>
          <cell r="B4967">
            <v>37679</v>
          </cell>
          <cell r="C4967" t="str">
            <v>NG</v>
          </cell>
          <cell r="D4967" t="str">
            <v>200410</v>
          </cell>
          <cell r="E4967">
            <v>4.4429999999999996</v>
          </cell>
        </row>
        <row r="4968">
          <cell r="A4968" t="str">
            <v>37679200411</v>
          </cell>
          <cell r="B4968">
            <v>37679</v>
          </cell>
          <cell r="C4968" t="str">
            <v>NG</v>
          </cell>
          <cell r="D4968" t="str">
            <v>200411</v>
          </cell>
          <cell r="E4968">
            <v>4.6180000000000003</v>
          </cell>
        </row>
        <row r="4969">
          <cell r="A4969" t="str">
            <v>37679200412</v>
          </cell>
          <cell r="B4969">
            <v>37679</v>
          </cell>
          <cell r="C4969" t="str">
            <v>NG</v>
          </cell>
          <cell r="D4969" t="str">
            <v>200412</v>
          </cell>
          <cell r="E4969">
            <v>4.8179999999999996</v>
          </cell>
        </row>
        <row r="4970">
          <cell r="A4970" t="str">
            <v>37680200401</v>
          </cell>
          <cell r="B4970">
            <v>37680</v>
          </cell>
          <cell r="C4970" t="str">
            <v>NG</v>
          </cell>
          <cell r="D4970" t="str">
            <v>200401</v>
          </cell>
          <cell r="E4970">
            <v>5.8710000000000004</v>
          </cell>
        </row>
        <row r="4971">
          <cell r="A4971" t="str">
            <v>37680200402</v>
          </cell>
          <cell r="B4971">
            <v>37680</v>
          </cell>
          <cell r="C4971" t="str">
            <v>NG</v>
          </cell>
          <cell r="D4971" t="str">
            <v>200402</v>
          </cell>
          <cell r="E4971">
            <v>5.7460000000000004</v>
          </cell>
        </row>
        <row r="4972">
          <cell r="A4972" t="str">
            <v>37680200403</v>
          </cell>
          <cell r="B4972">
            <v>37680</v>
          </cell>
          <cell r="C4972" t="str">
            <v>NG</v>
          </cell>
          <cell r="D4972" t="str">
            <v>200403</v>
          </cell>
          <cell r="E4972">
            <v>5.5309999999999997</v>
          </cell>
        </row>
        <row r="4973">
          <cell r="A4973" t="str">
            <v>37680200404</v>
          </cell>
          <cell r="B4973">
            <v>37680</v>
          </cell>
          <cell r="C4973" t="str">
            <v>NG</v>
          </cell>
          <cell r="D4973" t="str">
            <v>200404</v>
          </cell>
          <cell r="E4973">
            <v>4.8760000000000003</v>
          </cell>
        </row>
        <row r="4974">
          <cell r="A4974" t="str">
            <v>37680200405</v>
          </cell>
          <cell r="B4974">
            <v>37680</v>
          </cell>
          <cell r="C4974" t="str">
            <v>NG</v>
          </cell>
          <cell r="D4974" t="str">
            <v>200405</v>
          </cell>
          <cell r="E4974">
            <v>4.6509999999999998</v>
          </cell>
        </row>
        <row r="4975">
          <cell r="A4975" t="str">
            <v>37680200406</v>
          </cell>
          <cell r="B4975">
            <v>37680</v>
          </cell>
          <cell r="C4975" t="str">
            <v>NG</v>
          </cell>
          <cell r="D4975" t="str">
            <v>200406</v>
          </cell>
          <cell r="E4975">
            <v>4.5309999999999997</v>
          </cell>
        </row>
        <row r="4976">
          <cell r="A4976" t="str">
            <v>37680200407</v>
          </cell>
          <cell r="B4976">
            <v>37680</v>
          </cell>
          <cell r="C4976" t="str">
            <v>NG</v>
          </cell>
          <cell r="D4976" t="str">
            <v>200407</v>
          </cell>
          <cell r="E4976">
            <v>4.4610000000000003</v>
          </cell>
        </row>
        <row r="4977">
          <cell r="A4977" t="str">
            <v>37680200408</v>
          </cell>
          <cell r="B4977">
            <v>37680</v>
          </cell>
          <cell r="C4977" t="str">
            <v>NG</v>
          </cell>
          <cell r="D4977" t="str">
            <v>200408</v>
          </cell>
          <cell r="E4977">
            <v>4.4610000000000003</v>
          </cell>
        </row>
        <row r="4978">
          <cell r="A4978" t="str">
            <v>37680200409</v>
          </cell>
          <cell r="B4978">
            <v>37680</v>
          </cell>
          <cell r="C4978" t="str">
            <v>NG</v>
          </cell>
          <cell r="D4978" t="str">
            <v>200409</v>
          </cell>
          <cell r="E4978">
            <v>4.4610000000000003</v>
          </cell>
        </row>
        <row r="4979">
          <cell r="A4979" t="str">
            <v>37680200410</v>
          </cell>
          <cell r="B4979">
            <v>37680</v>
          </cell>
          <cell r="C4979" t="str">
            <v>NG</v>
          </cell>
          <cell r="D4979" t="str">
            <v>200410</v>
          </cell>
          <cell r="E4979">
            <v>4.4909999999999997</v>
          </cell>
        </row>
        <row r="4980">
          <cell r="A4980" t="str">
            <v>37680200411</v>
          </cell>
          <cell r="B4980">
            <v>37680</v>
          </cell>
          <cell r="C4980" t="str">
            <v>NG</v>
          </cell>
          <cell r="D4980" t="str">
            <v>200411</v>
          </cell>
          <cell r="E4980">
            <v>4.6909999999999998</v>
          </cell>
        </row>
        <row r="4981">
          <cell r="A4981" t="str">
            <v>37680200412</v>
          </cell>
          <cell r="B4981">
            <v>37680</v>
          </cell>
          <cell r="C4981" t="str">
            <v>NG</v>
          </cell>
          <cell r="D4981" t="str">
            <v>200412</v>
          </cell>
          <cell r="E4981">
            <v>4.8609999999999998</v>
          </cell>
        </row>
        <row r="4982">
          <cell r="A4982" t="str">
            <v>37681200401</v>
          </cell>
          <cell r="B4982">
            <v>37681</v>
          </cell>
          <cell r="C4982" t="str">
            <v>NG</v>
          </cell>
          <cell r="D4982" t="str">
            <v>200401</v>
          </cell>
          <cell r="E4982">
            <v>5.8710000000000004</v>
          </cell>
        </row>
        <row r="4983">
          <cell r="A4983" t="str">
            <v>37681200402</v>
          </cell>
          <cell r="B4983">
            <v>37681</v>
          </cell>
          <cell r="C4983" t="str">
            <v>NG</v>
          </cell>
          <cell r="D4983" t="str">
            <v>200402</v>
          </cell>
          <cell r="E4983">
            <v>5.7460000000000004</v>
          </cell>
        </row>
        <row r="4984">
          <cell r="A4984" t="str">
            <v>37681200403</v>
          </cell>
          <cell r="B4984">
            <v>37681</v>
          </cell>
          <cell r="C4984" t="str">
            <v>NG</v>
          </cell>
          <cell r="D4984" t="str">
            <v>200403</v>
          </cell>
          <cell r="E4984">
            <v>5.5309999999999997</v>
          </cell>
        </row>
        <row r="4985">
          <cell r="A4985" t="str">
            <v>37681200404</v>
          </cell>
          <cell r="B4985">
            <v>37681</v>
          </cell>
          <cell r="C4985" t="str">
            <v>NG</v>
          </cell>
          <cell r="D4985" t="str">
            <v>200404</v>
          </cell>
          <cell r="E4985">
            <v>4.8760000000000003</v>
          </cell>
        </row>
        <row r="4986">
          <cell r="A4986" t="str">
            <v>37681200405</v>
          </cell>
          <cell r="B4986">
            <v>37681</v>
          </cell>
          <cell r="C4986" t="str">
            <v>NG</v>
          </cell>
          <cell r="D4986" t="str">
            <v>200405</v>
          </cell>
          <cell r="E4986">
            <v>4.6509999999999998</v>
          </cell>
        </row>
        <row r="4987">
          <cell r="A4987" t="str">
            <v>37681200406</v>
          </cell>
          <cell r="B4987">
            <v>37681</v>
          </cell>
          <cell r="C4987" t="str">
            <v>NG</v>
          </cell>
          <cell r="D4987" t="str">
            <v>200406</v>
          </cell>
          <cell r="E4987">
            <v>4.5309999999999997</v>
          </cell>
        </row>
        <row r="4988">
          <cell r="A4988" t="str">
            <v>37681200407</v>
          </cell>
          <cell r="B4988">
            <v>37681</v>
          </cell>
          <cell r="C4988" t="str">
            <v>NG</v>
          </cell>
          <cell r="D4988" t="str">
            <v>200407</v>
          </cell>
          <cell r="E4988">
            <v>4.4610000000000003</v>
          </cell>
        </row>
        <row r="4989">
          <cell r="A4989" t="str">
            <v>37681200408</v>
          </cell>
          <cell r="B4989">
            <v>37681</v>
          </cell>
          <cell r="C4989" t="str">
            <v>NG</v>
          </cell>
          <cell r="D4989" t="str">
            <v>200408</v>
          </cell>
          <cell r="E4989">
            <v>4.4610000000000003</v>
          </cell>
        </row>
        <row r="4990">
          <cell r="A4990" t="str">
            <v>37681200409</v>
          </cell>
          <cell r="B4990">
            <v>37681</v>
          </cell>
          <cell r="C4990" t="str">
            <v>NG</v>
          </cell>
          <cell r="D4990" t="str">
            <v>200409</v>
          </cell>
          <cell r="E4990">
            <v>4.4610000000000003</v>
          </cell>
        </row>
        <row r="4991">
          <cell r="A4991" t="str">
            <v>37681200410</v>
          </cell>
          <cell r="B4991">
            <v>37681</v>
          </cell>
          <cell r="C4991" t="str">
            <v>NG</v>
          </cell>
          <cell r="D4991" t="str">
            <v>200410</v>
          </cell>
          <cell r="E4991">
            <v>4.4909999999999997</v>
          </cell>
        </row>
        <row r="4992">
          <cell r="A4992" t="str">
            <v>37681200411</v>
          </cell>
          <cell r="B4992">
            <v>37681</v>
          </cell>
          <cell r="C4992" t="str">
            <v>NG</v>
          </cell>
          <cell r="D4992" t="str">
            <v>200411</v>
          </cell>
          <cell r="E4992">
            <v>4.6909999999999998</v>
          </cell>
        </row>
        <row r="4993">
          <cell r="A4993" t="str">
            <v>37681200412</v>
          </cell>
          <cell r="B4993">
            <v>37681</v>
          </cell>
          <cell r="C4993" t="str">
            <v>NG</v>
          </cell>
          <cell r="D4993" t="str">
            <v>200412</v>
          </cell>
          <cell r="E4993">
            <v>4.8609999999999998</v>
          </cell>
        </row>
        <row r="4994">
          <cell r="A4994" t="str">
            <v>37682200401</v>
          </cell>
          <cell r="B4994">
            <v>37682</v>
          </cell>
          <cell r="C4994" t="str">
            <v>NG</v>
          </cell>
          <cell r="D4994" t="str">
            <v>200401</v>
          </cell>
          <cell r="E4994">
            <v>5.8710000000000004</v>
          </cell>
        </row>
        <row r="4995">
          <cell r="A4995" t="str">
            <v>37682200402</v>
          </cell>
          <cell r="B4995">
            <v>37682</v>
          </cell>
          <cell r="C4995" t="str">
            <v>NG</v>
          </cell>
          <cell r="D4995" t="str">
            <v>200402</v>
          </cell>
          <cell r="E4995">
            <v>5.7460000000000004</v>
          </cell>
        </row>
        <row r="4996">
          <cell r="A4996" t="str">
            <v>37682200403</v>
          </cell>
          <cell r="B4996">
            <v>37682</v>
          </cell>
          <cell r="C4996" t="str">
            <v>NG</v>
          </cell>
          <cell r="D4996" t="str">
            <v>200403</v>
          </cell>
          <cell r="E4996">
            <v>5.5309999999999997</v>
          </cell>
        </row>
        <row r="4997">
          <cell r="A4997" t="str">
            <v>37682200404</v>
          </cell>
          <cell r="B4997">
            <v>37682</v>
          </cell>
          <cell r="C4997" t="str">
            <v>NG</v>
          </cell>
          <cell r="D4997" t="str">
            <v>200404</v>
          </cell>
          <cell r="E4997">
            <v>4.8760000000000003</v>
          </cell>
        </row>
        <row r="4998">
          <cell r="A4998" t="str">
            <v>37682200405</v>
          </cell>
          <cell r="B4998">
            <v>37682</v>
          </cell>
          <cell r="C4998" t="str">
            <v>NG</v>
          </cell>
          <cell r="D4998" t="str">
            <v>200405</v>
          </cell>
          <cell r="E4998">
            <v>4.6509999999999998</v>
          </cell>
        </row>
        <row r="4999">
          <cell r="A4999" t="str">
            <v>37682200406</v>
          </cell>
          <cell r="B4999">
            <v>37682</v>
          </cell>
          <cell r="C4999" t="str">
            <v>NG</v>
          </cell>
          <cell r="D4999" t="str">
            <v>200406</v>
          </cell>
          <cell r="E4999">
            <v>4.5309999999999997</v>
          </cell>
        </row>
        <row r="5000">
          <cell r="A5000" t="str">
            <v>37682200407</v>
          </cell>
          <cell r="B5000">
            <v>37682</v>
          </cell>
          <cell r="C5000" t="str">
            <v>NG</v>
          </cell>
          <cell r="D5000" t="str">
            <v>200407</v>
          </cell>
          <cell r="E5000">
            <v>4.4610000000000003</v>
          </cell>
        </row>
        <row r="5001">
          <cell r="A5001" t="str">
            <v>37682200408</v>
          </cell>
          <cell r="B5001">
            <v>37682</v>
          </cell>
          <cell r="C5001" t="str">
            <v>NG</v>
          </cell>
          <cell r="D5001" t="str">
            <v>200408</v>
          </cell>
          <cell r="E5001">
            <v>4.4610000000000003</v>
          </cell>
        </row>
        <row r="5002">
          <cell r="A5002" t="str">
            <v>37682200409</v>
          </cell>
          <cell r="B5002">
            <v>37682</v>
          </cell>
          <cell r="C5002" t="str">
            <v>NG</v>
          </cell>
          <cell r="D5002" t="str">
            <v>200409</v>
          </cell>
          <cell r="E5002">
            <v>4.4610000000000003</v>
          </cell>
        </row>
        <row r="5003">
          <cell r="A5003" t="str">
            <v>37682200410</v>
          </cell>
          <cell r="B5003">
            <v>37682</v>
          </cell>
          <cell r="C5003" t="str">
            <v>NG</v>
          </cell>
          <cell r="D5003" t="str">
            <v>200410</v>
          </cell>
          <cell r="E5003">
            <v>4.4909999999999997</v>
          </cell>
        </row>
        <row r="5004">
          <cell r="A5004" t="str">
            <v>37682200411</v>
          </cell>
          <cell r="B5004">
            <v>37682</v>
          </cell>
          <cell r="C5004" t="str">
            <v>NG</v>
          </cell>
          <cell r="D5004" t="str">
            <v>200411</v>
          </cell>
          <cell r="E5004">
            <v>4.6909999999999998</v>
          </cell>
        </row>
        <row r="5005">
          <cell r="A5005" t="str">
            <v>37682200412</v>
          </cell>
          <cell r="B5005">
            <v>37682</v>
          </cell>
          <cell r="C5005" t="str">
            <v>NG</v>
          </cell>
          <cell r="D5005" t="str">
            <v>200412</v>
          </cell>
          <cell r="E5005">
            <v>4.8609999999999998</v>
          </cell>
        </row>
        <row r="5006">
          <cell r="A5006" t="str">
            <v>37683200401</v>
          </cell>
          <cell r="B5006">
            <v>37683</v>
          </cell>
          <cell r="C5006" t="str">
            <v>NG</v>
          </cell>
          <cell r="D5006" t="str">
            <v>200401</v>
          </cell>
          <cell r="E5006">
            <v>5.8710000000000004</v>
          </cell>
        </row>
        <row r="5007">
          <cell r="A5007" t="str">
            <v>37683200402</v>
          </cell>
          <cell r="B5007">
            <v>37683</v>
          </cell>
          <cell r="C5007" t="str">
            <v>NG</v>
          </cell>
          <cell r="D5007" t="str">
            <v>200402</v>
          </cell>
          <cell r="E5007">
            <v>5.7460000000000004</v>
          </cell>
        </row>
        <row r="5008">
          <cell r="A5008" t="str">
            <v>37683200403</v>
          </cell>
          <cell r="B5008">
            <v>37683</v>
          </cell>
          <cell r="C5008" t="str">
            <v>NG</v>
          </cell>
          <cell r="D5008" t="str">
            <v>200403</v>
          </cell>
          <cell r="E5008">
            <v>5.5309999999999997</v>
          </cell>
        </row>
        <row r="5009">
          <cell r="A5009" t="str">
            <v>37683200404</v>
          </cell>
          <cell r="B5009">
            <v>37683</v>
          </cell>
          <cell r="C5009" t="str">
            <v>NG</v>
          </cell>
          <cell r="D5009" t="str">
            <v>200404</v>
          </cell>
          <cell r="E5009">
            <v>4.8760000000000003</v>
          </cell>
        </row>
        <row r="5010">
          <cell r="A5010" t="str">
            <v>37683200405</v>
          </cell>
          <cell r="B5010">
            <v>37683</v>
          </cell>
          <cell r="C5010" t="str">
            <v>NG</v>
          </cell>
          <cell r="D5010" t="str">
            <v>200405</v>
          </cell>
          <cell r="E5010">
            <v>4.6509999999999998</v>
          </cell>
        </row>
        <row r="5011">
          <cell r="A5011" t="str">
            <v>37683200406</v>
          </cell>
          <cell r="B5011">
            <v>37683</v>
          </cell>
          <cell r="C5011" t="str">
            <v>NG</v>
          </cell>
          <cell r="D5011" t="str">
            <v>200406</v>
          </cell>
          <cell r="E5011">
            <v>4.5309999999999997</v>
          </cell>
        </row>
        <row r="5012">
          <cell r="A5012" t="str">
            <v>37683200407</v>
          </cell>
          <cell r="B5012">
            <v>37683</v>
          </cell>
          <cell r="C5012" t="str">
            <v>NG</v>
          </cell>
          <cell r="D5012" t="str">
            <v>200407</v>
          </cell>
          <cell r="E5012">
            <v>4.4610000000000003</v>
          </cell>
        </row>
        <row r="5013">
          <cell r="A5013" t="str">
            <v>37683200408</v>
          </cell>
          <cell r="B5013">
            <v>37683</v>
          </cell>
          <cell r="C5013" t="str">
            <v>NG</v>
          </cell>
          <cell r="D5013" t="str">
            <v>200408</v>
          </cell>
          <cell r="E5013">
            <v>4.4610000000000003</v>
          </cell>
        </row>
        <row r="5014">
          <cell r="A5014" t="str">
            <v>37683200409</v>
          </cell>
          <cell r="B5014">
            <v>37683</v>
          </cell>
          <cell r="C5014" t="str">
            <v>NG</v>
          </cell>
          <cell r="D5014" t="str">
            <v>200409</v>
          </cell>
          <cell r="E5014">
            <v>4.4610000000000003</v>
          </cell>
        </row>
        <row r="5015">
          <cell r="A5015" t="str">
            <v>37683200410</v>
          </cell>
          <cell r="B5015">
            <v>37683</v>
          </cell>
          <cell r="C5015" t="str">
            <v>NG</v>
          </cell>
          <cell r="D5015" t="str">
            <v>200410</v>
          </cell>
          <cell r="E5015">
            <v>4.4909999999999997</v>
          </cell>
        </row>
        <row r="5016">
          <cell r="A5016" t="str">
            <v>37683200411</v>
          </cell>
          <cell r="B5016">
            <v>37683</v>
          </cell>
          <cell r="C5016" t="str">
            <v>NG</v>
          </cell>
          <cell r="D5016" t="str">
            <v>200411</v>
          </cell>
          <cell r="E5016">
            <v>4.6909999999999998</v>
          </cell>
        </row>
        <row r="5017">
          <cell r="A5017" t="str">
            <v>37683200412</v>
          </cell>
          <cell r="B5017">
            <v>37683</v>
          </cell>
          <cell r="C5017" t="str">
            <v>NG</v>
          </cell>
          <cell r="D5017" t="str">
            <v>200412</v>
          </cell>
          <cell r="E5017">
            <v>4.8609999999999998</v>
          </cell>
        </row>
        <row r="5018">
          <cell r="A5018" t="str">
            <v>37684200401</v>
          </cell>
          <cell r="B5018">
            <v>37684</v>
          </cell>
          <cell r="C5018" t="str">
            <v>NG</v>
          </cell>
          <cell r="D5018" t="str">
            <v>200401</v>
          </cell>
          <cell r="E5018">
            <v>5.8710000000000004</v>
          </cell>
        </row>
        <row r="5019">
          <cell r="A5019" t="str">
            <v>37684200402</v>
          </cell>
          <cell r="B5019">
            <v>37684</v>
          </cell>
          <cell r="C5019" t="str">
            <v>NG</v>
          </cell>
          <cell r="D5019" t="str">
            <v>200402</v>
          </cell>
          <cell r="E5019">
            <v>5.7460000000000004</v>
          </cell>
        </row>
        <row r="5020">
          <cell r="A5020" t="str">
            <v>37684200403</v>
          </cell>
          <cell r="B5020">
            <v>37684</v>
          </cell>
          <cell r="C5020" t="str">
            <v>NG</v>
          </cell>
          <cell r="D5020" t="str">
            <v>200403</v>
          </cell>
          <cell r="E5020">
            <v>5.5309999999999997</v>
          </cell>
        </row>
        <row r="5021">
          <cell r="A5021" t="str">
            <v>37684200404</v>
          </cell>
          <cell r="B5021">
            <v>37684</v>
          </cell>
          <cell r="C5021" t="str">
            <v>NG</v>
          </cell>
          <cell r="D5021" t="str">
            <v>200404</v>
          </cell>
          <cell r="E5021">
            <v>4.8760000000000003</v>
          </cell>
        </row>
        <row r="5022">
          <cell r="A5022" t="str">
            <v>37684200405</v>
          </cell>
          <cell r="B5022">
            <v>37684</v>
          </cell>
          <cell r="C5022" t="str">
            <v>NG</v>
          </cell>
          <cell r="D5022" t="str">
            <v>200405</v>
          </cell>
          <cell r="E5022">
            <v>4.6509999999999998</v>
          </cell>
        </row>
        <row r="5023">
          <cell r="A5023" t="str">
            <v>37684200406</v>
          </cell>
          <cell r="B5023">
            <v>37684</v>
          </cell>
          <cell r="C5023" t="str">
            <v>NG</v>
          </cell>
          <cell r="D5023" t="str">
            <v>200406</v>
          </cell>
          <cell r="E5023">
            <v>4.5309999999999997</v>
          </cell>
        </row>
        <row r="5024">
          <cell r="A5024" t="str">
            <v>37684200407</v>
          </cell>
          <cell r="B5024">
            <v>37684</v>
          </cell>
          <cell r="C5024" t="str">
            <v>NG</v>
          </cell>
          <cell r="D5024" t="str">
            <v>200407</v>
          </cell>
          <cell r="E5024">
            <v>4.4610000000000003</v>
          </cell>
        </row>
        <row r="5025">
          <cell r="A5025" t="str">
            <v>37684200408</v>
          </cell>
          <cell r="B5025">
            <v>37684</v>
          </cell>
          <cell r="C5025" t="str">
            <v>NG</v>
          </cell>
          <cell r="D5025" t="str">
            <v>200408</v>
          </cell>
          <cell r="E5025">
            <v>4.4610000000000003</v>
          </cell>
        </row>
        <row r="5026">
          <cell r="A5026" t="str">
            <v>37684200409</v>
          </cell>
          <cell r="B5026">
            <v>37684</v>
          </cell>
          <cell r="C5026" t="str">
            <v>NG</v>
          </cell>
          <cell r="D5026" t="str">
            <v>200409</v>
          </cell>
          <cell r="E5026">
            <v>4.4610000000000003</v>
          </cell>
        </row>
        <row r="5027">
          <cell r="A5027" t="str">
            <v>37684200410</v>
          </cell>
          <cell r="B5027">
            <v>37684</v>
          </cell>
          <cell r="C5027" t="str">
            <v>NG</v>
          </cell>
          <cell r="D5027" t="str">
            <v>200410</v>
          </cell>
          <cell r="E5027">
            <v>4.4909999999999997</v>
          </cell>
        </row>
        <row r="5028">
          <cell r="A5028" t="str">
            <v>37684200411</v>
          </cell>
          <cell r="B5028">
            <v>37684</v>
          </cell>
          <cell r="C5028" t="str">
            <v>NG</v>
          </cell>
          <cell r="D5028" t="str">
            <v>200411</v>
          </cell>
          <cell r="E5028">
            <v>4.6909999999999998</v>
          </cell>
        </row>
        <row r="5029">
          <cell r="A5029" t="str">
            <v>37684200412</v>
          </cell>
          <cell r="B5029">
            <v>37684</v>
          </cell>
          <cell r="C5029" t="str">
            <v>NG</v>
          </cell>
          <cell r="D5029" t="str">
            <v>200412</v>
          </cell>
          <cell r="E5029">
            <v>4.8609999999999998</v>
          </cell>
        </row>
        <row r="5030">
          <cell r="A5030" t="str">
            <v>37685200401</v>
          </cell>
          <cell r="B5030">
            <v>37685</v>
          </cell>
          <cell r="C5030" t="str">
            <v>NG</v>
          </cell>
          <cell r="D5030" t="str">
            <v>200401</v>
          </cell>
          <cell r="E5030">
            <v>5.8710000000000004</v>
          </cell>
        </row>
        <row r="5031">
          <cell r="A5031" t="str">
            <v>37685200402</v>
          </cell>
          <cell r="B5031">
            <v>37685</v>
          </cell>
          <cell r="C5031" t="str">
            <v>NG</v>
          </cell>
          <cell r="D5031" t="str">
            <v>200402</v>
          </cell>
          <cell r="E5031">
            <v>5.7460000000000004</v>
          </cell>
        </row>
        <row r="5032">
          <cell r="A5032" t="str">
            <v>37685200403</v>
          </cell>
          <cell r="B5032">
            <v>37685</v>
          </cell>
          <cell r="C5032" t="str">
            <v>NG</v>
          </cell>
          <cell r="D5032" t="str">
            <v>200403</v>
          </cell>
          <cell r="E5032">
            <v>5.5309999999999997</v>
          </cell>
        </row>
        <row r="5033">
          <cell r="A5033" t="str">
            <v>37685200404</v>
          </cell>
          <cell r="B5033">
            <v>37685</v>
          </cell>
          <cell r="C5033" t="str">
            <v>NG</v>
          </cell>
          <cell r="D5033" t="str">
            <v>200404</v>
          </cell>
          <cell r="E5033">
            <v>4.8760000000000003</v>
          </cell>
        </row>
        <row r="5034">
          <cell r="A5034" t="str">
            <v>37685200405</v>
          </cell>
          <cell r="B5034">
            <v>37685</v>
          </cell>
          <cell r="C5034" t="str">
            <v>NG</v>
          </cell>
          <cell r="D5034" t="str">
            <v>200405</v>
          </cell>
          <cell r="E5034">
            <v>4.6509999999999998</v>
          </cell>
        </row>
        <row r="5035">
          <cell r="A5035" t="str">
            <v>37685200406</v>
          </cell>
          <cell r="B5035">
            <v>37685</v>
          </cell>
          <cell r="C5035" t="str">
            <v>NG</v>
          </cell>
          <cell r="D5035" t="str">
            <v>200406</v>
          </cell>
          <cell r="E5035">
            <v>4.5309999999999997</v>
          </cell>
        </row>
        <row r="5036">
          <cell r="A5036" t="str">
            <v>37685200407</v>
          </cell>
          <cell r="B5036">
            <v>37685</v>
          </cell>
          <cell r="C5036" t="str">
            <v>NG</v>
          </cell>
          <cell r="D5036" t="str">
            <v>200407</v>
          </cell>
          <cell r="E5036">
            <v>4.4610000000000003</v>
          </cell>
        </row>
        <row r="5037">
          <cell r="A5037" t="str">
            <v>37685200408</v>
          </cell>
          <cell r="B5037">
            <v>37685</v>
          </cell>
          <cell r="C5037" t="str">
            <v>NG</v>
          </cell>
          <cell r="D5037" t="str">
            <v>200408</v>
          </cell>
          <cell r="E5037">
            <v>4.4610000000000003</v>
          </cell>
        </row>
        <row r="5038">
          <cell r="A5038" t="str">
            <v>37685200409</v>
          </cell>
          <cell r="B5038">
            <v>37685</v>
          </cell>
          <cell r="C5038" t="str">
            <v>NG</v>
          </cell>
          <cell r="D5038" t="str">
            <v>200409</v>
          </cell>
          <cell r="E5038">
            <v>4.4610000000000003</v>
          </cell>
        </row>
        <row r="5039">
          <cell r="A5039" t="str">
            <v>37685200410</v>
          </cell>
          <cell r="B5039">
            <v>37685</v>
          </cell>
          <cell r="C5039" t="str">
            <v>NG</v>
          </cell>
          <cell r="D5039" t="str">
            <v>200410</v>
          </cell>
          <cell r="E5039">
            <v>4.4909999999999997</v>
          </cell>
        </row>
        <row r="5040">
          <cell r="A5040" t="str">
            <v>37685200411</v>
          </cell>
          <cell r="B5040">
            <v>37685</v>
          </cell>
          <cell r="C5040" t="str">
            <v>NG</v>
          </cell>
          <cell r="D5040" t="str">
            <v>200411</v>
          </cell>
          <cell r="E5040">
            <v>4.6909999999999998</v>
          </cell>
        </row>
        <row r="5041">
          <cell r="A5041" t="str">
            <v>37685200412</v>
          </cell>
          <cell r="B5041">
            <v>37685</v>
          </cell>
          <cell r="C5041" t="str">
            <v>NG</v>
          </cell>
          <cell r="D5041" t="str">
            <v>200412</v>
          </cell>
          <cell r="E5041">
            <v>4.8609999999999998</v>
          </cell>
        </row>
        <row r="5042">
          <cell r="A5042" t="str">
            <v>37686200401</v>
          </cell>
          <cell r="B5042">
            <v>37686</v>
          </cell>
          <cell r="C5042" t="str">
            <v>NG</v>
          </cell>
          <cell r="D5042" t="str">
            <v>200401</v>
          </cell>
          <cell r="E5042">
            <v>5.8710000000000004</v>
          </cell>
        </row>
        <row r="5043">
          <cell r="A5043" t="str">
            <v>37686200402</v>
          </cell>
          <cell r="B5043">
            <v>37686</v>
          </cell>
          <cell r="C5043" t="str">
            <v>NG</v>
          </cell>
          <cell r="D5043" t="str">
            <v>200402</v>
          </cell>
          <cell r="E5043">
            <v>5.7460000000000004</v>
          </cell>
        </row>
        <row r="5044">
          <cell r="A5044" t="str">
            <v>37686200403</v>
          </cell>
          <cell r="B5044">
            <v>37686</v>
          </cell>
          <cell r="C5044" t="str">
            <v>NG</v>
          </cell>
          <cell r="D5044" t="str">
            <v>200403</v>
          </cell>
          <cell r="E5044">
            <v>5.5309999999999997</v>
          </cell>
        </row>
        <row r="5045">
          <cell r="A5045" t="str">
            <v>37686200404</v>
          </cell>
          <cell r="B5045">
            <v>37686</v>
          </cell>
          <cell r="C5045" t="str">
            <v>NG</v>
          </cell>
          <cell r="D5045" t="str">
            <v>200404</v>
          </cell>
          <cell r="E5045">
            <v>4.8760000000000003</v>
          </cell>
        </row>
        <row r="5046">
          <cell r="A5046" t="str">
            <v>37686200405</v>
          </cell>
          <cell r="B5046">
            <v>37686</v>
          </cell>
          <cell r="C5046" t="str">
            <v>NG</v>
          </cell>
          <cell r="D5046" t="str">
            <v>200405</v>
          </cell>
          <cell r="E5046">
            <v>4.6509999999999998</v>
          </cell>
        </row>
        <row r="5047">
          <cell r="A5047" t="str">
            <v>37686200406</v>
          </cell>
          <cell r="B5047">
            <v>37686</v>
          </cell>
          <cell r="C5047" t="str">
            <v>NG</v>
          </cell>
          <cell r="D5047" t="str">
            <v>200406</v>
          </cell>
          <cell r="E5047">
            <v>4.5309999999999997</v>
          </cell>
        </row>
        <row r="5048">
          <cell r="A5048" t="str">
            <v>37686200407</v>
          </cell>
          <cell r="B5048">
            <v>37686</v>
          </cell>
          <cell r="C5048" t="str">
            <v>NG</v>
          </cell>
          <cell r="D5048" t="str">
            <v>200407</v>
          </cell>
          <cell r="E5048">
            <v>4.4610000000000003</v>
          </cell>
        </row>
        <row r="5049">
          <cell r="A5049" t="str">
            <v>37686200408</v>
          </cell>
          <cell r="B5049">
            <v>37686</v>
          </cell>
          <cell r="C5049" t="str">
            <v>NG</v>
          </cell>
          <cell r="D5049" t="str">
            <v>200408</v>
          </cell>
          <cell r="E5049">
            <v>4.4610000000000003</v>
          </cell>
        </row>
        <row r="5050">
          <cell r="A5050" t="str">
            <v>37686200409</v>
          </cell>
          <cell r="B5050">
            <v>37686</v>
          </cell>
          <cell r="C5050" t="str">
            <v>NG</v>
          </cell>
          <cell r="D5050" t="str">
            <v>200409</v>
          </cell>
          <cell r="E5050">
            <v>4.4610000000000003</v>
          </cell>
        </row>
        <row r="5051">
          <cell r="A5051" t="str">
            <v>37686200410</v>
          </cell>
          <cell r="B5051">
            <v>37686</v>
          </cell>
          <cell r="C5051" t="str">
            <v>NG</v>
          </cell>
          <cell r="D5051" t="str">
            <v>200410</v>
          </cell>
          <cell r="E5051">
            <v>4.4909999999999997</v>
          </cell>
        </row>
        <row r="5052">
          <cell r="A5052" t="str">
            <v>37686200411</v>
          </cell>
          <cell r="B5052">
            <v>37686</v>
          </cell>
          <cell r="C5052" t="str">
            <v>NG</v>
          </cell>
          <cell r="D5052" t="str">
            <v>200411</v>
          </cell>
          <cell r="E5052">
            <v>4.6909999999999998</v>
          </cell>
        </row>
        <row r="5053">
          <cell r="A5053" t="str">
            <v>37686200412</v>
          </cell>
          <cell r="B5053">
            <v>37686</v>
          </cell>
          <cell r="C5053" t="str">
            <v>NG</v>
          </cell>
          <cell r="D5053" t="str">
            <v>200412</v>
          </cell>
          <cell r="E5053">
            <v>4.8609999999999998</v>
          </cell>
        </row>
        <row r="5054">
          <cell r="A5054" t="str">
            <v>37687200401</v>
          </cell>
          <cell r="B5054">
            <v>37687</v>
          </cell>
          <cell r="C5054" t="str">
            <v>NG</v>
          </cell>
          <cell r="D5054" t="str">
            <v>200401</v>
          </cell>
          <cell r="E5054">
            <v>5.8710000000000004</v>
          </cell>
        </row>
        <row r="5055">
          <cell r="A5055" t="str">
            <v>37687200402</v>
          </cell>
          <cell r="B5055">
            <v>37687</v>
          </cell>
          <cell r="C5055" t="str">
            <v>NG</v>
          </cell>
          <cell r="D5055" t="str">
            <v>200402</v>
          </cell>
          <cell r="E5055">
            <v>5.7460000000000004</v>
          </cell>
        </row>
        <row r="5056">
          <cell r="A5056" t="str">
            <v>37687200403</v>
          </cell>
          <cell r="B5056">
            <v>37687</v>
          </cell>
          <cell r="C5056" t="str">
            <v>NG</v>
          </cell>
          <cell r="D5056" t="str">
            <v>200403</v>
          </cell>
          <cell r="E5056">
            <v>5.5309999999999997</v>
          </cell>
        </row>
        <row r="5057">
          <cell r="A5057" t="str">
            <v>37687200404</v>
          </cell>
          <cell r="B5057">
            <v>37687</v>
          </cell>
          <cell r="C5057" t="str">
            <v>NG</v>
          </cell>
          <cell r="D5057" t="str">
            <v>200404</v>
          </cell>
          <cell r="E5057">
            <v>4.8760000000000003</v>
          </cell>
        </row>
        <row r="5058">
          <cell r="A5058" t="str">
            <v>37687200405</v>
          </cell>
          <cell r="B5058">
            <v>37687</v>
          </cell>
          <cell r="C5058" t="str">
            <v>NG</v>
          </cell>
          <cell r="D5058" t="str">
            <v>200405</v>
          </cell>
          <cell r="E5058">
            <v>4.6509999999999998</v>
          </cell>
        </row>
        <row r="5059">
          <cell r="A5059" t="str">
            <v>37687200406</v>
          </cell>
          <cell r="B5059">
            <v>37687</v>
          </cell>
          <cell r="C5059" t="str">
            <v>NG</v>
          </cell>
          <cell r="D5059" t="str">
            <v>200406</v>
          </cell>
          <cell r="E5059">
            <v>4.5309999999999997</v>
          </cell>
        </row>
        <row r="5060">
          <cell r="A5060" t="str">
            <v>37687200407</v>
          </cell>
          <cell r="B5060">
            <v>37687</v>
          </cell>
          <cell r="C5060" t="str">
            <v>NG</v>
          </cell>
          <cell r="D5060" t="str">
            <v>200407</v>
          </cell>
          <cell r="E5060">
            <v>4.4610000000000003</v>
          </cell>
        </row>
        <row r="5061">
          <cell r="A5061" t="str">
            <v>37687200408</v>
          </cell>
          <cell r="B5061">
            <v>37687</v>
          </cell>
          <cell r="C5061" t="str">
            <v>NG</v>
          </cell>
          <cell r="D5061" t="str">
            <v>200408</v>
          </cell>
          <cell r="E5061">
            <v>4.4610000000000003</v>
          </cell>
        </row>
        <row r="5062">
          <cell r="A5062" t="str">
            <v>37687200409</v>
          </cell>
          <cell r="B5062">
            <v>37687</v>
          </cell>
          <cell r="C5062" t="str">
            <v>NG</v>
          </cell>
          <cell r="D5062" t="str">
            <v>200409</v>
          </cell>
          <cell r="E5062">
            <v>4.4610000000000003</v>
          </cell>
        </row>
        <row r="5063">
          <cell r="A5063" t="str">
            <v>37687200410</v>
          </cell>
          <cell r="B5063">
            <v>37687</v>
          </cell>
          <cell r="C5063" t="str">
            <v>NG</v>
          </cell>
          <cell r="D5063" t="str">
            <v>200410</v>
          </cell>
          <cell r="E5063">
            <v>4.4909999999999997</v>
          </cell>
        </row>
        <row r="5064">
          <cell r="A5064" t="str">
            <v>37687200411</v>
          </cell>
          <cell r="B5064">
            <v>37687</v>
          </cell>
          <cell r="C5064" t="str">
            <v>NG</v>
          </cell>
          <cell r="D5064" t="str">
            <v>200411</v>
          </cell>
          <cell r="E5064">
            <v>4.6909999999999998</v>
          </cell>
        </row>
        <row r="5065">
          <cell r="A5065" t="str">
            <v>37687200412</v>
          </cell>
          <cell r="B5065">
            <v>37687</v>
          </cell>
          <cell r="C5065" t="str">
            <v>NG</v>
          </cell>
          <cell r="D5065" t="str">
            <v>200412</v>
          </cell>
          <cell r="E5065">
            <v>4.8609999999999998</v>
          </cell>
        </row>
        <row r="5066">
          <cell r="A5066" t="str">
            <v>37688200401</v>
          </cell>
          <cell r="B5066">
            <v>37688</v>
          </cell>
          <cell r="C5066" t="str">
            <v>NG</v>
          </cell>
          <cell r="D5066" t="str">
            <v>200401</v>
          </cell>
          <cell r="E5066">
            <v>5.8710000000000004</v>
          </cell>
        </row>
        <row r="5067">
          <cell r="A5067" t="str">
            <v>37688200402</v>
          </cell>
          <cell r="B5067">
            <v>37688</v>
          </cell>
          <cell r="C5067" t="str">
            <v>NG</v>
          </cell>
          <cell r="D5067" t="str">
            <v>200402</v>
          </cell>
          <cell r="E5067">
            <v>5.7460000000000004</v>
          </cell>
        </row>
        <row r="5068">
          <cell r="A5068" t="str">
            <v>37688200403</v>
          </cell>
          <cell r="B5068">
            <v>37688</v>
          </cell>
          <cell r="C5068" t="str">
            <v>NG</v>
          </cell>
          <cell r="D5068" t="str">
            <v>200403</v>
          </cell>
          <cell r="E5068">
            <v>5.5309999999999997</v>
          </cell>
        </row>
        <row r="5069">
          <cell r="A5069" t="str">
            <v>37688200404</v>
          </cell>
          <cell r="B5069">
            <v>37688</v>
          </cell>
          <cell r="C5069" t="str">
            <v>NG</v>
          </cell>
          <cell r="D5069" t="str">
            <v>200404</v>
          </cell>
          <cell r="E5069">
            <v>4.8760000000000003</v>
          </cell>
        </row>
        <row r="5070">
          <cell r="A5070" t="str">
            <v>37688200405</v>
          </cell>
          <cell r="B5070">
            <v>37688</v>
          </cell>
          <cell r="C5070" t="str">
            <v>NG</v>
          </cell>
          <cell r="D5070" t="str">
            <v>200405</v>
          </cell>
          <cell r="E5070">
            <v>4.6509999999999998</v>
          </cell>
        </row>
        <row r="5071">
          <cell r="A5071" t="str">
            <v>37688200406</v>
          </cell>
          <cell r="B5071">
            <v>37688</v>
          </cell>
          <cell r="C5071" t="str">
            <v>NG</v>
          </cell>
          <cell r="D5071" t="str">
            <v>200406</v>
          </cell>
          <cell r="E5071">
            <v>4.5309999999999997</v>
          </cell>
        </row>
        <row r="5072">
          <cell r="A5072" t="str">
            <v>37688200407</v>
          </cell>
          <cell r="B5072">
            <v>37688</v>
          </cell>
          <cell r="C5072" t="str">
            <v>NG</v>
          </cell>
          <cell r="D5072" t="str">
            <v>200407</v>
          </cell>
          <cell r="E5072">
            <v>4.4610000000000003</v>
          </cell>
        </row>
        <row r="5073">
          <cell r="A5073" t="str">
            <v>37688200408</v>
          </cell>
          <cell r="B5073">
            <v>37688</v>
          </cell>
          <cell r="C5073" t="str">
            <v>NG</v>
          </cell>
          <cell r="D5073" t="str">
            <v>200408</v>
          </cell>
          <cell r="E5073">
            <v>4.4610000000000003</v>
          </cell>
        </row>
        <row r="5074">
          <cell r="A5074" t="str">
            <v>37688200409</v>
          </cell>
          <cell r="B5074">
            <v>37688</v>
          </cell>
          <cell r="C5074" t="str">
            <v>NG</v>
          </cell>
          <cell r="D5074" t="str">
            <v>200409</v>
          </cell>
          <cell r="E5074">
            <v>4.4610000000000003</v>
          </cell>
        </row>
        <row r="5075">
          <cell r="A5075" t="str">
            <v>37688200410</v>
          </cell>
          <cell r="B5075">
            <v>37688</v>
          </cell>
          <cell r="C5075" t="str">
            <v>NG</v>
          </cell>
          <cell r="D5075" t="str">
            <v>200410</v>
          </cell>
          <cell r="E5075">
            <v>4.4909999999999997</v>
          </cell>
        </row>
        <row r="5076">
          <cell r="A5076" t="str">
            <v>37688200411</v>
          </cell>
          <cell r="B5076">
            <v>37688</v>
          </cell>
          <cell r="C5076" t="str">
            <v>NG</v>
          </cell>
          <cell r="D5076" t="str">
            <v>200411</v>
          </cell>
          <cell r="E5076">
            <v>4.6909999999999998</v>
          </cell>
        </row>
        <row r="5077">
          <cell r="A5077" t="str">
            <v>37688200412</v>
          </cell>
          <cell r="B5077">
            <v>37688</v>
          </cell>
          <cell r="C5077" t="str">
            <v>NG</v>
          </cell>
          <cell r="D5077" t="str">
            <v>200412</v>
          </cell>
          <cell r="E5077">
            <v>4.8609999999999998</v>
          </cell>
        </row>
        <row r="5078">
          <cell r="A5078" t="str">
            <v>37689200401</v>
          </cell>
          <cell r="B5078">
            <v>37689</v>
          </cell>
          <cell r="C5078" t="str">
            <v>NG</v>
          </cell>
          <cell r="D5078" t="str">
            <v>200401</v>
          </cell>
          <cell r="E5078">
            <v>5.8710000000000004</v>
          </cell>
        </row>
        <row r="5079">
          <cell r="A5079" t="str">
            <v>37689200402</v>
          </cell>
          <cell r="B5079">
            <v>37689</v>
          </cell>
          <cell r="C5079" t="str">
            <v>NG</v>
          </cell>
          <cell r="D5079" t="str">
            <v>200402</v>
          </cell>
          <cell r="E5079">
            <v>5.7460000000000004</v>
          </cell>
        </row>
        <row r="5080">
          <cell r="A5080" t="str">
            <v>37689200403</v>
          </cell>
          <cell r="B5080">
            <v>37689</v>
          </cell>
          <cell r="C5080" t="str">
            <v>NG</v>
          </cell>
          <cell r="D5080" t="str">
            <v>200403</v>
          </cell>
          <cell r="E5080">
            <v>5.5309999999999997</v>
          </cell>
        </row>
        <row r="5081">
          <cell r="A5081" t="str">
            <v>37689200404</v>
          </cell>
          <cell r="B5081">
            <v>37689</v>
          </cell>
          <cell r="C5081" t="str">
            <v>NG</v>
          </cell>
          <cell r="D5081" t="str">
            <v>200404</v>
          </cell>
          <cell r="E5081">
            <v>4.8760000000000003</v>
          </cell>
        </row>
        <row r="5082">
          <cell r="A5082" t="str">
            <v>37689200405</v>
          </cell>
          <cell r="B5082">
            <v>37689</v>
          </cell>
          <cell r="C5082" t="str">
            <v>NG</v>
          </cell>
          <cell r="D5082" t="str">
            <v>200405</v>
          </cell>
          <cell r="E5082">
            <v>4.6509999999999998</v>
          </cell>
        </row>
        <row r="5083">
          <cell r="A5083" t="str">
            <v>37689200406</v>
          </cell>
          <cell r="B5083">
            <v>37689</v>
          </cell>
          <cell r="C5083" t="str">
            <v>NG</v>
          </cell>
          <cell r="D5083" t="str">
            <v>200406</v>
          </cell>
          <cell r="E5083">
            <v>4.5309999999999997</v>
          </cell>
        </row>
        <row r="5084">
          <cell r="A5084" t="str">
            <v>37689200407</v>
          </cell>
          <cell r="B5084">
            <v>37689</v>
          </cell>
          <cell r="C5084" t="str">
            <v>NG</v>
          </cell>
          <cell r="D5084" t="str">
            <v>200407</v>
          </cell>
          <cell r="E5084">
            <v>4.4610000000000003</v>
          </cell>
        </row>
        <row r="5085">
          <cell r="A5085" t="str">
            <v>37689200408</v>
          </cell>
          <cell r="B5085">
            <v>37689</v>
          </cell>
          <cell r="C5085" t="str">
            <v>NG</v>
          </cell>
          <cell r="D5085" t="str">
            <v>200408</v>
          </cell>
          <cell r="E5085">
            <v>4.4610000000000003</v>
          </cell>
        </row>
        <row r="5086">
          <cell r="A5086" t="str">
            <v>37689200409</v>
          </cell>
          <cell r="B5086">
            <v>37689</v>
          </cell>
          <cell r="C5086" t="str">
            <v>NG</v>
          </cell>
          <cell r="D5086" t="str">
            <v>200409</v>
          </cell>
          <cell r="E5086">
            <v>4.4610000000000003</v>
          </cell>
        </row>
        <row r="5087">
          <cell r="A5087" t="str">
            <v>37689200410</v>
          </cell>
          <cell r="B5087">
            <v>37689</v>
          </cell>
          <cell r="C5087" t="str">
            <v>NG</v>
          </cell>
          <cell r="D5087" t="str">
            <v>200410</v>
          </cell>
          <cell r="E5087">
            <v>4.4909999999999997</v>
          </cell>
        </row>
        <row r="5088">
          <cell r="A5088" t="str">
            <v>37689200411</v>
          </cell>
          <cell r="B5088">
            <v>37689</v>
          </cell>
          <cell r="C5088" t="str">
            <v>NG</v>
          </cell>
          <cell r="D5088" t="str">
            <v>200411</v>
          </cell>
          <cell r="E5088">
            <v>4.6909999999999998</v>
          </cell>
        </row>
        <row r="5089">
          <cell r="A5089" t="str">
            <v>37689200412</v>
          </cell>
          <cell r="B5089">
            <v>37689</v>
          </cell>
          <cell r="C5089" t="str">
            <v>NG</v>
          </cell>
          <cell r="D5089" t="str">
            <v>200412</v>
          </cell>
          <cell r="E5089">
            <v>4.8609999999999998</v>
          </cell>
        </row>
        <row r="5090">
          <cell r="A5090" t="str">
            <v>37690200401</v>
          </cell>
          <cell r="B5090">
            <v>37690</v>
          </cell>
          <cell r="C5090" t="str">
            <v>NG</v>
          </cell>
          <cell r="D5090" t="str">
            <v>200401</v>
          </cell>
          <cell r="E5090">
            <v>5.9749999999999996</v>
          </cell>
        </row>
        <row r="5091">
          <cell r="A5091" t="str">
            <v>37690200402</v>
          </cell>
          <cell r="B5091">
            <v>37690</v>
          </cell>
          <cell r="C5091" t="str">
            <v>NG</v>
          </cell>
          <cell r="D5091" t="str">
            <v>200402</v>
          </cell>
          <cell r="E5091">
            <v>5.82</v>
          </cell>
        </row>
        <row r="5092">
          <cell r="A5092" t="str">
            <v>37690200403</v>
          </cell>
          <cell r="B5092">
            <v>37690</v>
          </cell>
          <cell r="C5092" t="str">
            <v>NG</v>
          </cell>
          <cell r="D5092" t="str">
            <v>200403</v>
          </cell>
          <cell r="E5092">
            <v>5.6</v>
          </cell>
        </row>
        <row r="5093">
          <cell r="A5093" t="str">
            <v>37690200404</v>
          </cell>
          <cell r="B5093">
            <v>37690</v>
          </cell>
          <cell r="C5093" t="str">
            <v>NG</v>
          </cell>
          <cell r="D5093" t="str">
            <v>200404</v>
          </cell>
          <cell r="E5093">
            <v>4.95</v>
          </cell>
        </row>
        <row r="5094">
          <cell r="A5094" t="str">
            <v>37690200405</v>
          </cell>
          <cell r="B5094">
            <v>37690</v>
          </cell>
          <cell r="C5094" t="str">
            <v>NG</v>
          </cell>
          <cell r="D5094" t="str">
            <v>200405</v>
          </cell>
          <cell r="E5094">
            <v>4.7</v>
          </cell>
        </row>
        <row r="5095">
          <cell r="A5095" t="str">
            <v>37690200406</v>
          </cell>
          <cell r="B5095">
            <v>37690</v>
          </cell>
          <cell r="C5095" t="str">
            <v>NG</v>
          </cell>
          <cell r="D5095" t="str">
            <v>200406</v>
          </cell>
          <cell r="E5095">
            <v>4.5999999999999996</v>
          </cell>
        </row>
        <row r="5096">
          <cell r="A5096" t="str">
            <v>37690200407</v>
          </cell>
          <cell r="B5096">
            <v>37690</v>
          </cell>
          <cell r="C5096" t="str">
            <v>NG</v>
          </cell>
          <cell r="D5096" t="str">
            <v>200407</v>
          </cell>
          <cell r="E5096">
            <v>4.58</v>
          </cell>
        </row>
        <row r="5097">
          <cell r="A5097" t="str">
            <v>37690200408</v>
          </cell>
          <cell r="B5097">
            <v>37690</v>
          </cell>
          <cell r="C5097" t="str">
            <v>NG</v>
          </cell>
          <cell r="D5097" t="str">
            <v>200408</v>
          </cell>
          <cell r="E5097">
            <v>4.59</v>
          </cell>
        </row>
        <row r="5098">
          <cell r="A5098" t="str">
            <v>37690200409</v>
          </cell>
          <cell r="B5098">
            <v>37690</v>
          </cell>
          <cell r="C5098" t="str">
            <v>NG</v>
          </cell>
          <cell r="D5098" t="str">
            <v>200409</v>
          </cell>
          <cell r="E5098">
            <v>4.6100000000000003</v>
          </cell>
        </row>
        <row r="5099">
          <cell r="A5099" t="str">
            <v>37690200410</v>
          </cell>
          <cell r="B5099">
            <v>37690</v>
          </cell>
          <cell r="C5099" t="str">
            <v>NG</v>
          </cell>
          <cell r="D5099" t="str">
            <v>200410</v>
          </cell>
          <cell r="E5099">
            <v>4.62</v>
          </cell>
        </row>
        <row r="5100">
          <cell r="A5100" t="str">
            <v>37690200411</v>
          </cell>
          <cell r="B5100">
            <v>37690</v>
          </cell>
          <cell r="C5100" t="str">
            <v>NG</v>
          </cell>
          <cell r="D5100" t="str">
            <v>200411</v>
          </cell>
          <cell r="E5100">
            <v>4.82</v>
          </cell>
        </row>
        <row r="5101">
          <cell r="A5101" t="str">
            <v>37690200412</v>
          </cell>
          <cell r="B5101">
            <v>37690</v>
          </cell>
          <cell r="C5101" t="str">
            <v>NG</v>
          </cell>
          <cell r="D5101" t="str">
            <v>200412</v>
          </cell>
          <cell r="E5101">
            <v>4.9850000000000003</v>
          </cell>
        </row>
        <row r="5102">
          <cell r="A5102" t="str">
            <v>37691200401</v>
          </cell>
          <cell r="B5102">
            <v>37691</v>
          </cell>
          <cell r="C5102" t="str">
            <v>NG</v>
          </cell>
          <cell r="D5102" t="str">
            <v>200401</v>
          </cell>
          <cell r="E5102">
            <v>5.8550000000000004</v>
          </cell>
        </row>
        <row r="5103">
          <cell r="A5103" t="str">
            <v>37691200402</v>
          </cell>
          <cell r="B5103">
            <v>37691</v>
          </cell>
          <cell r="C5103" t="str">
            <v>NG</v>
          </cell>
          <cell r="D5103" t="str">
            <v>200402</v>
          </cell>
          <cell r="E5103">
            <v>5.7149999999999999</v>
          </cell>
        </row>
        <row r="5104">
          <cell r="A5104" t="str">
            <v>37691200403</v>
          </cell>
          <cell r="B5104">
            <v>37691</v>
          </cell>
          <cell r="C5104" t="str">
            <v>NG</v>
          </cell>
          <cell r="D5104" t="str">
            <v>200403</v>
          </cell>
          <cell r="E5104">
            <v>5.4950000000000001</v>
          </cell>
        </row>
        <row r="5105">
          <cell r="A5105" t="str">
            <v>37691200404</v>
          </cell>
          <cell r="B5105">
            <v>37691</v>
          </cell>
          <cell r="C5105" t="str">
            <v>NG</v>
          </cell>
          <cell r="D5105" t="str">
            <v>200404</v>
          </cell>
          <cell r="E5105">
            <v>4.8849999999999998</v>
          </cell>
        </row>
        <row r="5106">
          <cell r="A5106" t="str">
            <v>37691200405</v>
          </cell>
          <cell r="B5106">
            <v>37691</v>
          </cell>
          <cell r="C5106" t="str">
            <v>NG</v>
          </cell>
          <cell r="D5106" t="str">
            <v>200405</v>
          </cell>
          <cell r="E5106">
            <v>4.6550000000000002</v>
          </cell>
        </row>
        <row r="5107">
          <cell r="A5107" t="str">
            <v>37691200406</v>
          </cell>
          <cell r="B5107">
            <v>37691</v>
          </cell>
          <cell r="C5107" t="str">
            <v>NG</v>
          </cell>
          <cell r="D5107" t="str">
            <v>200406</v>
          </cell>
          <cell r="E5107">
            <v>4.5750000000000002</v>
          </cell>
        </row>
        <row r="5108">
          <cell r="A5108" t="str">
            <v>37691200407</v>
          </cell>
          <cell r="B5108">
            <v>37691</v>
          </cell>
          <cell r="C5108" t="str">
            <v>NG</v>
          </cell>
          <cell r="D5108" t="str">
            <v>200407</v>
          </cell>
          <cell r="E5108">
            <v>4.5449999999999999</v>
          </cell>
        </row>
        <row r="5109">
          <cell r="A5109" t="str">
            <v>37691200408</v>
          </cell>
          <cell r="B5109">
            <v>37691</v>
          </cell>
          <cell r="C5109" t="str">
            <v>NG</v>
          </cell>
          <cell r="D5109" t="str">
            <v>200408</v>
          </cell>
          <cell r="E5109">
            <v>4.5449999999999999</v>
          </cell>
        </row>
        <row r="5110">
          <cell r="A5110" t="str">
            <v>37691200409</v>
          </cell>
          <cell r="B5110">
            <v>37691</v>
          </cell>
          <cell r="C5110" t="str">
            <v>NG</v>
          </cell>
          <cell r="D5110" t="str">
            <v>200409</v>
          </cell>
          <cell r="E5110">
            <v>4.55</v>
          </cell>
        </row>
        <row r="5111">
          <cell r="A5111" t="str">
            <v>37691200410</v>
          </cell>
          <cell r="B5111">
            <v>37691</v>
          </cell>
          <cell r="C5111" t="str">
            <v>NG</v>
          </cell>
          <cell r="D5111" t="str">
            <v>200410</v>
          </cell>
          <cell r="E5111">
            <v>4.5549999999999997</v>
          </cell>
        </row>
        <row r="5112">
          <cell r="A5112" t="str">
            <v>37691200411</v>
          </cell>
          <cell r="B5112">
            <v>37691</v>
          </cell>
          <cell r="C5112" t="str">
            <v>NG</v>
          </cell>
          <cell r="D5112" t="str">
            <v>200411</v>
          </cell>
          <cell r="E5112">
            <v>4.7549999999999999</v>
          </cell>
        </row>
        <row r="5113">
          <cell r="A5113" t="str">
            <v>37691200412</v>
          </cell>
          <cell r="B5113">
            <v>37691</v>
          </cell>
          <cell r="C5113" t="str">
            <v>NG</v>
          </cell>
          <cell r="D5113" t="str">
            <v>200412</v>
          </cell>
          <cell r="E5113">
            <v>4.92</v>
          </cell>
        </row>
        <row r="5114">
          <cell r="A5114" t="str">
            <v>37692200401</v>
          </cell>
          <cell r="B5114">
            <v>37692</v>
          </cell>
          <cell r="C5114" t="str">
            <v>NG</v>
          </cell>
          <cell r="D5114" t="str">
            <v>200401</v>
          </cell>
          <cell r="E5114">
            <v>5.8550000000000004</v>
          </cell>
        </row>
        <row r="5115">
          <cell r="A5115" t="str">
            <v>37692200402</v>
          </cell>
          <cell r="B5115">
            <v>37692</v>
          </cell>
          <cell r="C5115" t="str">
            <v>NG</v>
          </cell>
          <cell r="D5115" t="str">
            <v>200402</v>
          </cell>
          <cell r="E5115">
            <v>5.7149999999999999</v>
          </cell>
        </row>
        <row r="5116">
          <cell r="A5116" t="str">
            <v>37692200403</v>
          </cell>
          <cell r="B5116">
            <v>37692</v>
          </cell>
          <cell r="C5116" t="str">
            <v>NG</v>
          </cell>
          <cell r="D5116" t="str">
            <v>200403</v>
          </cell>
          <cell r="E5116">
            <v>5.4850000000000003</v>
          </cell>
        </row>
        <row r="5117">
          <cell r="A5117" t="str">
            <v>37692200404</v>
          </cell>
          <cell r="B5117">
            <v>37692</v>
          </cell>
          <cell r="C5117" t="str">
            <v>NG</v>
          </cell>
          <cell r="D5117" t="str">
            <v>200404</v>
          </cell>
          <cell r="E5117">
            <v>4.875</v>
          </cell>
        </row>
        <row r="5118">
          <cell r="A5118" t="str">
            <v>37692200405</v>
          </cell>
          <cell r="B5118">
            <v>37692</v>
          </cell>
          <cell r="C5118" t="str">
            <v>NG</v>
          </cell>
          <cell r="D5118" t="str">
            <v>200405</v>
          </cell>
          <cell r="E5118">
            <v>4.6550000000000002</v>
          </cell>
        </row>
        <row r="5119">
          <cell r="A5119" t="str">
            <v>37692200406</v>
          </cell>
          <cell r="B5119">
            <v>37692</v>
          </cell>
          <cell r="C5119" t="str">
            <v>NG</v>
          </cell>
          <cell r="D5119" t="str">
            <v>200406</v>
          </cell>
          <cell r="E5119">
            <v>4.5750000000000002</v>
          </cell>
        </row>
        <row r="5120">
          <cell r="A5120" t="str">
            <v>37692200407</v>
          </cell>
          <cell r="B5120">
            <v>37692</v>
          </cell>
          <cell r="C5120" t="str">
            <v>NG</v>
          </cell>
          <cell r="D5120" t="str">
            <v>200407</v>
          </cell>
          <cell r="E5120">
            <v>4.5350000000000001</v>
          </cell>
        </row>
        <row r="5121">
          <cell r="A5121" t="str">
            <v>37692200408</v>
          </cell>
          <cell r="B5121">
            <v>37692</v>
          </cell>
          <cell r="C5121" t="str">
            <v>NG</v>
          </cell>
          <cell r="D5121" t="str">
            <v>200408</v>
          </cell>
          <cell r="E5121">
            <v>4.5350000000000001</v>
          </cell>
        </row>
        <row r="5122">
          <cell r="A5122" t="str">
            <v>37692200409</v>
          </cell>
          <cell r="B5122">
            <v>37692</v>
          </cell>
          <cell r="C5122" t="str">
            <v>NG</v>
          </cell>
          <cell r="D5122" t="str">
            <v>200409</v>
          </cell>
          <cell r="E5122">
            <v>4.54</v>
          </cell>
        </row>
        <row r="5123">
          <cell r="A5123" t="str">
            <v>37692200410</v>
          </cell>
          <cell r="B5123">
            <v>37692</v>
          </cell>
          <cell r="C5123" t="str">
            <v>NG</v>
          </cell>
          <cell r="D5123" t="str">
            <v>200410</v>
          </cell>
          <cell r="E5123">
            <v>4.5449999999999999</v>
          </cell>
        </row>
        <row r="5124">
          <cell r="A5124" t="str">
            <v>37692200411</v>
          </cell>
          <cell r="B5124">
            <v>37692</v>
          </cell>
          <cell r="C5124" t="str">
            <v>NG</v>
          </cell>
          <cell r="D5124" t="str">
            <v>200411</v>
          </cell>
          <cell r="E5124">
            <v>4.7450000000000001</v>
          </cell>
        </row>
        <row r="5125">
          <cell r="A5125" t="str">
            <v>37692200412</v>
          </cell>
          <cell r="B5125">
            <v>37692</v>
          </cell>
          <cell r="C5125" t="str">
            <v>NG</v>
          </cell>
          <cell r="D5125" t="str">
            <v>200412</v>
          </cell>
          <cell r="E5125">
            <v>4.91</v>
          </cell>
        </row>
        <row r="5126">
          <cell r="A5126" t="str">
            <v>37693200401</v>
          </cell>
          <cell r="B5126">
            <v>37693</v>
          </cell>
          <cell r="C5126" t="str">
            <v>NG</v>
          </cell>
          <cell r="D5126" t="str">
            <v>200401</v>
          </cell>
          <cell r="E5126">
            <v>5.62</v>
          </cell>
        </row>
        <row r="5127">
          <cell r="A5127" t="str">
            <v>37693200402</v>
          </cell>
          <cell r="B5127">
            <v>37693</v>
          </cell>
          <cell r="C5127" t="str">
            <v>NG</v>
          </cell>
          <cell r="D5127" t="str">
            <v>200402</v>
          </cell>
          <cell r="E5127">
            <v>5.4950000000000001</v>
          </cell>
        </row>
        <row r="5128">
          <cell r="A5128" t="str">
            <v>37693200403</v>
          </cell>
          <cell r="B5128">
            <v>37693</v>
          </cell>
          <cell r="C5128" t="str">
            <v>NG</v>
          </cell>
          <cell r="D5128" t="str">
            <v>200403</v>
          </cell>
          <cell r="E5128">
            <v>5.27</v>
          </cell>
        </row>
        <row r="5129">
          <cell r="A5129" t="str">
            <v>37693200404</v>
          </cell>
          <cell r="B5129">
            <v>37693</v>
          </cell>
          <cell r="C5129" t="str">
            <v>NG</v>
          </cell>
          <cell r="D5129" t="str">
            <v>200404</v>
          </cell>
          <cell r="E5129">
            <v>4.71</v>
          </cell>
        </row>
        <row r="5130">
          <cell r="A5130" t="str">
            <v>37693200405</v>
          </cell>
          <cell r="B5130">
            <v>37693</v>
          </cell>
          <cell r="C5130" t="str">
            <v>NG</v>
          </cell>
          <cell r="D5130" t="str">
            <v>200405</v>
          </cell>
          <cell r="E5130">
            <v>4.51</v>
          </cell>
        </row>
        <row r="5131">
          <cell r="A5131" t="str">
            <v>37693200406</v>
          </cell>
          <cell r="B5131">
            <v>37693</v>
          </cell>
          <cell r="C5131" t="str">
            <v>NG</v>
          </cell>
          <cell r="D5131" t="str">
            <v>200406</v>
          </cell>
          <cell r="E5131">
            <v>4.4400000000000004</v>
          </cell>
        </row>
        <row r="5132">
          <cell r="A5132" t="str">
            <v>37693200407</v>
          </cell>
          <cell r="B5132">
            <v>37693</v>
          </cell>
          <cell r="C5132" t="str">
            <v>NG</v>
          </cell>
          <cell r="D5132" t="str">
            <v>200407</v>
          </cell>
          <cell r="E5132">
            <v>4.4000000000000004</v>
          </cell>
        </row>
        <row r="5133">
          <cell r="A5133" t="str">
            <v>37693200408</v>
          </cell>
          <cell r="B5133">
            <v>37693</v>
          </cell>
          <cell r="C5133" t="str">
            <v>NG</v>
          </cell>
          <cell r="D5133" t="str">
            <v>200408</v>
          </cell>
          <cell r="E5133">
            <v>4.3949999999999996</v>
          </cell>
        </row>
        <row r="5134">
          <cell r="A5134" t="str">
            <v>37693200409</v>
          </cell>
          <cell r="B5134">
            <v>37693</v>
          </cell>
          <cell r="C5134" t="str">
            <v>NG</v>
          </cell>
          <cell r="D5134" t="str">
            <v>200409</v>
          </cell>
          <cell r="E5134">
            <v>4.4000000000000004</v>
          </cell>
        </row>
        <row r="5135">
          <cell r="A5135" t="str">
            <v>37693200410</v>
          </cell>
          <cell r="B5135">
            <v>37693</v>
          </cell>
          <cell r="C5135" t="str">
            <v>NG</v>
          </cell>
          <cell r="D5135" t="str">
            <v>200410</v>
          </cell>
          <cell r="E5135">
            <v>4.415</v>
          </cell>
        </row>
        <row r="5136">
          <cell r="A5136" t="str">
            <v>37693200411</v>
          </cell>
          <cell r="B5136">
            <v>37693</v>
          </cell>
          <cell r="C5136" t="str">
            <v>NG</v>
          </cell>
          <cell r="D5136" t="str">
            <v>200411</v>
          </cell>
          <cell r="E5136">
            <v>4.6449999999999996</v>
          </cell>
        </row>
        <row r="5137">
          <cell r="A5137" t="str">
            <v>37693200412</v>
          </cell>
          <cell r="B5137">
            <v>37693</v>
          </cell>
          <cell r="C5137" t="str">
            <v>NG</v>
          </cell>
          <cell r="D5137" t="str">
            <v>200412</v>
          </cell>
          <cell r="E5137">
            <v>4.83</v>
          </cell>
        </row>
        <row r="5138">
          <cell r="A5138" t="str">
            <v>37694200401</v>
          </cell>
          <cell r="B5138">
            <v>37694</v>
          </cell>
          <cell r="C5138" t="str">
            <v>NG</v>
          </cell>
          <cell r="D5138" t="str">
            <v>200401</v>
          </cell>
          <cell r="E5138">
            <v>5.569</v>
          </cell>
        </row>
        <row r="5139">
          <cell r="A5139" t="str">
            <v>37694200402</v>
          </cell>
          <cell r="B5139">
            <v>37694</v>
          </cell>
          <cell r="C5139" t="str">
            <v>NG</v>
          </cell>
          <cell r="D5139" t="str">
            <v>200402</v>
          </cell>
          <cell r="E5139">
            <v>5.4290000000000003</v>
          </cell>
        </row>
        <row r="5140">
          <cell r="A5140" t="str">
            <v>37694200403</v>
          </cell>
          <cell r="B5140">
            <v>37694</v>
          </cell>
          <cell r="C5140" t="str">
            <v>NG</v>
          </cell>
          <cell r="D5140" t="str">
            <v>200403</v>
          </cell>
          <cell r="E5140">
            <v>5.2039999999999997</v>
          </cell>
        </row>
        <row r="5141">
          <cell r="A5141" t="str">
            <v>37694200404</v>
          </cell>
          <cell r="B5141">
            <v>37694</v>
          </cell>
          <cell r="C5141" t="str">
            <v>NG</v>
          </cell>
          <cell r="D5141" t="str">
            <v>200404</v>
          </cell>
          <cell r="E5141">
            <v>4.6539999999999999</v>
          </cell>
        </row>
        <row r="5142">
          <cell r="A5142" t="str">
            <v>37694200405</v>
          </cell>
          <cell r="B5142">
            <v>37694</v>
          </cell>
          <cell r="C5142" t="str">
            <v>NG</v>
          </cell>
          <cell r="D5142" t="str">
            <v>200405</v>
          </cell>
          <cell r="E5142">
            <v>4.4740000000000002</v>
          </cell>
        </row>
        <row r="5143">
          <cell r="A5143" t="str">
            <v>37694200406</v>
          </cell>
          <cell r="B5143">
            <v>37694</v>
          </cell>
          <cell r="C5143" t="str">
            <v>NG</v>
          </cell>
          <cell r="D5143" t="str">
            <v>200406</v>
          </cell>
          <cell r="E5143">
            <v>4.4039999999999999</v>
          </cell>
        </row>
        <row r="5144">
          <cell r="A5144" t="str">
            <v>37694200407</v>
          </cell>
          <cell r="B5144">
            <v>37694</v>
          </cell>
          <cell r="C5144" t="str">
            <v>NG</v>
          </cell>
          <cell r="D5144" t="str">
            <v>200407</v>
          </cell>
          <cell r="E5144">
            <v>4.3940000000000001</v>
          </cell>
        </row>
        <row r="5145">
          <cell r="A5145" t="str">
            <v>37694200408</v>
          </cell>
          <cell r="B5145">
            <v>37694</v>
          </cell>
          <cell r="C5145" t="str">
            <v>NG</v>
          </cell>
          <cell r="D5145" t="str">
            <v>200408</v>
          </cell>
          <cell r="E5145">
            <v>4.3840000000000003</v>
          </cell>
        </row>
        <row r="5146">
          <cell r="A5146" t="str">
            <v>37694200409</v>
          </cell>
          <cell r="B5146">
            <v>37694</v>
          </cell>
          <cell r="C5146" t="str">
            <v>NG</v>
          </cell>
          <cell r="D5146" t="str">
            <v>200409</v>
          </cell>
          <cell r="E5146">
            <v>4.3840000000000003</v>
          </cell>
        </row>
        <row r="5147">
          <cell r="A5147" t="str">
            <v>37694200410</v>
          </cell>
          <cell r="B5147">
            <v>37694</v>
          </cell>
          <cell r="C5147" t="str">
            <v>NG</v>
          </cell>
          <cell r="D5147" t="str">
            <v>200410</v>
          </cell>
          <cell r="E5147">
            <v>4.3840000000000003</v>
          </cell>
        </row>
        <row r="5148">
          <cell r="A5148" t="str">
            <v>37694200411</v>
          </cell>
          <cell r="B5148">
            <v>37694</v>
          </cell>
          <cell r="C5148" t="str">
            <v>NG</v>
          </cell>
          <cell r="D5148" t="str">
            <v>200411</v>
          </cell>
          <cell r="E5148">
            <v>4.5940000000000003</v>
          </cell>
        </row>
        <row r="5149">
          <cell r="A5149" t="str">
            <v>37694200412</v>
          </cell>
          <cell r="B5149">
            <v>37694</v>
          </cell>
          <cell r="C5149" t="str">
            <v>NG</v>
          </cell>
          <cell r="D5149" t="str">
            <v>200412</v>
          </cell>
          <cell r="E5149">
            <v>4.819</v>
          </cell>
        </row>
        <row r="5150">
          <cell r="A5150" t="str">
            <v>37695200401</v>
          </cell>
          <cell r="B5150">
            <v>37695</v>
          </cell>
          <cell r="C5150" t="str">
            <v>NG</v>
          </cell>
          <cell r="D5150" t="str">
            <v>200401</v>
          </cell>
          <cell r="E5150">
            <v>5.569</v>
          </cell>
        </row>
        <row r="5151">
          <cell r="A5151" t="str">
            <v>37695200402</v>
          </cell>
          <cell r="B5151">
            <v>37695</v>
          </cell>
          <cell r="C5151" t="str">
            <v>NG</v>
          </cell>
          <cell r="D5151" t="str">
            <v>200402</v>
          </cell>
          <cell r="E5151">
            <v>5.4290000000000003</v>
          </cell>
        </row>
        <row r="5152">
          <cell r="A5152" t="str">
            <v>37695200403</v>
          </cell>
          <cell r="B5152">
            <v>37695</v>
          </cell>
          <cell r="C5152" t="str">
            <v>NG</v>
          </cell>
          <cell r="D5152" t="str">
            <v>200403</v>
          </cell>
          <cell r="E5152">
            <v>5.2039999999999997</v>
          </cell>
        </row>
        <row r="5153">
          <cell r="A5153" t="str">
            <v>37695200404</v>
          </cell>
          <cell r="B5153">
            <v>37695</v>
          </cell>
          <cell r="C5153" t="str">
            <v>NG</v>
          </cell>
          <cell r="D5153" t="str">
            <v>200404</v>
          </cell>
          <cell r="E5153">
            <v>4.6539999999999999</v>
          </cell>
        </row>
        <row r="5154">
          <cell r="A5154" t="str">
            <v>37695200405</v>
          </cell>
          <cell r="B5154">
            <v>37695</v>
          </cell>
          <cell r="C5154" t="str">
            <v>NG</v>
          </cell>
          <cell r="D5154" t="str">
            <v>200405</v>
          </cell>
          <cell r="E5154">
            <v>4.4740000000000002</v>
          </cell>
        </row>
        <row r="5155">
          <cell r="A5155" t="str">
            <v>37695200406</v>
          </cell>
          <cell r="B5155">
            <v>37695</v>
          </cell>
          <cell r="C5155" t="str">
            <v>NG</v>
          </cell>
          <cell r="D5155" t="str">
            <v>200406</v>
          </cell>
          <cell r="E5155">
            <v>4.4039999999999999</v>
          </cell>
        </row>
        <row r="5156">
          <cell r="A5156" t="str">
            <v>37695200407</v>
          </cell>
          <cell r="B5156">
            <v>37695</v>
          </cell>
          <cell r="C5156" t="str">
            <v>NG</v>
          </cell>
          <cell r="D5156" t="str">
            <v>200407</v>
          </cell>
          <cell r="E5156">
            <v>4.3940000000000001</v>
          </cell>
        </row>
        <row r="5157">
          <cell r="A5157" t="str">
            <v>37695200408</v>
          </cell>
          <cell r="B5157">
            <v>37695</v>
          </cell>
          <cell r="C5157" t="str">
            <v>NG</v>
          </cell>
          <cell r="D5157" t="str">
            <v>200408</v>
          </cell>
          <cell r="E5157">
            <v>4.3840000000000003</v>
          </cell>
        </row>
        <row r="5158">
          <cell r="A5158" t="str">
            <v>37695200409</v>
          </cell>
          <cell r="B5158">
            <v>37695</v>
          </cell>
          <cell r="C5158" t="str">
            <v>NG</v>
          </cell>
          <cell r="D5158" t="str">
            <v>200409</v>
          </cell>
          <cell r="E5158">
            <v>4.3840000000000003</v>
          </cell>
        </row>
        <row r="5159">
          <cell r="A5159" t="str">
            <v>37695200410</v>
          </cell>
          <cell r="B5159">
            <v>37695</v>
          </cell>
          <cell r="C5159" t="str">
            <v>NG</v>
          </cell>
          <cell r="D5159" t="str">
            <v>200410</v>
          </cell>
          <cell r="E5159">
            <v>4.3840000000000003</v>
          </cell>
        </row>
        <row r="5160">
          <cell r="A5160" t="str">
            <v>37695200411</v>
          </cell>
          <cell r="B5160">
            <v>37695</v>
          </cell>
          <cell r="C5160" t="str">
            <v>NG</v>
          </cell>
          <cell r="D5160" t="str">
            <v>200411</v>
          </cell>
          <cell r="E5160">
            <v>4.5940000000000003</v>
          </cell>
        </row>
        <row r="5161">
          <cell r="A5161" t="str">
            <v>37695200412</v>
          </cell>
          <cell r="B5161">
            <v>37695</v>
          </cell>
          <cell r="C5161" t="str">
            <v>NG</v>
          </cell>
          <cell r="D5161" t="str">
            <v>200412</v>
          </cell>
          <cell r="E5161">
            <v>4.819</v>
          </cell>
        </row>
        <row r="5162">
          <cell r="A5162" t="str">
            <v>37696200401</v>
          </cell>
          <cell r="B5162">
            <v>37696</v>
          </cell>
          <cell r="C5162" t="str">
            <v>NG</v>
          </cell>
          <cell r="D5162" t="str">
            <v>200401</v>
          </cell>
          <cell r="E5162">
            <v>5.569</v>
          </cell>
        </row>
        <row r="5163">
          <cell r="A5163" t="str">
            <v>37696200402</v>
          </cell>
          <cell r="B5163">
            <v>37696</v>
          </cell>
          <cell r="C5163" t="str">
            <v>NG</v>
          </cell>
          <cell r="D5163" t="str">
            <v>200402</v>
          </cell>
          <cell r="E5163">
            <v>5.4290000000000003</v>
          </cell>
        </row>
        <row r="5164">
          <cell r="A5164" t="str">
            <v>37696200403</v>
          </cell>
          <cell r="B5164">
            <v>37696</v>
          </cell>
          <cell r="C5164" t="str">
            <v>NG</v>
          </cell>
          <cell r="D5164" t="str">
            <v>200403</v>
          </cell>
          <cell r="E5164">
            <v>5.2039999999999997</v>
          </cell>
        </row>
        <row r="5165">
          <cell r="A5165" t="str">
            <v>37696200404</v>
          </cell>
          <cell r="B5165">
            <v>37696</v>
          </cell>
          <cell r="C5165" t="str">
            <v>NG</v>
          </cell>
          <cell r="D5165" t="str">
            <v>200404</v>
          </cell>
          <cell r="E5165">
            <v>4.6539999999999999</v>
          </cell>
        </row>
        <row r="5166">
          <cell r="A5166" t="str">
            <v>37696200405</v>
          </cell>
          <cell r="B5166">
            <v>37696</v>
          </cell>
          <cell r="C5166" t="str">
            <v>NG</v>
          </cell>
          <cell r="D5166" t="str">
            <v>200405</v>
          </cell>
          <cell r="E5166">
            <v>4.4740000000000002</v>
          </cell>
        </row>
        <row r="5167">
          <cell r="A5167" t="str">
            <v>37696200406</v>
          </cell>
          <cell r="B5167">
            <v>37696</v>
          </cell>
          <cell r="C5167" t="str">
            <v>NG</v>
          </cell>
          <cell r="D5167" t="str">
            <v>200406</v>
          </cell>
          <cell r="E5167">
            <v>4.4039999999999999</v>
          </cell>
        </row>
        <row r="5168">
          <cell r="A5168" t="str">
            <v>37696200407</v>
          </cell>
          <cell r="B5168">
            <v>37696</v>
          </cell>
          <cell r="C5168" t="str">
            <v>NG</v>
          </cell>
          <cell r="D5168" t="str">
            <v>200407</v>
          </cell>
          <cell r="E5168">
            <v>4.3940000000000001</v>
          </cell>
        </row>
        <row r="5169">
          <cell r="A5169" t="str">
            <v>37696200408</v>
          </cell>
          <cell r="B5169">
            <v>37696</v>
          </cell>
          <cell r="C5169" t="str">
            <v>NG</v>
          </cell>
          <cell r="D5169" t="str">
            <v>200408</v>
          </cell>
          <cell r="E5169">
            <v>4.3840000000000003</v>
          </cell>
        </row>
        <row r="5170">
          <cell r="A5170" t="str">
            <v>37696200409</v>
          </cell>
          <cell r="B5170">
            <v>37696</v>
          </cell>
          <cell r="C5170" t="str">
            <v>NG</v>
          </cell>
          <cell r="D5170" t="str">
            <v>200409</v>
          </cell>
          <cell r="E5170">
            <v>4.3840000000000003</v>
          </cell>
        </row>
        <row r="5171">
          <cell r="A5171" t="str">
            <v>37696200410</v>
          </cell>
          <cell r="B5171">
            <v>37696</v>
          </cell>
          <cell r="C5171" t="str">
            <v>NG</v>
          </cell>
          <cell r="D5171" t="str">
            <v>200410</v>
          </cell>
          <cell r="E5171">
            <v>4.3840000000000003</v>
          </cell>
        </row>
        <row r="5172">
          <cell r="A5172" t="str">
            <v>37696200411</v>
          </cell>
          <cell r="B5172">
            <v>37696</v>
          </cell>
          <cell r="C5172" t="str">
            <v>NG</v>
          </cell>
          <cell r="D5172" t="str">
            <v>200411</v>
          </cell>
          <cell r="E5172">
            <v>4.5940000000000003</v>
          </cell>
        </row>
        <row r="5173">
          <cell r="A5173" t="str">
            <v>37696200412</v>
          </cell>
          <cell r="B5173">
            <v>37696</v>
          </cell>
          <cell r="C5173" t="str">
            <v>NG</v>
          </cell>
          <cell r="D5173" t="str">
            <v>200412</v>
          </cell>
          <cell r="E5173">
            <v>4.819</v>
          </cell>
        </row>
        <row r="5174">
          <cell r="A5174" t="str">
            <v>37697200401</v>
          </cell>
          <cell r="B5174">
            <v>37697</v>
          </cell>
          <cell r="C5174" t="str">
            <v>NG</v>
          </cell>
          <cell r="D5174" t="str">
            <v>200401</v>
          </cell>
          <cell r="E5174">
            <v>5.51</v>
          </cell>
        </row>
        <row r="5175">
          <cell r="A5175" t="str">
            <v>37697200402</v>
          </cell>
          <cell r="B5175">
            <v>37697</v>
          </cell>
          <cell r="C5175" t="str">
            <v>NG</v>
          </cell>
          <cell r="D5175" t="str">
            <v>200402</v>
          </cell>
          <cell r="E5175">
            <v>5.37</v>
          </cell>
        </row>
        <row r="5176">
          <cell r="A5176" t="str">
            <v>37697200403</v>
          </cell>
          <cell r="B5176">
            <v>37697</v>
          </cell>
          <cell r="C5176" t="str">
            <v>NG</v>
          </cell>
          <cell r="D5176" t="str">
            <v>200403</v>
          </cell>
          <cell r="E5176">
            <v>5.1449999999999996</v>
          </cell>
        </row>
        <row r="5177">
          <cell r="A5177" t="str">
            <v>37697200404</v>
          </cell>
          <cell r="B5177">
            <v>37697</v>
          </cell>
          <cell r="C5177" t="str">
            <v>NG</v>
          </cell>
          <cell r="D5177" t="str">
            <v>200404</v>
          </cell>
          <cell r="E5177">
            <v>4.6349999999999998</v>
          </cell>
        </row>
        <row r="5178">
          <cell r="A5178" t="str">
            <v>37697200405</v>
          </cell>
          <cell r="B5178">
            <v>37697</v>
          </cell>
          <cell r="C5178" t="str">
            <v>NG</v>
          </cell>
          <cell r="D5178" t="str">
            <v>200405</v>
          </cell>
          <cell r="E5178">
            <v>4.4749999999999996</v>
          </cell>
        </row>
        <row r="5179">
          <cell r="A5179" t="str">
            <v>37697200406</v>
          </cell>
          <cell r="B5179">
            <v>37697</v>
          </cell>
          <cell r="C5179" t="str">
            <v>NG</v>
          </cell>
          <cell r="D5179" t="str">
            <v>200406</v>
          </cell>
          <cell r="E5179">
            <v>4.4050000000000002</v>
          </cell>
        </row>
        <row r="5180">
          <cell r="A5180" t="str">
            <v>37697200407</v>
          </cell>
          <cell r="B5180">
            <v>37697</v>
          </cell>
          <cell r="C5180" t="str">
            <v>NG</v>
          </cell>
          <cell r="D5180" t="str">
            <v>200407</v>
          </cell>
          <cell r="E5180">
            <v>4.3949999999999996</v>
          </cell>
        </row>
        <row r="5181">
          <cell r="A5181" t="str">
            <v>37697200408</v>
          </cell>
          <cell r="B5181">
            <v>37697</v>
          </cell>
          <cell r="C5181" t="str">
            <v>NG</v>
          </cell>
          <cell r="D5181" t="str">
            <v>200408</v>
          </cell>
          <cell r="E5181">
            <v>4.3849999999999998</v>
          </cell>
        </row>
        <row r="5182">
          <cell r="A5182" t="str">
            <v>37697200409</v>
          </cell>
          <cell r="B5182">
            <v>37697</v>
          </cell>
          <cell r="C5182" t="str">
            <v>NG</v>
          </cell>
          <cell r="D5182" t="str">
            <v>200409</v>
          </cell>
          <cell r="E5182">
            <v>4.375</v>
          </cell>
        </row>
        <row r="5183">
          <cell r="A5183" t="str">
            <v>37697200410</v>
          </cell>
          <cell r="B5183">
            <v>37697</v>
          </cell>
          <cell r="C5183" t="str">
            <v>NG</v>
          </cell>
          <cell r="D5183" t="str">
            <v>200410</v>
          </cell>
          <cell r="E5183">
            <v>4.375</v>
          </cell>
        </row>
        <row r="5184">
          <cell r="A5184" t="str">
            <v>37697200411</v>
          </cell>
          <cell r="B5184">
            <v>37697</v>
          </cell>
          <cell r="C5184" t="str">
            <v>NG</v>
          </cell>
          <cell r="D5184" t="str">
            <v>200411</v>
          </cell>
          <cell r="E5184">
            <v>4.585</v>
          </cell>
        </row>
        <row r="5185">
          <cell r="A5185" t="str">
            <v>37697200412</v>
          </cell>
          <cell r="B5185">
            <v>37697</v>
          </cell>
          <cell r="C5185" t="str">
            <v>NG</v>
          </cell>
          <cell r="D5185" t="str">
            <v>200412</v>
          </cell>
          <cell r="E5185">
            <v>4.78</v>
          </cell>
        </row>
        <row r="5186">
          <cell r="A5186" t="str">
            <v>37698200401</v>
          </cell>
          <cell r="B5186">
            <v>37698</v>
          </cell>
          <cell r="C5186" t="str">
            <v>NG</v>
          </cell>
          <cell r="D5186" t="str">
            <v>200401</v>
          </cell>
          <cell r="E5186">
            <v>5.44</v>
          </cell>
        </row>
        <row r="5187">
          <cell r="A5187" t="str">
            <v>37698200402</v>
          </cell>
          <cell r="B5187">
            <v>37698</v>
          </cell>
          <cell r="C5187" t="str">
            <v>NG</v>
          </cell>
          <cell r="D5187" t="str">
            <v>200402</v>
          </cell>
          <cell r="E5187">
            <v>5.3</v>
          </cell>
        </row>
        <row r="5188">
          <cell r="A5188" t="str">
            <v>37698200403</v>
          </cell>
          <cell r="B5188">
            <v>37698</v>
          </cell>
          <cell r="C5188" t="str">
            <v>NG</v>
          </cell>
          <cell r="D5188" t="str">
            <v>200403</v>
          </cell>
          <cell r="E5188">
            <v>5.0750000000000002</v>
          </cell>
        </row>
        <row r="5189">
          <cell r="A5189" t="str">
            <v>37698200404</v>
          </cell>
          <cell r="B5189">
            <v>37698</v>
          </cell>
          <cell r="C5189" t="str">
            <v>NG</v>
          </cell>
          <cell r="D5189" t="str">
            <v>200404</v>
          </cell>
          <cell r="E5189">
            <v>4.5949999999999998</v>
          </cell>
        </row>
        <row r="5190">
          <cell r="A5190" t="str">
            <v>37698200405</v>
          </cell>
          <cell r="B5190">
            <v>37698</v>
          </cell>
          <cell r="C5190" t="str">
            <v>NG</v>
          </cell>
          <cell r="D5190" t="str">
            <v>200405</v>
          </cell>
          <cell r="E5190">
            <v>4.4649999999999999</v>
          </cell>
        </row>
        <row r="5191">
          <cell r="A5191" t="str">
            <v>37698200406</v>
          </cell>
          <cell r="B5191">
            <v>37698</v>
          </cell>
          <cell r="C5191" t="str">
            <v>NG</v>
          </cell>
          <cell r="D5191" t="str">
            <v>200406</v>
          </cell>
          <cell r="E5191">
            <v>4.3949999999999996</v>
          </cell>
        </row>
        <row r="5192">
          <cell r="A5192" t="str">
            <v>37698200407</v>
          </cell>
          <cell r="B5192">
            <v>37698</v>
          </cell>
          <cell r="C5192" t="str">
            <v>NG</v>
          </cell>
          <cell r="D5192" t="str">
            <v>200407</v>
          </cell>
          <cell r="E5192">
            <v>4.3849999999999998</v>
          </cell>
        </row>
        <row r="5193">
          <cell r="A5193" t="str">
            <v>37698200408</v>
          </cell>
          <cell r="B5193">
            <v>37698</v>
          </cell>
          <cell r="C5193" t="str">
            <v>NG</v>
          </cell>
          <cell r="D5193" t="str">
            <v>200408</v>
          </cell>
          <cell r="E5193">
            <v>4.375</v>
          </cell>
        </row>
        <row r="5194">
          <cell r="A5194" t="str">
            <v>37698200409</v>
          </cell>
          <cell r="B5194">
            <v>37698</v>
          </cell>
          <cell r="C5194" t="str">
            <v>NG</v>
          </cell>
          <cell r="D5194" t="str">
            <v>200409</v>
          </cell>
          <cell r="E5194">
            <v>4.375</v>
          </cell>
        </row>
        <row r="5195">
          <cell r="A5195" t="str">
            <v>37698200410</v>
          </cell>
          <cell r="B5195">
            <v>37698</v>
          </cell>
          <cell r="C5195" t="str">
            <v>NG</v>
          </cell>
          <cell r="D5195" t="str">
            <v>200410</v>
          </cell>
          <cell r="E5195">
            <v>4.375</v>
          </cell>
        </row>
        <row r="5196">
          <cell r="A5196" t="str">
            <v>37698200411</v>
          </cell>
          <cell r="B5196">
            <v>37698</v>
          </cell>
          <cell r="C5196" t="str">
            <v>NG</v>
          </cell>
          <cell r="D5196" t="str">
            <v>200411</v>
          </cell>
          <cell r="E5196">
            <v>4.5949999999999998</v>
          </cell>
        </row>
        <row r="5197">
          <cell r="A5197" t="str">
            <v>37698200412</v>
          </cell>
          <cell r="B5197">
            <v>37698</v>
          </cell>
          <cell r="C5197" t="str">
            <v>NG</v>
          </cell>
          <cell r="D5197" t="str">
            <v>200412</v>
          </cell>
          <cell r="E5197">
            <v>4.78</v>
          </cell>
        </row>
        <row r="5198">
          <cell r="A5198" t="str">
            <v>37699200401</v>
          </cell>
          <cell r="B5198">
            <v>37699</v>
          </cell>
          <cell r="C5198" t="str">
            <v>NG</v>
          </cell>
          <cell r="D5198" t="str">
            <v>200401</v>
          </cell>
          <cell r="E5198">
            <v>5.4379999999999997</v>
          </cell>
        </row>
        <row r="5199">
          <cell r="A5199" t="str">
            <v>37699200402</v>
          </cell>
          <cell r="B5199">
            <v>37699</v>
          </cell>
          <cell r="C5199" t="str">
            <v>NG</v>
          </cell>
          <cell r="D5199" t="str">
            <v>200402</v>
          </cell>
          <cell r="E5199">
            <v>5.2949999999999999</v>
          </cell>
        </row>
        <row r="5200">
          <cell r="A5200" t="str">
            <v>37699200403</v>
          </cell>
          <cell r="B5200">
            <v>37699</v>
          </cell>
          <cell r="C5200" t="str">
            <v>NG</v>
          </cell>
          <cell r="D5200" t="str">
            <v>200403</v>
          </cell>
          <cell r="E5200">
            <v>5.0599999999999996</v>
          </cell>
        </row>
        <row r="5201">
          <cell r="A5201" t="str">
            <v>37699200404</v>
          </cell>
          <cell r="B5201">
            <v>37699</v>
          </cell>
          <cell r="C5201" t="str">
            <v>NG</v>
          </cell>
          <cell r="D5201" t="str">
            <v>200404</v>
          </cell>
          <cell r="E5201">
            <v>4.58</v>
          </cell>
        </row>
        <row r="5202">
          <cell r="A5202" t="str">
            <v>37699200405</v>
          </cell>
          <cell r="B5202">
            <v>37699</v>
          </cell>
          <cell r="C5202" t="str">
            <v>NG</v>
          </cell>
          <cell r="D5202" t="str">
            <v>200405</v>
          </cell>
          <cell r="E5202">
            <v>4.4550000000000001</v>
          </cell>
        </row>
        <row r="5203">
          <cell r="A5203" t="str">
            <v>37699200406</v>
          </cell>
          <cell r="B5203">
            <v>37699</v>
          </cell>
          <cell r="C5203" t="str">
            <v>NG</v>
          </cell>
          <cell r="D5203" t="str">
            <v>200406</v>
          </cell>
          <cell r="E5203">
            <v>4.3849999999999998</v>
          </cell>
        </row>
        <row r="5204">
          <cell r="A5204" t="str">
            <v>37699200407</v>
          </cell>
          <cell r="B5204">
            <v>37699</v>
          </cell>
          <cell r="C5204" t="str">
            <v>NG</v>
          </cell>
          <cell r="D5204" t="str">
            <v>200407</v>
          </cell>
          <cell r="E5204">
            <v>4.375</v>
          </cell>
        </row>
        <row r="5205">
          <cell r="A5205" t="str">
            <v>37699200408</v>
          </cell>
          <cell r="B5205">
            <v>37699</v>
          </cell>
          <cell r="C5205" t="str">
            <v>NG</v>
          </cell>
          <cell r="D5205" t="str">
            <v>200408</v>
          </cell>
          <cell r="E5205">
            <v>4.37</v>
          </cell>
        </row>
        <row r="5206">
          <cell r="A5206" t="str">
            <v>37699200409</v>
          </cell>
          <cell r="B5206">
            <v>37699</v>
          </cell>
          <cell r="C5206" t="str">
            <v>NG</v>
          </cell>
          <cell r="D5206" t="str">
            <v>200409</v>
          </cell>
          <cell r="E5206">
            <v>4.3949999999999996</v>
          </cell>
        </row>
        <row r="5207">
          <cell r="A5207" t="str">
            <v>37699200410</v>
          </cell>
          <cell r="B5207">
            <v>37699</v>
          </cell>
          <cell r="C5207" t="str">
            <v>NG</v>
          </cell>
          <cell r="D5207" t="str">
            <v>200410</v>
          </cell>
          <cell r="E5207">
            <v>4.4550000000000001</v>
          </cell>
        </row>
        <row r="5208">
          <cell r="A5208" t="str">
            <v>37699200411</v>
          </cell>
          <cell r="B5208">
            <v>37699</v>
          </cell>
          <cell r="C5208" t="str">
            <v>NG</v>
          </cell>
          <cell r="D5208" t="str">
            <v>200411</v>
          </cell>
          <cell r="E5208">
            <v>4.6449999999999996</v>
          </cell>
        </row>
        <row r="5209">
          <cell r="A5209" t="str">
            <v>37699200412</v>
          </cell>
          <cell r="B5209">
            <v>37699</v>
          </cell>
          <cell r="C5209" t="str">
            <v>NG</v>
          </cell>
          <cell r="D5209" t="str">
            <v>200412</v>
          </cell>
          <cell r="E5209">
            <v>4.8250000000000002</v>
          </cell>
        </row>
        <row r="5210">
          <cell r="A5210" t="str">
            <v>37700200401</v>
          </cell>
          <cell r="B5210">
            <v>37700</v>
          </cell>
          <cell r="C5210" t="str">
            <v>NG</v>
          </cell>
          <cell r="D5210" t="str">
            <v>200401</v>
          </cell>
          <cell r="E5210">
            <v>5.4509999999999996</v>
          </cell>
        </row>
        <row r="5211">
          <cell r="A5211" t="str">
            <v>37700200402</v>
          </cell>
          <cell r="B5211">
            <v>37700</v>
          </cell>
          <cell r="C5211" t="str">
            <v>NG</v>
          </cell>
          <cell r="D5211" t="str">
            <v>200402</v>
          </cell>
          <cell r="E5211">
            <v>5.3079999999999998</v>
          </cell>
        </row>
        <row r="5212">
          <cell r="A5212" t="str">
            <v>37700200403</v>
          </cell>
          <cell r="B5212">
            <v>37700</v>
          </cell>
          <cell r="C5212" t="str">
            <v>NG</v>
          </cell>
          <cell r="D5212" t="str">
            <v>200403</v>
          </cell>
          <cell r="E5212">
            <v>5.0730000000000004</v>
          </cell>
        </row>
        <row r="5213">
          <cell r="A5213" t="str">
            <v>37700200404</v>
          </cell>
          <cell r="B5213">
            <v>37700</v>
          </cell>
          <cell r="C5213" t="str">
            <v>NG</v>
          </cell>
          <cell r="D5213" t="str">
            <v>200404</v>
          </cell>
          <cell r="E5213">
            <v>4.593</v>
          </cell>
        </row>
        <row r="5214">
          <cell r="A5214" t="str">
            <v>37700200405</v>
          </cell>
          <cell r="B5214">
            <v>37700</v>
          </cell>
          <cell r="C5214" t="str">
            <v>NG</v>
          </cell>
          <cell r="D5214" t="str">
            <v>200405</v>
          </cell>
          <cell r="E5214">
            <v>4.4630000000000001</v>
          </cell>
        </row>
        <row r="5215">
          <cell r="A5215" t="str">
            <v>37700200406</v>
          </cell>
          <cell r="B5215">
            <v>37700</v>
          </cell>
          <cell r="C5215" t="str">
            <v>NG</v>
          </cell>
          <cell r="D5215" t="str">
            <v>200406</v>
          </cell>
          <cell r="E5215">
            <v>4.3929999999999998</v>
          </cell>
        </row>
        <row r="5216">
          <cell r="A5216" t="str">
            <v>37700200407</v>
          </cell>
          <cell r="B5216">
            <v>37700</v>
          </cell>
          <cell r="C5216" t="str">
            <v>NG</v>
          </cell>
          <cell r="D5216" t="str">
            <v>200407</v>
          </cell>
          <cell r="E5216">
            <v>4.3730000000000002</v>
          </cell>
        </row>
        <row r="5217">
          <cell r="A5217" t="str">
            <v>37700200408</v>
          </cell>
          <cell r="B5217">
            <v>37700</v>
          </cell>
          <cell r="C5217" t="str">
            <v>NG</v>
          </cell>
          <cell r="D5217" t="str">
            <v>200408</v>
          </cell>
          <cell r="E5217">
            <v>4.3630000000000004</v>
          </cell>
        </row>
        <row r="5218">
          <cell r="A5218" t="str">
            <v>37700200409</v>
          </cell>
          <cell r="B5218">
            <v>37700</v>
          </cell>
          <cell r="C5218" t="str">
            <v>NG</v>
          </cell>
          <cell r="D5218" t="str">
            <v>200409</v>
          </cell>
          <cell r="E5218">
            <v>4.3879999999999999</v>
          </cell>
        </row>
        <row r="5219">
          <cell r="A5219" t="str">
            <v>37700200410</v>
          </cell>
          <cell r="B5219">
            <v>37700</v>
          </cell>
          <cell r="C5219" t="str">
            <v>NG</v>
          </cell>
          <cell r="D5219" t="str">
            <v>200410</v>
          </cell>
          <cell r="E5219">
            <v>4.4379999999999997</v>
          </cell>
        </row>
        <row r="5220">
          <cell r="A5220" t="str">
            <v>37700200411</v>
          </cell>
          <cell r="B5220">
            <v>37700</v>
          </cell>
          <cell r="C5220" t="str">
            <v>NG</v>
          </cell>
          <cell r="D5220" t="str">
            <v>200411</v>
          </cell>
          <cell r="E5220">
            <v>4.6360000000000001</v>
          </cell>
        </row>
        <row r="5221">
          <cell r="A5221" t="str">
            <v>37700200412</v>
          </cell>
          <cell r="B5221">
            <v>37700</v>
          </cell>
          <cell r="C5221" t="str">
            <v>NG</v>
          </cell>
          <cell r="D5221" t="str">
            <v>200412</v>
          </cell>
          <cell r="E5221">
            <v>4.8109999999999999</v>
          </cell>
        </row>
        <row r="5222">
          <cell r="A5222" t="str">
            <v>37701200401</v>
          </cell>
          <cell r="B5222">
            <v>37701</v>
          </cell>
          <cell r="C5222" t="str">
            <v>NG</v>
          </cell>
          <cell r="D5222" t="str">
            <v>200401</v>
          </cell>
          <cell r="E5222">
            <v>5.3979999999999997</v>
          </cell>
        </row>
        <row r="5223">
          <cell r="A5223" t="str">
            <v>37701200402</v>
          </cell>
          <cell r="B5223">
            <v>37701</v>
          </cell>
          <cell r="C5223" t="str">
            <v>NG</v>
          </cell>
          <cell r="D5223" t="str">
            <v>200402</v>
          </cell>
          <cell r="E5223">
            <v>5.2629999999999999</v>
          </cell>
        </row>
        <row r="5224">
          <cell r="A5224" t="str">
            <v>37701200403</v>
          </cell>
          <cell r="B5224">
            <v>37701</v>
          </cell>
          <cell r="C5224" t="str">
            <v>NG</v>
          </cell>
          <cell r="D5224" t="str">
            <v>200403</v>
          </cell>
          <cell r="E5224">
            <v>5.0430000000000001</v>
          </cell>
        </row>
        <row r="5225">
          <cell r="A5225" t="str">
            <v>37701200404</v>
          </cell>
          <cell r="B5225">
            <v>37701</v>
          </cell>
          <cell r="C5225" t="str">
            <v>NG</v>
          </cell>
          <cell r="D5225" t="str">
            <v>200404</v>
          </cell>
          <cell r="E5225">
            <v>4.5629999999999997</v>
          </cell>
        </row>
        <row r="5226">
          <cell r="A5226" t="str">
            <v>37701200405</v>
          </cell>
          <cell r="B5226">
            <v>37701</v>
          </cell>
          <cell r="C5226" t="str">
            <v>NG</v>
          </cell>
          <cell r="D5226" t="str">
            <v>200405</v>
          </cell>
          <cell r="E5226">
            <v>4.4329999999999998</v>
          </cell>
        </row>
        <row r="5227">
          <cell r="A5227" t="str">
            <v>37701200406</v>
          </cell>
          <cell r="B5227">
            <v>37701</v>
          </cell>
          <cell r="C5227" t="str">
            <v>NG</v>
          </cell>
          <cell r="D5227" t="str">
            <v>200406</v>
          </cell>
          <cell r="E5227">
            <v>4.3630000000000004</v>
          </cell>
        </row>
        <row r="5228">
          <cell r="A5228" t="str">
            <v>37701200407</v>
          </cell>
          <cell r="B5228">
            <v>37701</v>
          </cell>
          <cell r="C5228" t="str">
            <v>NG</v>
          </cell>
          <cell r="D5228" t="str">
            <v>200407</v>
          </cell>
          <cell r="E5228">
            <v>4.343</v>
          </cell>
        </row>
        <row r="5229">
          <cell r="A5229" t="str">
            <v>37701200408</v>
          </cell>
          <cell r="B5229">
            <v>37701</v>
          </cell>
          <cell r="C5229" t="str">
            <v>NG</v>
          </cell>
          <cell r="D5229" t="str">
            <v>200408</v>
          </cell>
          <cell r="E5229">
            <v>4.3330000000000002</v>
          </cell>
        </row>
        <row r="5230">
          <cell r="A5230" t="str">
            <v>37701200409</v>
          </cell>
          <cell r="B5230">
            <v>37701</v>
          </cell>
          <cell r="C5230" t="str">
            <v>NG</v>
          </cell>
          <cell r="D5230" t="str">
            <v>200409</v>
          </cell>
          <cell r="E5230">
            <v>4.343</v>
          </cell>
        </row>
        <row r="5231">
          <cell r="A5231" t="str">
            <v>37701200410</v>
          </cell>
          <cell r="B5231">
            <v>37701</v>
          </cell>
          <cell r="C5231" t="str">
            <v>NG</v>
          </cell>
          <cell r="D5231" t="str">
            <v>200410</v>
          </cell>
          <cell r="E5231">
            <v>4.383</v>
          </cell>
        </row>
        <row r="5232">
          <cell r="A5232" t="str">
            <v>37701200411</v>
          </cell>
          <cell r="B5232">
            <v>37701</v>
          </cell>
          <cell r="C5232" t="str">
            <v>NG</v>
          </cell>
          <cell r="D5232" t="str">
            <v>200411</v>
          </cell>
          <cell r="E5232">
            <v>4.5629999999999997</v>
          </cell>
        </row>
        <row r="5233">
          <cell r="A5233" t="str">
            <v>37701200412</v>
          </cell>
          <cell r="B5233">
            <v>37701</v>
          </cell>
          <cell r="C5233" t="str">
            <v>NG</v>
          </cell>
          <cell r="D5233" t="str">
            <v>200412</v>
          </cell>
          <cell r="E5233">
            <v>4.7380000000000004</v>
          </cell>
        </row>
        <row r="5234">
          <cell r="A5234" t="str">
            <v>37702200401</v>
          </cell>
          <cell r="B5234">
            <v>37702</v>
          </cell>
          <cell r="C5234" t="str">
            <v>NG</v>
          </cell>
          <cell r="D5234" t="str">
            <v>200401</v>
          </cell>
          <cell r="E5234">
            <v>5.3979999999999997</v>
          </cell>
        </row>
        <row r="5235">
          <cell r="A5235" t="str">
            <v>37702200402</v>
          </cell>
          <cell r="B5235">
            <v>37702</v>
          </cell>
          <cell r="C5235" t="str">
            <v>NG</v>
          </cell>
          <cell r="D5235" t="str">
            <v>200402</v>
          </cell>
          <cell r="E5235">
            <v>5.2629999999999999</v>
          </cell>
        </row>
        <row r="5236">
          <cell r="A5236" t="str">
            <v>37702200403</v>
          </cell>
          <cell r="B5236">
            <v>37702</v>
          </cell>
          <cell r="C5236" t="str">
            <v>NG</v>
          </cell>
          <cell r="D5236" t="str">
            <v>200403</v>
          </cell>
          <cell r="E5236">
            <v>5.0430000000000001</v>
          </cell>
        </row>
        <row r="5237">
          <cell r="A5237" t="str">
            <v>37702200404</v>
          </cell>
          <cell r="B5237">
            <v>37702</v>
          </cell>
          <cell r="C5237" t="str">
            <v>NG</v>
          </cell>
          <cell r="D5237" t="str">
            <v>200404</v>
          </cell>
          <cell r="E5237">
            <v>4.5629999999999997</v>
          </cell>
        </row>
        <row r="5238">
          <cell r="A5238" t="str">
            <v>37702200405</v>
          </cell>
          <cell r="B5238">
            <v>37702</v>
          </cell>
          <cell r="C5238" t="str">
            <v>NG</v>
          </cell>
          <cell r="D5238" t="str">
            <v>200405</v>
          </cell>
          <cell r="E5238">
            <v>4.4329999999999998</v>
          </cell>
        </row>
        <row r="5239">
          <cell r="A5239" t="str">
            <v>37702200406</v>
          </cell>
          <cell r="B5239">
            <v>37702</v>
          </cell>
          <cell r="C5239" t="str">
            <v>NG</v>
          </cell>
          <cell r="D5239" t="str">
            <v>200406</v>
          </cell>
          <cell r="E5239">
            <v>4.3630000000000004</v>
          </cell>
        </row>
        <row r="5240">
          <cell r="A5240" t="str">
            <v>37702200407</v>
          </cell>
          <cell r="B5240">
            <v>37702</v>
          </cell>
          <cell r="C5240" t="str">
            <v>NG</v>
          </cell>
          <cell r="D5240" t="str">
            <v>200407</v>
          </cell>
          <cell r="E5240">
            <v>4.343</v>
          </cell>
        </row>
        <row r="5241">
          <cell r="A5241" t="str">
            <v>37702200408</v>
          </cell>
          <cell r="B5241">
            <v>37702</v>
          </cell>
          <cell r="C5241" t="str">
            <v>NG</v>
          </cell>
          <cell r="D5241" t="str">
            <v>200408</v>
          </cell>
          <cell r="E5241">
            <v>4.3330000000000002</v>
          </cell>
        </row>
        <row r="5242">
          <cell r="A5242" t="str">
            <v>37702200409</v>
          </cell>
          <cell r="B5242">
            <v>37702</v>
          </cell>
          <cell r="C5242" t="str">
            <v>NG</v>
          </cell>
          <cell r="D5242" t="str">
            <v>200409</v>
          </cell>
          <cell r="E5242">
            <v>4.343</v>
          </cell>
        </row>
        <row r="5243">
          <cell r="A5243" t="str">
            <v>37702200410</v>
          </cell>
          <cell r="B5243">
            <v>37702</v>
          </cell>
          <cell r="C5243" t="str">
            <v>NG</v>
          </cell>
          <cell r="D5243" t="str">
            <v>200410</v>
          </cell>
          <cell r="E5243">
            <v>4.383</v>
          </cell>
        </row>
        <row r="5244">
          <cell r="A5244" t="str">
            <v>37702200411</v>
          </cell>
          <cell r="B5244">
            <v>37702</v>
          </cell>
          <cell r="C5244" t="str">
            <v>NG</v>
          </cell>
          <cell r="D5244" t="str">
            <v>200411</v>
          </cell>
          <cell r="E5244">
            <v>4.5629999999999997</v>
          </cell>
        </row>
        <row r="5245">
          <cell r="A5245" t="str">
            <v>37702200412</v>
          </cell>
          <cell r="B5245">
            <v>37702</v>
          </cell>
          <cell r="C5245" t="str">
            <v>NG</v>
          </cell>
          <cell r="D5245" t="str">
            <v>200412</v>
          </cell>
          <cell r="E5245">
            <v>4.7380000000000004</v>
          </cell>
        </row>
        <row r="5246">
          <cell r="A5246" t="str">
            <v>37703200401</v>
          </cell>
          <cell r="B5246">
            <v>37703</v>
          </cell>
          <cell r="C5246" t="str">
            <v>NG</v>
          </cell>
          <cell r="D5246" t="str">
            <v>200401</v>
          </cell>
          <cell r="E5246">
            <v>5.3979999999999997</v>
          </cell>
        </row>
        <row r="5247">
          <cell r="A5247" t="str">
            <v>37703200402</v>
          </cell>
          <cell r="B5247">
            <v>37703</v>
          </cell>
          <cell r="C5247" t="str">
            <v>NG</v>
          </cell>
          <cell r="D5247" t="str">
            <v>200402</v>
          </cell>
          <cell r="E5247">
            <v>5.2629999999999999</v>
          </cell>
        </row>
        <row r="5248">
          <cell r="A5248" t="str">
            <v>37703200403</v>
          </cell>
          <cell r="B5248">
            <v>37703</v>
          </cell>
          <cell r="C5248" t="str">
            <v>NG</v>
          </cell>
          <cell r="D5248" t="str">
            <v>200403</v>
          </cell>
          <cell r="E5248">
            <v>5.0430000000000001</v>
          </cell>
        </row>
        <row r="5249">
          <cell r="A5249" t="str">
            <v>37703200404</v>
          </cell>
          <cell r="B5249">
            <v>37703</v>
          </cell>
          <cell r="C5249" t="str">
            <v>NG</v>
          </cell>
          <cell r="D5249" t="str">
            <v>200404</v>
          </cell>
          <cell r="E5249">
            <v>4.5629999999999997</v>
          </cell>
        </row>
        <row r="5250">
          <cell r="A5250" t="str">
            <v>37703200405</v>
          </cell>
          <cell r="B5250">
            <v>37703</v>
          </cell>
          <cell r="C5250" t="str">
            <v>NG</v>
          </cell>
          <cell r="D5250" t="str">
            <v>200405</v>
          </cell>
          <cell r="E5250">
            <v>4.4329999999999998</v>
          </cell>
        </row>
        <row r="5251">
          <cell r="A5251" t="str">
            <v>37703200406</v>
          </cell>
          <cell r="B5251">
            <v>37703</v>
          </cell>
          <cell r="C5251" t="str">
            <v>NG</v>
          </cell>
          <cell r="D5251" t="str">
            <v>200406</v>
          </cell>
          <cell r="E5251">
            <v>4.3630000000000004</v>
          </cell>
        </row>
        <row r="5252">
          <cell r="A5252" t="str">
            <v>37703200407</v>
          </cell>
          <cell r="B5252">
            <v>37703</v>
          </cell>
          <cell r="C5252" t="str">
            <v>NG</v>
          </cell>
          <cell r="D5252" t="str">
            <v>200407</v>
          </cell>
          <cell r="E5252">
            <v>4.343</v>
          </cell>
        </row>
        <row r="5253">
          <cell r="A5253" t="str">
            <v>37703200408</v>
          </cell>
          <cell r="B5253">
            <v>37703</v>
          </cell>
          <cell r="C5253" t="str">
            <v>NG</v>
          </cell>
          <cell r="D5253" t="str">
            <v>200408</v>
          </cell>
          <cell r="E5253">
            <v>4.3330000000000002</v>
          </cell>
        </row>
        <row r="5254">
          <cell r="A5254" t="str">
            <v>37703200409</v>
          </cell>
          <cell r="B5254">
            <v>37703</v>
          </cell>
          <cell r="C5254" t="str">
            <v>NG</v>
          </cell>
          <cell r="D5254" t="str">
            <v>200409</v>
          </cell>
          <cell r="E5254">
            <v>4.343</v>
          </cell>
        </row>
        <row r="5255">
          <cell r="A5255" t="str">
            <v>37703200410</v>
          </cell>
          <cell r="B5255">
            <v>37703</v>
          </cell>
          <cell r="C5255" t="str">
            <v>NG</v>
          </cell>
          <cell r="D5255" t="str">
            <v>200410</v>
          </cell>
          <cell r="E5255">
            <v>4.383</v>
          </cell>
        </row>
        <row r="5256">
          <cell r="A5256" t="str">
            <v>37703200411</v>
          </cell>
          <cell r="B5256">
            <v>37703</v>
          </cell>
          <cell r="C5256" t="str">
            <v>NG</v>
          </cell>
          <cell r="D5256" t="str">
            <v>200411</v>
          </cell>
          <cell r="E5256">
            <v>4.5629999999999997</v>
          </cell>
        </row>
        <row r="5257">
          <cell r="A5257" t="str">
            <v>37703200412</v>
          </cell>
          <cell r="B5257">
            <v>37703</v>
          </cell>
          <cell r="C5257" t="str">
            <v>NG</v>
          </cell>
          <cell r="D5257" t="str">
            <v>200412</v>
          </cell>
          <cell r="E5257">
            <v>4.7380000000000004</v>
          </cell>
        </row>
        <row r="5258">
          <cell r="A5258" t="str">
            <v>37704200401</v>
          </cell>
          <cell r="B5258">
            <v>37704</v>
          </cell>
          <cell r="C5258" t="str">
            <v>NG</v>
          </cell>
          <cell r="D5258" t="str">
            <v>200401</v>
          </cell>
          <cell r="E5258">
            <v>5.4640000000000004</v>
          </cell>
        </row>
        <row r="5259">
          <cell r="A5259" t="str">
            <v>37704200402</v>
          </cell>
          <cell r="B5259">
            <v>37704</v>
          </cell>
          <cell r="C5259" t="str">
            <v>NG</v>
          </cell>
          <cell r="D5259" t="str">
            <v>200402</v>
          </cell>
          <cell r="E5259">
            <v>5.3239999999999998</v>
          </cell>
        </row>
        <row r="5260">
          <cell r="A5260" t="str">
            <v>37704200403</v>
          </cell>
          <cell r="B5260">
            <v>37704</v>
          </cell>
          <cell r="C5260" t="str">
            <v>NG</v>
          </cell>
          <cell r="D5260" t="str">
            <v>200403</v>
          </cell>
          <cell r="E5260">
            <v>5.1040000000000001</v>
          </cell>
        </row>
        <row r="5261">
          <cell r="A5261" t="str">
            <v>37704200404</v>
          </cell>
          <cell r="B5261">
            <v>37704</v>
          </cell>
          <cell r="C5261" t="str">
            <v>NG</v>
          </cell>
          <cell r="D5261" t="str">
            <v>200404</v>
          </cell>
          <cell r="E5261">
            <v>4.6189999999999998</v>
          </cell>
        </row>
        <row r="5262">
          <cell r="A5262" t="str">
            <v>37704200405</v>
          </cell>
          <cell r="B5262">
            <v>37704</v>
          </cell>
          <cell r="C5262" t="str">
            <v>NG</v>
          </cell>
          <cell r="D5262" t="str">
            <v>200405</v>
          </cell>
          <cell r="E5262">
            <v>4.484</v>
          </cell>
        </row>
        <row r="5263">
          <cell r="A5263" t="str">
            <v>37704200406</v>
          </cell>
          <cell r="B5263">
            <v>37704</v>
          </cell>
          <cell r="C5263" t="str">
            <v>NG</v>
          </cell>
          <cell r="D5263" t="str">
            <v>200406</v>
          </cell>
          <cell r="E5263">
            <v>4.4139999999999997</v>
          </cell>
        </row>
        <row r="5264">
          <cell r="A5264" t="str">
            <v>37704200407</v>
          </cell>
          <cell r="B5264">
            <v>37704</v>
          </cell>
          <cell r="C5264" t="str">
            <v>NG</v>
          </cell>
          <cell r="D5264" t="str">
            <v>200407</v>
          </cell>
          <cell r="E5264">
            <v>4.3940000000000001</v>
          </cell>
        </row>
        <row r="5265">
          <cell r="A5265" t="str">
            <v>37704200408</v>
          </cell>
          <cell r="B5265">
            <v>37704</v>
          </cell>
          <cell r="C5265" t="str">
            <v>NG</v>
          </cell>
          <cell r="D5265" t="str">
            <v>200408</v>
          </cell>
          <cell r="E5265">
            <v>4.3840000000000003</v>
          </cell>
        </row>
        <row r="5266">
          <cell r="A5266" t="str">
            <v>37704200409</v>
          </cell>
          <cell r="B5266">
            <v>37704</v>
          </cell>
          <cell r="C5266" t="str">
            <v>NG</v>
          </cell>
          <cell r="D5266" t="str">
            <v>200409</v>
          </cell>
          <cell r="E5266">
            <v>4.3940000000000001</v>
          </cell>
        </row>
        <row r="5267">
          <cell r="A5267" t="str">
            <v>37704200410</v>
          </cell>
          <cell r="B5267">
            <v>37704</v>
          </cell>
          <cell r="C5267" t="str">
            <v>NG</v>
          </cell>
          <cell r="D5267" t="str">
            <v>200410</v>
          </cell>
          <cell r="E5267">
            <v>4.4189999999999996</v>
          </cell>
        </row>
        <row r="5268">
          <cell r="A5268" t="str">
            <v>37704200411</v>
          </cell>
          <cell r="B5268">
            <v>37704</v>
          </cell>
          <cell r="C5268" t="str">
            <v>NG</v>
          </cell>
          <cell r="D5268" t="str">
            <v>200411</v>
          </cell>
          <cell r="E5268">
            <v>4.5990000000000002</v>
          </cell>
        </row>
        <row r="5269">
          <cell r="A5269" t="str">
            <v>37704200412</v>
          </cell>
          <cell r="B5269">
            <v>37704</v>
          </cell>
          <cell r="C5269" t="str">
            <v>NG</v>
          </cell>
          <cell r="D5269" t="str">
            <v>200412</v>
          </cell>
          <cell r="E5269">
            <v>4.7539999999999996</v>
          </cell>
        </row>
        <row r="5270">
          <cell r="A5270" t="str">
            <v>37705200401</v>
          </cell>
          <cell r="B5270">
            <v>37705</v>
          </cell>
          <cell r="C5270" t="str">
            <v>NG</v>
          </cell>
          <cell r="D5270" t="str">
            <v>200401</v>
          </cell>
          <cell r="E5270">
            <v>5.3920000000000003</v>
          </cell>
        </row>
        <row r="5271">
          <cell r="A5271" t="str">
            <v>37705200402</v>
          </cell>
          <cell r="B5271">
            <v>37705</v>
          </cell>
          <cell r="C5271" t="str">
            <v>NG</v>
          </cell>
          <cell r="D5271" t="str">
            <v>200402</v>
          </cell>
          <cell r="E5271">
            <v>5.2670000000000003</v>
          </cell>
        </row>
        <row r="5272">
          <cell r="A5272" t="str">
            <v>37705200403</v>
          </cell>
          <cell r="B5272">
            <v>37705</v>
          </cell>
          <cell r="C5272" t="str">
            <v>NG</v>
          </cell>
          <cell r="D5272" t="str">
            <v>200403</v>
          </cell>
          <cell r="E5272">
            <v>5.0419999999999998</v>
          </cell>
        </row>
        <row r="5273">
          <cell r="A5273" t="str">
            <v>37705200404</v>
          </cell>
          <cell r="B5273">
            <v>37705</v>
          </cell>
          <cell r="C5273" t="str">
            <v>NG</v>
          </cell>
          <cell r="D5273" t="str">
            <v>200404</v>
          </cell>
          <cell r="E5273">
            <v>4.5670000000000002</v>
          </cell>
        </row>
        <row r="5274">
          <cell r="A5274" t="str">
            <v>37705200405</v>
          </cell>
          <cell r="B5274">
            <v>37705</v>
          </cell>
          <cell r="C5274" t="str">
            <v>NG</v>
          </cell>
          <cell r="D5274" t="str">
            <v>200405</v>
          </cell>
          <cell r="E5274">
            <v>4.4320000000000004</v>
          </cell>
        </row>
        <row r="5275">
          <cell r="A5275" t="str">
            <v>37705200406</v>
          </cell>
          <cell r="B5275">
            <v>37705</v>
          </cell>
          <cell r="C5275" t="str">
            <v>NG</v>
          </cell>
          <cell r="D5275" t="str">
            <v>200406</v>
          </cell>
          <cell r="E5275">
            <v>4.3719999999999999</v>
          </cell>
        </row>
        <row r="5276">
          <cell r="A5276" t="str">
            <v>37705200407</v>
          </cell>
          <cell r="B5276">
            <v>37705</v>
          </cell>
          <cell r="C5276" t="str">
            <v>NG</v>
          </cell>
          <cell r="D5276" t="str">
            <v>200407</v>
          </cell>
          <cell r="E5276">
            <v>4.3520000000000003</v>
          </cell>
        </row>
        <row r="5277">
          <cell r="A5277" t="str">
            <v>37705200408</v>
          </cell>
          <cell r="B5277">
            <v>37705</v>
          </cell>
          <cell r="C5277" t="str">
            <v>NG</v>
          </cell>
          <cell r="D5277" t="str">
            <v>200408</v>
          </cell>
          <cell r="E5277">
            <v>4.3419999999999996</v>
          </cell>
        </row>
        <row r="5278">
          <cell r="A5278" t="str">
            <v>37705200409</v>
          </cell>
          <cell r="B5278">
            <v>37705</v>
          </cell>
          <cell r="C5278" t="str">
            <v>NG</v>
          </cell>
          <cell r="D5278" t="str">
            <v>200409</v>
          </cell>
          <cell r="E5278">
            <v>4.3719999999999999</v>
          </cell>
        </row>
        <row r="5279">
          <cell r="A5279" t="str">
            <v>37705200410</v>
          </cell>
          <cell r="B5279">
            <v>37705</v>
          </cell>
          <cell r="C5279" t="str">
            <v>NG</v>
          </cell>
          <cell r="D5279" t="str">
            <v>200410</v>
          </cell>
          <cell r="E5279">
            <v>4.3970000000000002</v>
          </cell>
        </row>
        <row r="5280">
          <cell r="A5280" t="str">
            <v>37705200411</v>
          </cell>
          <cell r="B5280">
            <v>37705</v>
          </cell>
          <cell r="C5280" t="str">
            <v>NG</v>
          </cell>
          <cell r="D5280" t="str">
            <v>200411</v>
          </cell>
          <cell r="E5280">
            <v>4.577</v>
          </cell>
        </row>
        <row r="5281">
          <cell r="A5281" t="str">
            <v>37705200412</v>
          </cell>
          <cell r="B5281">
            <v>37705</v>
          </cell>
          <cell r="C5281" t="str">
            <v>NG</v>
          </cell>
          <cell r="D5281" t="str">
            <v>200412</v>
          </cell>
          <cell r="E5281">
            <v>4.7370000000000001</v>
          </cell>
        </row>
        <row r="5282">
          <cell r="A5282" t="str">
            <v>37706200401</v>
          </cell>
          <cell r="B5282">
            <v>37706</v>
          </cell>
          <cell r="C5282" t="str">
            <v>NG</v>
          </cell>
          <cell r="D5282" t="str">
            <v>200401</v>
          </cell>
          <cell r="E5282">
            <v>5.3739999999999997</v>
          </cell>
        </row>
        <row r="5283">
          <cell r="A5283" t="str">
            <v>37706200402</v>
          </cell>
          <cell r="B5283">
            <v>37706</v>
          </cell>
          <cell r="C5283" t="str">
            <v>NG</v>
          </cell>
          <cell r="D5283" t="str">
            <v>200402</v>
          </cell>
          <cell r="E5283">
            <v>5.234</v>
          </cell>
        </row>
        <row r="5284">
          <cell r="A5284" t="str">
            <v>37706200403</v>
          </cell>
          <cell r="B5284">
            <v>37706</v>
          </cell>
          <cell r="C5284" t="str">
            <v>NG</v>
          </cell>
          <cell r="D5284" t="str">
            <v>200403</v>
          </cell>
          <cell r="E5284">
            <v>4.9989999999999997</v>
          </cell>
        </row>
        <row r="5285">
          <cell r="A5285" t="str">
            <v>37706200404</v>
          </cell>
          <cell r="B5285">
            <v>37706</v>
          </cell>
          <cell r="C5285" t="str">
            <v>NG</v>
          </cell>
          <cell r="D5285" t="str">
            <v>200404</v>
          </cell>
          <cell r="E5285">
            <v>4.5490000000000004</v>
          </cell>
        </row>
        <row r="5286">
          <cell r="A5286" t="str">
            <v>37706200405</v>
          </cell>
          <cell r="B5286">
            <v>37706</v>
          </cell>
          <cell r="C5286" t="str">
            <v>NG</v>
          </cell>
          <cell r="D5286" t="str">
            <v>200405</v>
          </cell>
          <cell r="E5286">
            <v>4.4189999999999996</v>
          </cell>
        </row>
        <row r="5287">
          <cell r="A5287" t="str">
            <v>37706200406</v>
          </cell>
          <cell r="B5287">
            <v>37706</v>
          </cell>
          <cell r="C5287" t="str">
            <v>NG</v>
          </cell>
          <cell r="D5287" t="str">
            <v>200406</v>
          </cell>
          <cell r="E5287">
            <v>4.3639999999999999</v>
          </cell>
        </row>
        <row r="5288">
          <cell r="A5288" t="str">
            <v>37706200407</v>
          </cell>
          <cell r="B5288">
            <v>37706</v>
          </cell>
          <cell r="C5288" t="str">
            <v>NG</v>
          </cell>
          <cell r="D5288" t="str">
            <v>200407</v>
          </cell>
          <cell r="E5288">
            <v>4.359</v>
          </cell>
        </row>
        <row r="5289">
          <cell r="A5289" t="str">
            <v>37706200408</v>
          </cell>
          <cell r="B5289">
            <v>37706</v>
          </cell>
          <cell r="C5289" t="str">
            <v>NG</v>
          </cell>
          <cell r="D5289" t="str">
            <v>200408</v>
          </cell>
          <cell r="E5289">
            <v>4.359</v>
          </cell>
        </row>
        <row r="5290">
          <cell r="A5290" t="str">
            <v>37706200409</v>
          </cell>
          <cell r="B5290">
            <v>37706</v>
          </cell>
          <cell r="C5290" t="str">
            <v>NG</v>
          </cell>
          <cell r="D5290" t="str">
            <v>200409</v>
          </cell>
          <cell r="E5290">
            <v>4.3789999999999996</v>
          </cell>
        </row>
        <row r="5291">
          <cell r="A5291" t="str">
            <v>37706200410</v>
          </cell>
          <cell r="B5291">
            <v>37706</v>
          </cell>
          <cell r="C5291" t="str">
            <v>NG</v>
          </cell>
          <cell r="D5291" t="str">
            <v>200410</v>
          </cell>
          <cell r="E5291">
            <v>4.3940000000000001</v>
          </cell>
        </row>
        <row r="5292">
          <cell r="A5292" t="str">
            <v>37706200411</v>
          </cell>
          <cell r="B5292">
            <v>37706</v>
          </cell>
          <cell r="C5292" t="str">
            <v>NG</v>
          </cell>
          <cell r="D5292" t="str">
            <v>200411</v>
          </cell>
          <cell r="E5292">
            <v>4.5789999999999997</v>
          </cell>
        </row>
        <row r="5293">
          <cell r="A5293" t="str">
            <v>37706200412</v>
          </cell>
          <cell r="B5293">
            <v>37706</v>
          </cell>
          <cell r="C5293" t="str">
            <v>NG</v>
          </cell>
          <cell r="D5293" t="str">
            <v>200412</v>
          </cell>
          <cell r="E5293">
            <v>4.7439999999999998</v>
          </cell>
        </row>
        <row r="5294">
          <cell r="A5294" t="str">
            <v>37707200401</v>
          </cell>
          <cell r="B5294">
            <v>37707</v>
          </cell>
          <cell r="C5294" t="str">
            <v>NG</v>
          </cell>
          <cell r="D5294" t="str">
            <v>200401</v>
          </cell>
          <cell r="E5294">
            <v>5.4749999999999996</v>
          </cell>
        </row>
        <row r="5295">
          <cell r="A5295" t="str">
            <v>37707200402</v>
          </cell>
          <cell r="B5295">
            <v>37707</v>
          </cell>
          <cell r="C5295" t="str">
            <v>NG</v>
          </cell>
          <cell r="D5295" t="str">
            <v>200402</v>
          </cell>
          <cell r="E5295">
            <v>5.335</v>
          </cell>
        </row>
        <row r="5296">
          <cell r="A5296" t="str">
            <v>37707200403</v>
          </cell>
          <cell r="B5296">
            <v>37707</v>
          </cell>
          <cell r="C5296" t="str">
            <v>NG</v>
          </cell>
          <cell r="D5296" t="str">
            <v>200403</v>
          </cell>
          <cell r="E5296">
            <v>5.0999999999999996</v>
          </cell>
        </row>
        <row r="5297">
          <cell r="A5297" t="str">
            <v>37707200404</v>
          </cell>
          <cell r="B5297">
            <v>37707</v>
          </cell>
          <cell r="C5297" t="str">
            <v>NG</v>
          </cell>
          <cell r="D5297" t="str">
            <v>200404</v>
          </cell>
          <cell r="E5297">
            <v>4.6050000000000004</v>
          </cell>
        </row>
        <row r="5298">
          <cell r="A5298" t="str">
            <v>37707200405</v>
          </cell>
          <cell r="B5298">
            <v>37707</v>
          </cell>
          <cell r="C5298" t="str">
            <v>NG</v>
          </cell>
          <cell r="D5298" t="str">
            <v>200405</v>
          </cell>
          <cell r="E5298">
            <v>4.4749999999999996</v>
          </cell>
        </row>
        <row r="5299">
          <cell r="A5299" t="str">
            <v>37707200406</v>
          </cell>
          <cell r="B5299">
            <v>37707</v>
          </cell>
          <cell r="C5299" t="str">
            <v>NG</v>
          </cell>
          <cell r="D5299" t="str">
            <v>200406</v>
          </cell>
          <cell r="E5299">
            <v>4.42</v>
          </cell>
        </row>
        <row r="5300">
          <cell r="A5300" t="str">
            <v>37707200407</v>
          </cell>
          <cell r="B5300">
            <v>37707</v>
          </cell>
          <cell r="C5300" t="str">
            <v>NG</v>
          </cell>
          <cell r="D5300" t="str">
            <v>200407</v>
          </cell>
          <cell r="E5300">
            <v>4.4000000000000004</v>
          </cell>
        </row>
        <row r="5301">
          <cell r="A5301" t="str">
            <v>37707200408</v>
          </cell>
          <cell r="B5301">
            <v>37707</v>
          </cell>
          <cell r="C5301" t="str">
            <v>NG</v>
          </cell>
          <cell r="D5301" t="str">
            <v>200408</v>
          </cell>
          <cell r="E5301">
            <v>4.4000000000000004</v>
          </cell>
        </row>
        <row r="5302">
          <cell r="A5302" t="str">
            <v>37707200409</v>
          </cell>
          <cell r="B5302">
            <v>37707</v>
          </cell>
          <cell r="C5302" t="str">
            <v>NG</v>
          </cell>
          <cell r="D5302" t="str">
            <v>200409</v>
          </cell>
          <cell r="E5302">
            <v>4.41</v>
          </cell>
        </row>
        <row r="5303">
          <cell r="A5303" t="str">
            <v>37707200410</v>
          </cell>
          <cell r="B5303">
            <v>37707</v>
          </cell>
          <cell r="C5303" t="str">
            <v>NG</v>
          </cell>
          <cell r="D5303" t="str">
            <v>200410</v>
          </cell>
          <cell r="E5303">
            <v>4.415</v>
          </cell>
        </row>
        <row r="5304">
          <cell r="A5304" t="str">
            <v>37707200411</v>
          </cell>
          <cell r="B5304">
            <v>37707</v>
          </cell>
          <cell r="C5304" t="str">
            <v>NG</v>
          </cell>
          <cell r="D5304" t="str">
            <v>200411</v>
          </cell>
          <cell r="E5304">
            <v>4.59</v>
          </cell>
        </row>
        <row r="5305">
          <cell r="A5305" t="str">
            <v>37707200412</v>
          </cell>
          <cell r="B5305">
            <v>37707</v>
          </cell>
          <cell r="C5305" t="str">
            <v>NG</v>
          </cell>
          <cell r="D5305" t="str">
            <v>200412</v>
          </cell>
          <cell r="E5305">
            <v>4.76</v>
          </cell>
        </row>
        <row r="5306">
          <cell r="A5306" t="str">
            <v>37708200401</v>
          </cell>
          <cell r="B5306">
            <v>37708</v>
          </cell>
          <cell r="C5306" t="str">
            <v>NG</v>
          </cell>
          <cell r="D5306" t="str">
            <v>200401</v>
          </cell>
          <cell r="E5306">
            <v>5.4240000000000004</v>
          </cell>
        </row>
        <row r="5307">
          <cell r="A5307" t="str">
            <v>37708200402</v>
          </cell>
          <cell r="B5307">
            <v>37708</v>
          </cell>
          <cell r="C5307" t="str">
            <v>NG</v>
          </cell>
          <cell r="D5307" t="str">
            <v>200402</v>
          </cell>
          <cell r="E5307">
            <v>5.2839999999999998</v>
          </cell>
        </row>
        <row r="5308">
          <cell r="A5308" t="str">
            <v>37708200403</v>
          </cell>
          <cell r="B5308">
            <v>37708</v>
          </cell>
          <cell r="C5308" t="str">
            <v>NG</v>
          </cell>
          <cell r="D5308" t="str">
            <v>200403</v>
          </cell>
          <cell r="E5308">
            <v>5.056</v>
          </cell>
        </row>
        <row r="5309">
          <cell r="A5309" t="str">
            <v>37708200404</v>
          </cell>
          <cell r="B5309">
            <v>37708</v>
          </cell>
          <cell r="C5309" t="str">
            <v>NG</v>
          </cell>
          <cell r="D5309" t="str">
            <v>200404</v>
          </cell>
          <cell r="E5309">
            <v>4.5709999999999997</v>
          </cell>
        </row>
        <row r="5310">
          <cell r="A5310" t="str">
            <v>37708200405</v>
          </cell>
          <cell r="B5310">
            <v>37708</v>
          </cell>
          <cell r="C5310" t="str">
            <v>NG</v>
          </cell>
          <cell r="D5310" t="str">
            <v>200405</v>
          </cell>
          <cell r="E5310">
            <v>4.4409999999999998</v>
          </cell>
        </row>
        <row r="5311">
          <cell r="A5311" t="str">
            <v>37708200406</v>
          </cell>
          <cell r="B5311">
            <v>37708</v>
          </cell>
          <cell r="C5311" t="str">
            <v>NG</v>
          </cell>
          <cell r="D5311" t="str">
            <v>200406</v>
          </cell>
          <cell r="E5311">
            <v>4.3860000000000001</v>
          </cell>
        </row>
        <row r="5312">
          <cell r="A5312" t="str">
            <v>37708200407</v>
          </cell>
          <cell r="B5312">
            <v>37708</v>
          </cell>
          <cell r="C5312" t="str">
            <v>NG</v>
          </cell>
          <cell r="D5312" t="str">
            <v>200407</v>
          </cell>
          <cell r="E5312">
            <v>4.3760000000000003</v>
          </cell>
        </row>
        <row r="5313">
          <cell r="A5313" t="str">
            <v>37708200408</v>
          </cell>
          <cell r="B5313">
            <v>37708</v>
          </cell>
          <cell r="C5313" t="str">
            <v>NG</v>
          </cell>
          <cell r="D5313" t="str">
            <v>200408</v>
          </cell>
          <cell r="E5313">
            <v>4.3760000000000003</v>
          </cell>
        </row>
        <row r="5314">
          <cell r="A5314" t="str">
            <v>37708200409</v>
          </cell>
          <cell r="B5314">
            <v>37708</v>
          </cell>
          <cell r="C5314" t="str">
            <v>NG</v>
          </cell>
          <cell r="D5314" t="str">
            <v>200409</v>
          </cell>
          <cell r="E5314">
            <v>4.3760000000000003</v>
          </cell>
        </row>
        <row r="5315">
          <cell r="A5315" t="str">
            <v>37708200410</v>
          </cell>
          <cell r="B5315">
            <v>37708</v>
          </cell>
          <cell r="C5315" t="str">
            <v>NG</v>
          </cell>
          <cell r="D5315" t="str">
            <v>200410</v>
          </cell>
          <cell r="E5315">
            <v>4.3860000000000001</v>
          </cell>
        </row>
        <row r="5316">
          <cell r="A5316" t="str">
            <v>37708200411</v>
          </cell>
          <cell r="B5316">
            <v>37708</v>
          </cell>
          <cell r="C5316" t="str">
            <v>NG</v>
          </cell>
          <cell r="D5316" t="str">
            <v>200411</v>
          </cell>
          <cell r="E5316">
            <v>4.5659999999999998</v>
          </cell>
        </row>
        <row r="5317">
          <cell r="A5317" t="str">
            <v>37708200412</v>
          </cell>
          <cell r="B5317">
            <v>37708</v>
          </cell>
          <cell r="C5317" t="str">
            <v>NG</v>
          </cell>
          <cell r="D5317" t="str">
            <v>200412</v>
          </cell>
          <cell r="E5317">
            <v>4.7359999999999998</v>
          </cell>
        </row>
        <row r="5318">
          <cell r="A5318" t="str">
            <v>37709200401</v>
          </cell>
          <cell r="B5318">
            <v>37709</v>
          </cell>
          <cell r="C5318" t="str">
            <v>NG</v>
          </cell>
          <cell r="D5318" t="str">
            <v>200401</v>
          </cell>
          <cell r="E5318">
            <v>5.4240000000000004</v>
          </cell>
        </row>
        <row r="5319">
          <cell r="A5319" t="str">
            <v>37709200402</v>
          </cell>
          <cell r="B5319">
            <v>37709</v>
          </cell>
          <cell r="C5319" t="str">
            <v>NG</v>
          </cell>
          <cell r="D5319" t="str">
            <v>200402</v>
          </cell>
          <cell r="E5319">
            <v>5.2839999999999998</v>
          </cell>
        </row>
        <row r="5320">
          <cell r="A5320" t="str">
            <v>37709200403</v>
          </cell>
          <cell r="B5320">
            <v>37709</v>
          </cell>
          <cell r="C5320" t="str">
            <v>NG</v>
          </cell>
          <cell r="D5320" t="str">
            <v>200403</v>
          </cell>
          <cell r="E5320">
            <v>5.056</v>
          </cell>
        </row>
        <row r="5321">
          <cell r="A5321" t="str">
            <v>37709200404</v>
          </cell>
          <cell r="B5321">
            <v>37709</v>
          </cell>
          <cell r="C5321" t="str">
            <v>NG</v>
          </cell>
          <cell r="D5321" t="str">
            <v>200404</v>
          </cell>
          <cell r="E5321">
            <v>4.5709999999999997</v>
          </cell>
        </row>
        <row r="5322">
          <cell r="A5322" t="str">
            <v>37709200405</v>
          </cell>
          <cell r="B5322">
            <v>37709</v>
          </cell>
          <cell r="C5322" t="str">
            <v>NG</v>
          </cell>
          <cell r="D5322" t="str">
            <v>200405</v>
          </cell>
          <cell r="E5322">
            <v>4.4409999999999998</v>
          </cell>
        </row>
        <row r="5323">
          <cell r="A5323" t="str">
            <v>37709200406</v>
          </cell>
          <cell r="B5323">
            <v>37709</v>
          </cell>
          <cell r="C5323" t="str">
            <v>NG</v>
          </cell>
          <cell r="D5323" t="str">
            <v>200406</v>
          </cell>
          <cell r="E5323">
            <v>4.3860000000000001</v>
          </cell>
        </row>
        <row r="5324">
          <cell r="A5324" t="str">
            <v>37709200407</v>
          </cell>
          <cell r="B5324">
            <v>37709</v>
          </cell>
          <cell r="C5324" t="str">
            <v>NG</v>
          </cell>
          <cell r="D5324" t="str">
            <v>200407</v>
          </cell>
          <cell r="E5324">
            <v>4.3760000000000003</v>
          </cell>
        </row>
        <row r="5325">
          <cell r="A5325" t="str">
            <v>37709200408</v>
          </cell>
          <cell r="B5325">
            <v>37709</v>
          </cell>
          <cell r="C5325" t="str">
            <v>NG</v>
          </cell>
          <cell r="D5325" t="str">
            <v>200408</v>
          </cell>
          <cell r="E5325">
            <v>4.3760000000000003</v>
          </cell>
        </row>
        <row r="5326">
          <cell r="A5326" t="str">
            <v>37709200409</v>
          </cell>
          <cell r="B5326">
            <v>37709</v>
          </cell>
          <cell r="C5326" t="str">
            <v>NG</v>
          </cell>
          <cell r="D5326" t="str">
            <v>200409</v>
          </cell>
          <cell r="E5326">
            <v>4.3760000000000003</v>
          </cell>
        </row>
        <row r="5327">
          <cell r="A5327" t="str">
            <v>37709200410</v>
          </cell>
          <cell r="B5327">
            <v>37709</v>
          </cell>
          <cell r="C5327" t="str">
            <v>NG</v>
          </cell>
          <cell r="D5327" t="str">
            <v>200410</v>
          </cell>
          <cell r="E5327">
            <v>4.3860000000000001</v>
          </cell>
        </row>
        <row r="5328">
          <cell r="A5328" t="str">
            <v>37709200411</v>
          </cell>
          <cell r="B5328">
            <v>37709</v>
          </cell>
          <cell r="C5328" t="str">
            <v>NG</v>
          </cell>
          <cell r="D5328" t="str">
            <v>200411</v>
          </cell>
          <cell r="E5328">
            <v>4.5659999999999998</v>
          </cell>
        </row>
        <row r="5329">
          <cell r="A5329" t="str">
            <v>37709200412</v>
          </cell>
          <cell r="B5329">
            <v>37709</v>
          </cell>
          <cell r="C5329" t="str">
            <v>NG</v>
          </cell>
          <cell r="D5329" t="str">
            <v>200412</v>
          </cell>
          <cell r="E5329">
            <v>4.7359999999999998</v>
          </cell>
        </row>
        <row r="5330">
          <cell r="A5330" t="str">
            <v>37710200401</v>
          </cell>
          <cell r="B5330">
            <v>37710</v>
          </cell>
          <cell r="C5330" t="str">
            <v>NG</v>
          </cell>
          <cell r="D5330" t="str">
            <v>200401</v>
          </cell>
          <cell r="E5330">
            <v>5.4240000000000004</v>
          </cell>
        </row>
        <row r="5331">
          <cell r="A5331" t="str">
            <v>37710200402</v>
          </cell>
          <cell r="B5331">
            <v>37710</v>
          </cell>
          <cell r="C5331" t="str">
            <v>NG</v>
          </cell>
          <cell r="D5331" t="str">
            <v>200402</v>
          </cell>
          <cell r="E5331">
            <v>5.2839999999999998</v>
          </cell>
        </row>
        <row r="5332">
          <cell r="A5332" t="str">
            <v>37710200403</v>
          </cell>
          <cell r="B5332">
            <v>37710</v>
          </cell>
          <cell r="C5332" t="str">
            <v>NG</v>
          </cell>
          <cell r="D5332" t="str">
            <v>200403</v>
          </cell>
          <cell r="E5332">
            <v>5.056</v>
          </cell>
        </row>
        <row r="5333">
          <cell r="A5333" t="str">
            <v>37710200404</v>
          </cell>
          <cell r="B5333">
            <v>37710</v>
          </cell>
          <cell r="C5333" t="str">
            <v>NG</v>
          </cell>
          <cell r="D5333" t="str">
            <v>200404</v>
          </cell>
          <cell r="E5333">
            <v>4.5709999999999997</v>
          </cell>
        </row>
        <row r="5334">
          <cell r="A5334" t="str">
            <v>37710200405</v>
          </cell>
          <cell r="B5334">
            <v>37710</v>
          </cell>
          <cell r="C5334" t="str">
            <v>NG</v>
          </cell>
          <cell r="D5334" t="str">
            <v>200405</v>
          </cell>
          <cell r="E5334">
            <v>4.4409999999999998</v>
          </cell>
        </row>
        <row r="5335">
          <cell r="A5335" t="str">
            <v>37710200406</v>
          </cell>
          <cell r="B5335">
            <v>37710</v>
          </cell>
          <cell r="C5335" t="str">
            <v>NG</v>
          </cell>
          <cell r="D5335" t="str">
            <v>200406</v>
          </cell>
          <cell r="E5335">
            <v>4.3860000000000001</v>
          </cell>
        </row>
        <row r="5336">
          <cell r="A5336" t="str">
            <v>37710200407</v>
          </cell>
          <cell r="B5336">
            <v>37710</v>
          </cell>
          <cell r="C5336" t="str">
            <v>NG</v>
          </cell>
          <cell r="D5336" t="str">
            <v>200407</v>
          </cell>
          <cell r="E5336">
            <v>4.3760000000000003</v>
          </cell>
        </row>
        <row r="5337">
          <cell r="A5337" t="str">
            <v>37710200408</v>
          </cell>
          <cell r="B5337">
            <v>37710</v>
          </cell>
          <cell r="C5337" t="str">
            <v>NG</v>
          </cell>
          <cell r="D5337" t="str">
            <v>200408</v>
          </cell>
          <cell r="E5337">
            <v>4.3760000000000003</v>
          </cell>
        </row>
        <row r="5338">
          <cell r="A5338" t="str">
            <v>37710200409</v>
          </cell>
          <cell r="B5338">
            <v>37710</v>
          </cell>
          <cell r="C5338" t="str">
            <v>NG</v>
          </cell>
          <cell r="D5338" t="str">
            <v>200409</v>
          </cell>
          <cell r="E5338">
            <v>4.3760000000000003</v>
          </cell>
        </row>
        <row r="5339">
          <cell r="A5339" t="str">
            <v>37710200410</v>
          </cell>
          <cell r="B5339">
            <v>37710</v>
          </cell>
          <cell r="C5339" t="str">
            <v>NG</v>
          </cell>
          <cell r="D5339" t="str">
            <v>200410</v>
          </cell>
          <cell r="E5339">
            <v>4.3860000000000001</v>
          </cell>
        </row>
        <row r="5340">
          <cell r="A5340" t="str">
            <v>37710200411</v>
          </cell>
          <cell r="B5340">
            <v>37710</v>
          </cell>
          <cell r="C5340" t="str">
            <v>NG</v>
          </cell>
          <cell r="D5340" t="str">
            <v>200411</v>
          </cell>
          <cell r="E5340">
            <v>4.5659999999999998</v>
          </cell>
        </row>
        <row r="5341">
          <cell r="A5341" t="str">
            <v>37710200412</v>
          </cell>
          <cell r="B5341">
            <v>37710</v>
          </cell>
          <cell r="C5341" t="str">
            <v>NG</v>
          </cell>
          <cell r="D5341" t="str">
            <v>200412</v>
          </cell>
          <cell r="E5341">
            <v>4.7359999999999998</v>
          </cell>
        </row>
        <row r="5342">
          <cell r="A5342" t="str">
            <v>37711200401</v>
          </cell>
          <cell r="B5342">
            <v>37711</v>
          </cell>
          <cell r="C5342" t="str">
            <v>NG</v>
          </cell>
          <cell r="D5342" t="str">
            <v>200401</v>
          </cell>
          <cell r="E5342">
            <v>5.375</v>
          </cell>
        </row>
        <row r="5343">
          <cell r="A5343" t="str">
            <v>37711200402</v>
          </cell>
          <cell r="B5343">
            <v>37711</v>
          </cell>
          <cell r="C5343" t="str">
            <v>NG</v>
          </cell>
          <cell r="D5343" t="str">
            <v>200402</v>
          </cell>
          <cell r="E5343">
            <v>5.2450000000000001</v>
          </cell>
        </row>
        <row r="5344">
          <cell r="A5344" t="str">
            <v>37711200403</v>
          </cell>
          <cell r="B5344">
            <v>37711</v>
          </cell>
          <cell r="C5344" t="str">
            <v>NG</v>
          </cell>
          <cell r="D5344" t="str">
            <v>200403</v>
          </cell>
          <cell r="E5344">
            <v>5.0250000000000004</v>
          </cell>
        </row>
        <row r="5345">
          <cell r="A5345" t="str">
            <v>37711200404</v>
          </cell>
          <cell r="B5345">
            <v>37711</v>
          </cell>
          <cell r="C5345" t="str">
            <v>NG</v>
          </cell>
          <cell r="D5345" t="str">
            <v>200404</v>
          </cell>
          <cell r="E5345">
            <v>4.54</v>
          </cell>
        </row>
        <row r="5346">
          <cell r="A5346" t="str">
            <v>37711200405</v>
          </cell>
          <cell r="B5346">
            <v>37711</v>
          </cell>
          <cell r="C5346" t="str">
            <v>NG</v>
          </cell>
          <cell r="D5346" t="str">
            <v>200405</v>
          </cell>
          <cell r="E5346">
            <v>4.41</v>
          </cell>
        </row>
        <row r="5347">
          <cell r="A5347" t="str">
            <v>37711200406</v>
          </cell>
          <cell r="B5347">
            <v>37711</v>
          </cell>
          <cell r="C5347" t="str">
            <v>NG</v>
          </cell>
          <cell r="D5347" t="str">
            <v>200406</v>
          </cell>
          <cell r="E5347">
            <v>4.3550000000000004</v>
          </cell>
        </row>
        <row r="5348">
          <cell r="A5348" t="str">
            <v>37711200407</v>
          </cell>
          <cell r="B5348">
            <v>37711</v>
          </cell>
          <cell r="C5348" t="str">
            <v>NG</v>
          </cell>
          <cell r="D5348" t="str">
            <v>200407</v>
          </cell>
          <cell r="E5348">
            <v>4.335</v>
          </cell>
        </row>
        <row r="5349">
          <cell r="A5349" t="str">
            <v>37711200408</v>
          </cell>
          <cell r="B5349">
            <v>37711</v>
          </cell>
          <cell r="C5349" t="str">
            <v>NG</v>
          </cell>
          <cell r="D5349" t="str">
            <v>200408</v>
          </cell>
          <cell r="E5349">
            <v>4.33</v>
          </cell>
        </row>
        <row r="5350">
          <cell r="A5350" t="str">
            <v>37711200409</v>
          </cell>
          <cell r="B5350">
            <v>37711</v>
          </cell>
          <cell r="C5350" t="str">
            <v>NG</v>
          </cell>
          <cell r="D5350" t="str">
            <v>200409</v>
          </cell>
          <cell r="E5350">
            <v>4.33</v>
          </cell>
        </row>
        <row r="5351">
          <cell r="A5351" t="str">
            <v>37711200410</v>
          </cell>
          <cell r="B5351">
            <v>37711</v>
          </cell>
          <cell r="C5351" t="str">
            <v>NG</v>
          </cell>
          <cell r="D5351" t="str">
            <v>200410</v>
          </cell>
          <cell r="E5351">
            <v>4.34</v>
          </cell>
        </row>
        <row r="5352">
          <cell r="A5352" t="str">
            <v>37711200411</v>
          </cell>
          <cell r="B5352">
            <v>37711</v>
          </cell>
          <cell r="C5352" t="str">
            <v>NG</v>
          </cell>
          <cell r="D5352" t="str">
            <v>200411</v>
          </cell>
          <cell r="E5352">
            <v>4.5199999999999996</v>
          </cell>
        </row>
        <row r="5353">
          <cell r="A5353" t="str">
            <v>37711200412</v>
          </cell>
          <cell r="B5353">
            <v>37711</v>
          </cell>
          <cell r="C5353" t="str">
            <v>NG</v>
          </cell>
          <cell r="D5353" t="str">
            <v>200412</v>
          </cell>
          <cell r="E5353">
            <v>4.7</v>
          </cell>
        </row>
        <row r="5354">
          <cell r="A5354" t="str">
            <v>37712200401</v>
          </cell>
          <cell r="B5354">
            <v>37712</v>
          </cell>
          <cell r="C5354" t="str">
            <v>NG</v>
          </cell>
          <cell r="D5354" t="str">
            <v>200401</v>
          </cell>
          <cell r="E5354">
            <v>5.4320000000000004</v>
          </cell>
        </row>
        <row r="5355">
          <cell r="A5355" t="str">
            <v>37712200402</v>
          </cell>
          <cell r="B5355">
            <v>37712</v>
          </cell>
          <cell r="C5355" t="str">
            <v>NG</v>
          </cell>
          <cell r="D5355" t="str">
            <v>200402</v>
          </cell>
          <cell r="E5355">
            <v>5.2919999999999998</v>
          </cell>
        </row>
        <row r="5356">
          <cell r="A5356" t="str">
            <v>37712200403</v>
          </cell>
          <cell r="B5356">
            <v>37712</v>
          </cell>
          <cell r="C5356" t="str">
            <v>NG</v>
          </cell>
          <cell r="D5356" t="str">
            <v>200403</v>
          </cell>
          <cell r="E5356">
            <v>5.0720000000000001</v>
          </cell>
        </row>
        <row r="5357">
          <cell r="A5357" t="str">
            <v>37712200404</v>
          </cell>
          <cell r="B5357">
            <v>37712</v>
          </cell>
          <cell r="C5357" t="str">
            <v>NG</v>
          </cell>
          <cell r="D5357" t="str">
            <v>200404</v>
          </cell>
          <cell r="E5357">
            <v>4.6319999999999997</v>
          </cell>
        </row>
        <row r="5358">
          <cell r="A5358" t="str">
            <v>37712200405</v>
          </cell>
          <cell r="B5358">
            <v>37712</v>
          </cell>
          <cell r="C5358" t="str">
            <v>NG</v>
          </cell>
          <cell r="D5358" t="str">
            <v>200405</v>
          </cell>
          <cell r="E5358">
            <v>4.532</v>
          </cell>
        </row>
        <row r="5359">
          <cell r="A5359" t="str">
            <v>37712200406</v>
          </cell>
          <cell r="B5359">
            <v>37712</v>
          </cell>
          <cell r="C5359" t="str">
            <v>NG</v>
          </cell>
          <cell r="D5359" t="str">
            <v>200406</v>
          </cell>
          <cell r="E5359">
            <v>4.492</v>
          </cell>
        </row>
        <row r="5360">
          <cell r="A5360" t="str">
            <v>37712200407</v>
          </cell>
          <cell r="B5360">
            <v>37712</v>
          </cell>
          <cell r="C5360" t="str">
            <v>NG</v>
          </cell>
          <cell r="D5360" t="str">
            <v>200407</v>
          </cell>
          <cell r="E5360">
            <v>4.4820000000000002</v>
          </cell>
        </row>
        <row r="5361">
          <cell r="A5361" t="str">
            <v>37712200408</v>
          </cell>
          <cell r="B5361">
            <v>37712</v>
          </cell>
          <cell r="C5361" t="str">
            <v>NG</v>
          </cell>
          <cell r="D5361" t="str">
            <v>200408</v>
          </cell>
          <cell r="E5361">
            <v>4.4870000000000001</v>
          </cell>
        </row>
        <row r="5362">
          <cell r="A5362" t="str">
            <v>37712200409</v>
          </cell>
          <cell r="B5362">
            <v>37712</v>
          </cell>
          <cell r="C5362" t="str">
            <v>NG</v>
          </cell>
          <cell r="D5362" t="str">
            <v>200409</v>
          </cell>
          <cell r="E5362">
            <v>4.4820000000000002</v>
          </cell>
        </row>
        <row r="5363">
          <cell r="A5363" t="str">
            <v>37712200410</v>
          </cell>
          <cell r="B5363">
            <v>37712</v>
          </cell>
          <cell r="C5363" t="str">
            <v>NG</v>
          </cell>
          <cell r="D5363" t="str">
            <v>200410</v>
          </cell>
          <cell r="E5363">
            <v>4.4870000000000001</v>
          </cell>
        </row>
        <row r="5364">
          <cell r="A5364" t="str">
            <v>37712200411</v>
          </cell>
          <cell r="B5364">
            <v>37712</v>
          </cell>
          <cell r="C5364" t="str">
            <v>NG</v>
          </cell>
          <cell r="D5364" t="str">
            <v>200411</v>
          </cell>
          <cell r="E5364">
            <v>4.657</v>
          </cell>
        </row>
        <row r="5365">
          <cell r="A5365" t="str">
            <v>37712200412</v>
          </cell>
          <cell r="B5365">
            <v>37712</v>
          </cell>
          <cell r="C5365" t="str">
            <v>NG</v>
          </cell>
          <cell r="D5365" t="str">
            <v>200412</v>
          </cell>
          <cell r="E5365">
            <v>4.827</v>
          </cell>
        </row>
        <row r="5366">
          <cell r="A5366" t="str">
            <v>37713200401</v>
          </cell>
          <cell r="B5366">
            <v>37713</v>
          </cell>
          <cell r="C5366" t="str">
            <v>NG</v>
          </cell>
          <cell r="D5366" t="str">
            <v>200401</v>
          </cell>
          <cell r="E5366">
            <v>5.3840000000000003</v>
          </cell>
        </row>
        <row r="5367">
          <cell r="A5367" t="str">
            <v>37713200402</v>
          </cell>
          <cell r="B5367">
            <v>37713</v>
          </cell>
          <cell r="C5367" t="str">
            <v>NG</v>
          </cell>
          <cell r="D5367" t="str">
            <v>200402</v>
          </cell>
          <cell r="E5367">
            <v>5.2439999999999998</v>
          </cell>
        </row>
        <row r="5368">
          <cell r="A5368" t="str">
            <v>37713200403</v>
          </cell>
          <cell r="B5368">
            <v>37713</v>
          </cell>
          <cell r="C5368" t="str">
            <v>NG</v>
          </cell>
          <cell r="D5368" t="str">
            <v>200403</v>
          </cell>
          <cell r="E5368">
            <v>5.024</v>
          </cell>
        </row>
        <row r="5369">
          <cell r="A5369" t="str">
            <v>37713200404</v>
          </cell>
          <cell r="B5369">
            <v>37713</v>
          </cell>
          <cell r="C5369" t="str">
            <v>NG</v>
          </cell>
          <cell r="D5369" t="str">
            <v>200404</v>
          </cell>
          <cell r="E5369">
            <v>4.6239999999999997</v>
          </cell>
        </row>
        <row r="5370">
          <cell r="A5370" t="str">
            <v>37713200405</v>
          </cell>
          <cell r="B5370">
            <v>37713</v>
          </cell>
          <cell r="C5370" t="str">
            <v>NG</v>
          </cell>
          <cell r="D5370" t="str">
            <v>200405</v>
          </cell>
          <cell r="E5370">
            <v>4.5339999999999998</v>
          </cell>
        </row>
        <row r="5371">
          <cell r="A5371" t="str">
            <v>37713200406</v>
          </cell>
          <cell r="B5371">
            <v>37713</v>
          </cell>
          <cell r="C5371" t="str">
            <v>NG</v>
          </cell>
          <cell r="D5371" t="str">
            <v>200406</v>
          </cell>
          <cell r="E5371">
            <v>4.4989999999999997</v>
          </cell>
        </row>
        <row r="5372">
          <cell r="A5372" t="str">
            <v>37713200407</v>
          </cell>
          <cell r="B5372">
            <v>37713</v>
          </cell>
          <cell r="C5372" t="str">
            <v>NG</v>
          </cell>
          <cell r="D5372" t="str">
            <v>200407</v>
          </cell>
          <cell r="E5372">
            <v>4.5039999999999996</v>
          </cell>
        </row>
        <row r="5373">
          <cell r="A5373" t="str">
            <v>37713200408</v>
          </cell>
          <cell r="B5373">
            <v>37713</v>
          </cell>
          <cell r="C5373" t="str">
            <v>NG</v>
          </cell>
          <cell r="D5373" t="str">
            <v>200408</v>
          </cell>
          <cell r="E5373">
            <v>4.5039999999999996</v>
          </cell>
        </row>
        <row r="5374">
          <cell r="A5374" t="str">
            <v>37713200409</v>
          </cell>
          <cell r="B5374">
            <v>37713</v>
          </cell>
          <cell r="C5374" t="str">
            <v>NG</v>
          </cell>
          <cell r="D5374" t="str">
            <v>200409</v>
          </cell>
          <cell r="E5374">
            <v>4.4989999999999997</v>
          </cell>
        </row>
        <row r="5375">
          <cell r="A5375" t="str">
            <v>37713200410</v>
          </cell>
          <cell r="B5375">
            <v>37713</v>
          </cell>
          <cell r="C5375" t="str">
            <v>NG</v>
          </cell>
          <cell r="D5375" t="str">
            <v>200410</v>
          </cell>
          <cell r="E5375">
            <v>4.5090000000000003</v>
          </cell>
        </row>
        <row r="5376">
          <cell r="A5376" t="str">
            <v>37713200411</v>
          </cell>
          <cell r="B5376">
            <v>37713</v>
          </cell>
          <cell r="C5376" t="str">
            <v>NG</v>
          </cell>
          <cell r="D5376" t="str">
            <v>200411</v>
          </cell>
          <cell r="E5376">
            <v>4.6890000000000001</v>
          </cell>
        </row>
        <row r="5377">
          <cell r="A5377" t="str">
            <v>37713200412</v>
          </cell>
          <cell r="B5377">
            <v>37713</v>
          </cell>
          <cell r="C5377" t="str">
            <v>NG</v>
          </cell>
          <cell r="D5377" t="str">
            <v>200412</v>
          </cell>
          <cell r="E5377">
            <v>4.8689999999999998</v>
          </cell>
        </row>
        <row r="5378">
          <cell r="A5378" t="str">
            <v>37714200401</v>
          </cell>
          <cell r="B5378">
            <v>37714</v>
          </cell>
          <cell r="C5378" t="str">
            <v>NG</v>
          </cell>
          <cell r="D5378" t="str">
            <v>200401</v>
          </cell>
          <cell r="E5378">
            <v>5.3</v>
          </cell>
        </row>
        <row r="5379">
          <cell r="A5379" t="str">
            <v>37714200402</v>
          </cell>
          <cell r="B5379">
            <v>37714</v>
          </cell>
          <cell r="C5379" t="str">
            <v>NG</v>
          </cell>
          <cell r="D5379" t="str">
            <v>200402</v>
          </cell>
          <cell r="E5379">
            <v>5.17</v>
          </cell>
        </row>
        <row r="5380">
          <cell r="A5380" t="str">
            <v>37714200403</v>
          </cell>
          <cell r="B5380">
            <v>37714</v>
          </cell>
          <cell r="C5380" t="str">
            <v>NG</v>
          </cell>
          <cell r="D5380" t="str">
            <v>200403</v>
          </cell>
          <cell r="E5380">
            <v>4.9649999999999999</v>
          </cell>
        </row>
        <row r="5381">
          <cell r="A5381" t="str">
            <v>37714200404</v>
          </cell>
          <cell r="B5381">
            <v>37714</v>
          </cell>
          <cell r="C5381" t="str">
            <v>NG</v>
          </cell>
          <cell r="D5381" t="str">
            <v>200404</v>
          </cell>
          <cell r="E5381">
            <v>4.585</v>
          </cell>
        </row>
        <row r="5382">
          <cell r="A5382" t="str">
            <v>37714200405</v>
          </cell>
          <cell r="B5382">
            <v>37714</v>
          </cell>
          <cell r="C5382" t="str">
            <v>NG</v>
          </cell>
          <cell r="D5382" t="str">
            <v>200405</v>
          </cell>
          <cell r="E5382">
            <v>4.4950000000000001</v>
          </cell>
        </row>
        <row r="5383">
          <cell r="A5383" t="str">
            <v>37714200406</v>
          </cell>
          <cell r="B5383">
            <v>37714</v>
          </cell>
          <cell r="C5383" t="str">
            <v>NG</v>
          </cell>
          <cell r="D5383" t="str">
            <v>200406</v>
          </cell>
          <cell r="E5383">
            <v>4.47</v>
          </cell>
        </row>
        <row r="5384">
          <cell r="A5384" t="str">
            <v>37714200407</v>
          </cell>
          <cell r="B5384">
            <v>37714</v>
          </cell>
          <cell r="C5384" t="str">
            <v>NG</v>
          </cell>
          <cell r="D5384" t="str">
            <v>200407</v>
          </cell>
          <cell r="E5384">
            <v>4.4649999999999999</v>
          </cell>
        </row>
        <row r="5385">
          <cell r="A5385" t="str">
            <v>37714200408</v>
          </cell>
          <cell r="B5385">
            <v>37714</v>
          </cell>
          <cell r="C5385" t="str">
            <v>NG</v>
          </cell>
          <cell r="D5385" t="str">
            <v>200408</v>
          </cell>
          <cell r="E5385">
            <v>4.4649999999999999</v>
          </cell>
        </row>
        <row r="5386">
          <cell r="A5386" t="str">
            <v>37714200409</v>
          </cell>
          <cell r="B5386">
            <v>37714</v>
          </cell>
          <cell r="C5386" t="str">
            <v>NG</v>
          </cell>
          <cell r="D5386" t="str">
            <v>200409</v>
          </cell>
          <cell r="E5386">
            <v>4.46</v>
          </cell>
        </row>
        <row r="5387">
          <cell r="A5387" t="str">
            <v>37714200410</v>
          </cell>
          <cell r="B5387">
            <v>37714</v>
          </cell>
          <cell r="C5387" t="str">
            <v>NG</v>
          </cell>
          <cell r="D5387" t="str">
            <v>200410</v>
          </cell>
          <cell r="E5387">
            <v>4.47</v>
          </cell>
        </row>
        <row r="5388">
          <cell r="A5388" t="str">
            <v>37714200411</v>
          </cell>
          <cell r="B5388">
            <v>37714</v>
          </cell>
          <cell r="C5388" t="str">
            <v>NG</v>
          </cell>
          <cell r="D5388" t="str">
            <v>200411</v>
          </cell>
          <cell r="E5388">
            <v>4.6500000000000004</v>
          </cell>
        </row>
        <row r="5389">
          <cell r="A5389" t="str">
            <v>37714200412</v>
          </cell>
          <cell r="B5389">
            <v>37714</v>
          </cell>
          <cell r="C5389" t="str">
            <v>NG</v>
          </cell>
          <cell r="D5389" t="str">
            <v>200412</v>
          </cell>
          <cell r="E5389">
            <v>4.83</v>
          </cell>
        </row>
        <row r="5390">
          <cell r="A5390" t="str">
            <v>37715200401</v>
          </cell>
          <cell r="B5390">
            <v>37715</v>
          </cell>
          <cell r="C5390" t="str">
            <v>NG</v>
          </cell>
          <cell r="D5390" t="str">
            <v>200401</v>
          </cell>
          <cell r="E5390">
            <v>5.2729999999999997</v>
          </cell>
        </row>
        <row r="5391">
          <cell r="A5391" t="str">
            <v>37715200402</v>
          </cell>
          <cell r="B5391">
            <v>37715</v>
          </cell>
          <cell r="C5391" t="str">
            <v>NG</v>
          </cell>
          <cell r="D5391" t="str">
            <v>200402</v>
          </cell>
          <cell r="E5391">
            <v>5.1379999999999999</v>
          </cell>
        </row>
        <row r="5392">
          <cell r="A5392" t="str">
            <v>37715200403</v>
          </cell>
          <cell r="B5392">
            <v>37715</v>
          </cell>
          <cell r="C5392" t="str">
            <v>NG</v>
          </cell>
          <cell r="D5392" t="str">
            <v>200403</v>
          </cell>
          <cell r="E5392">
            <v>4.9379999999999997</v>
          </cell>
        </row>
        <row r="5393">
          <cell r="A5393" t="str">
            <v>37715200404</v>
          </cell>
          <cell r="B5393">
            <v>37715</v>
          </cell>
          <cell r="C5393" t="str">
            <v>NG</v>
          </cell>
          <cell r="D5393" t="str">
            <v>200404</v>
          </cell>
          <cell r="E5393">
            <v>4.5629999999999997</v>
          </cell>
        </row>
        <row r="5394">
          <cell r="A5394" t="str">
            <v>37715200405</v>
          </cell>
          <cell r="B5394">
            <v>37715</v>
          </cell>
          <cell r="C5394" t="str">
            <v>NG</v>
          </cell>
          <cell r="D5394" t="str">
            <v>200405</v>
          </cell>
          <cell r="E5394">
            <v>4.4729999999999999</v>
          </cell>
        </row>
        <row r="5395">
          <cell r="A5395" t="str">
            <v>37715200406</v>
          </cell>
          <cell r="B5395">
            <v>37715</v>
          </cell>
          <cell r="C5395" t="str">
            <v>NG</v>
          </cell>
          <cell r="D5395" t="str">
            <v>200406</v>
          </cell>
          <cell r="E5395">
            <v>4.4480000000000004</v>
          </cell>
        </row>
        <row r="5396">
          <cell r="A5396" t="str">
            <v>37715200407</v>
          </cell>
          <cell r="B5396">
            <v>37715</v>
          </cell>
          <cell r="C5396" t="str">
            <v>NG</v>
          </cell>
          <cell r="D5396" t="str">
            <v>200407</v>
          </cell>
          <cell r="E5396">
            <v>4.4429999999999996</v>
          </cell>
        </row>
        <row r="5397">
          <cell r="A5397" t="str">
            <v>37715200408</v>
          </cell>
          <cell r="B5397">
            <v>37715</v>
          </cell>
          <cell r="C5397" t="str">
            <v>NG</v>
          </cell>
          <cell r="D5397" t="str">
            <v>200408</v>
          </cell>
          <cell r="E5397">
            <v>4.4530000000000003</v>
          </cell>
        </row>
        <row r="5398">
          <cell r="A5398" t="str">
            <v>37715200409</v>
          </cell>
          <cell r="B5398">
            <v>37715</v>
          </cell>
          <cell r="C5398" t="str">
            <v>NG</v>
          </cell>
          <cell r="D5398" t="str">
            <v>200409</v>
          </cell>
          <cell r="E5398">
            <v>4.4379999999999997</v>
          </cell>
        </row>
        <row r="5399">
          <cell r="A5399" t="str">
            <v>37715200410</v>
          </cell>
          <cell r="B5399">
            <v>37715</v>
          </cell>
          <cell r="C5399" t="str">
            <v>NG</v>
          </cell>
          <cell r="D5399" t="str">
            <v>200410</v>
          </cell>
          <cell r="E5399">
            <v>4.4480000000000004</v>
          </cell>
        </row>
        <row r="5400">
          <cell r="A5400" t="str">
            <v>37715200411</v>
          </cell>
          <cell r="B5400">
            <v>37715</v>
          </cell>
          <cell r="C5400" t="str">
            <v>NG</v>
          </cell>
          <cell r="D5400" t="str">
            <v>200411</v>
          </cell>
          <cell r="E5400">
            <v>4.6379999999999999</v>
          </cell>
        </row>
        <row r="5401">
          <cell r="A5401" t="str">
            <v>37715200412</v>
          </cell>
          <cell r="B5401">
            <v>37715</v>
          </cell>
          <cell r="C5401" t="str">
            <v>NG</v>
          </cell>
          <cell r="D5401" t="str">
            <v>200412</v>
          </cell>
          <cell r="E5401">
            <v>4.8129999999999997</v>
          </cell>
        </row>
        <row r="5402">
          <cell r="A5402" t="str">
            <v>37716200401</v>
          </cell>
          <cell r="B5402">
            <v>37716</v>
          </cell>
          <cell r="C5402" t="str">
            <v>NG</v>
          </cell>
          <cell r="D5402" t="str">
            <v>200401</v>
          </cell>
          <cell r="E5402">
            <v>5.2729999999999997</v>
          </cell>
        </row>
        <row r="5403">
          <cell r="A5403" t="str">
            <v>37716200402</v>
          </cell>
          <cell r="B5403">
            <v>37716</v>
          </cell>
          <cell r="C5403" t="str">
            <v>NG</v>
          </cell>
          <cell r="D5403" t="str">
            <v>200402</v>
          </cell>
          <cell r="E5403">
            <v>5.1379999999999999</v>
          </cell>
        </row>
        <row r="5404">
          <cell r="A5404" t="str">
            <v>37716200403</v>
          </cell>
          <cell r="B5404">
            <v>37716</v>
          </cell>
          <cell r="C5404" t="str">
            <v>NG</v>
          </cell>
          <cell r="D5404" t="str">
            <v>200403</v>
          </cell>
          <cell r="E5404">
            <v>4.9379999999999997</v>
          </cell>
        </row>
        <row r="5405">
          <cell r="A5405" t="str">
            <v>37716200404</v>
          </cell>
          <cell r="B5405">
            <v>37716</v>
          </cell>
          <cell r="C5405" t="str">
            <v>NG</v>
          </cell>
          <cell r="D5405" t="str">
            <v>200404</v>
          </cell>
          <cell r="E5405">
            <v>4.5629999999999997</v>
          </cell>
        </row>
        <row r="5406">
          <cell r="A5406" t="str">
            <v>37716200405</v>
          </cell>
          <cell r="B5406">
            <v>37716</v>
          </cell>
          <cell r="C5406" t="str">
            <v>NG</v>
          </cell>
          <cell r="D5406" t="str">
            <v>200405</v>
          </cell>
          <cell r="E5406">
            <v>4.4729999999999999</v>
          </cell>
        </row>
        <row r="5407">
          <cell r="A5407" t="str">
            <v>37716200406</v>
          </cell>
          <cell r="B5407">
            <v>37716</v>
          </cell>
          <cell r="C5407" t="str">
            <v>NG</v>
          </cell>
          <cell r="D5407" t="str">
            <v>200406</v>
          </cell>
          <cell r="E5407">
            <v>4.4480000000000004</v>
          </cell>
        </row>
        <row r="5408">
          <cell r="A5408" t="str">
            <v>37716200407</v>
          </cell>
          <cell r="B5408">
            <v>37716</v>
          </cell>
          <cell r="C5408" t="str">
            <v>NG</v>
          </cell>
          <cell r="D5408" t="str">
            <v>200407</v>
          </cell>
          <cell r="E5408">
            <v>4.4429999999999996</v>
          </cell>
        </row>
        <row r="5409">
          <cell r="A5409" t="str">
            <v>37716200408</v>
          </cell>
          <cell r="B5409">
            <v>37716</v>
          </cell>
          <cell r="C5409" t="str">
            <v>NG</v>
          </cell>
          <cell r="D5409" t="str">
            <v>200408</v>
          </cell>
          <cell r="E5409">
            <v>4.4530000000000003</v>
          </cell>
        </row>
        <row r="5410">
          <cell r="A5410" t="str">
            <v>37716200409</v>
          </cell>
          <cell r="B5410">
            <v>37716</v>
          </cell>
          <cell r="C5410" t="str">
            <v>NG</v>
          </cell>
          <cell r="D5410" t="str">
            <v>200409</v>
          </cell>
          <cell r="E5410">
            <v>4.4379999999999997</v>
          </cell>
        </row>
        <row r="5411">
          <cell r="A5411" t="str">
            <v>37716200410</v>
          </cell>
          <cell r="B5411">
            <v>37716</v>
          </cell>
          <cell r="C5411" t="str">
            <v>NG</v>
          </cell>
          <cell r="D5411" t="str">
            <v>200410</v>
          </cell>
          <cell r="E5411">
            <v>4.4480000000000004</v>
          </cell>
        </row>
        <row r="5412">
          <cell r="A5412" t="str">
            <v>37716200411</v>
          </cell>
          <cell r="B5412">
            <v>37716</v>
          </cell>
          <cell r="C5412" t="str">
            <v>NG</v>
          </cell>
          <cell r="D5412" t="str">
            <v>200411</v>
          </cell>
          <cell r="E5412">
            <v>4.6379999999999999</v>
          </cell>
        </row>
        <row r="5413">
          <cell r="A5413" t="str">
            <v>37716200412</v>
          </cell>
          <cell r="B5413">
            <v>37716</v>
          </cell>
          <cell r="C5413" t="str">
            <v>NG</v>
          </cell>
          <cell r="D5413" t="str">
            <v>200412</v>
          </cell>
          <cell r="E5413">
            <v>4.8129999999999997</v>
          </cell>
        </row>
        <row r="5414">
          <cell r="A5414" t="str">
            <v>37717200401</v>
          </cell>
          <cell r="B5414">
            <v>37717</v>
          </cell>
          <cell r="C5414" t="str">
            <v>NG</v>
          </cell>
          <cell r="D5414" t="str">
            <v>200401</v>
          </cell>
          <cell r="E5414">
            <v>5.2729999999999997</v>
          </cell>
        </row>
        <row r="5415">
          <cell r="A5415" t="str">
            <v>37717200402</v>
          </cell>
          <cell r="B5415">
            <v>37717</v>
          </cell>
          <cell r="C5415" t="str">
            <v>NG</v>
          </cell>
          <cell r="D5415" t="str">
            <v>200402</v>
          </cell>
          <cell r="E5415">
            <v>5.1379999999999999</v>
          </cell>
        </row>
        <row r="5416">
          <cell r="A5416" t="str">
            <v>37717200403</v>
          </cell>
          <cell r="B5416">
            <v>37717</v>
          </cell>
          <cell r="C5416" t="str">
            <v>NG</v>
          </cell>
          <cell r="D5416" t="str">
            <v>200403</v>
          </cell>
          <cell r="E5416">
            <v>4.9379999999999997</v>
          </cell>
        </row>
        <row r="5417">
          <cell r="A5417" t="str">
            <v>37717200404</v>
          </cell>
          <cell r="B5417">
            <v>37717</v>
          </cell>
          <cell r="C5417" t="str">
            <v>NG</v>
          </cell>
          <cell r="D5417" t="str">
            <v>200404</v>
          </cell>
          <cell r="E5417">
            <v>4.5629999999999997</v>
          </cell>
        </row>
        <row r="5418">
          <cell r="A5418" t="str">
            <v>37717200405</v>
          </cell>
          <cell r="B5418">
            <v>37717</v>
          </cell>
          <cell r="C5418" t="str">
            <v>NG</v>
          </cell>
          <cell r="D5418" t="str">
            <v>200405</v>
          </cell>
          <cell r="E5418">
            <v>4.4729999999999999</v>
          </cell>
        </row>
        <row r="5419">
          <cell r="A5419" t="str">
            <v>37717200406</v>
          </cell>
          <cell r="B5419">
            <v>37717</v>
          </cell>
          <cell r="C5419" t="str">
            <v>NG</v>
          </cell>
          <cell r="D5419" t="str">
            <v>200406</v>
          </cell>
          <cell r="E5419">
            <v>4.4480000000000004</v>
          </cell>
        </row>
        <row r="5420">
          <cell r="A5420" t="str">
            <v>37717200407</v>
          </cell>
          <cell r="B5420">
            <v>37717</v>
          </cell>
          <cell r="C5420" t="str">
            <v>NG</v>
          </cell>
          <cell r="D5420" t="str">
            <v>200407</v>
          </cell>
          <cell r="E5420">
            <v>4.4429999999999996</v>
          </cell>
        </row>
        <row r="5421">
          <cell r="A5421" t="str">
            <v>37717200408</v>
          </cell>
          <cell r="B5421">
            <v>37717</v>
          </cell>
          <cell r="C5421" t="str">
            <v>NG</v>
          </cell>
          <cell r="D5421" t="str">
            <v>200408</v>
          </cell>
          <cell r="E5421">
            <v>4.4530000000000003</v>
          </cell>
        </row>
        <row r="5422">
          <cell r="A5422" t="str">
            <v>37717200409</v>
          </cell>
          <cell r="B5422">
            <v>37717</v>
          </cell>
          <cell r="C5422" t="str">
            <v>NG</v>
          </cell>
          <cell r="D5422" t="str">
            <v>200409</v>
          </cell>
          <cell r="E5422">
            <v>4.4379999999999997</v>
          </cell>
        </row>
        <row r="5423">
          <cell r="A5423" t="str">
            <v>37717200410</v>
          </cell>
          <cell r="B5423">
            <v>37717</v>
          </cell>
          <cell r="C5423" t="str">
            <v>NG</v>
          </cell>
          <cell r="D5423" t="str">
            <v>200410</v>
          </cell>
          <cell r="E5423">
            <v>4.4480000000000004</v>
          </cell>
        </row>
        <row r="5424">
          <cell r="A5424" t="str">
            <v>37717200411</v>
          </cell>
          <cell r="B5424">
            <v>37717</v>
          </cell>
          <cell r="C5424" t="str">
            <v>NG</v>
          </cell>
          <cell r="D5424" t="str">
            <v>200411</v>
          </cell>
          <cell r="E5424">
            <v>4.6379999999999999</v>
          </cell>
        </row>
        <row r="5425">
          <cell r="A5425" t="str">
            <v>37717200412</v>
          </cell>
          <cell r="B5425">
            <v>37717</v>
          </cell>
          <cell r="C5425" t="str">
            <v>NG</v>
          </cell>
          <cell r="D5425" t="str">
            <v>200412</v>
          </cell>
          <cell r="E5425">
            <v>4.8129999999999997</v>
          </cell>
        </row>
        <row r="5426">
          <cell r="A5426" t="str">
            <v>37718200401</v>
          </cell>
          <cell r="B5426">
            <v>37718</v>
          </cell>
          <cell r="C5426" t="str">
            <v>NG</v>
          </cell>
          <cell r="D5426" t="str">
            <v>200401</v>
          </cell>
          <cell r="E5426">
            <v>5.3890000000000002</v>
          </cell>
        </row>
        <row r="5427">
          <cell r="A5427" t="str">
            <v>37718200402</v>
          </cell>
          <cell r="B5427">
            <v>37718</v>
          </cell>
          <cell r="C5427" t="str">
            <v>NG</v>
          </cell>
          <cell r="D5427" t="str">
            <v>200402</v>
          </cell>
          <cell r="E5427">
            <v>5.2439999999999998</v>
          </cell>
        </row>
        <row r="5428">
          <cell r="A5428" t="str">
            <v>37718200403</v>
          </cell>
          <cell r="B5428">
            <v>37718</v>
          </cell>
          <cell r="C5428" t="str">
            <v>NG</v>
          </cell>
          <cell r="D5428" t="str">
            <v>200403</v>
          </cell>
          <cell r="E5428">
            <v>5.0140000000000002</v>
          </cell>
        </row>
        <row r="5429">
          <cell r="A5429" t="str">
            <v>37718200404</v>
          </cell>
          <cell r="B5429">
            <v>37718</v>
          </cell>
          <cell r="C5429" t="str">
            <v>NG</v>
          </cell>
          <cell r="D5429" t="str">
            <v>200404</v>
          </cell>
          <cell r="E5429">
            <v>4.6239999999999997</v>
          </cell>
        </row>
        <row r="5430">
          <cell r="A5430" t="str">
            <v>37718200405</v>
          </cell>
          <cell r="B5430">
            <v>37718</v>
          </cell>
          <cell r="C5430" t="str">
            <v>NG</v>
          </cell>
          <cell r="D5430" t="str">
            <v>200405</v>
          </cell>
          <cell r="E5430">
            <v>4.5339999999999998</v>
          </cell>
        </row>
        <row r="5431">
          <cell r="A5431" t="str">
            <v>37718200406</v>
          </cell>
          <cell r="B5431">
            <v>37718</v>
          </cell>
          <cell r="C5431" t="str">
            <v>NG</v>
          </cell>
          <cell r="D5431" t="str">
            <v>200406</v>
          </cell>
          <cell r="E5431">
            <v>4.4989999999999997</v>
          </cell>
        </row>
        <row r="5432">
          <cell r="A5432" t="str">
            <v>37718200407</v>
          </cell>
          <cell r="B5432">
            <v>37718</v>
          </cell>
          <cell r="C5432" t="str">
            <v>NG</v>
          </cell>
          <cell r="D5432" t="str">
            <v>200407</v>
          </cell>
          <cell r="E5432">
            <v>4.4939999999999998</v>
          </cell>
        </row>
        <row r="5433">
          <cell r="A5433" t="str">
            <v>37718200408</v>
          </cell>
          <cell r="B5433">
            <v>37718</v>
          </cell>
          <cell r="C5433" t="str">
            <v>NG</v>
          </cell>
          <cell r="D5433" t="str">
            <v>200408</v>
          </cell>
          <cell r="E5433">
            <v>4.5039999999999996</v>
          </cell>
        </row>
        <row r="5434">
          <cell r="A5434" t="str">
            <v>37718200409</v>
          </cell>
          <cell r="B5434">
            <v>37718</v>
          </cell>
          <cell r="C5434" t="str">
            <v>NG</v>
          </cell>
          <cell r="D5434" t="str">
            <v>200409</v>
          </cell>
          <cell r="E5434">
            <v>4.4889999999999999</v>
          </cell>
        </row>
        <row r="5435">
          <cell r="A5435" t="str">
            <v>37718200410</v>
          </cell>
          <cell r="B5435">
            <v>37718</v>
          </cell>
          <cell r="C5435" t="str">
            <v>NG</v>
          </cell>
          <cell r="D5435" t="str">
            <v>200410</v>
          </cell>
          <cell r="E5435">
            <v>4.4889999999999999</v>
          </cell>
        </row>
        <row r="5436">
          <cell r="A5436" t="str">
            <v>37718200411</v>
          </cell>
          <cell r="B5436">
            <v>37718</v>
          </cell>
          <cell r="C5436" t="str">
            <v>NG</v>
          </cell>
          <cell r="D5436" t="str">
            <v>200411</v>
          </cell>
          <cell r="E5436">
            <v>4.6790000000000003</v>
          </cell>
        </row>
        <row r="5437">
          <cell r="A5437" t="str">
            <v>37718200412</v>
          </cell>
          <cell r="B5437">
            <v>37718</v>
          </cell>
          <cell r="C5437" t="str">
            <v>NG</v>
          </cell>
          <cell r="D5437" t="str">
            <v>200412</v>
          </cell>
          <cell r="E5437">
            <v>4.8540000000000001</v>
          </cell>
        </row>
        <row r="5438">
          <cell r="A5438" t="str">
            <v>37719200401</v>
          </cell>
          <cell r="B5438">
            <v>37719</v>
          </cell>
          <cell r="C5438" t="str">
            <v>NG</v>
          </cell>
          <cell r="D5438" t="str">
            <v>200401</v>
          </cell>
          <cell r="E5438">
            <v>5.399</v>
          </cell>
        </row>
        <row r="5439">
          <cell r="A5439" t="str">
            <v>37719200402</v>
          </cell>
          <cell r="B5439">
            <v>37719</v>
          </cell>
          <cell r="C5439" t="str">
            <v>NG</v>
          </cell>
          <cell r="D5439" t="str">
            <v>200402</v>
          </cell>
          <cell r="E5439">
            <v>5.2590000000000003</v>
          </cell>
        </row>
        <row r="5440">
          <cell r="A5440" t="str">
            <v>37719200403</v>
          </cell>
          <cell r="B5440">
            <v>37719</v>
          </cell>
          <cell r="C5440" t="str">
            <v>NG</v>
          </cell>
          <cell r="D5440" t="str">
            <v>200403</v>
          </cell>
          <cell r="E5440">
            <v>5.0289999999999999</v>
          </cell>
        </row>
        <row r="5441">
          <cell r="A5441" t="str">
            <v>37719200404</v>
          </cell>
          <cell r="B5441">
            <v>37719</v>
          </cell>
          <cell r="C5441" t="str">
            <v>NG</v>
          </cell>
          <cell r="D5441" t="str">
            <v>200404</v>
          </cell>
          <cell r="E5441">
            <v>4.6390000000000002</v>
          </cell>
        </row>
        <row r="5442">
          <cell r="A5442" t="str">
            <v>37719200405</v>
          </cell>
          <cell r="B5442">
            <v>37719</v>
          </cell>
          <cell r="C5442" t="str">
            <v>NG</v>
          </cell>
          <cell r="D5442" t="str">
            <v>200405</v>
          </cell>
          <cell r="E5442">
            <v>4.5389999999999997</v>
          </cell>
        </row>
        <row r="5443">
          <cell r="A5443" t="str">
            <v>37719200406</v>
          </cell>
          <cell r="B5443">
            <v>37719</v>
          </cell>
          <cell r="C5443" t="str">
            <v>NG</v>
          </cell>
          <cell r="D5443" t="str">
            <v>200406</v>
          </cell>
          <cell r="E5443">
            <v>4.4989999999999997</v>
          </cell>
        </row>
        <row r="5444">
          <cell r="A5444" t="str">
            <v>37719200407</v>
          </cell>
          <cell r="B5444">
            <v>37719</v>
          </cell>
          <cell r="C5444" t="str">
            <v>NG</v>
          </cell>
          <cell r="D5444" t="str">
            <v>200407</v>
          </cell>
          <cell r="E5444">
            <v>4.484</v>
          </cell>
        </row>
        <row r="5445">
          <cell r="A5445" t="str">
            <v>37719200408</v>
          </cell>
          <cell r="B5445">
            <v>37719</v>
          </cell>
          <cell r="C5445" t="str">
            <v>NG</v>
          </cell>
          <cell r="D5445" t="str">
            <v>200408</v>
          </cell>
          <cell r="E5445">
            <v>4.4939999999999998</v>
          </cell>
        </row>
        <row r="5446">
          <cell r="A5446" t="str">
            <v>37719200409</v>
          </cell>
          <cell r="B5446">
            <v>37719</v>
          </cell>
          <cell r="C5446" t="str">
            <v>NG</v>
          </cell>
          <cell r="D5446" t="str">
            <v>200409</v>
          </cell>
          <cell r="E5446">
            <v>4.4790000000000001</v>
          </cell>
        </row>
        <row r="5447">
          <cell r="A5447" t="str">
            <v>37719200410</v>
          </cell>
          <cell r="B5447">
            <v>37719</v>
          </cell>
          <cell r="C5447" t="str">
            <v>NG</v>
          </cell>
          <cell r="D5447" t="str">
            <v>200410</v>
          </cell>
          <cell r="E5447">
            <v>4.4790000000000001</v>
          </cell>
        </row>
        <row r="5448">
          <cell r="A5448" t="str">
            <v>37719200411</v>
          </cell>
          <cell r="B5448">
            <v>37719</v>
          </cell>
          <cell r="C5448" t="str">
            <v>NG</v>
          </cell>
          <cell r="D5448" t="str">
            <v>200411</v>
          </cell>
          <cell r="E5448">
            <v>4.649</v>
          </cell>
        </row>
        <row r="5449">
          <cell r="A5449" t="str">
            <v>37719200412</v>
          </cell>
          <cell r="B5449">
            <v>37719</v>
          </cell>
          <cell r="C5449" t="str">
            <v>NG</v>
          </cell>
          <cell r="D5449" t="str">
            <v>200412</v>
          </cell>
          <cell r="E5449">
            <v>4.8289999999999997</v>
          </cell>
        </row>
        <row r="5450">
          <cell r="A5450" t="str">
            <v>37720200401</v>
          </cell>
          <cell r="B5450">
            <v>37720</v>
          </cell>
          <cell r="C5450" t="str">
            <v>NG</v>
          </cell>
          <cell r="D5450" t="str">
            <v>200401</v>
          </cell>
          <cell r="E5450">
            <v>5.48</v>
          </cell>
        </row>
        <row r="5451">
          <cell r="A5451" t="str">
            <v>37720200402</v>
          </cell>
          <cell r="B5451">
            <v>37720</v>
          </cell>
          <cell r="C5451" t="str">
            <v>NG</v>
          </cell>
          <cell r="D5451" t="str">
            <v>200402</v>
          </cell>
          <cell r="E5451">
            <v>5.34</v>
          </cell>
        </row>
        <row r="5452">
          <cell r="A5452" t="str">
            <v>37720200403</v>
          </cell>
          <cell r="B5452">
            <v>37720</v>
          </cell>
          <cell r="C5452" t="str">
            <v>NG</v>
          </cell>
          <cell r="D5452" t="str">
            <v>200403</v>
          </cell>
          <cell r="E5452">
            <v>5.1050000000000004</v>
          </cell>
        </row>
        <row r="5453">
          <cell r="A5453" t="str">
            <v>37720200404</v>
          </cell>
          <cell r="B5453">
            <v>37720</v>
          </cell>
          <cell r="C5453" t="str">
            <v>NG</v>
          </cell>
          <cell r="D5453" t="str">
            <v>200404</v>
          </cell>
          <cell r="E5453">
            <v>4.7080000000000002</v>
          </cell>
        </row>
        <row r="5454">
          <cell r="A5454" t="str">
            <v>37720200405</v>
          </cell>
          <cell r="B5454">
            <v>37720</v>
          </cell>
          <cell r="C5454" t="str">
            <v>NG</v>
          </cell>
          <cell r="D5454" t="str">
            <v>200405</v>
          </cell>
          <cell r="E5454">
            <v>4.5979999999999999</v>
          </cell>
        </row>
        <row r="5455">
          <cell r="A5455" t="str">
            <v>37720200406</v>
          </cell>
          <cell r="B5455">
            <v>37720</v>
          </cell>
          <cell r="C5455" t="str">
            <v>NG</v>
          </cell>
          <cell r="D5455" t="str">
            <v>200406</v>
          </cell>
          <cell r="E5455">
            <v>4.548</v>
          </cell>
        </row>
        <row r="5456">
          <cell r="A5456" t="str">
            <v>37720200407</v>
          </cell>
          <cell r="B5456">
            <v>37720</v>
          </cell>
          <cell r="C5456" t="str">
            <v>NG</v>
          </cell>
          <cell r="D5456" t="str">
            <v>200407</v>
          </cell>
          <cell r="E5456">
            <v>4.5330000000000004</v>
          </cell>
        </row>
        <row r="5457">
          <cell r="A5457" t="str">
            <v>37720200408</v>
          </cell>
          <cell r="B5457">
            <v>37720</v>
          </cell>
          <cell r="C5457" t="str">
            <v>NG</v>
          </cell>
          <cell r="D5457" t="str">
            <v>200408</v>
          </cell>
          <cell r="E5457">
            <v>4.5330000000000004</v>
          </cell>
        </row>
        <row r="5458">
          <cell r="A5458" t="str">
            <v>37720200409</v>
          </cell>
          <cell r="B5458">
            <v>37720</v>
          </cell>
          <cell r="C5458" t="str">
            <v>NG</v>
          </cell>
          <cell r="D5458" t="str">
            <v>200409</v>
          </cell>
          <cell r="E5458">
            <v>4.5179999999999998</v>
          </cell>
        </row>
        <row r="5459">
          <cell r="A5459" t="str">
            <v>37720200410</v>
          </cell>
          <cell r="B5459">
            <v>37720</v>
          </cell>
          <cell r="C5459" t="str">
            <v>NG</v>
          </cell>
          <cell r="D5459" t="str">
            <v>200410</v>
          </cell>
          <cell r="E5459">
            <v>4.5129999999999999</v>
          </cell>
        </row>
        <row r="5460">
          <cell r="A5460" t="str">
            <v>37720200411</v>
          </cell>
          <cell r="B5460">
            <v>37720</v>
          </cell>
          <cell r="C5460" t="str">
            <v>NG</v>
          </cell>
          <cell r="D5460" t="str">
            <v>200411</v>
          </cell>
          <cell r="E5460">
            <v>4.6829999999999998</v>
          </cell>
        </row>
        <row r="5461">
          <cell r="A5461" t="str">
            <v>37720200412</v>
          </cell>
          <cell r="B5461">
            <v>37720</v>
          </cell>
          <cell r="C5461" t="str">
            <v>NG</v>
          </cell>
          <cell r="D5461" t="str">
            <v>200412</v>
          </cell>
          <cell r="E5461">
            <v>4.8630000000000004</v>
          </cell>
        </row>
        <row r="5462">
          <cell r="A5462" t="str">
            <v>37721200401</v>
          </cell>
          <cell r="B5462">
            <v>37721</v>
          </cell>
          <cell r="C5462" t="str">
            <v>NG</v>
          </cell>
          <cell r="D5462" t="str">
            <v>200401</v>
          </cell>
          <cell r="E5462">
            <v>5.6440000000000001</v>
          </cell>
        </row>
        <row r="5463">
          <cell r="A5463" t="str">
            <v>37721200402</v>
          </cell>
          <cell r="B5463">
            <v>37721</v>
          </cell>
          <cell r="C5463" t="str">
            <v>NG</v>
          </cell>
          <cell r="D5463" t="str">
            <v>200402</v>
          </cell>
          <cell r="E5463">
            <v>5.5039999999999996</v>
          </cell>
        </row>
        <row r="5464">
          <cell r="A5464" t="str">
            <v>37721200403</v>
          </cell>
          <cell r="B5464">
            <v>37721</v>
          </cell>
          <cell r="C5464" t="str">
            <v>NG</v>
          </cell>
          <cell r="D5464" t="str">
            <v>200403</v>
          </cell>
          <cell r="E5464">
            <v>5.2240000000000002</v>
          </cell>
        </row>
        <row r="5465">
          <cell r="A5465" t="str">
            <v>37721200404</v>
          </cell>
          <cell r="B5465">
            <v>37721</v>
          </cell>
          <cell r="C5465" t="str">
            <v>NG</v>
          </cell>
          <cell r="D5465" t="str">
            <v>200404</v>
          </cell>
          <cell r="E5465">
            <v>4.7939999999999996</v>
          </cell>
        </row>
        <row r="5466">
          <cell r="A5466" t="str">
            <v>37721200405</v>
          </cell>
          <cell r="B5466">
            <v>37721</v>
          </cell>
          <cell r="C5466" t="str">
            <v>NG</v>
          </cell>
          <cell r="D5466" t="str">
            <v>200405</v>
          </cell>
          <cell r="E5466">
            <v>4.6639999999999997</v>
          </cell>
        </row>
        <row r="5467">
          <cell r="A5467" t="str">
            <v>37721200406</v>
          </cell>
          <cell r="B5467">
            <v>37721</v>
          </cell>
          <cell r="C5467" t="str">
            <v>NG</v>
          </cell>
          <cell r="D5467" t="str">
            <v>200406</v>
          </cell>
          <cell r="E5467">
            <v>4.6040000000000001</v>
          </cell>
        </row>
        <row r="5468">
          <cell r="A5468" t="str">
            <v>37721200407</v>
          </cell>
          <cell r="B5468">
            <v>37721</v>
          </cell>
          <cell r="C5468" t="str">
            <v>NG</v>
          </cell>
          <cell r="D5468" t="str">
            <v>200407</v>
          </cell>
          <cell r="E5468">
            <v>4.5839999999999996</v>
          </cell>
        </row>
        <row r="5469">
          <cell r="A5469" t="str">
            <v>37721200408</v>
          </cell>
          <cell r="B5469">
            <v>37721</v>
          </cell>
          <cell r="C5469" t="str">
            <v>NG</v>
          </cell>
          <cell r="D5469" t="str">
            <v>200408</v>
          </cell>
          <cell r="E5469">
            <v>4.5739999999999998</v>
          </cell>
        </row>
        <row r="5470">
          <cell r="A5470" t="str">
            <v>37721200409</v>
          </cell>
          <cell r="B5470">
            <v>37721</v>
          </cell>
          <cell r="C5470" t="str">
            <v>NG</v>
          </cell>
          <cell r="D5470" t="str">
            <v>200409</v>
          </cell>
          <cell r="E5470">
            <v>4.5540000000000003</v>
          </cell>
        </row>
        <row r="5471">
          <cell r="A5471" t="str">
            <v>37721200410</v>
          </cell>
          <cell r="B5471">
            <v>37721</v>
          </cell>
          <cell r="C5471" t="str">
            <v>NG</v>
          </cell>
          <cell r="D5471" t="str">
            <v>200410</v>
          </cell>
          <cell r="E5471">
            <v>4.5490000000000004</v>
          </cell>
        </row>
        <row r="5472">
          <cell r="A5472" t="str">
            <v>37721200411</v>
          </cell>
          <cell r="B5472">
            <v>37721</v>
          </cell>
          <cell r="C5472" t="str">
            <v>NG</v>
          </cell>
          <cell r="D5472" t="str">
            <v>200411</v>
          </cell>
          <cell r="E5472">
            <v>4.7089999999999996</v>
          </cell>
        </row>
        <row r="5473">
          <cell r="A5473" t="str">
            <v>37721200412</v>
          </cell>
          <cell r="B5473">
            <v>37721</v>
          </cell>
          <cell r="C5473" t="str">
            <v>NG</v>
          </cell>
          <cell r="D5473" t="str">
            <v>200412</v>
          </cell>
          <cell r="E5473">
            <v>4.8689999999999998</v>
          </cell>
        </row>
        <row r="5474">
          <cell r="A5474" t="str">
            <v>37722200401</v>
          </cell>
          <cell r="B5474">
            <v>37722</v>
          </cell>
          <cell r="C5474" t="str">
            <v>NG</v>
          </cell>
          <cell r="D5474" t="str">
            <v>200401</v>
          </cell>
          <cell r="E5474">
            <v>5.6580000000000004</v>
          </cell>
        </row>
        <row r="5475">
          <cell r="A5475" t="str">
            <v>37722200402</v>
          </cell>
          <cell r="B5475">
            <v>37722</v>
          </cell>
          <cell r="C5475" t="str">
            <v>NG</v>
          </cell>
          <cell r="D5475" t="str">
            <v>200402</v>
          </cell>
          <cell r="E5475">
            <v>5.52</v>
          </cell>
        </row>
        <row r="5476">
          <cell r="A5476" t="str">
            <v>37722200403</v>
          </cell>
          <cell r="B5476">
            <v>37722</v>
          </cell>
          <cell r="C5476" t="str">
            <v>NG</v>
          </cell>
          <cell r="D5476" t="str">
            <v>200403</v>
          </cell>
          <cell r="E5476">
            <v>5.24</v>
          </cell>
        </row>
        <row r="5477">
          <cell r="A5477" t="str">
            <v>37722200404</v>
          </cell>
          <cell r="B5477">
            <v>37722</v>
          </cell>
          <cell r="C5477" t="str">
            <v>NG</v>
          </cell>
          <cell r="D5477" t="str">
            <v>200404</v>
          </cell>
          <cell r="E5477">
            <v>4.79</v>
          </cell>
        </row>
        <row r="5478">
          <cell r="A5478" t="str">
            <v>37722200405</v>
          </cell>
          <cell r="B5478">
            <v>37722</v>
          </cell>
          <cell r="C5478" t="str">
            <v>NG</v>
          </cell>
          <cell r="D5478" t="str">
            <v>200405</v>
          </cell>
          <cell r="E5478">
            <v>4.6429999999999998</v>
          </cell>
        </row>
        <row r="5479">
          <cell r="A5479" t="str">
            <v>37722200406</v>
          </cell>
          <cell r="B5479">
            <v>37722</v>
          </cell>
          <cell r="C5479" t="str">
            <v>NG</v>
          </cell>
          <cell r="D5479" t="str">
            <v>200406</v>
          </cell>
          <cell r="E5479">
            <v>4.5670000000000002</v>
          </cell>
        </row>
        <row r="5480">
          <cell r="A5480" t="str">
            <v>37722200407</v>
          </cell>
          <cell r="B5480">
            <v>37722</v>
          </cell>
          <cell r="C5480" t="str">
            <v>NG</v>
          </cell>
          <cell r="D5480" t="str">
            <v>200407</v>
          </cell>
          <cell r="E5480">
            <v>4.5469999999999997</v>
          </cell>
        </row>
        <row r="5481">
          <cell r="A5481" t="str">
            <v>37722200408</v>
          </cell>
          <cell r="B5481">
            <v>37722</v>
          </cell>
          <cell r="C5481" t="str">
            <v>NG</v>
          </cell>
          <cell r="D5481" t="str">
            <v>200408</v>
          </cell>
          <cell r="E5481">
            <v>4.5270000000000001</v>
          </cell>
        </row>
        <row r="5482">
          <cell r="A5482" t="str">
            <v>37722200409</v>
          </cell>
          <cell r="B5482">
            <v>37722</v>
          </cell>
          <cell r="C5482" t="str">
            <v>NG</v>
          </cell>
          <cell r="D5482" t="str">
            <v>200409</v>
          </cell>
          <cell r="E5482">
            <v>4.5069999999999997</v>
          </cell>
        </row>
        <row r="5483">
          <cell r="A5483" t="str">
            <v>37722200410</v>
          </cell>
          <cell r="B5483">
            <v>37722</v>
          </cell>
          <cell r="C5483" t="str">
            <v>NG</v>
          </cell>
          <cell r="D5483" t="str">
            <v>200410</v>
          </cell>
          <cell r="E5483">
            <v>4.5019999999999998</v>
          </cell>
        </row>
        <row r="5484">
          <cell r="A5484" t="str">
            <v>37722200411</v>
          </cell>
          <cell r="B5484">
            <v>37722</v>
          </cell>
          <cell r="C5484" t="str">
            <v>NG</v>
          </cell>
          <cell r="D5484" t="str">
            <v>200411</v>
          </cell>
          <cell r="E5484">
            <v>4.6760000000000002</v>
          </cell>
        </row>
        <row r="5485">
          <cell r="A5485" t="str">
            <v>37722200412</v>
          </cell>
          <cell r="B5485">
            <v>37722</v>
          </cell>
          <cell r="C5485" t="str">
            <v>NG</v>
          </cell>
          <cell r="D5485" t="str">
            <v>200412</v>
          </cell>
          <cell r="E5485">
            <v>4.8499999999999996</v>
          </cell>
        </row>
        <row r="5486">
          <cell r="A5486" t="str">
            <v>37723200401</v>
          </cell>
          <cell r="B5486">
            <v>37723</v>
          </cell>
          <cell r="C5486" t="str">
            <v>NG</v>
          </cell>
          <cell r="D5486" t="str">
            <v>200401</v>
          </cell>
          <cell r="E5486">
            <v>5.6580000000000004</v>
          </cell>
        </row>
        <row r="5487">
          <cell r="A5487" t="str">
            <v>37723200402</v>
          </cell>
          <cell r="B5487">
            <v>37723</v>
          </cell>
          <cell r="C5487" t="str">
            <v>NG</v>
          </cell>
          <cell r="D5487" t="str">
            <v>200402</v>
          </cell>
          <cell r="E5487">
            <v>5.52</v>
          </cell>
        </row>
        <row r="5488">
          <cell r="A5488" t="str">
            <v>37723200403</v>
          </cell>
          <cell r="B5488">
            <v>37723</v>
          </cell>
          <cell r="C5488" t="str">
            <v>NG</v>
          </cell>
          <cell r="D5488" t="str">
            <v>200403</v>
          </cell>
          <cell r="E5488">
            <v>5.24</v>
          </cell>
        </row>
        <row r="5489">
          <cell r="A5489" t="str">
            <v>37723200404</v>
          </cell>
          <cell r="B5489">
            <v>37723</v>
          </cell>
          <cell r="C5489" t="str">
            <v>NG</v>
          </cell>
          <cell r="D5489" t="str">
            <v>200404</v>
          </cell>
          <cell r="E5489">
            <v>4.79</v>
          </cell>
        </row>
        <row r="5490">
          <cell r="A5490" t="str">
            <v>37723200405</v>
          </cell>
          <cell r="B5490">
            <v>37723</v>
          </cell>
          <cell r="C5490" t="str">
            <v>NG</v>
          </cell>
          <cell r="D5490" t="str">
            <v>200405</v>
          </cell>
          <cell r="E5490">
            <v>4.6429999999999998</v>
          </cell>
        </row>
        <row r="5491">
          <cell r="A5491" t="str">
            <v>37723200406</v>
          </cell>
          <cell r="B5491">
            <v>37723</v>
          </cell>
          <cell r="C5491" t="str">
            <v>NG</v>
          </cell>
          <cell r="D5491" t="str">
            <v>200406</v>
          </cell>
          <cell r="E5491">
            <v>4.5670000000000002</v>
          </cell>
        </row>
        <row r="5492">
          <cell r="A5492" t="str">
            <v>37723200407</v>
          </cell>
          <cell r="B5492">
            <v>37723</v>
          </cell>
          <cell r="C5492" t="str">
            <v>NG</v>
          </cell>
          <cell r="D5492" t="str">
            <v>200407</v>
          </cell>
          <cell r="E5492">
            <v>4.5469999999999997</v>
          </cell>
        </row>
        <row r="5493">
          <cell r="A5493" t="str">
            <v>37723200408</v>
          </cell>
          <cell r="B5493">
            <v>37723</v>
          </cell>
          <cell r="C5493" t="str">
            <v>NG</v>
          </cell>
          <cell r="D5493" t="str">
            <v>200408</v>
          </cell>
          <cell r="E5493">
            <v>4.5270000000000001</v>
          </cell>
        </row>
        <row r="5494">
          <cell r="A5494" t="str">
            <v>37723200409</v>
          </cell>
          <cell r="B5494">
            <v>37723</v>
          </cell>
          <cell r="C5494" t="str">
            <v>NG</v>
          </cell>
          <cell r="D5494" t="str">
            <v>200409</v>
          </cell>
          <cell r="E5494">
            <v>4.5069999999999997</v>
          </cell>
        </row>
        <row r="5495">
          <cell r="A5495" t="str">
            <v>37723200410</v>
          </cell>
          <cell r="B5495">
            <v>37723</v>
          </cell>
          <cell r="C5495" t="str">
            <v>NG</v>
          </cell>
          <cell r="D5495" t="str">
            <v>200410</v>
          </cell>
          <cell r="E5495">
            <v>4.5019999999999998</v>
          </cell>
        </row>
        <row r="5496">
          <cell r="A5496" t="str">
            <v>37723200411</v>
          </cell>
          <cell r="B5496">
            <v>37723</v>
          </cell>
          <cell r="C5496" t="str">
            <v>NG</v>
          </cell>
          <cell r="D5496" t="str">
            <v>200411</v>
          </cell>
          <cell r="E5496">
            <v>4.6760000000000002</v>
          </cell>
        </row>
        <row r="5497">
          <cell r="A5497" t="str">
            <v>37723200412</v>
          </cell>
          <cell r="B5497">
            <v>37723</v>
          </cell>
          <cell r="C5497" t="str">
            <v>NG</v>
          </cell>
          <cell r="D5497" t="str">
            <v>200412</v>
          </cell>
          <cell r="E5497">
            <v>4.8499999999999996</v>
          </cell>
        </row>
        <row r="5498">
          <cell r="A5498" t="str">
            <v>37724200401</v>
          </cell>
          <cell r="B5498">
            <v>37724</v>
          </cell>
          <cell r="C5498" t="str">
            <v>NG</v>
          </cell>
          <cell r="D5498" t="str">
            <v>200401</v>
          </cell>
          <cell r="E5498">
            <v>5.6580000000000004</v>
          </cell>
        </row>
        <row r="5499">
          <cell r="A5499" t="str">
            <v>37724200402</v>
          </cell>
          <cell r="B5499">
            <v>37724</v>
          </cell>
          <cell r="C5499" t="str">
            <v>NG</v>
          </cell>
          <cell r="D5499" t="str">
            <v>200402</v>
          </cell>
          <cell r="E5499">
            <v>5.52</v>
          </cell>
        </row>
        <row r="5500">
          <cell r="A5500" t="str">
            <v>37724200403</v>
          </cell>
          <cell r="B5500">
            <v>37724</v>
          </cell>
          <cell r="C5500" t="str">
            <v>NG</v>
          </cell>
          <cell r="D5500" t="str">
            <v>200403</v>
          </cell>
          <cell r="E5500">
            <v>5.24</v>
          </cell>
        </row>
        <row r="5501">
          <cell r="A5501" t="str">
            <v>37724200404</v>
          </cell>
          <cell r="B5501">
            <v>37724</v>
          </cell>
          <cell r="C5501" t="str">
            <v>NG</v>
          </cell>
          <cell r="D5501" t="str">
            <v>200404</v>
          </cell>
          <cell r="E5501">
            <v>4.79</v>
          </cell>
        </row>
        <row r="5502">
          <cell r="A5502" t="str">
            <v>37724200405</v>
          </cell>
          <cell r="B5502">
            <v>37724</v>
          </cell>
          <cell r="C5502" t="str">
            <v>NG</v>
          </cell>
          <cell r="D5502" t="str">
            <v>200405</v>
          </cell>
          <cell r="E5502">
            <v>4.6429999999999998</v>
          </cell>
        </row>
        <row r="5503">
          <cell r="A5503" t="str">
            <v>37724200406</v>
          </cell>
          <cell r="B5503">
            <v>37724</v>
          </cell>
          <cell r="C5503" t="str">
            <v>NG</v>
          </cell>
          <cell r="D5503" t="str">
            <v>200406</v>
          </cell>
          <cell r="E5503">
            <v>4.5670000000000002</v>
          </cell>
        </row>
        <row r="5504">
          <cell r="A5504" t="str">
            <v>37724200407</v>
          </cell>
          <cell r="B5504">
            <v>37724</v>
          </cell>
          <cell r="C5504" t="str">
            <v>NG</v>
          </cell>
          <cell r="D5504" t="str">
            <v>200407</v>
          </cell>
          <cell r="E5504">
            <v>4.5469999999999997</v>
          </cell>
        </row>
        <row r="5505">
          <cell r="A5505" t="str">
            <v>37724200408</v>
          </cell>
          <cell r="B5505">
            <v>37724</v>
          </cell>
          <cell r="C5505" t="str">
            <v>NG</v>
          </cell>
          <cell r="D5505" t="str">
            <v>200408</v>
          </cell>
          <cell r="E5505">
            <v>4.5270000000000001</v>
          </cell>
        </row>
        <row r="5506">
          <cell r="A5506" t="str">
            <v>37724200409</v>
          </cell>
          <cell r="B5506">
            <v>37724</v>
          </cell>
          <cell r="C5506" t="str">
            <v>NG</v>
          </cell>
          <cell r="D5506" t="str">
            <v>200409</v>
          </cell>
          <cell r="E5506">
            <v>4.5069999999999997</v>
          </cell>
        </row>
        <row r="5507">
          <cell r="A5507" t="str">
            <v>37724200410</v>
          </cell>
          <cell r="B5507">
            <v>37724</v>
          </cell>
          <cell r="C5507" t="str">
            <v>NG</v>
          </cell>
          <cell r="D5507" t="str">
            <v>200410</v>
          </cell>
          <cell r="E5507">
            <v>4.5019999999999998</v>
          </cell>
        </row>
        <row r="5508">
          <cell r="A5508" t="str">
            <v>37724200411</v>
          </cell>
          <cell r="B5508">
            <v>37724</v>
          </cell>
          <cell r="C5508" t="str">
            <v>NG</v>
          </cell>
          <cell r="D5508" t="str">
            <v>200411</v>
          </cell>
          <cell r="E5508">
            <v>4.6760000000000002</v>
          </cell>
        </row>
        <row r="5509">
          <cell r="A5509" t="str">
            <v>37724200412</v>
          </cell>
          <cell r="B5509">
            <v>37724</v>
          </cell>
          <cell r="C5509" t="str">
            <v>NG</v>
          </cell>
          <cell r="D5509" t="str">
            <v>200412</v>
          </cell>
          <cell r="E5509">
            <v>4.8499999999999996</v>
          </cell>
        </row>
        <row r="5510">
          <cell r="A5510" t="str">
            <v>37725200401</v>
          </cell>
          <cell r="B5510">
            <v>37725</v>
          </cell>
          <cell r="C5510" t="str">
            <v>NG</v>
          </cell>
          <cell r="D5510" t="str">
            <v>200401</v>
          </cell>
          <cell r="E5510">
            <v>5.7720000000000002</v>
          </cell>
        </row>
        <row r="5511">
          <cell r="A5511" t="str">
            <v>37725200402</v>
          </cell>
          <cell r="B5511">
            <v>37725</v>
          </cell>
          <cell r="C5511" t="str">
            <v>NG</v>
          </cell>
          <cell r="D5511" t="str">
            <v>200402</v>
          </cell>
          <cell r="E5511">
            <v>5.6219999999999999</v>
          </cell>
        </row>
        <row r="5512">
          <cell r="A5512" t="str">
            <v>37725200403</v>
          </cell>
          <cell r="B5512">
            <v>37725</v>
          </cell>
          <cell r="C5512" t="str">
            <v>NG</v>
          </cell>
          <cell r="D5512" t="str">
            <v>200403</v>
          </cell>
          <cell r="E5512">
            <v>5.327</v>
          </cell>
        </row>
        <row r="5513">
          <cell r="A5513" t="str">
            <v>37725200404</v>
          </cell>
          <cell r="B5513">
            <v>37725</v>
          </cell>
          <cell r="C5513" t="str">
            <v>NG</v>
          </cell>
          <cell r="D5513" t="str">
            <v>200404</v>
          </cell>
          <cell r="E5513">
            <v>4.8620000000000001</v>
          </cell>
        </row>
        <row r="5514">
          <cell r="A5514" t="str">
            <v>37725200405</v>
          </cell>
          <cell r="B5514">
            <v>37725</v>
          </cell>
          <cell r="C5514" t="str">
            <v>NG</v>
          </cell>
          <cell r="D5514" t="str">
            <v>200405</v>
          </cell>
          <cell r="E5514">
            <v>4.6719999999999997</v>
          </cell>
        </row>
        <row r="5515">
          <cell r="A5515" t="str">
            <v>37725200406</v>
          </cell>
          <cell r="B5515">
            <v>37725</v>
          </cell>
          <cell r="C5515" t="str">
            <v>NG</v>
          </cell>
          <cell r="D5515" t="str">
            <v>200406</v>
          </cell>
          <cell r="E5515">
            <v>4.5919999999999996</v>
          </cell>
        </row>
        <row r="5516">
          <cell r="A5516" t="str">
            <v>37725200407</v>
          </cell>
          <cell r="B5516">
            <v>37725</v>
          </cell>
          <cell r="C5516" t="str">
            <v>NG</v>
          </cell>
          <cell r="D5516" t="str">
            <v>200407</v>
          </cell>
          <cell r="E5516">
            <v>4.5620000000000003</v>
          </cell>
        </row>
        <row r="5517">
          <cell r="A5517" t="str">
            <v>37725200408</v>
          </cell>
          <cell r="B5517">
            <v>37725</v>
          </cell>
          <cell r="C5517" t="str">
            <v>NG</v>
          </cell>
          <cell r="D5517" t="str">
            <v>200408</v>
          </cell>
          <cell r="E5517">
            <v>4.5369999999999999</v>
          </cell>
        </row>
        <row r="5518">
          <cell r="A5518" t="str">
            <v>37725200409</v>
          </cell>
          <cell r="B5518">
            <v>37725</v>
          </cell>
          <cell r="C5518" t="str">
            <v>NG</v>
          </cell>
          <cell r="D5518" t="str">
            <v>200409</v>
          </cell>
          <cell r="E5518">
            <v>4.5170000000000003</v>
          </cell>
        </row>
        <row r="5519">
          <cell r="A5519" t="str">
            <v>37725200410</v>
          </cell>
          <cell r="B5519">
            <v>37725</v>
          </cell>
          <cell r="C5519" t="str">
            <v>NG</v>
          </cell>
          <cell r="D5519" t="str">
            <v>200410</v>
          </cell>
          <cell r="E5519">
            <v>4.5019999999999998</v>
          </cell>
        </row>
        <row r="5520">
          <cell r="A5520" t="str">
            <v>37725200411</v>
          </cell>
          <cell r="B5520">
            <v>37725</v>
          </cell>
          <cell r="C5520" t="str">
            <v>NG</v>
          </cell>
          <cell r="D5520" t="str">
            <v>200411</v>
          </cell>
          <cell r="E5520">
            <v>4.6719999999999997</v>
          </cell>
        </row>
        <row r="5521">
          <cell r="A5521" t="str">
            <v>37725200412</v>
          </cell>
          <cell r="B5521">
            <v>37725</v>
          </cell>
          <cell r="C5521" t="str">
            <v>NG</v>
          </cell>
          <cell r="D5521" t="str">
            <v>200412</v>
          </cell>
          <cell r="E5521">
            <v>4.8419999999999996</v>
          </cell>
        </row>
        <row r="5522">
          <cell r="A5522" t="str">
            <v>37726200401</v>
          </cell>
          <cell r="B5522">
            <v>37726</v>
          </cell>
          <cell r="C5522" t="str">
            <v>NG</v>
          </cell>
          <cell r="D5522" t="str">
            <v>200401</v>
          </cell>
          <cell r="E5522">
            <v>5.8979999999999997</v>
          </cell>
        </row>
        <row r="5523">
          <cell r="A5523" t="str">
            <v>37726200402</v>
          </cell>
          <cell r="B5523">
            <v>37726</v>
          </cell>
          <cell r="C5523" t="str">
            <v>NG</v>
          </cell>
          <cell r="D5523" t="str">
            <v>200402</v>
          </cell>
          <cell r="E5523">
            <v>5.7480000000000002</v>
          </cell>
        </row>
        <row r="5524">
          <cell r="A5524" t="str">
            <v>37726200403</v>
          </cell>
          <cell r="B5524">
            <v>37726</v>
          </cell>
          <cell r="C5524" t="str">
            <v>NG</v>
          </cell>
          <cell r="D5524" t="str">
            <v>200403</v>
          </cell>
          <cell r="E5524">
            <v>5.4669999999999996</v>
          </cell>
        </row>
        <row r="5525">
          <cell r="A5525" t="str">
            <v>37726200404</v>
          </cell>
          <cell r="B5525">
            <v>37726</v>
          </cell>
          <cell r="C5525" t="str">
            <v>NG</v>
          </cell>
          <cell r="D5525" t="str">
            <v>200404</v>
          </cell>
          <cell r="E5525">
            <v>4.952</v>
          </cell>
        </row>
        <row r="5526">
          <cell r="A5526" t="str">
            <v>37726200405</v>
          </cell>
          <cell r="B5526">
            <v>37726</v>
          </cell>
          <cell r="C5526" t="str">
            <v>NG</v>
          </cell>
          <cell r="D5526" t="str">
            <v>200405</v>
          </cell>
          <cell r="E5526">
            <v>4.7990000000000004</v>
          </cell>
        </row>
        <row r="5527">
          <cell r="A5527" t="str">
            <v>37726200406</v>
          </cell>
          <cell r="B5527">
            <v>37726</v>
          </cell>
          <cell r="C5527" t="str">
            <v>NG</v>
          </cell>
          <cell r="D5527" t="str">
            <v>200406</v>
          </cell>
          <cell r="E5527">
            <v>4.7190000000000003</v>
          </cell>
        </row>
        <row r="5528">
          <cell r="A5528" t="str">
            <v>37726200407</v>
          </cell>
          <cell r="B5528">
            <v>37726</v>
          </cell>
          <cell r="C5528" t="str">
            <v>NG</v>
          </cell>
          <cell r="D5528" t="str">
            <v>200407</v>
          </cell>
          <cell r="E5528">
            <v>4.6890000000000001</v>
          </cell>
        </row>
        <row r="5529">
          <cell r="A5529" t="str">
            <v>37726200408</v>
          </cell>
          <cell r="B5529">
            <v>37726</v>
          </cell>
          <cell r="C5529" t="str">
            <v>NG</v>
          </cell>
          <cell r="D5529" t="str">
            <v>200408</v>
          </cell>
          <cell r="E5529">
            <v>4.6639999999999997</v>
          </cell>
        </row>
        <row r="5530">
          <cell r="A5530" t="str">
            <v>37726200409</v>
          </cell>
          <cell r="B5530">
            <v>37726</v>
          </cell>
          <cell r="C5530" t="str">
            <v>NG</v>
          </cell>
          <cell r="D5530" t="str">
            <v>200409</v>
          </cell>
          <cell r="E5530">
            <v>4.6390000000000002</v>
          </cell>
        </row>
        <row r="5531">
          <cell r="A5531" t="str">
            <v>37726200410</v>
          </cell>
          <cell r="B5531">
            <v>37726</v>
          </cell>
          <cell r="C5531" t="str">
            <v>NG</v>
          </cell>
          <cell r="D5531" t="str">
            <v>200410</v>
          </cell>
          <cell r="E5531">
            <v>4.6139999999999999</v>
          </cell>
        </row>
        <row r="5532">
          <cell r="A5532" t="str">
            <v>37726200411</v>
          </cell>
          <cell r="B5532">
            <v>37726</v>
          </cell>
          <cell r="C5532" t="str">
            <v>NG</v>
          </cell>
          <cell r="D5532" t="str">
            <v>200411</v>
          </cell>
          <cell r="E5532">
            <v>4.7990000000000004</v>
          </cell>
        </row>
        <row r="5533">
          <cell r="A5533" t="str">
            <v>37726200412</v>
          </cell>
          <cell r="B5533">
            <v>37726</v>
          </cell>
          <cell r="C5533" t="str">
            <v>NG</v>
          </cell>
          <cell r="D5533" t="str">
            <v>200412</v>
          </cell>
          <cell r="E5533">
            <v>4.9290000000000003</v>
          </cell>
        </row>
        <row r="5534">
          <cell r="A5534" t="str">
            <v>37727200401</v>
          </cell>
          <cell r="B5534">
            <v>37727</v>
          </cell>
          <cell r="C5534" t="str">
            <v>NG</v>
          </cell>
          <cell r="D5534" t="str">
            <v>200401</v>
          </cell>
          <cell r="E5534">
            <v>5.915</v>
          </cell>
        </row>
        <row r="5535">
          <cell r="A5535" t="str">
            <v>37727200402</v>
          </cell>
          <cell r="B5535">
            <v>37727</v>
          </cell>
          <cell r="C5535" t="str">
            <v>NG</v>
          </cell>
          <cell r="D5535" t="str">
            <v>200402</v>
          </cell>
          <cell r="E5535">
            <v>5.766</v>
          </cell>
        </row>
        <row r="5536">
          <cell r="A5536" t="str">
            <v>37727200403</v>
          </cell>
          <cell r="B5536">
            <v>37727</v>
          </cell>
          <cell r="C5536" t="str">
            <v>NG</v>
          </cell>
          <cell r="D5536" t="str">
            <v>200403</v>
          </cell>
          <cell r="E5536">
            <v>5.4960000000000004</v>
          </cell>
        </row>
        <row r="5537">
          <cell r="A5537" t="str">
            <v>37727200404</v>
          </cell>
          <cell r="B5537">
            <v>37727</v>
          </cell>
          <cell r="C5537" t="str">
            <v>NG</v>
          </cell>
          <cell r="D5537" t="str">
            <v>200404</v>
          </cell>
          <cell r="E5537">
            <v>4.9459999999999997</v>
          </cell>
        </row>
        <row r="5538">
          <cell r="A5538" t="str">
            <v>37727200405</v>
          </cell>
          <cell r="B5538">
            <v>37727</v>
          </cell>
          <cell r="C5538" t="str">
            <v>NG</v>
          </cell>
          <cell r="D5538" t="str">
            <v>200405</v>
          </cell>
          <cell r="E5538">
            <v>4.7759999999999998</v>
          </cell>
        </row>
        <row r="5539">
          <cell r="A5539" t="str">
            <v>37727200406</v>
          </cell>
          <cell r="B5539">
            <v>37727</v>
          </cell>
          <cell r="C5539" t="str">
            <v>NG</v>
          </cell>
          <cell r="D5539" t="str">
            <v>200406</v>
          </cell>
          <cell r="E5539">
            <v>4.7160000000000002</v>
          </cell>
        </row>
        <row r="5540">
          <cell r="A5540" t="str">
            <v>37727200407</v>
          </cell>
          <cell r="B5540">
            <v>37727</v>
          </cell>
          <cell r="C5540" t="str">
            <v>NG</v>
          </cell>
          <cell r="D5540" t="str">
            <v>200407</v>
          </cell>
          <cell r="E5540">
            <v>4.6859999999999999</v>
          </cell>
        </row>
        <row r="5541">
          <cell r="A5541" t="str">
            <v>37727200408</v>
          </cell>
          <cell r="B5541">
            <v>37727</v>
          </cell>
          <cell r="C5541" t="str">
            <v>NG</v>
          </cell>
          <cell r="D5541" t="str">
            <v>200408</v>
          </cell>
          <cell r="E5541">
            <v>4.6609999999999996</v>
          </cell>
        </row>
        <row r="5542">
          <cell r="A5542" t="str">
            <v>37727200409</v>
          </cell>
          <cell r="B5542">
            <v>37727</v>
          </cell>
          <cell r="C5542" t="str">
            <v>NG</v>
          </cell>
          <cell r="D5542" t="str">
            <v>200409</v>
          </cell>
          <cell r="E5542">
            <v>4.6310000000000002</v>
          </cell>
        </row>
        <row r="5543">
          <cell r="A5543" t="str">
            <v>37727200410</v>
          </cell>
          <cell r="B5543">
            <v>37727</v>
          </cell>
          <cell r="C5543" t="str">
            <v>NG</v>
          </cell>
          <cell r="D5543" t="str">
            <v>200410</v>
          </cell>
          <cell r="E5543">
            <v>4.601</v>
          </cell>
        </row>
        <row r="5544">
          <cell r="A5544" t="str">
            <v>37727200411</v>
          </cell>
          <cell r="B5544">
            <v>37727</v>
          </cell>
          <cell r="C5544" t="str">
            <v>NG</v>
          </cell>
          <cell r="D5544" t="str">
            <v>200411</v>
          </cell>
          <cell r="E5544">
            <v>4.7480000000000002</v>
          </cell>
        </row>
        <row r="5545">
          <cell r="A5545" t="str">
            <v>37727200412</v>
          </cell>
          <cell r="B5545">
            <v>37727</v>
          </cell>
          <cell r="C5545" t="str">
            <v>NG</v>
          </cell>
          <cell r="D5545" t="str">
            <v>200412</v>
          </cell>
          <cell r="E5545">
            <v>4.9050000000000002</v>
          </cell>
        </row>
        <row r="5546">
          <cell r="A5546" t="str">
            <v>37728200401</v>
          </cell>
          <cell r="B5546">
            <v>37728</v>
          </cell>
          <cell r="C5546" t="str">
            <v>NG</v>
          </cell>
          <cell r="D5546" t="str">
            <v>200401</v>
          </cell>
          <cell r="E5546">
            <v>5.93</v>
          </cell>
        </row>
        <row r="5547">
          <cell r="A5547" t="str">
            <v>37728200402</v>
          </cell>
          <cell r="B5547">
            <v>37728</v>
          </cell>
          <cell r="C5547" t="str">
            <v>NG</v>
          </cell>
          <cell r="D5547" t="str">
            <v>200402</v>
          </cell>
          <cell r="E5547">
            <v>5.7809999999999997</v>
          </cell>
        </row>
        <row r="5548">
          <cell r="A5548" t="str">
            <v>37728200403</v>
          </cell>
          <cell r="B5548">
            <v>37728</v>
          </cell>
          <cell r="C5548" t="str">
            <v>NG</v>
          </cell>
          <cell r="D5548" t="str">
            <v>200403</v>
          </cell>
          <cell r="E5548">
            <v>5.5110000000000001</v>
          </cell>
        </row>
        <row r="5549">
          <cell r="A5549" t="str">
            <v>37728200404</v>
          </cell>
          <cell r="B5549">
            <v>37728</v>
          </cell>
          <cell r="C5549" t="str">
            <v>NG</v>
          </cell>
          <cell r="D5549" t="str">
            <v>200404</v>
          </cell>
          <cell r="E5549">
            <v>4.9210000000000003</v>
          </cell>
        </row>
        <row r="5550">
          <cell r="A5550" t="str">
            <v>37728200405</v>
          </cell>
          <cell r="B5550">
            <v>37728</v>
          </cell>
          <cell r="C5550" t="str">
            <v>NG</v>
          </cell>
          <cell r="D5550" t="str">
            <v>200405</v>
          </cell>
          <cell r="E5550">
            <v>4.7549999999999999</v>
          </cell>
        </row>
        <row r="5551">
          <cell r="A5551" t="str">
            <v>37728200406</v>
          </cell>
          <cell r="B5551">
            <v>37728</v>
          </cell>
          <cell r="C5551" t="str">
            <v>NG</v>
          </cell>
          <cell r="D5551" t="str">
            <v>200406</v>
          </cell>
          <cell r="E5551">
            <v>4.7050000000000001</v>
          </cell>
        </row>
        <row r="5552">
          <cell r="A5552" t="str">
            <v>37728200407</v>
          </cell>
          <cell r="B5552">
            <v>37728</v>
          </cell>
          <cell r="C5552" t="str">
            <v>NG</v>
          </cell>
          <cell r="D5552" t="str">
            <v>200407</v>
          </cell>
          <cell r="E5552">
            <v>4.6749999999999998</v>
          </cell>
        </row>
        <row r="5553">
          <cell r="A5553" t="str">
            <v>37728200408</v>
          </cell>
          <cell r="B5553">
            <v>37728</v>
          </cell>
          <cell r="C5553" t="str">
            <v>NG</v>
          </cell>
          <cell r="D5553" t="str">
            <v>200408</v>
          </cell>
          <cell r="E5553">
            <v>4.6550000000000002</v>
          </cell>
        </row>
        <row r="5554">
          <cell r="A5554" t="str">
            <v>37728200409</v>
          </cell>
          <cell r="B5554">
            <v>37728</v>
          </cell>
          <cell r="C5554" t="str">
            <v>NG</v>
          </cell>
          <cell r="D5554" t="str">
            <v>200409</v>
          </cell>
          <cell r="E5554">
            <v>4.62</v>
          </cell>
        </row>
        <row r="5555">
          <cell r="A5555" t="str">
            <v>37728200410</v>
          </cell>
          <cell r="B5555">
            <v>37728</v>
          </cell>
          <cell r="C5555" t="str">
            <v>NG</v>
          </cell>
          <cell r="D5555" t="str">
            <v>200410</v>
          </cell>
          <cell r="E5555">
            <v>4.6150000000000002</v>
          </cell>
        </row>
        <row r="5556">
          <cell r="A5556" t="str">
            <v>37728200411</v>
          </cell>
          <cell r="B5556">
            <v>37728</v>
          </cell>
          <cell r="C5556" t="str">
            <v>NG</v>
          </cell>
          <cell r="D5556" t="str">
            <v>200411</v>
          </cell>
          <cell r="E5556">
            <v>4.76</v>
          </cell>
        </row>
        <row r="5557">
          <cell r="A5557" t="str">
            <v>37728200412</v>
          </cell>
          <cell r="B5557">
            <v>37728</v>
          </cell>
          <cell r="C5557" t="str">
            <v>NG</v>
          </cell>
          <cell r="D5557" t="str">
            <v>200412</v>
          </cell>
          <cell r="E5557">
            <v>4.915</v>
          </cell>
        </row>
        <row r="5558">
          <cell r="A5558" t="str">
            <v>37729200401</v>
          </cell>
          <cell r="B5558">
            <v>37729</v>
          </cell>
          <cell r="C5558" t="str">
            <v>NG</v>
          </cell>
          <cell r="D5558" t="str">
            <v>200401</v>
          </cell>
          <cell r="E5558">
            <v>5.93</v>
          </cell>
        </row>
        <row r="5559">
          <cell r="A5559" t="str">
            <v>37729200402</v>
          </cell>
          <cell r="B5559">
            <v>37729</v>
          </cell>
          <cell r="C5559" t="str">
            <v>NG</v>
          </cell>
          <cell r="D5559" t="str">
            <v>200402</v>
          </cell>
          <cell r="E5559">
            <v>5.7809999999999997</v>
          </cell>
        </row>
        <row r="5560">
          <cell r="A5560" t="str">
            <v>37729200403</v>
          </cell>
          <cell r="B5560">
            <v>37729</v>
          </cell>
          <cell r="C5560" t="str">
            <v>NG</v>
          </cell>
          <cell r="D5560" t="str">
            <v>200403</v>
          </cell>
          <cell r="E5560">
            <v>5.5110000000000001</v>
          </cell>
        </row>
        <row r="5561">
          <cell r="A5561" t="str">
            <v>37729200404</v>
          </cell>
          <cell r="B5561">
            <v>37729</v>
          </cell>
          <cell r="C5561" t="str">
            <v>NG</v>
          </cell>
          <cell r="D5561" t="str">
            <v>200404</v>
          </cell>
          <cell r="E5561">
            <v>4.9210000000000003</v>
          </cell>
        </row>
        <row r="5562">
          <cell r="A5562" t="str">
            <v>37729200405</v>
          </cell>
          <cell r="B5562">
            <v>37729</v>
          </cell>
          <cell r="C5562" t="str">
            <v>NG</v>
          </cell>
          <cell r="D5562" t="str">
            <v>200405</v>
          </cell>
          <cell r="E5562">
            <v>4.7549999999999999</v>
          </cell>
        </row>
        <row r="5563">
          <cell r="A5563" t="str">
            <v>37729200406</v>
          </cell>
          <cell r="B5563">
            <v>37729</v>
          </cell>
          <cell r="C5563" t="str">
            <v>NG</v>
          </cell>
          <cell r="D5563" t="str">
            <v>200406</v>
          </cell>
          <cell r="E5563">
            <v>4.7050000000000001</v>
          </cell>
        </row>
        <row r="5564">
          <cell r="A5564" t="str">
            <v>37729200407</v>
          </cell>
          <cell r="B5564">
            <v>37729</v>
          </cell>
          <cell r="C5564" t="str">
            <v>NG</v>
          </cell>
          <cell r="D5564" t="str">
            <v>200407</v>
          </cell>
          <cell r="E5564">
            <v>4.6749999999999998</v>
          </cell>
        </row>
        <row r="5565">
          <cell r="A5565" t="str">
            <v>37729200408</v>
          </cell>
          <cell r="B5565">
            <v>37729</v>
          </cell>
          <cell r="C5565" t="str">
            <v>NG</v>
          </cell>
          <cell r="D5565" t="str">
            <v>200408</v>
          </cell>
          <cell r="E5565">
            <v>4.6550000000000002</v>
          </cell>
        </row>
        <row r="5566">
          <cell r="A5566" t="str">
            <v>37729200409</v>
          </cell>
          <cell r="B5566">
            <v>37729</v>
          </cell>
          <cell r="C5566" t="str">
            <v>NG</v>
          </cell>
          <cell r="D5566" t="str">
            <v>200409</v>
          </cell>
          <cell r="E5566">
            <v>4.62</v>
          </cell>
        </row>
        <row r="5567">
          <cell r="A5567" t="str">
            <v>37729200410</v>
          </cell>
          <cell r="B5567">
            <v>37729</v>
          </cell>
          <cell r="C5567" t="str">
            <v>NG</v>
          </cell>
          <cell r="D5567" t="str">
            <v>200410</v>
          </cell>
          <cell r="E5567">
            <v>4.6150000000000002</v>
          </cell>
        </row>
        <row r="5568">
          <cell r="A5568" t="str">
            <v>37729200411</v>
          </cell>
          <cell r="B5568">
            <v>37729</v>
          </cell>
          <cell r="C5568" t="str">
            <v>NG</v>
          </cell>
          <cell r="D5568" t="str">
            <v>200411</v>
          </cell>
          <cell r="E5568">
            <v>4.76</v>
          </cell>
        </row>
        <row r="5569">
          <cell r="A5569" t="str">
            <v>37729200412</v>
          </cell>
          <cell r="B5569">
            <v>37729</v>
          </cell>
          <cell r="C5569" t="str">
            <v>NG</v>
          </cell>
          <cell r="D5569" t="str">
            <v>200412</v>
          </cell>
          <cell r="E5569">
            <v>4.915</v>
          </cell>
        </row>
        <row r="5570">
          <cell r="A5570" t="str">
            <v>37730200401</v>
          </cell>
          <cell r="B5570">
            <v>37730</v>
          </cell>
          <cell r="C5570" t="str">
            <v>NG</v>
          </cell>
          <cell r="D5570" t="str">
            <v>200401</v>
          </cell>
          <cell r="E5570">
            <v>5.93</v>
          </cell>
        </row>
        <row r="5571">
          <cell r="A5571" t="str">
            <v>37730200402</v>
          </cell>
          <cell r="B5571">
            <v>37730</v>
          </cell>
          <cell r="C5571" t="str">
            <v>NG</v>
          </cell>
          <cell r="D5571" t="str">
            <v>200402</v>
          </cell>
          <cell r="E5571">
            <v>5.7809999999999997</v>
          </cell>
        </row>
        <row r="5572">
          <cell r="A5572" t="str">
            <v>37730200403</v>
          </cell>
          <cell r="B5572">
            <v>37730</v>
          </cell>
          <cell r="C5572" t="str">
            <v>NG</v>
          </cell>
          <cell r="D5572" t="str">
            <v>200403</v>
          </cell>
          <cell r="E5572">
            <v>5.5110000000000001</v>
          </cell>
        </row>
        <row r="5573">
          <cell r="A5573" t="str">
            <v>37730200404</v>
          </cell>
          <cell r="B5573">
            <v>37730</v>
          </cell>
          <cell r="C5573" t="str">
            <v>NG</v>
          </cell>
          <cell r="D5573" t="str">
            <v>200404</v>
          </cell>
          <cell r="E5573">
            <v>4.9210000000000003</v>
          </cell>
        </row>
        <row r="5574">
          <cell r="A5574" t="str">
            <v>37730200405</v>
          </cell>
          <cell r="B5574">
            <v>37730</v>
          </cell>
          <cell r="C5574" t="str">
            <v>NG</v>
          </cell>
          <cell r="D5574" t="str">
            <v>200405</v>
          </cell>
          <cell r="E5574">
            <v>4.7549999999999999</v>
          </cell>
        </row>
        <row r="5575">
          <cell r="A5575" t="str">
            <v>37730200406</v>
          </cell>
          <cell r="B5575">
            <v>37730</v>
          </cell>
          <cell r="C5575" t="str">
            <v>NG</v>
          </cell>
          <cell r="D5575" t="str">
            <v>200406</v>
          </cell>
          <cell r="E5575">
            <v>4.7050000000000001</v>
          </cell>
        </row>
        <row r="5576">
          <cell r="A5576" t="str">
            <v>37730200407</v>
          </cell>
          <cell r="B5576">
            <v>37730</v>
          </cell>
          <cell r="C5576" t="str">
            <v>NG</v>
          </cell>
          <cell r="D5576" t="str">
            <v>200407</v>
          </cell>
          <cell r="E5576">
            <v>4.6749999999999998</v>
          </cell>
        </row>
        <row r="5577">
          <cell r="A5577" t="str">
            <v>37730200408</v>
          </cell>
          <cell r="B5577">
            <v>37730</v>
          </cell>
          <cell r="C5577" t="str">
            <v>NG</v>
          </cell>
          <cell r="D5577" t="str">
            <v>200408</v>
          </cell>
          <cell r="E5577">
            <v>4.6550000000000002</v>
          </cell>
        </row>
        <row r="5578">
          <cell r="A5578" t="str">
            <v>37730200409</v>
          </cell>
          <cell r="B5578">
            <v>37730</v>
          </cell>
          <cell r="C5578" t="str">
            <v>NG</v>
          </cell>
          <cell r="D5578" t="str">
            <v>200409</v>
          </cell>
          <cell r="E5578">
            <v>4.62</v>
          </cell>
        </row>
        <row r="5579">
          <cell r="A5579" t="str">
            <v>37730200410</v>
          </cell>
          <cell r="B5579">
            <v>37730</v>
          </cell>
          <cell r="C5579" t="str">
            <v>NG</v>
          </cell>
          <cell r="D5579" t="str">
            <v>200410</v>
          </cell>
          <cell r="E5579">
            <v>4.6150000000000002</v>
          </cell>
        </row>
        <row r="5580">
          <cell r="A5580" t="str">
            <v>37730200411</v>
          </cell>
          <cell r="B5580">
            <v>37730</v>
          </cell>
          <cell r="C5580" t="str">
            <v>NG</v>
          </cell>
          <cell r="D5580" t="str">
            <v>200411</v>
          </cell>
          <cell r="E5580">
            <v>4.76</v>
          </cell>
        </row>
        <row r="5581">
          <cell r="A5581" t="str">
            <v>37730200412</v>
          </cell>
          <cell r="B5581">
            <v>37730</v>
          </cell>
          <cell r="C5581" t="str">
            <v>NG</v>
          </cell>
          <cell r="D5581" t="str">
            <v>200412</v>
          </cell>
          <cell r="E5581">
            <v>4.915</v>
          </cell>
        </row>
        <row r="5582">
          <cell r="A5582" t="str">
            <v>37731200401</v>
          </cell>
          <cell r="B5582">
            <v>37731</v>
          </cell>
          <cell r="C5582" t="str">
            <v>NG</v>
          </cell>
          <cell r="D5582" t="str">
            <v>200401</v>
          </cell>
          <cell r="E5582">
            <v>5.93</v>
          </cell>
        </row>
        <row r="5583">
          <cell r="A5583" t="str">
            <v>37731200402</v>
          </cell>
          <cell r="B5583">
            <v>37731</v>
          </cell>
          <cell r="C5583" t="str">
            <v>NG</v>
          </cell>
          <cell r="D5583" t="str">
            <v>200402</v>
          </cell>
          <cell r="E5583">
            <v>5.7809999999999997</v>
          </cell>
        </row>
        <row r="5584">
          <cell r="A5584" t="str">
            <v>37731200403</v>
          </cell>
          <cell r="B5584">
            <v>37731</v>
          </cell>
          <cell r="C5584" t="str">
            <v>NG</v>
          </cell>
          <cell r="D5584" t="str">
            <v>200403</v>
          </cell>
          <cell r="E5584">
            <v>5.5110000000000001</v>
          </cell>
        </row>
        <row r="5585">
          <cell r="A5585" t="str">
            <v>37731200404</v>
          </cell>
          <cell r="B5585">
            <v>37731</v>
          </cell>
          <cell r="C5585" t="str">
            <v>NG</v>
          </cell>
          <cell r="D5585" t="str">
            <v>200404</v>
          </cell>
          <cell r="E5585">
            <v>4.9210000000000003</v>
          </cell>
        </row>
        <row r="5586">
          <cell r="A5586" t="str">
            <v>37731200405</v>
          </cell>
          <cell r="B5586">
            <v>37731</v>
          </cell>
          <cell r="C5586" t="str">
            <v>NG</v>
          </cell>
          <cell r="D5586" t="str">
            <v>200405</v>
          </cell>
          <cell r="E5586">
            <v>4.7549999999999999</v>
          </cell>
        </row>
        <row r="5587">
          <cell r="A5587" t="str">
            <v>37731200406</v>
          </cell>
          <cell r="B5587">
            <v>37731</v>
          </cell>
          <cell r="C5587" t="str">
            <v>NG</v>
          </cell>
          <cell r="D5587" t="str">
            <v>200406</v>
          </cell>
          <cell r="E5587">
            <v>4.7050000000000001</v>
          </cell>
        </row>
        <row r="5588">
          <cell r="A5588" t="str">
            <v>37731200407</v>
          </cell>
          <cell r="B5588">
            <v>37731</v>
          </cell>
          <cell r="C5588" t="str">
            <v>NG</v>
          </cell>
          <cell r="D5588" t="str">
            <v>200407</v>
          </cell>
          <cell r="E5588">
            <v>4.6749999999999998</v>
          </cell>
        </row>
        <row r="5589">
          <cell r="A5589" t="str">
            <v>37731200408</v>
          </cell>
          <cell r="B5589">
            <v>37731</v>
          </cell>
          <cell r="C5589" t="str">
            <v>NG</v>
          </cell>
          <cell r="D5589" t="str">
            <v>200408</v>
          </cell>
          <cell r="E5589">
            <v>4.6550000000000002</v>
          </cell>
        </row>
        <row r="5590">
          <cell r="A5590" t="str">
            <v>37731200409</v>
          </cell>
          <cell r="B5590">
            <v>37731</v>
          </cell>
          <cell r="C5590" t="str">
            <v>NG</v>
          </cell>
          <cell r="D5590" t="str">
            <v>200409</v>
          </cell>
          <cell r="E5590">
            <v>4.62</v>
          </cell>
        </row>
        <row r="5591">
          <cell r="A5591" t="str">
            <v>37731200410</v>
          </cell>
          <cell r="B5591">
            <v>37731</v>
          </cell>
          <cell r="C5591" t="str">
            <v>NG</v>
          </cell>
          <cell r="D5591" t="str">
            <v>200410</v>
          </cell>
          <cell r="E5591">
            <v>4.6150000000000002</v>
          </cell>
        </row>
        <row r="5592">
          <cell r="A5592" t="str">
            <v>37731200411</v>
          </cell>
          <cell r="B5592">
            <v>37731</v>
          </cell>
          <cell r="C5592" t="str">
            <v>NG</v>
          </cell>
          <cell r="D5592" t="str">
            <v>200411</v>
          </cell>
          <cell r="E5592">
            <v>4.76</v>
          </cell>
        </row>
        <row r="5593">
          <cell r="A5593" t="str">
            <v>37731200412</v>
          </cell>
          <cell r="B5593">
            <v>37731</v>
          </cell>
          <cell r="C5593" t="str">
            <v>NG</v>
          </cell>
          <cell r="D5593" t="str">
            <v>200412</v>
          </cell>
          <cell r="E5593">
            <v>4.915</v>
          </cell>
        </row>
        <row r="5594">
          <cell r="A5594" t="str">
            <v>37732200401</v>
          </cell>
          <cell r="B5594">
            <v>37732</v>
          </cell>
          <cell r="C5594" t="str">
            <v>NG</v>
          </cell>
          <cell r="D5594" t="str">
            <v>200401</v>
          </cell>
          <cell r="E5594">
            <v>5.976</v>
          </cell>
        </row>
        <row r="5595">
          <cell r="A5595" t="str">
            <v>37732200402</v>
          </cell>
          <cell r="B5595">
            <v>37732</v>
          </cell>
          <cell r="C5595" t="str">
            <v>NG</v>
          </cell>
          <cell r="D5595" t="str">
            <v>200402</v>
          </cell>
          <cell r="E5595">
            <v>5.8310000000000004</v>
          </cell>
        </row>
        <row r="5596">
          <cell r="A5596" t="str">
            <v>37732200403</v>
          </cell>
          <cell r="B5596">
            <v>37732</v>
          </cell>
          <cell r="C5596" t="str">
            <v>NG</v>
          </cell>
          <cell r="D5596" t="str">
            <v>200403</v>
          </cell>
          <cell r="E5596">
            <v>5.556</v>
          </cell>
        </row>
        <row r="5597">
          <cell r="A5597" t="str">
            <v>37732200404</v>
          </cell>
          <cell r="B5597">
            <v>37732</v>
          </cell>
          <cell r="C5597" t="str">
            <v>NG</v>
          </cell>
          <cell r="D5597" t="str">
            <v>200404</v>
          </cell>
          <cell r="E5597">
            <v>4.9260000000000002</v>
          </cell>
        </row>
        <row r="5598">
          <cell r="A5598" t="str">
            <v>37732200405</v>
          </cell>
          <cell r="B5598">
            <v>37732</v>
          </cell>
          <cell r="C5598" t="str">
            <v>NG</v>
          </cell>
          <cell r="D5598" t="str">
            <v>200405</v>
          </cell>
          <cell r="E5598">
            <v>4.7560000000000002</v>
          </cell>
        </row>
        <row r="5599">
          <cell r="A5599" t="str">
            <v>37732200406</v>
          </cell>
          <cell r="B5599">
            <v>37732</v>
          </cell>
          <cell r="C5599" t="str">
            <v>NG</v>
          </cell>
          <cell r="D5599" t="str">
            <v>200406</v>
          </cell>
          <cell r="E5599">
            <v>4.7060000000000004</v>
          </cell>
        </row>
        <row r="5600">
          <cell r="A5600" t="str">
            <v>37732200407</v>
          </cell>
          <cell r="B5600">
            <v>37732</v>
          </cell>
          <cell r="C5600" t="str">
            <v>NG</v>
          </cell>
          <cell r="D5600" t="str">
            <v>200407</v>
          </cell>
          <cell r="E5600">
            <v>4.6760000000000002</v>
          </cell>
        </row>
        <row r="5601">
          <cell r="A5601" t="str">
            <v>37732200408</v>
          </cell>
          <cell r="B5601">
            <v>37732</v>
          </cell>
          <cell r="C5601" t="str">
            <v>NG</v>
          </cell>
          <cell r="D5601" t="str">
            <v>200408</v>
          </cell>
          <cell r="E5601">
            <v>4.6660000000000004</v>
          </cell>
        </row>
        <row r="5602">
          <cell r="A5602" t="str">
            <v>37732200409</v>
          </cell>
          <cell r="B5602">
            <v>37732</v>
          </cell>
          <cell r="C5602" t="str">
            <v>NG</v>
          </cell>
          <cell r="D5602" t="str">
            <v>200409</v>
          </cell>
          <cell r="E5602">
            <v>4.6559999999999997</v>
          </cell>
        </row>
        <row r="5603">
          <cell r="A5603" t="str">
            <v>37732200410</v>
          </cell>
          <cell r="B5603">
            <v>37732</v>
          </cell>
          <cell r="C5603" t="str">
            <v>NG</v>
          </cell>
          <cell r="D5603" t="str">
            <v>200410</v>
          </cell>
          <cell r="E5603">
            <v>4.6509999999999998</v>
          </cell>
        </row>
        <row r="5604">
          <cell r="A5604" t="str">
            <v>37732200411</v>
          </cell>
          <cell r="B5604">
            <v>37732</v>
          </cell>
          <cell r="C5604" t="str">
            <v>NG</v>
          </cell>
          <cell r="D5604" t="str">
            <v>200411</v>
          </cell>
          <cell r="E5604">
            <v>4.7960000000000003</v>
          </cell>
        </row>
        <row r="5605">
          <cell r="A5605" t="str">
            <v>37732200412</v>
          </cell>
          <cell r="B5605">
            <v>37732</v>
          </cell>
          <cell r="C5605" t="str">
            <v>NG</v>
          </cell>
          <cell r="D5605" t="str">
            <v>200412</v>
          </cell>
          <cell r="E5605">
            <v>4.9710000000000001</v>
          </cell>
        </row>
        <row r="5606">
          <cell r="A5606" t="str">
            <v>37733200401</v>
          </cell>
          <cell r="B5606">
            <v>37733</v>
          </cell>
          <cell r="C5606" t="str">
            <v>NG</v>
          </cell>
          <cell r="D5606" t="str">
            <v>200401</v>
          </cell>
          <cell r="E5606">
            <v>5.9820000000000002</v>
          </cell>
        </row>
        <row r="5607">
          <cell r="A5607" t="str">
            <v>37733200402</v>
          </cell>
          <cell r="B5607">
            <v>37733</v>
          </cell>
          <cell r="C5607" t="str">
            <v>NG</v>
          </cell>
          <cell r="D5607" t="str">
            <v>200402</v>
          </cell>
          <cell r="E5607">
            <v>5.8289999999999997</v>
          </cell>
        </row>
        <row r="5608">
          <cell r="A5608" t="str">
            <v>37733200403</v>
          </cell>
          <cell r="B5608">
            <v>37733</v>
          </cell>
          <cell r="C5608" t="str">
            <v>NG</v>
          </cell>
          <cell r="D5608" t="str">
            <v>200403</v>
          </cell>
          <cell r="E5608">
            <v>5.5590000000000002</v>
          </cell>
        </row>
        <row r="5609">
          <cell r="A5609" t="str">
            <v>37733200404</v>
          </cell>
          <cell r="B5609">
            <v>37733</v>
          </cell>
          <cell r="C5609" t="str">
            <v>NG</v>
          </cell>
          <cell r="D5609" t="str">
            <v>200404</v>
          </cell>
          <cell r="E5609">
            <v>4.9089999999999998</v>
          </cell>
        </row>
        <row r="5610">
          <cell r="A5610" t="str">
            <v>37733200405</v>
          </cell>
          <cell r="B5610">
            <v>37733</v>
          </cell>
          <cell r="C5610" t="str">
            <v>NG</v>
          </cell>
          <cell r="D5610" t="str">
            <v>200405</v>
          </cell>
          <cell r="E5610">
            <v>4.7389999999999999</v>
          </cell>
        </row>
        <row r="5611">
          <cell r="A5611" t="str">
            <v>37733200406</v>
          </cell>
          <cell r="B5611">
            <v>37733</v>
          </cell>
          <cell r="C5611" t="str">
            <v>NG</v>
          </cell>
          <cell r="D5611" t="str">
            <v>200406</v>
          </cell>
          <cell r="E5611">
            <v>4.6989999999999998</v>
          </cell>
        </row>
        <row r="5612">
          <cell r="A5612" t="str">
            <v>37733200407</v>
          </cell>
          <cell r="B5612">
            <v>37733</v>
          </cell>
          <cell r="C5612" t="str">
            <v>NG</v>
          </cell>
          <cell r="D5612" t="str">
            <v>200407</v>
          </cell>
          <cell r="E5612">
            <v>4.6689999999999996</v>
          </cell>
        </row>
        <row r="5613">
          <cell r="A5613" t="str">
            <v>37733200408</v>
          </cell>
          <cell r="B5613">
            <v>37733</v>
          </cell>
          <cell r="C5613" t="str">
            <v>NG</v>
          </cell>
          <cell r="D5613" t="str">
            <v>200408</v>
          </cell>
          <cell r="E5613">
            <v>4.6689999999999996</v>
          </cell>
        </row>
        <row r="5614">
          <cell r="A5614" t="str">
            <v>37733200409</v>
          </cell>
          <cell r="B5614">
            <v>37733</v>
          </cell>
          <cell r="C5614" t="str">
            <v>NG</v>
          </cell>
          <cell r="D5614" t="str">
            <v>200409</v>
          </cell>
          <cell r="E5614">
            <v>4.6390000000000002</v>
          </cell>
        </row>
        <row r="5615">
          <cell r="A5615" t="str">
            <v>37733200410</v>
          </cell>
          <cell r="B5615">
            <v>37733</v>
          </cell>
          <cell r="C5615" t="str">
            <v>NG</v>
          </cell>
          <cell r="D5615" t="str">
            <v>200410</v>
          </cell>
          <cell r="E5615">
            <v>4.6340000000000003</v>
          </cell>
        </row>
        <row r="5616">
          <cell r="A5616" t="str">
            <v>37733200411</v>
          </cell>
          <cell r="B5616">
            <v>37733</v>
          </cell>
          <cell r="C5616" t="str">
            <v>NG</v>
          </cell>
          <cell r="D5616" t="str">
            <v>200411</v>
          </cell>
          <cell r="E5616">
            <v>4.7789999999999999</v>
          </cell>
        </row>
        <row r="5617">
          <cell r="A5617" t="str">
            <v>37733200412</v>
          </cell>
          <cell r="B5617">
            <v>37733</v>
          </cell>
          <cell r="C5617" t="str">
            <v>NG</v>
          </cell>
          <cell r="D5617" t="str">
            <v>200412</v>
          </cell>
          <cell r="E5617">
            <v>4.9489999999999998</v>
          </cell>
        </row>
        <row r="5618">
          <cell r="A5618" t="str">
            <v>37734200401</v>
          </cell>
          <cell r="B5618">
            <v>37734</v>
          </cell>
          <cell r="C5618" t="str">
            <v>NG</v>
          </cell>
          <cell r="D5618" t="str">
            <v>200401</v>
          </cell>
          <cell r="E5618">
            <v>5.9740000000000002</v>
          </cell>
        </row>
        <row r="5619">
          <cell r="A5619" t="str">
            <v>37734200402</v>
          </cell>
          <cell r="B5619">
            <v>37734</v>
          </cell>
          <cell r="C5619" t="str">
            <v>NG</v>
          </cell>
          <cell r="D5619" t="str">
            <v>200402</v>
          </cell>
          <cell r="E5619">
            <v>5.8289999999999997</v>
          </cell>
        </row>
        <row r="5620">
          <cell r="A5620" t="str">
            <v>37734200403</v>
          </cell>
          <cell r="B5620">
            <v>37734</v>
          </cell>
          <cell r="C5620" t="str">
            <v>NG</v>
          </cell>
          <cell r="D5620" t="str">
            <v>200403</v>
          </cell>
          <cell r="E5620">
            <v>5.5640000000000001</v>
          </cell>
        </row>
        <row r="5621">
          <cell r="A5621" t="str">
            <v>37734200404</v>
          </cell>
          <cell r="B5621">
            <v>37734</v>
          </cell>
          <cell r="C5621" t="str">
            <v>NG</v>
          </cell>
          <cell r="D5621" t="str">
            <v>200404</v>
          </cell>
          <cell r="E5621">
            <v>4.9139999999999997</v>
          </cell>
        </row>
        <row r="5622">
          <cell r="A5622" t="str">
            <v>37734200405</v>
          </cell>
          <cell r="B5622">
            <v>37734</v>
          </cell>
          <cell r="C5622" t="str">
            <v>NG</v>
          </cell>
          <cell r="D5622" t="str">
            <v>200405</v>
          </cell>
          <cell r="E5622">
            <v>4.7489999999999997</v>
          </cell>
        </row>
        <row r="5623">
          <cell r="A5623" t="str">
            <v>37734200406</v>
          </cell>
          <cell r="B5623">
            <v>37734</v>
          </cell>
          <cell r="C5623" t="str">
            <v>NG</v>
          </cell>
          <cell r="D5623" t="str">
            <v>200406</v>
          </cell>
          <cell r="E5623">
            <v>4.7190000000000003</v>
          </cell>
        </row>
        <row r="5624">
          <cell r="A5624" t="str">
            <v>37734200407</v>
          </cell>
          <cell r="B5624">
            <v>37734</v>
          </cell>
          <cell r="C5624" t="str">
            <v>NG</v>
          </cell>
          <cell r="D5624" t="str">
            <v>200407</v>
          </cell>
          <cell r="E5624">
            <v>4.6989999999999998</v>
          </cell>
        </row>
        <row r="5625">
          <cell r="A5625" t="str">
            <v>37734200408</v>
          </cell>
          <cell r="B5625">
            <v>37734</v>
          </cell>
          <cell r="C5625" t="str">
            <v>NG</v>
          </cell>
          <cell r="D5625" t="str">
            <v>200408</v>
          </cell>
          <cell r="E5625">
            <v>4.7039999999999997</v>
          </cell>
        </row>
        <row r="5626">
          <cell r="A5626" t="str">
            <v>37734200409</v>
          </cell>
          <cell r="B5626">
            <v>37734</v>
          </cell>
          <cell r="C5626" t="str">
            <v>NG</v>
          </cell>
          <cell r="D5626" t="str">
            <v>200409</v>
          </cell>
          <cell r="E5626">
            <v>4.6790000000000003</v>
          </cell>
        </row>
        <row r="5627">
          <cell r="A5627" t="str">
            <v>37734200410</v>
          </cell>
          <cell r="B5627">
            <v>37734</v>
          </cell>
          <cell r="C5627" t="str">
            <v>NG</v>
          </cell>
          <cell r="D5627" t="str">
            <v>200410</v>
          </cell>
          <cell r="E5627">
            <v>4.6740000000000004</v>
          </cell>
        </row>
        <row r="5628">
          <cell r="A5628" t="str">
            <v>37734200411</v>
          </cell>
          <cell r="B5628">
            <v>37734</v>
          </cell>
          <cell r="C5628" t="str">
            <v>NG</v>
          </cell>
          <cell r="D5628" t="str">
            <v>200411</v>
          </cell>
          <cell r="E5628">
            <v>4.819</v>
          </cell>
        </row>
        <row r="5629">
          <cell r="A5629" t="str">
            <v>37734200412</v>
          </cell>
          <cell r="B5629">
            <v>37734</v>
          </cell>
          <cell r="C5629" t="str">
            <v>NG</v>
          </cell>
          <cell r="D5629" t="str">
            <v>200412</v>
          </cell>
          <cell r="E5629">
            <v>4.9889999999999999</v>
          </cell>
        </row>
        <row r="5630">
          <cell r="A5630" t="str">
            <v>37735200401</v>
          </cell>
          <cell r="B5630">
            <v>37735</v>
          </cell>
          <cell r="C5630" t="str">
            <v>NG</v>
          </cell>
          <cell r="D5630" t="str">
            <v>200401</v>
          </cell>
          <cell r="E5630">
            <v>5.9</v>
          </cell>
        </row>
        <row r="5631">
          <cell r="A5631" t="str">
            <v>37735200402</v>
          </cell>
          <cell r="B5631">
            <v>37735</v>
          </cell>
          <cell r="C5631" t="str">
            <v>NG</v>
          </cell>
          <cell r="D5631" t="str">
            <v>200402</v>
          </cell>
          <cell r="E5631">
            <v>5.7649999999999997</v>
          </cell>
        </row>
        <row r="5632">
          <cell r="A5632" t="str">
            <v>37735200403</v>
          </cell>
          <cell r="B5632">
            <v>37735</v>
          </cell>
          <cell r="C5632" t="str">
            <v>NG</v>
          </cell>
          <cell r="D5632" t="str">
            <v>200403</v>
          </cell>
          <cell r="E5632">
            <v>5.5</v>
          </cell>
        </row>
        <row r="5633">
          <cell r="A5633" t="str">
            <v>37735200404</v>
          </cell>
          <cell r="B5633">
            <v>37735</v>
          </cell>
          <cell r="C5633" t="str">
            <v>NG</v>
          </cell>
          <cell r="D5633" t="str">
            <v>200404</v>
          </cell>
          <cell r="E5633">
            <v>4.8499999999999996</v>
          </cell>
        </row>
        <row r="5634">
          <cell r="A5634" t="str">
            <v>37735200405</v>
          </cell>
          <cell r="B5634">
            <v>37735</v>
          </cell>
          <cell r="C5634" t="str">
            <v>NG</v>
          </cell>
          <cell r="D5634" t="str">
            <v>200405</v>
          </cell>
          <cell r="E5634">
            <v>4.71</v>
          </cell>
        </row>
        <row r="5635">
          <cell r="A5635" t="str">
            <v>37735200406</v>
          </cell>
          <cell r="B5635">
            <v>37735</v>
          </cell>
          <cell r="C5635" t="str">
            <v>NG</v>
          </cell>
          <cell r="D5635" t="str">
            <v>200406</v>
          </cell>
          <cell r="E5635">
            <v>4.66</v>
          </cell>
        </row>
        <row r="5636">
          <cell r="A5636" t="str">
            <v>37735200407</v>
          </cell>
          <cell r="B5636">
            <v>37735</v>
          </cell>
          <cell r="C5636" t="str">
            <v>NG</v>
          </cell>
          <cell r="D5636" t="str">
            <v>200407</v>
          </cell>
          <cell r="E5636">
            <v>4.6500000000000004</v>
          </cell>
        </row>
        <row r="5637">
          <cell r="A5637" t="str">
            <v>37735200408</v>
          </cell>
          <cell r="B5637">
            <v>37735</v>
          </cell>
          <cell r="C5637" t="str">
            <v>NG</v>
          </cell>
          <cell r="D5637" t="str">
            <v>200408</v>
          </cell>
          <cell r="E5637">
            <v>4.79</v>
          </cell>
        </row>
        <row r="5638">
          <cell r="A5638" t="str">
            <v>37735200409</v>
          </cell>
          <cell r="B5638">
            <v>37735</v>
          </cell>
          <cell r="C5638" t="str">
            <v>NG</v>
          </cell>
          <cell r="D5638" t="str">
            <v>200409</v>
          </cell>
          <cell r="E5638">
            <v>4.6500000000000004</v>
          </cell>
        </row>
        <row r="5639">
          <cell r="A5639" t="str">
            <v>37735200410</v>
          </cell>
          <cell r="B5639">
            <v>37735</v>
          </cell>
          <cell r="C5639" t="str">
            <v>NG</v>
          </cell>
          <cell r="D5639" t="str">
            <v>200410</v>
          </cell>
          <cell r="E5639">
            <v>4.59</v>
          </cell>
        </row>
        <row r="5640">
          <cell r="A5640" t="str">
            <v>37735200411</v>
          </cell>
          <cell r="B5640">
            <v>37735</v>
          </cell>
          <cell r="C5640" t="str">
            <v>NG</v>
          </cell>
          <cell r="D5640" t="str">
            <v>200411</v>
          </cell>
          <cell r="E5640">
            <v>4.75</v>
          </cell>
        </row>
        <row r="5641">
          <cell r="A5641" t="str">
            <v>37735200412</v>
          </cell>
          <cell r="B5641">
            <v>37735</v>
          </cell>
          <cell r="C5641" t="str">
            <v>NG</v>
          </cell>
          <cell r="D5641" t="str">
            <v>200412</v>
          </cell>
          <cell r="E5641">
            <v>4.9889999999999999</v>
          </cell>
        </row>
        <row r="5642">
          <cell r="A5642" t="str">
            <v>37736200401</v>
          </cell>
          <cell r="B5642">
            <v>37736</v>
          </cell>
          <cell r="C5642" t="str">
            <v>NG</v>
          </cell>
          <cell r="D5642" t="str">
            <v>200401</v>
          </cell>
          <cell r="E5642">
            <v>5.8760000000000003</v>
          </cell>
        </row>
        <row r="5643">
          <cell r="A5643" t="str">
            <v>37736200402</v>
          </cell>
          <cell r="B5643">
            <v>37736</v>
          </cell>
          <cell r="C5643" t="str">
            <v>NG</v>
          </cell>
          <cell r="D5643" t="str">
            <v>200402</v>
          </cell>
          <cell r="E5643">
            <v>5.7409999999999997</v>
          </cell>
        </row>
        <row r="5644">
          <cell r="A5644" t="str">
            <v>37736200403</v>
          </cell>
          <cell r="B5644">
            <v>37736</v>
          </cell>
          <cell r="C5644" t="str">
            <v>NG</v>
          </cell>
          <cell r="D5644" t="str">
            <v>200403</v>
          </cell>
          <cell r="E5644">
            <v>5.4859999999999998</v>
          </cell>
        </row>
        <row r="5645">
          <cell r="A5645" t="str">
            <v>37736200404</v>
          </cell>
          <cell r="B5645">
            <v>37736</v>
          </cell>
          <cell r="C5645" t="str">
            <v>NG</v>
          </cell>
          <cell r="D5645" t="str">
            <v>200404</v>
          </cell>
          <cell r="E5645">
            <v>4.8360000000000003</v>
          </cell>
        </row>
        <row r="5646">
          <cell r="A5646" t="str">
            <v>37736200405</v>
          </cell>
          <cell r="B5646">
            <v>37736</v>
          </cell>
          <cell r="C5646" t="str">
            <v>NG</v>
          </cell>
          <cell r="D5646" t="str">
            <v>200405</v>
          </cell>
          <cell r="E5646">
            <v>4.6840000000000002</v>
          </cell>
        </row>
        <row r="5647">
          <cell r="A5647" t="str">
            <v>37736200406</v>
          </cell>
          <cell r="B5647">
            <v>37736</v>
          </cell>
          <cell r="C5647" t="str">
            <v>NG</v>
          </cell>
          <cell r="D5647" t="str">
            <v>200406</v>
          </cell>
          <cell r="E5647">
            <v>4.6539999999999999</v>
          </cell>
        </row>
        <row r="5648">
          <cell r="A5648" t="str">
            <v>37736200407</v>
          </cell>
          <cell r="B5648">
            <v>37736</v>
          </cell>
          <cell r="C5648" t="str">
            <v>NG</v>
          </cell>
          <cell r="D5648" t="str">
            <v>200407</v>
          </cell>
          <cell r="E5648">
            <v>4.6440000000000001</v>
          </cell>
        </row>
        <row r="5649">
          <cell r="A5649" t="str">
            <v>37736200408</v>
          </cell>
          <cell r="B5649">
            <v>37736</v>
          </cell>
          <cell r="C5649" t="str">
            <v>NG</v>
          </cell>
          <cell r="D5649" t="str">
            <v>200408</v>
          </cell>
          <cell r="E5649">
            <v>4.649</v>
          </cell>
        </row>
        <row r="5650">
          <cell r="A5650" t="str">
            <v>37736200409</v>
          </cell>
          <cell r="B5650">
            <v>37736</v>
          </cell>
          <cell r="C5650" t="str">
            <v>NG</v>
          </cell>
          <cell r="D5650" t="str">
            <v>200409</v>
          </cell>
          <cell r="E5650">
            <v>4.6289999999999996</v>
          </cell>
        </row>
        <row r="5651">
          <cell r="A5651" t="str">
            <v>37736200410</v>
          </cell>
          <cell r="B5651">
            <v>37736</v>
          </cell>
          <cell r="C5651" t="str">
            <v>NG</v>
          </cell>
          <cell r="D5651" t="str">
            <v>200410</v>
          </cell>
          <cell r="E5651">
            <v>4.6289999999999996</v>
          </cell>
        </row>
        <row r="5652">
          <cell r="A5652" t="str">
            <v>37736200411</v>
          </cell>
          <cell r="B5652">
            <v>37736</v>
          </cell>
          <cell r="C5652" t="str">
            <v>NG</v>
          </cell>
          <cell r="D5652" t="str">
            <v>200411</v>
          </cell>
          <cell r="E5652">
            <v>4.774</v>
          </cell>
        </row>
        <row r="5653">
          <cell r="A5653" t="str">
            <v>37736200412</v>
          </cell>
          <cell r="B5653">
            <v>37736</v>
          </cell>
          <cell r="C5653" t="str">
            <v>NG</v>
          </cell>
          <cell r="D5653" t="str">
            <v>200412</v>
          </cell>
          <cell r="E5653">
            <v>4.9589999999999996</v>
          </cell>
        </row>
        <row r="5654">
          <cell r="A5654" t="str">
            <v>37737200401</v>
          </cell>
          <cell r="B5654">
            <v>37737</v>
          </cell>
          <cell r="C5654" t="str">
            <v>NG</v>
          </cell>
          <cell r="D5654" t="str">
            <v>200401</v>
          </cell>
          <cell r="E5654">
            <v>5.8760000000000003</v>
          </cell>
        </row>
        <row r="5655">
          <cell r="A5655" t="str">
            <v>37737200402</v>
          </cell>
          <cell r="B5655">
            <v>37737</v>
          </cell>
          <cell r="C5655" t="str">
            <v>NG</v>
          </cell>
          <cell r="D5655" t="str">
            <v>200402</v>
          </cell>
          <cell r="E5655">
            <v>5.7409999999999997</v>
          </cell>
        </row>
        <row r="5656">
          <cell r="A5656" t="str">
            <v>37737200403</v>
          </cell>
          <cell r="B5656">
            <v>37737</v>
          </cell>
          <cell r="C5656" t="str">
            <v>NG</v>
          </cell>
          <cell r="D5656" t="str">
            <v>200403</v>
          </cell>
          <cell r="E5656">
            <v>5.4859999999999998</v>
          </cell>
        </row>
        <row r="5657">
          <cell r="A5657" t="str">
            <v>37737200404</v>
          </cell>
          <cell r="B5657">
            <v>37737</v>
          </cell>
          <cell r="C5657" t="str">
            <v>NG</v>
          </cell>
          <cell r="D5657" t="str">
            <v>200404</v>
          </cell>
          <cell r="E5657">
            <v>4.8360000000000003</v>
          </cell>
        </row>
        <row r="5658">
          <cell r="A5658" t="str">
            <v>37737200405</v>
          </cell>
          <cell r="B5658">
            <v>37737</v>
          </cell>
          <cell r="C5658" t="str">
            <v>NG</v>
          </cell>
          <cell r="D5658" t="str">
            <v>200405</v>
          </cell>
          <cell r="E5658">
            <v>4.6840000000000002</v>
          </cell>
        </row>
        <row r="5659">
          <cell r="A5659" t="str">
            <v>37737200406</v>
          </cell>
          <cell r="B5659">
            <v>37737</v>
          </cell>
          <cell r="C5659" t="str">
            <v>NG</v>
          </cell>
          <cell r="D5659" t="str">
            <v>200406</v>
          </cell>
          <cell r="E5659">
            <v>4.6539999999999999</v>
          </cell>
        </row>
        <row r="5660">
          <cell r="A5660" t="str">
            <v>37737200407</v>
          </cell>
          <cell r="B5660">
            <v>37737</v>
          </cell>
          <cell r="C5660" t="str">
            <v>NG</v>
          </cell>
          <cell r="D5660" t="str">
            <v>200407</v>
          </cell>
          <cell r="E5660">
            <v>4.6440000000000001</v>
          </cell>
        </row>
        <row r="5661">
          <cell r="A5661" t="str">
            <v>37737200408</v>
          </cell>
          <cell r="B5661">
            <v>37737</v>
          </cell>
          <cell r="C5661" t="str">
            <v>NG</v>
          </cell>
          <cell r="D5661" t="str">
            <v>200408</v>
          </cell>
          <cell r="E5661">
            <v>4.649</v>
          </cell>
        </row>
        <row r="5662">
          <cell r="A5662" t="str">
            <v>37737200409</v>
          </cell>
          <cell r="B5662">
            <v>37737</v>
          </cell>
          <cell r="C5662" t="str">
            <v>NG</v>
          </cell>
          <cell r="D5662" t="str">
            <v>200409</v>
          </cell>
          <cell r="E5662">
            <v>4.6289999999999996</v>
          </cell>
        </row>
        <row r="5663">
          <cell r="A5663" t="str">
            <v>37737200410</v>
          </cell>
          <cell r="B5663">
            <v>37737</v>
          </cell>
          <cell r="C5663" t="str">
            <v>NG</v>
          </cell>
          <cell r="D5663" t="str">
            <v>200410</v>
          </cell>
          <cell r="E5663">
            <v>4.6289999999999996</v>
          </cell>
        </row>
        <row r="5664">
          <cell r="A5664" t="str">
            <v>37737200411</v>
          </cell>
          <cell r="B5664">
            <v>37737</v>
          </cell>
          <cell r="C5664" t="str">
            <v>NG</v>
          </cell>
          <cell r="D5664" t="str">
            <v>200411</v>
          </cell>
          <cell r="E5664">
            <v>4.774</v>
          </cell>
        </row>
        <row r="5665">
          <cell r="A5665" t="str">
            <v>37737200412</v>
          </cell>
          <cell r="B5665">
            <v>37737</v>
          </cell>
          <cell r="C5665" t="str">
            <v>NG</v>
          </cell>
          <cell r="D5665" t="str">
            <v>200412</v>
          </cell>
          <cell r="E5665">
            <v>4.9589999999999996</v>
          </cell>
        </row>
        <row r="5666">
          <cell r="A5666" t="str">
            <v>37738200401</v>
          </cell>
          <cell r="B5666">
            <v>37738</v>
          </cell>
          <cell r="C5666" t="str">
            <v>NG</v>
          </cell>
          <cell r="D5666" t="str">
            <v>200401</v>
          </cell>
          <cell r="E5666">
            <v>5.8760000000000003</v>
          </cell>
        </row>
        <row r="5667">
          <cell r="A5667" t="str">
            <v>37738200402</v>
          </cell>
          <cell r="B5667">
            <v>37738</v>
          </cell>
          <cell r="C5667" t="str">
            <v>NG</v>
          </cell>
          <cell r="D5667" t="str">
            <v>200402</v>
          </cell>
          <cell r="E5667">
            <v>5.7409999999999997</v>
          </cell>
        </row>
        <row r="5668">
          <cell r="A5668" t="str">
            <v>37738200403</v>
          </cell>
          <cell r="B5668">
            <v>37738</v>
          </cell>
          <cell r="C5668" t="str">
            <v>NG</v>
          </cell>
          <cell r="D5668" t="str">
            <v>200403</v>
          </cell>
          <cell r="E5668">
            <v>5.4859999999999998</v>
          </cell>
        </row>
        <row r="5669">
          <cell r="A5669" t="str">
            <v>37738200404</v>
          </cell>
          <cell r="B5669">
            <v>37738</v>
          </cell>
          <cell r="C5669" t="str">
            <v>NG</v>
          </cell>
          <cell r="D5669" t="str">
            <v>200404</v>
          </cell>
          <cell r="E5669">
            <v>4.8360000000000003</v>
          </cell>
        </row>
        <row r="5670">
          <cell r="A5670" t="str">
            <v>37738200405</v>
          </cell>
          <cell r="B5670">
            <v>37738</v>
          </cell>
          <cell r="C5670" t="str">
            <v>NG</v>
          </cell>
          <cell r="D5670" t="str">
            <v>200405</v>
          </cell>
          <cell r="E5670">
            <v>4.6840000000000002</v>
          </cell>
        </row>
        <row r="5671">
          <cell r="A5671" t="str">
            <v>37738200406</v>
          </cell>
          <cell r="B5671">
            <v>37738</v>
          </cell>
          <cell r="C5671" t="str">
            <v>NG</v>
          </cell>
          <cell r="D5671" t="str">
            <v>200406</v>
          </cell>
          <cell r="E5671">
            <v>4.6539999999999999</v>
          </cell>
        </row>
        <row r="5672">
          <cell r="A5672" t="str">
            <v>37738200407</v>
          </cell>
          <cell r="B5672">
            <v>37738</v>
          </cell>
          <cell r="C5672" t="str">
            <v>NG</v>
          </cell>
          <cell r="D5672" t="str">
            <v>200407</v>
          </cell>
          <cell r="E5672">
            <v>4.6440000000000001</v>
          </cell>
        </row>
        <row r="5673">
          <cell r="A5673" t="str">
            <v>37738200408</v>
          </cell>
          <cell r="B5673">
            <v>37738</v>
          </cell>
          <cell r="C5673" t="str">
            <v>NG</v>
          </cell>
          <cell r="D5673" t="str">
            <v>200408</v>
          </cell>
          <cell r="E5673">
            <v>4.649</v>
          </cell>
        </row>
        <row r="5674">
          <cell r="A5674" t="str">
            <v>37738200409</v>
          </cell>
          <cell r="B5674">
            <v>37738</v>
          </cell>
          <cell r="C5674" t="str">
            <v>NG</v>
          </cell>
          <cell r="D5674" t="str">
            <v>200409</v>
          </cell>
          <cell r="E5674">
            <v>4.6289999999999996</v>
          </cell>
        </row>
        <row r="5675">
          <cell r="A5675" t="str">
            <v>37738200410</v>
          </cell>
          <cell r="B5675">
            <v>37738</v>
          </cell>
          <cell r="C5675" t="str">
            <v>NG</v>
          </cell>
          <cell r="D5675" t="str">
            <v>200410</v>
          </cell>
          <cell r="E5675">
            <v>4.6289999999999996</v>
          </cell>
        </row>
        <row r="5676">
          <cell r="A5676" t="str">
            <v>37738200411</v>
          </cell>
          <cell r="B5676">
            <v>37738</v>
          </cell>
          <cell r="C5676" t="str">
            <v>NG</v>
          </cell>
          <cell r="D5676" t="str">
            <v>200411</v>
          </cell>
          <cell r="E5676">
            <v>4.774</v>
          </cell>
        </row>
        <row r="5677">
          <cell r="A5677" t="str">
            <v>37738200412</v>
          </cell>
          <cell r="B5677">
            <v>37738</v>
          </cell>
          <cell r="C5677" t="str">
            <v>NG</v>
          </cell>
          <cell r="D5677" t="str">
            <v>200412</v>
          </cell>
          <cell r="E5677">
            <v>4.9589999999999996</v>
          </cell>
        </row>
        <row r="5678">
          <cell r="A5678" t="str">
            <v>37739200401</v>
          </cell>
          <cell r="B5678">
            <v>37739</v>
          </cell>
          <cell r="C5678" t="str">
            <v>NG</v>
          </cell>
          <cell r="D5678" t="str">
            <v>200401</v>
          </cell>
          <cell r="E5678">
            <v>5.67</v>
          </cell>
        </row>
        <row r="5679">
          <cell r="A5679" t="str">
            <v>37739200402</v>
          </cell>
          <cell r="B5679">
            <v>37739</v>
          </cell>
          <cell r="C5679" t="str">
            <v>NG</v>
          </cell>
          <cell r="D5679" t="str">
            <v>200402</v>
          </cell>
          <cell r="E5679">
            <v>5.54</v>
          </cell>
        </row>
        <row r="5680">
          <cell r="A5680" t="str">
            <v>37739200403</v>
          </cell>
          <cell r="B5680">
            <v>37739</v>
          </cell>
          <cell r="C5680" t="str">
            <v>NG</v>
          </cell>
          <cell r="D5680" t="str">
            <v>200403</v>
          </cell>
          <cell r="E5680">
            <v>5.3150000000000004</v>
          </cell>
        </row>
        <row r="5681">
          <cell r="A5681" t="str">
            <v>37739200404</v>
          </cell>
          <cell r="B5681">
            <v>37739</v>
          </cell>
          <cell r="C5681" t="str">
            <v>NG</v>
          </cell>
          <cell r="D5681" t="str">
            <v>200404</v>
          </cell>
          <cell r="E5681">
            <v>4.7149999999999999</v>
          </cell>
        </row>
        <row r="5682">
          <cell r="A5682" t="str">
            <v>37739200405</v>
          </cell>
          <cell r="B5682">
            <v>37739</v>
          </cell>
          <cell r="C5682" t="str">
            <v>NG</v>
          </cell>
          <cell r="D5682" t="str">
            <v>200405</v>
          </cell>
          <cell r="E5682">
            <v>4.625</v>
          </cell>
        </row>
        <row r="5683">
          <cell r="A5683" t="str">
            <v>37739200406</v>
          </cell>
          <cell r="B5683">
            <v>37739</v>
          </cell>
          <cell r="C5683" t="str">
            <v>NG</v>
          </cell>
          <cell r="D5683" t="str">
            <v>200406</v>
          </cell>
          <cell r="E5683">
            <v>4.5999999999999996</v>
          </cell>
        </row>
        <row r="5684">
          <cell r="A5684" t="str">
            <v>37739200407</v>
          </cell>
          <cell r="B5684">
            <v>37739</v>
          </cell>
          <cell r="C5684" t="str">
            <v>NG</v>
          </cell>
          <cell r="D5684" t="str">
            <v>200407</v>
          </cell>
          <cell r="E5684">
            <v>4.59</v>
          </cell>
        </row>
        <row r="5685">
          <cell r="A5685" t="str">
            <v>37739200408</v>
          </cell>
          <cell r="B5685">
            <v>37739</v>
          </cell>
          <cell r="C5685" t="str">
            <v>NG</v>
          </cell>
          <cell r="D5685" t="str">
            <v>200408</v>
          </cell>
          <cell r="E5685">
            <v>4.5949999999999998</v>
          </cell>
        </row>
        <row r="5686">
          <cell r="A5686" t="str">
            <v>37739200409</v>
          </cell>
          <cell r="B5686">
            <v>37739</v>
          </cell>
          <cell r="C5686" t="str">
            <v>NG</v>
          </cell>
          <cell r="D5686" t="str">
            <v>200409</v>
          </cell>
          <cell r="E5686">
            <v>4.585</v>
          </cell>
        </row>
        <row r="5687">
          <cell r="A5687" t="str">
            <v>37739200410</v>
          </cell>
          <cell r="B5687">
            <v>37739</v>
          </cell>
          <cell r="C5687" t="str">
            <v>NG</v>
          </cell>
          <cell r="D5687" t="str">
            <v>200410</v>
          </cell>
          <cell r="E5687">
            <v>4.585</v>
          </cell>
        </row>
        <row r="5688">
          <cell r="A5688" t="str">
            <v>37739200411</v>
          </cell>
          <cell r="B5688">
            <v>37739</v>
          </cell>
          <cell r="C5688" t="str">
            <v>NG</v>
          </cell>
          <cell r="D5688" t="str">
            <v>200411</v>
          </cell>
          <cell r="E5688">
            <v>4.7300000000000004</v>
          </cell>
        </row>
        <row r="5689">
          <cell r="A5689" t="str">
            <v>37739200412</v>
          </cell>
          <cell r="B5689">
            <v>37739</v>
          </cell>
          <cell r="C5689" t="str">
            <v>NG</v>
          </cell>
          <cell r="D5689" t="str">
            <v>200412</v>
          </cell>
          <cell r="E5689">
            <v>4.915</v>
          </cell>
        </row>
        <row r="5690">
          <cell r="A5690" t="str">
            <v>37740200401</v>
          </cell>
          <cell r="B5690">
            <v>37740</v>
          </cell>
          <cell r="C5690" t="str">
            <v>NG</v>
          </cell>
          <cell r="D5690" t="str">
            <v>200401</v>
          </cell>
          <cell r="E5690">
            <v>5.6749999999999998</v>
          </cell>
        </row>
        <row r="5691">
          <cell r="A5691" t="str">
            <v>37740200402</v>
          </cell>
          <cell r="B5691">
            <v>37740</v>
          </cell>
          <cell r="C5691" t="str">
            <v>NG</v>
          </cell>
          <cell r="D5691" t="str">
            <v>200402</v>
          </cell>
          <cell r="E5691">
            <v>5.5449999999999999</v>
          </cell>
        </row>
        <row r="5692">
          <cell r="A5692" t="str">
            <v>37740200403</v>
          </cell>
          <cell r="B5692">
            <v>37740</v>
          </cell>
          <cell r="C5692" t="str">
            <v>NG</v>
          </cell>
          <cell r="D5692" t="str">
            <v>200403</v>
          </cell>
          <cell r="E5692">
            <v>5.3250000000000002</v>
          </cell>
        </row>
        <row r="5693">
          <cell r="A5693" t="str">
            <v>37740200404</v>
          </cell>
          <cell r="B5693">
            <v>37740</v>
          </cell>
          <cell r="C5693" t="str">
            <v>NG</v>
          </cell>
          <cell r="D5693" t="str">
            <v>200404</v>
          </cell>
          <cell r="E5693">
            <v>4.7370000000000001</v>
          </cell>
        </row>
        <row r="5694">
          <cell r="A5694" t="str">
            <v>37740200405</v>
          </cell>
          <cell r="B5694">
            <v>37740</v>
          </cell>
          <cell r="C5694" t="str">
            <v>NG</v>
          </cell>
          <cell r="D5694" t="str">
            <v>200405</v>
          </cell>
          <cell r="E5694">
            <v>4.6319999999999997</v>
          </cell>
        </row>
        <row r="5695">
          <cell r="A5695" t="str">
            <v>37740200406</v>
          </cell>
          <cell r="B5695">
            <v>37740</v>
          </cell>
          <cell r="C5695" t="str">
            <v>NG</v>
          </cell>
          <cell r="D5695" t="str">
            <v>200406</v>
          </cell>
          <cell r="E5695">
            <v>4.6070000000000002</v>
          </cell>
        </row>
        <row r="5696">
          <cell r="A5696" t="str">
            <v>37740200407</v>
          </cell>
          <cell r="B5696">
            <v>37740</v>
          </cell>
          <cell r="C5696" t="str">
            <v>NG</v>
          </cell>
          <cell r="D5696" t="str">
            <v>200407</v>
          </cell>
          <cell r="E5696">
            <v>4.5970000000000004</v>
          </cell>
        </row>
        <row r="5697">
          <cell r="A5697" t="str">
            <v>37740200408</v>
          </cell>
          <cell r="B5697">
            <v>37740</v>
          </cell>
          <cell r="C5697" t="str">
            <v>NG</v>
          </cell>
          <cell r="D5697" t="str">
            <v>200408</v>
          </cell>
          <cell r="E5697">
            <v>4.6020000000000003</v>
          </cell>
        </row>
        <row r="5698">
          <cell r="A5698" t="str">
            <v>37740200409</v>
          </cell>
          <cell r="B5698">
            <v>37740</v>
          </cell>
          <cell r="C5698" t="str">
            <v>NG</v>
          </cell>
          <cell r="D5698" t="str">
            <v>200409</v>
          </cell>
          <cell r="E5698">
            <v>4.6020000000000003</v>
          </cell>
        </row>
        <row r="5699">
          <cell r="A5699" t="str">
            <v>37740200410</v>
          </cell>
          <cell r="B5699">
            <v>37740</v>
          </cell>
          <cell r="C5699" t="str">
            <v>NG</v>
          </cell>
          <cell r="D5699" t="str">
            <v>200410</v>
          </cell>
          <cell r="E5699">
            <v>4.6020000000000003</v>
          </cell>
        </row>
        <row r="5700">
          <cell r="A5700" t="str">
            <v>37740200411</v>
          </cell>
          <cell r="B5700">
            <v>37740</v>
          </cell>
          <cell r="C5700" t="str">
            <v>NG</v>
          </cell>
          <cell r="D5700" t="str">
            <v>200411</v>
          </cell>
          <cell r="E5700">
            <v>4.7670000000000003</v>
          </cell>
        </row>
        <row r="5701">
          <cell r="A5701" t="str">
            <v>37740200412</v>
          </cell>
          <cell r="B5701">
            <v>37740</v>
          </cell>
          <cell r="C5701" t="str">
            <v>NG</v>
          </cell>
          <cell r="D5701" t="str">
            <v>200412</v>
          </cell>
          <cell r="E5701">
            <v>4.9669999999999996</v>
          </cell>
        </row>
        <row r="5702">
          <cell r="A5702" t="str">
            <v>37741200401</v>
          </cell>
          <cell r="B5702">
            <v>37741</v>
          </cell>
          <cell r="C5702" t="str">
            <v>NG</v>
          </cell>
          <cell r="D5702" t="str">
            <v>200401</v>
          </cell>
          <cell r="E5702">
            <v>5.8250000000000002</v>
          </cell>
        </row>
        <row r="5703">
          <cell r="A5703" t="str">
            <v>37741200402</v>
          </cell>
          <cell r="B5703">
            <v>37741</v>
          </cell>
          <cell r="C5703" t="str">
            <v>NG</v>
          </cell>
          <cell r="D5703" t="str">
            <v>200402</v>
          </cell>
          <cell r="E5703">
            <v>5.6950000000000003</v>
          </cell>
        </row>
        <row r="5704">
          <cell r="A5704" t="str">
            <v>37741200403</v>
          </cell>
          <cell r="B5704">
            <v>37741</v>
          </cell>
          <cell r="C5704" t="str">
            <v>NG</v>
          </cell>
          <cell r="D5704" t="str">
            <v>200403</v>
          </cell>
          <cell r="E5704">
            <v>5.4749999999999996</v>
          </cell>
        </row>
        <row r="5705">
          <cell r="A5705" t="str">
            <v>37741200404</v>
          </cell>
          <cell r="B5705">
            <v>37741</v>
          </cell>
          <cell r="C5705" t="str">
            <v>NG</v>
          </cell>
          <cell r="D5705" t="str">
            <v>200404</v>
          </cell>
          <cell r="E5705">
            <v>4.8869999999999996</v>
          </cell>
        </row>
        <row r="5706">
          <cell r="A5706" t="str">
            <v>37741200405</v>
          </cell>
          <cell r="B5706">
            <v>37741</v>
          </cell>
          <cell r="C5706" t="str">
            <v>NG</v>
          </cell>
          <cell r="D5706" t="str">
            <v>200405</v>
          </cell>
          <cell r="E5706">
            <v>4.758</v>
          </cell>
        </row>
        <row r="5707">
          <cell r="A5707" t="str">
            <v>37741200406</v>
          </cell>
          <cell r="B5707">
            <v>37741</v>
          </cell>
          <cell r="C5707" t="str">
            <v>NG</v>
          </cell>
          <cell r="D5707" t="str">
            <v>200406</v>
          </cell>
          <cell r="E5707">
            <v>4.7080000000000002</v>
          </cell>
        </row>
        <row r="5708">
          <cell r="A5708" t="str">
            <v>37741200407</v>
          </cell>
          <cell r="B5708">
            <v>37741</v>
          </cell>
          <cell r="C5708" t="str">
            <v>NG</v>
          </cell>
          <cell r="D5708" t="str">
            <v>200407</v>
          </cell>
          <cell r="E5708">
            <v>4.6779999999999999</v>
          </cell>
        </row>
        <row r="5709">
          <cell r="A5709" t="str">
            <v>37741200408</v>
          </cell>
          <cell r="B5709">
            <v>37741</v>
          </cell>
          <cell r="C5709" t="str">
            <v>NG</v>
          </cell>
          <cell r="D5709" t="str">
            <v>200408</v>
          </cell>
          <cell r="E5709">
            <v>4.6779999999999999</v>
          </cell>
        </row>
        <row r="5710">
          <cell r="A5710" t="str">
            <v>37741200409</v>
          </cell>
          <cell r="B5710">
            <v>37741</v>
          </cell>
          <cell r="C5710" t="str">
            <v>NG</v>
          </cell>
          <cell r="D5710" t="str">
            <v>200409</v>
          </cell>
          <cell r="E5710">
            <v>4.6580000000000004</v>
          </cell>
        </row>
        <row r="5711">
          <cell r="A5711" t="str">
            <v>37741200410</v>
          </cell>
          <cell r="B5711">
            <v>37741</v>
          </cell>
          <cell r="C5711" t="str">
            <v>NG</v>
          </cell>
          <cell r="D5711" t="str">
            <v>200410</v>
          </cell>
          <cell r="E5711">
            <v>4.6529999999999996</v>
          </cell>
        </row>
        <row r="5712">
          <cell r="A5712" t="str">
            <v>37741200411</v>
          </cell>
          <cell r="B5712">
            <v>37741</v>
          </cell>
          <cell r="C5712" t="str">
            <v>NG</v>
          </cell>
          <cell r="D5712" t="str">
            <v>200411</v>
          </cell>
          <cell r="E5712">
            <v>4.7930000000000001</v>
          </cell>
        </row>
        <row r="5713">
          <cell r="A5713" t="str">
            <v>37741200412</v>
          </cell>
          <cell r="B5713">
            <v>37741</v>
          </cell>
          <cell r="C5713" t="str">
            <v>NG</v>
          </cell>
          <cell r="D5713" t="str">
            <v>200412</v>
          </cell>
          <cell r="E5713">
            <v>4.9729999999999999</v>
          </cell>
        </row>
        <row r="5714">
          <cell r="A5714" t="str">
            <v>37742200401</v>
          </cell>
          <cell r="B5714">
            <v>37742</v>
          </cell>
          <cell r="C5714" t="str">
            <v>NG</v>
          </cell>
          <cell r="D5714" t="str">
            <v>200401</v>
          </cell>
          <cell r="E5714">
            <v>5.7080000000000002</v>
          </cell>
        </row>
        <row r="5715">
          <cell r="A5715" t="str">
            <v>37742200402</v>
          </cell>
          <cell r="B5715">
            <v>37742</v>
          </cell>
          <cell r="C5715" t="str">
            <v>NG</v>
          </cell>
          <cell r="D5715" t="str">
            <v>200402</v>
          </cell>
          <cell r="E5715">
            <v>5.5880000000000001</v>
          </cell>
        </row>
        <row r="5716">
          <cell r="A5716" t="str">
            <v>37742200403</v>
          </cell>
          <cell r="B5716">
            <v>37742</v>
          </cell>
          <cell r="C5716" t="str">
            <v>NG</v>
          </cell>
          <cell r="D5716" t="str">
            <v>200403</v>
          </cell>
          <cell r="E5716">
            <v>5.3879999999999999</v>
          </cell>
        </row>
        <row r="5717">
          <cell r="A5717" t="str">
            <v>37742200404</v>
          </cell>
          <cell r="B5717">
            <v>37742</v>
          </cell>
          <cell r="C5717" t="str">
            <v>NG</v>
          </cell>
          <cell r="D5717" t="str">
            <v>200404</v>
          </cell>
          <cell r="E5717">
            <v>4.8280000000000003</v>
          </cell>
        </row>
        <row r="5718">
          <cell r="A5718" t="str">
            <v>37742200405</v>
          </cell>
          <cell r="B5718">
            <v>37742</v>
          </cell>
          <cell r="C5718" t="str">
            <v>NG</v>
          </cell>
          <cell r="D5718" t="str">
            <v>200405</v>
          </cell>
          <cell r="E5718">
            <v>4.7229999999999999</v>
          </cell>
        </row>
        <row r="5719">
          <cell r="A5719" t="str">
            <v>37742200406</v>
          </cell>
          <cell r="B5719">
            <v>37742</v>
          </cell>
          <cell r="C5719" t="str">
            <v>NG</v>
          </cell>
          <cell r="D5719" t="str">
            <v>200406</v>
          </cell>
          <cell r="E5719">
            <v>4.6859999999999999</v>
          </cell>
        </row>
        <row r="5720">
          <cell r="A5720" t="str">
            <v>37742200407</v>
          </cell>
          <cell r="B5720">
            <v>37742</v>
          </cell>
          <cell r="C5720" t="str">
            <v>NG</v>
          </cell>
          <cell r="D5720" t="str">
            <v>200407</v>
          </cell>
          <cell r="E5720">
            <v>4.6559999999999997</v>
          </cell>
        </row>
        <row r="5721">
          <cell r="A5721" t="str">
            <v>37742200408</v>
          </cell>
          <cell r="B5721">
            <v>37742</v>
          </cell>
          <cell r="C5721" t="str">
            <v>NG</v>
          </cell>
          <cell r="D5721" t="str">
            <v>200408</v>
          </cell>
          <cell r="E5721">
            <v>4.6760000000000002</v>
          </cell>
        </row>
        <row r="5722">
          <cell r="A5722" t="str">
            <v>37742200409</v>
          </cell>
          <cell r="B5722">
            <v>37742</v>
          </cell>
          <cell r="C5722" t="str">
            <v>NG</v>
          </cell>
          <cell r="D5722" t="str">
            <v>200409</v>
          </cell>
          <cell r="E5722">
            <v>4.6459999999999999</v>
          </cell>
        </row>
        <row r="5723">
          <cell r="A5723" t="str">
            <v>37742200410</v>
          </cell>
          <cell r="B5723">
            <v>37742</v>
          </cell>
          <cell r="C5723" t="str">
            <v>NG</v>
          </cell>
          <cell r="D5723" t="str">
            <v>200410</v>
          </cell>
          <cell r="E5723">
            <v>4.6360000000000001</v>
          </cell>
        </row>
        <row r="5724">
          <cell r="A5724" t="str">
            <v>37742200411</v>
          </cell>
          <cell r="B5724">
            <v>37742</v>
          </cell>
          <cell r="C5724" t="str">
            <v>NG</v>
          </cell>
          <cell r="D5724" t="str">
            <v>200411</v>
          </cell>
          <cell r="E5724">
            <v>4.7759999999999998</v>
          </cell>
        </row>
        <row r="5725">
          <cell r="A5725" t="str">
            <v>37742200412</v>
          </cell>
          <cell r="B5725">
            <v>37742</v>
          </cell>
          <cell r="C5725" t="str">
            <v>NG</v>
          </cell>
          <cell r="D5725" t="str">
            <v>200412</v>
          </cell>
          <cell r="E5725">
            <v>4.9710000000000001</v>
          </cell>
        </row>
        <row r="5726">
          <cell r="A5726" t="str">
            <v>37743200401</v>
          </cell>
          <cell r="B5726">
            <v>37743</v>
          </cell>
          <cell r="C5726" t="str">
            <v>NG</v>
          </cell>
          <cell r="D5726" t="str">
            <v>200401</v>
          </cell>
          <cell r="E5726">
            <v>5.6950000000000003</v>
          </cell>
        </row>
        <row r="5727">
          <cell r="A5727" t="str">
            <v>37743200402</v>
          </cell>
          <cell r="B5727">
            <v>37743</v>
          </cell>
          <cell r="C5727" t="str">
            <v>NG</v>
          </cell>
          <cell r="D5727" t="str">
            <v>200402</v>
          </cell>
          <cell r="E5727">
            <v>5.5750000000000002</v>
          </cell>
        </row>
        <row r="5728">
          <cell r="A5728" t="str">
            <v>37743200403</v>
          </cell>
          <cell r="B5728">
            <v>37743</v>
          </cell>
          <cell r="C5728" t="str">
            <v>NG</v>
          </cell>
          <cell r="D5728" t="str">
            <v>200403</v>
          </cell>
          <cell r="E5728">
            <v>5.375</v>
          </cell>
        </row>
        <row r="5729">
          <cell r="A5729" t="str">
            <v>37743200404</v>
          </cell>
          <cell r="B5729">
            <v>37743</v>
          </cell>
          <cell r="C5729" t="str">
            <v>NG</v>
          </cell>
          <cell r="D5729" t="str">
            <v>200404</v>
          </cell>
          <cell r="E5729">
            <v>4.82</v>
          </cell>
        </row>
        <row r="5730">
          <cell r="A5730" t="str">
            <v>37743200405</v>
          </cell>
          <cell r="B5730">
            <v>37743</v>
          </cell>
          <cell r="C5730" t="str">
            <v>NG</v>
          </cell>
          <cell r="D5730" t="str">
            <v>200405</v>
          </cell>
          <cell r="E5730">
            <v>4.71</v>
          </cell>
        </row>
        <row r="5731">
          <cell r="A5731" t="str">
            <v>37743200406</v>
          </cell>
          <cell r="B5731">
            <v>37743</v>
          </cell>
          <cell r="C5731" t="str">
            <v>NG</v>
          </cell>
          <cell r="D5731" t="str">
            <v>200406</v>
          </cell>
          <cell r="E5731">
            <v>4.67</v>
          </cell>
        </row>
        <row r="5732">
          <cell r="A5732" t="str">
            <v>37743200407</v>
          </cell>
          <cell r="B5732">
            <v>37743</v>
          </cell>
          <cell r="C5732" t="str">
            <v>NG</v>
          </cell>
          <cell r="D5732" t="str">
            <v>200407</v>
          </cell>
          <cell r="E5732">
            <v>4.66</v>
          </cell>
        </row>
        <row r="5733">
          <cell r="A5733" t="str">
            <v>37743200408</v>
          </cell>
          <cell r="B5733">
            <v>37743</v>
          </cell>
          <cell r="C5733" t="str">
            <v>NG</v>
          </cell>
          <cell r="D5733" t="str">
            <v>200408</v>
          </cell>
          <cell r="E5733">
            <v>4.68</v>
          </cell>
        </row>
        <row r="5734">
          <cell r="A5734" t="str">
            <v>37743200409</v>
          </cell>
          <cell r="B5734">
            <v>37743</v>
          </cell>
          <cell r="C5734" t="str">
            <v>NG</v>
          </cell>
          <cell r="D5734" t="str">
            <v>200409</v>
          </cell>
          <cell r="E5734">
            <v>4.6500000000000004</v>
          </cell>
        </row>
        <row r="5735">
          <cell r="A5735" t="str">
            <v>37743200410</v>
          </cell>
          <cell r="B5735">
            <v>37743</v>
          </cell>
          <cell r="C5735" t="str">
            <v>NG</v>
          </cell>
          <cell r="D5735" t="str">
            <v>200410</v>
          </cell>
          <cell r="E5735">
            <v>4.6449999999999996</v>
          </cell>
        </row>
        <row r="5736">
          <cell r="A5736" t="str">
            <v>37743200411</v>
          </cell>
          <cell r="B5736">
            <v>37743</v>
          </cell>
          <cell r="C5736" t="str">
            <v>NG</v>
          </cell>
          <cell r="D5736" t="str">
            <v>200411</v>
          </cell>
          <cell r="E5736">
            <v>4.7759999999999998</v>
          </cell>
        </row>
        <row r="5737">
          <cell r="A5737" t="str">
            <v>37743200412</v>
          </cell>
          <cell r="B5737">
            <v>37743</v>
          </cell>
          <cell r="C5737" t="str">
            <v>NG</v>
          </cell>
          <cell r="D5737" t="str">
            <v>200412</v>
          </cell>
          <cell r="E5737">
            <v>4.9749999999999996</v>
          </cell>
        </row>
        <row r="5738">
          <cell r="A5738" t="str">
            <v>37744200401</v>
          </cell>
          <cell r="B5738">
            <v>37744</v>
          </cell>
          <cell r="C5738" t="str">
            <v>NG</v>
          </cell>
          <cell r="D5738" t="str">
            <v>200401</v>
          </cell>
          <cell r="E5738">
            <v>5.7080000000000002</v>
          </cell>
        </row>
        <row r="5739">
          <cell r="A5739" t="str">
            <v>37744200402</v>
          </cell>
          <cell r="B5739">
            <v>37744</v>
          </cell>
          <cell r="C5739" t="str">
            <v>NG</v>
          </cell>
          <cell r="D5739" t="str">
            <v>200402</v>
          </cell>
          <cell r="E5739">
            <v>5.5880000000000001</v>
          </cell>
        </row>
        <row r="5740">
          <cell r="A5740" t="str">
            <v>37744200403</v>
          </cell>
          <cell r="B5740">
            <v>37744</v>
          </cell>
          <cell r="C5740" t="str">
            <v>NG</v>
          </cell>
          <cell r="D5740" t="str">
            <v>200403</v>
          </cell>
          <cell r="E5740">
            <v>5.3879999999999999</v>
          </cell>
        </row>
        <row r="5741">
          <cell r="A5741" t="str">
            <v>37744200404</v>
          </cell>
          <cell r="B5741">
            <v>37744</v>
          </cell>
          <cell r="C5741" t="str">
            <v>NG</v>
          </cell>
          <cell r="D5741" t="str">
            <v>200404</v>
          </cell>
          <cell r="E5741">
            <v>4.8280000000000003</v>
          </cell>
        </row>
        <row r="5742">
          <cell r="A5742" t="str">
            <v>37744200405</v>
          </cell>
          <cell r="B5742">
            <v>37744</v>
          </cell>
          <cell r="C5742" t="str">
            <v>NG</v>
          </cell>
          <cell r="D5742" t="str">
            <v>200405</v>
          </cell>
          <cell r="E5742">
            <v>4.726</v>
          </cell>
        </row>
        <row r="5743">
          <cell r="A5743" t="str">
            <v>37744200406</v>
          </cell>
          <cell r="B5743">
            <v>37744</v>
          </cell>
          <cell r="C5743" t="str">
            <v>NG</v>
          </cell>
          <cell r="D5743" t="str">
            <v>200406</v>
          </cell>
          <cell r="E5743">
            <v>4.6859999999999999</v>
          </cell>
        </row>
        <row r="5744">
          <cell r="A5744" t="str">
            <v>37744200407</v>
          </cell>
          <cell r="B5744">
            <v>37744</v>
          </cell>
          <cell r="C5744" t="str">
            <v>NG</v>
          </cell>
          <cell r="D5744" t="str">
            <v>200407</v>
          </cell>
          <cell r="E5744">
            <v>4.6559999999999997</v>
          </cell>
        </row>
        <row r="5745">
          <cell r="A5745" t="str">
            <v>37744200408</v>
          </cell>
          <cell r="B5745">
            <v>37744</v>
          </cell>
          <cell r="C5745" t="str">
            <v>NG</v>
          </cell>
          <cell r="D5745" t="str">
            <v>200408</v>
          </cell>
          <cell r="E5745">
            <v>4.6760000000000002</v>
          </cell>
        </row>
        <row r="5746">
          <cell r="A5746" t="str">
            <v>37744200409</v>
          </cell>
          <cell r="B5746">
            <v>37744</v>
          </cell>
          <cell r="C5746" t="str">
            <v>NG</v>
          </cell>
          <cell r="D5746" t="str">
            <v>200409</v>
          </cell>
          <cell r="E5746">
            <v>4.6459999999999999</v>
          </cell>
        </row>
        <row r="5747">
          <cell r="A5747" t="str">
            <v>37744200410</v>
          </cell>
          <cell r="B5747">
            <v>37744</v>
          </cell>
          <cell r="C5747" t="str">
            <v>NG</v>
          </cell>
          <cell r="D5747" t="str">
            <v>200410</v>
          </cell>
          <cell r="E5747">
            <v>4.6360000000000001</v>
          </cell>
        </row>
        <row r="5748">
          <cell r="A5748" t="str">
            <v>37744200411</v>
          </cell>
          <cell r="B5748">
            <v>37744</v>
          </cell>
          <cell r="C5748" t="str">
            <v>NG</v>
          </cell>
          <cell r="D5748" t="str">
            <v>200411</v>
          </cell>
          <cell r="E5748">
            <v>4.7759999999999998</v>
          </cell>
        </row>
        <row r="5749">
          <cell r="A5749" t="str">
            <v>37744200412</v>
          </cell>
          <cell r="B5749">
            <v>37744</v>
          </cell>
          <cell r="C5749" t="str">
            <v>NG</v>
          </cell>
          <cell r="D5749" t="str">
            <v>200412</v>
          </cell>
          <cell r="E5749">
            <v>4.9710000000000001</v>
          </cell>
        </row>
        <row r="5750">
          <cell r="A5750" t="str">
            <v>37745200401</v>
          </cell>
          <cell r="B5750">
            <v>37745</v>
          </cell>
          <cell r="C5750" t="str">
            <v>NG</v>
          </cell>
          <cell r="D5750" t="str">
            <v>200401</v>
          </cell>
          <cell r="E5750">
            <v>5.7080000000000002</v>
          </cell>
        </row>
        <row r="5751">
          <cell r="A5751" t="str">
            <v>37745200402</v>
          </cell>
          <cell r="B5751">
            <v>37745</v>
          </cell>
          <cell r="C5751" t="str">
            <v>NG</v>
          </cell>
          <cell r="D5751" t="str">
            <v>200402</v>
          </cell>
          <cell r="E5751">
            <v>5.5880000000000001</v>
          </cell>
        </row>
        <row r="5752">
          <cell r="A5752" t="str">
            <v>37745200403</v>
          </cell>
          <cell r="B5752">
            <v>37745</v>
          </cell>
          <cell r="C5752" t="str">
            <v>NG</v>
          </cell>
          <cell r="D5752" t="str">
            <v>200403</v>
          </cell>
          <cell r="E5752">
            <v>5.3879999999999999</v>
          </cell>
        </row>
        <row r="5753">
          <cell r="A5753" t="str">
            <v>37745200404</v>
          </cell>
          <cell r="B5753">
            <v>37745</v>
          </cell>
          <cell r="C5753" t="str">
            <v>NG</v>
          </cell>
          <cell r="D5753" t="str">
            <v>200404</v>
          </cell>
          <cell r="E5753">
            <v>4.8280000000000003</v>
          </cell>
        </row>
        <row r="5754">
          <cell r="A5754" t="str">
            <v>37745200405</v>
          </cell>
          <cell r="B5754">
            <v>37745</v>
          </cell>
          <cell r="C5754" t="str">
            <v>NG</v>
          </cell>
          <cell r="D5754" t="str">
            <v>200405</v>
          </cell>
          <cell r="E5754">
            <v>4.726</v>
          </cell>
        </row>
        <row r="5755">
          <cell r="A5755" t="str">
            <v>37745200406</v>
          </cell>
          <cell r="B5755">
            <v>37745</v>
          </cell>
          <cell r="C5755" t="str">
            <v>NG</v>
          </cell>
          <cell r="D5755" t="str">
            <v>200406</v>
          </cell>
          <cell r="E5755">
            <v>4.6859999999999999</v>
          </cell>
        </row>
        <row r="5756">
          <cell r="A5756" t="str">
            <v>37745200407</v>
          </cell>
          <cell r="B5756">
            <v>37745</v>
          </cell>
          <cell r="C5756" t="str">
            <v>NG</v>
          </cell>
          <cell r="D5756" t="str">
            <v>200407</v>
          </cell>
          <cell r="E5756">
            <v>4.6559999999999997</v>
          </cell>
        </row>
        <row r="5757">
          <cell r="A5757" t="str">
            <v>37745200408</v>
          </cell>
          <cell r="B5757">
            <v>37745</v>
          </cell>
          <cell r="C5757" t="str">
            <v>NG</v>
          </cell>
          <cell r="D5757" t="str">
            <v>200408</v>
          </cell>
          <cell r="E5757">
            <v>4.6760000000000002</v>
          </cell>
        </row>
        <row r="5758">
          <cell r="A5758" t="str">
            <v>37745200409</v>
          </cell>
          <cell r="B5758">
            <v>37745</v>
          </cell>
          <cell r="C5758" t="str">
            <v>NG</v>
          </cell>
          <cell r="D5758" t="str">
            <v>200409</v>
          </cell>
          <cell r="E5758">
            <v>4.6459999999999999</v>
          </cell>
        </row>
        <row r="5759">
          <cell r="A5759" t="str">
            <v>37745200410</v>
          </cell>
          <cell r="B5759">
            <v>37745</v>
          </cell>
          <cell r="C5759" t="str">
            <v>NG</v>
          </cell>
          <cell r="D5759" t="str">
            <v>200410</v>
          </cell>
          <cell r="E5759">
            <v>4.6360000000000001</v>
          </cell>
        </row>
        <row r="5760">
          <cell r="A5760" t="str">
            <v>37745200411</v>
          </cell>
          <cell r="B5760">
            <v>37745</v>
          </cell>
          <cell r="C5760" t="str">
            <v>NG</v>
          </cell>
          <cell r="D5760" t="str">
            <v>200411</v>
          </cell>
          <cell r="E5760">
            <v>4.7759999999999998</v>
          </cell>
        </row>
        <row r="5761">
          <cell r="A5761" t="str">
            <v>37745200412</v>
          </cell>
          <cell r="B5761">
            <v>37745</v>
          </cell>
          <cell r="C5761" t="str">
            <v>NG</v>
          </cell>
          <cell r="D5761" t="str">
            <v>200412</v>
          </cell>
          <cell r="E5761">
            <v>4.9710000000000001</v>
          </cell>
        </row>
        <row r="5762">
          <cell r="A5762" t="str">
            <v>37746200401</v>
          </cell>
          <cell r="B5762">
            <v>37746</v>
          </cell>
          <cell r="C5762" t="str">
            <v>NG</v>
          </cell>
          <cell r="D5762" t="str">
            <v>200401</v>
          </cell>
          <cell r="E5762">
            <v>5.9690000000000003</v>
          </cell>
        </row>
        <row r="5763">
          <cell r="A5763" t="str">
            <v>37746200402</v>
          </cell>
          <cell r="B5763">
            <v>37746</v>
          </cell>
          <cell r="C5763" t="str">
            <v>NG</v>
          </cell>
          <cell r="D5763" t="str">
            <v>200402</v>
          </cell>
          <cell r="E5763">
            <v>5.8390000000000004</v>
          </cell>
        </row>
        <row r="5764">
          <cell r="A5764" t="str">
            <v>37746200403</v>
          </cell>
          <cell r="B5764">
            <v>37746</v>
          </cell>
          <cell r="C5764" t="str">
            <v>NG</v>
          </cell>
          <cell r="D5764" t="str">
            <v>200403</v>
          </cell>
          <cell r="E5764">
            <v>5.6289999999999996</v>
          </cell>
        </row>
        <row r="5765">
          <cell r="A5765" t="str">
            <v>37746200404</v>
          </cell>
          <cell r="B5765">
            <v>37746</v>
          </cell>
          <cell r="C5765" t="str">
            <v>NG</v>
          </cell>
          <cell r="D5765" t="str">
            <v>200404</v>
          </cell>
          <cell r="E5765">
            <v>5.0289999999999999</v>
          </cell>
        </row>
        <row r="5766">
          <cell r="A5766" t="str">
            <v>37746200405</v>
          </cell>
          <cell r="B5766">
            <v>37746</v>
          </cell>
          <cell r="C5766" t="str">
            <v>NG</v>
          </cell>
          <cell r="D5766" t="str">
            <v>200405</v>
          </cell>
          <cell r="E5766">
            <v>4.9089999999999998</v>
          </cell>
        </row>
        <row r="5767">
          <cell r="A5767" t="str">
            <v>37746200406</v>
          </cell>
          <cell r="B5767">
            <v>37746</v>
          </cell>
          <cell r="C5767" t="str">
            <v>NG</v>
          </cell>
          <cell r="D5767" t="str">
            <v>200406</v>
          </cell>
          <cell r="E5767">
            <v>4.8689999999999998</v>
          </cell>
        </row>
        <row r="5768">
          <cell r="A5768" t="str">
            <v>37746200407</v>
          </cell>
          <cell r="B5768">
            <v>37746</v>
          </cell>
          <cell r="C5768" t="str">
            <v>NG</v>
          </cell>
          <cell r="D5768" t="str">
            <v>200407</v>
          </cell>
          <cell r="E5768">
            <v>4.8490000000000002</v>
          </cell>
        </row>
        <row r="5769">
          <cell r="A5769" t="str">
            <v>37746200408</v>
          </cell>
          <cell r="B5769">
            <v>37746</v>
          </cell>
          <cell r="C5769" t="str">
            <v>NG</v>
          </cell>
          <cell r="D5769" t="str">
            <v>200408</v>
          </cell>
          <cell r="E5769">
            <v>4.8540000000000001</v>
          </cell>
        </row>
        <row r="5770">
          <cell r="A5770" t="str">
            <v>37746200409</v>
          </cell>
          <cell r="B5770">
            <v>37746</v>
          </cell>
          <cell r="C5770" t="str">
            <v>NG</v>
          </cell>
          <cell r="D5770" t="str">
            <v>200409</v>
          </cell>
          <cell r="E5770">
            <v>4.8289999999999997</v>
          </cell>
        </row>
        <row r="5771">
          <cell r="A5771" t="str">
            <v>37746200410</v>
          </cell>
          <cell r="B5771">
            <v>37746</v>
          </cell>
          <cell r="C5771" t="str">
            <v>NG</v>
          </cell>
          <cell r="D5771" t="str">
            <v>200410</v>
          </cell>
          <cell r="E5771">
            <v>4.8289999999999997</v>
          </cell>
        </row>
        <row r="5772">
          <cell r="A5772" t="str">
            <v>37746200411</v>
          </cell>
          <cell r="B5772">
            <v>37746</v>
          </cell>
          <cell r="C5772" t="str">
            <v>NG</v>
          </cell>
          <cell r="D5772" t="str">
            <v>200411</v>
          </cell>
          <cell r="E5772">
            <v>4.9640000000000004</v>
          </cell>
        </row>
        <row r="5773">
          <cell r="A5773" t="str">
            <v>37746200412</v>
          </cell>
          <cell r="B5773">
            <v>37746</v>
          </cell>
          <cell r="C5773" t="str">
            <v>NG</v>
          </cell>
          <cell r="D5773" t="str">
            <v>200412</v>
          </cell>
          <cell r="E5773">
            <v>5.1390000000000002</v>
          </cell>
        </row>
        <row r="5774">
          <cell r="A5774" t="str">
            <v>37747200401</v>
          </cell>
          <cell r="B5774">
            <v>37747</v>
          </cell>
          <cell r="C5774" t="str">
            <v>NG</v>
          </cell>
          <cell r="D5774" t="str">
            <v>200401</v>
          </cell>
          <cell r="E5774">
            <v>5.91</v>
          </cell>
        </row>
        <row r="5775">
          <cell r="A5775" t="str">
            <v>37747200402</v>
          </cell>
          <cell r="B5775">
            <v>37747</v>
          </cell>
          <cell r="C5775" t="str">
            <v>NG</v>
          </cell>
          <cell r="D5775" t="str">
            <v>200402</v>
          </cell>
          <cell r="E5775">
            <v>5.79</v>
          </cell>
        </row>
        <row r="5776">
          <cell r="A5776" t="str">
            <v>37747200403</v>
          </cell>
          <cell r="B5776">
            <v>37747</v>
          </cell>
          <cell r="C5776" t="str">
            <v>NG</v>
          </cell>
          <cell r="D5776" t="str">
            <v>200403</v>
          </cell>
          <cell r="E5776">
            <v>5.59</v>
          </cell>
        </row>
        <row r="5777">
          <cell r="A5777" t="str">
            <v>37747200404</v>
          </cell>
          <cell r="B5777">
            <v>37747</v>
          </cell>
          <cell r="C5777" t="str">
            <v>NG</v>
          </cell>
          <cell r="D5777" t="str">
            <v>200404</v>
          </cell>
          <cell r="E5777">
            <v>4.99</v>
          </cell>
        </row>
        <row r="5778">
          <cell r="A5778" t="str">
            <v>37747200405</v>
          </cell>
          <cell r="B5778">
            <v>37747</v>
          </cell>
          <cell r="C5778" t="str">
            <v>NG</v>
          </cell>
          <cell r="D5778" t="str">
            <v>200405</v>
          </cell>
          <cell r="E5778">
            <v>4.88</v>
          </cell>
        </row>
        <row r="5779">
          <cell r="A5779" t="str">
            <v>37747200406</v>
          </cell>
          <cell r="B5779">
            <v>37747</v>
          </cell>
          <cell r="C5779" t="str">
            <v>NG</v>
          </cell>
          <cell r="D5779" t="str">
            <v>200406</v>
          </cell>
          <cell r="E5779">
            <v>4.84</v>
          </cell>
        </row>
        <row r="5780">
          <cell r="A5780" t="str">
            <v>37747200407</v>
          </cell>
          <cell r="B5780">
            <v>37747</v>
          </cell>
          <cell r="C5780" t="str">
            <v>NG</v>
          </cell>
          <cell r="D5780" t="str">
            <v>200407</v>
          </cell>
          <cell r="E5780">
            <v>4.83</v>
          </cell>
        </row>
        <row r="5781">
          <cell r="A5781" t="str">
            <v>37747200408</v>
          </cell>
          <cell r="B5781">
            <v>37747</v>
          </cell>
          <cell r="C5781" t="str">
            <v>NG</v>
          </cell>
          <cell r="D5781" t="str">
            <v>200408</v>
          </cell>
          <cell r="E5781">
            <v>4.83</v>
          </cell>
        </row>
        <row r="5782">
          <cell r="A5782" t="str">
            <v>37747200409</v>
          </cell>
          <cell r="B5782">
            <v>37747</v>
          </cell>
          <cell r="C5782" t="str">
            <v>NG</v>
          </cell>
          <cell r="D5782" t="str">
            <v>200409</v>
          </cell>
          <cell r="E5782">
            <v>4.82</v>
          </cell>
        </row>
        <row r="5783">
          <cell r="A5783" t="str">
            <v>37747200410</v>
          </cell>
          <cell r="B5783">
            <v>37747</v>
          </cell>
          <cell r="C5783" t="str">
            <v>NG</v>
          </cell>
          <cell r="D5783" t="str">
            <v>200410</v>
          </cell>
          <cell r="E5783">
            <v>4.82</v>
          </cell>
        </row>
        <row r="5784">
          <cell r="A5784" t="str">
            <v>37747200411</v>
          </cell>
          <cell r="B5784">
            <v>37747</v>
          </cell>
          <cell r="C5784" t="str">
            <v>NG</v>
          </cell>
          <cell r="D5784" t="str">
            <v>200411</v>
          </cell>
          <cell r="E5784">
            <v>4.95</v>
          </cell>
        </row>
        <row r="5785">
          <cell r="A5785" t="str">
            <v>37747200412</v>
          </cell>
          <cell r="B5785">
            <v>37747</v>
          </cell>
          <cell r="C5785" t="str">
            <v>NG</v>
          </cell>
          <cell r="D5785" t="str">
            <v>200412</v>
          </cell>
          <cell r="E5785">
            <v>5.1100000000000003</v>
          </cell>
        </row>
        <row r="5786">
          <cell r="A5786" t="str">
            <v>37748200401</v>
          </cell>
          <cell r="B5786">
            <v>37748</v>
          </cell>
          <cell r="C5786" t="str">
            <v>NG</v>
          </cell>
          <cell r="D5786" t="str">
            <v>200401</v>
          </cell>
          <cell r="E5786">
            <v>5.968</v>
          </cell>
        </row>
        <row r="5787">
          <cell r="A5787" t="str">
            <v>37748200402</v>
          </cell>
          <cell r="B5787">
            <v>37748</v>
          </cell>
          <cell r="C5787" t="str">
            <v>NG</v>
          </cell>
          <cell r="D5787" t="str">
            <v>200402</v>
          </cell>
          <cell r="E5787">
            <v>5.843</v>
          </cell>
        </row>
        <row r="5788">
          <cell r="A5788" t="str">
            <v>37748200403</v>
          </cell>
          <cell r="B5788">
            <v>37748</v>
          </cell>
          <cell r="C5788" t="str">
            <v>NG</v>
          </cell>
          <cell r="D5788" t="str">
            <v>200403</v>
          </cell>
          <cell r="E5788">
            <v>5.6280000000000001</v>
          </cell>
        </row>
        <row r="5789">
          <cell r="A5789" t="str">
            <v>37748200404</v>
          </cell>
          <cell r="B5789">
            <v>37748</v>
          </cell>
          <cell r="C5789" t="str">
            <v>NG</v>
          </cell>
          <cell r="D5789" t="str">
            <v>200404</v>
          </cell>
          <cell r="E5789">
            <v>5.0060000000000002</v>
          </cell>
        </row>
        <row r="5790">
          <cell r="A5790" t="str">
            <v>37748200405</v>
          </cell>
          <cell r="B5790">
            <v>37748</v>
          </cell>
          <cell r="C5790" t="str">
            <v>NG</v>
          </cell>
          <cell r="D5790" t="str">
            <v>200405</v>
          </cell>
          <cell r="E5790">
            <v>4.8659999999999997</v>
          </cell>
        </row>
        <row r="5791">
          <cell r="A5791" t="str">
            <v>37748200406</v>
          </cell>
          <cell r="B5791">
            <v>37748</v>
          </cell>
          <cell r="C5791" t="str">
            <v>NG</v>
          </cell>
          <cell r="D5791" t="str">
            <v>200406</v>
          </cell>
          <cell r="E5791">
            <v>4.8280000000000003</v>
          </cell>
        </row>
        <row r="5792">
          <cell r="A5792" t="str">
            <v>37748200407</v>
          </cell>
          <cell r="B5792">
            <v>37748</v>
          </cell>
          <cell r="C5792" t="str">
            <v>NG</v>
          </cell>
          <cell r="D5792" t="str">
            <v>200407</v>
          </cell>
          <cell r="E5792">
            <v>4.8159999999999998</v>
          </cell>
        </row>
        <row r="5793">
          <cell r="A5793" t="str">
            <v>37748200408</v>
          </cell>
          <cell r="B5793">
            <v>37748</v>
          </cell>
          <cell r="C5793" t="str">
            <v>NG</v>
          </cell>
          <cell r="D5793" t="str">
            <v>200408</v>
          </cell>
          <cell r="E5793">
            <v>4.8280000000000003</v>
          </cell>
        </row>
        <row r="5794">
          <cell r="A5794" t="str">
            <v>37748200409</v>
          </cell>
          <cell r="B5794">
            <v>37748</v>
          </cell>
          <cell r="C5794" t="str">
            <v>NG</v>
          </cell>
          <cell r="D5794" t="str">
            <v>200409</v>
          </cell>
          <cell r="E5794">
            <v>4.8079999999999998</v>
          </cell>
        </row>
        <row r="5795">
          <cell r="A5795" t="str">
            <v>37748200410</v>
          </cell>
          <cell r="B5795">
            <v>37748</v>
          </cell>
          <cell r="C5795" t="str">
            <v>NG</v>
          </cell>
          <cell r="D5795" t="str">
            <v>200410</v>
          </cell>
          <cell r="E5795">
            <v>4.8079999999999998</v>
          </cell>
        </row>
        <row r="5796">
          <cell r="A5796" t="str">
            <v>37748200411</v>
          </cell>
          <cell r="B5796">
            <v>37748</v>
          </cell>
          <cell r="C5796" t="str">
            <v>NG</v>
          </cell>
          <cell r="D5796" t="str">
            <v>200411</v>
          </cell>
          <cell r="E5796">
            <v>4.9480000000000004</v>
          </cell>
        </row>
        <row r="5797">
          <cell r="A5797" t="str">
            <v>37748200412</v>
          </cell>
          <cell r="B5797">
            <v>37748</v>
          </cell>
          <cell r="C5797" t="str">
            <v>NG</v>
          </cell>
          <cell r="D5797" t="str">
            <v>200412</v>
          </cell>
          <cell r="E5797">
            <v>5.1079999999999997</v>
          </cell>
        </row>
        <row r="5798">
          <cell r="A5798" t="str">
            <v>37749200401</v>
          </cell>
          <cell r="B5798">
            <v>37749</v>
          </cell>
          <cell r="C5798" t="str">
            <v>NG</v>
          </cell>
          <cell r="D5798" t="str">
            <v>200401</v>
          </cell>
          <cell r="E5798">
            <v>6.0860000000000003</v>
          </cell>
        </row>
        <row r="5799">
          <cell r="A5799" t="str">
            <v>37749200402</v>
          </cell>
          <cell r="B5799">
            <v>37749</v>
          </cell>
          <cell r="C5799" t="str">
            <v>NG</v>
          </cell>
          <cell r="D5799" t="str">
            <v>200402</v>
          </cell>
          <cell r="E5799">
            <v>5.9560000000000004</v>
          </cell>
        </row>
        <row r="5800">
          <cell r="A5800" t="str">
            <v>37749200403</v>
          </cell>
          <cell r="B5800">
            <v>37749</v>
          </cell>
          <cell r="C5800" t="str">
            <v>NG</v>
          </cell>
          <cell r="D5800" t="str">
            <v>200403</v>
          </cell>
          <cell r="E5800">
            <v>5.7359999999999998</v>
          </cell>
        </row>
        <row r="5801">
          <cell r="A5801" t="str">
            <v>37749200404</v>
          </cell>
          <cell r="B5801">
            <v>37749</v>
          </cell>
          <cell r="C5801" t="str">
            <v>NG</v>
          </cell>
          <cell r="D5801" t="str">
            <v>200404</v>
          </cell>
          <cell r="E5801">
            <v>5.0960000000000001</v>
          </cell>
        </row>
        <row r="5802">
          <cell r="A5802" t="str">
            <v>37749200405</v>
          </cell>
          <cell r="B5802">
            <v>37749</v>
          </cell>
          <cell r="C5802" t="str">
            <v>NG</v>
          </cell>
          <cell r="D5802" t="str">
            <v>200405</v>
          </cell>
          <cell r="E5802">
            <v>4.9509999999999996</v>
          </cell>
        </row>
        <row r="5803">
          <cell r="A5803" t="str">
            <v>37749200406</v>
          </cell>
          <cell r="B5803">
            <v>37749</v>
          </cell>
          <cell r="C5803" t="str">
            <v>NG</v>
          </cell>
          <cell r="D5803" t="str">
            <v>200406</v>
          </cell>
          <cell r="E5803">
            <v>4.9180000000000001</v>
          </cell>
        </row>
        <row r="5804">
          <cell r="A5804" t="str">
            <v>37749200407</v>
          </cell>
          <cell r="B5804">
            <v>37749</v>
          </cell>
          <cell r="C5804" t="str">
            <v>NG</v>
          </cell>
          <cell r="D5804" t="str">
            <v>200407</v>
          </cell>
          <cell r="E5804">
            <v>4.9059999999999997</v>
          </cell>
        </row>
        <row r="5805">
          <cell r="A5805" t="str">
            <v>37749200408</v>
          </cell>
          <cell r="B5805">
            <v>37749</v>
          </cell>
          <cell r="C5805" t="str">
            <v>NG</v>
          </cell>
          <cell r="D5805" t="str">
            <v>200408</v>
          </cell>
          <cell r="E5805">
            <v>4.915</v>
          </cell>
        </row>
        <row r="5806">
          <cell r="A5806" t="str">
            <v>37749200409</v>
          </cell>
          <cell r="B5806">
            <v>37749</v>
          </cell>
          <cell r="C5806" t="str">
            <v>NG</v>
          </cell>
          <cell r="D5806" t="str">
            <v>200409</v>
          </cell>
          <cell r="E5806">
            <v>4.9000000000000004</v>
          </cell>
        </row>
        <row r="5807">
          <cell r="A5807" t="str">
            <v>37749200410</v>
          </cell>
          <cell r="B5807">
            <v>37749</v>
          </cell>
          <cell r="C5807" t="str">
            <v>NG</v>
          </cell>
          <cell r="D5807" t="str">
            <v>200410</v>
          </cell>
          <cell r="E5807">
            <v>4.9000000000000004</v>
          </cell>
        </row>
        <row r="5808">
          <cell r="A5808" t="str">
            <v>37749200411</v>
          </cell>
          <cell r="B5808">
            <v>37749</v>
          </cell>
          <cell r="C5808" t="str">
            <v>NG</v>
          </cell>
          <cell r="D5808" t="str">
            <v>200411</v>
          </cell>
          <cell r="E5808">
            <v>5.04</v>
          </cell>
        </row>
        <row r="5809">
          <cell r="A5809" t="str">
            <v>37749200412</v>
          </cell>
          <cell r="B5809">
            <v>37749</v>
          </cell>
          <cell r="C5809" t="str">
            <v>NG</v>
          </cell>
          <cell r="D5809" t="str">
            <v>200412</v>
          </cell>
          <cell r="E5809">
            <v>5.2050000000000001</v>
          </cell>
        </row>
        <row r="5810">
          <cell r="A5810" t="str">
            <v>37750200401</v>
          </cell>
          <cell r="B5810">
            <v>37750</v>
          </cell>
          <cell r="C5810" t="str">
            <v>NG</v>
          </cell>
          <cell r="D5810" t="str">
            <v>200401</v>
          </cell>
          <cell r="E5810">
            <v>6.1790000000000003</v>
          </cell>
        </row>
        <row r="5811">
          <cell r="A5811" t="str">
            <v>37750200402</v>
          </cell>
          <cell r="B5811">
            <v>37750</v>
          </cell>
          <cell r="C5811" t="str">
            <v>NG</v>
          </cell>
          <cell r="D5811" t="str">
            <v>200402</v>
          </cell>
          <cell r="E5811">
            <v>6.0439999999999996</v>
          </cell>
        </row>
        <row r="5812">
          <cell r="A5812" t="str">
            <v>37750200403</v>
          </cell>
          <cell r="B5812">
            <v>37750</v>
          </cell>
          <cell r="C5812" t="str">
            <v>NG</v>
          </cell>
          <cell r="D5812" t="str">
            <v>200403</v>
          </cell>
          <cell r="E5812">
            <v>5.819</v>
          </cell>
        </row>
        <row r="5813">
          <cell r="A5813" t="str">
            <v>37750200404</v>
          </cell>
          <cell r="B5813">
            <v>37750</v>
          </cell>
          <cell r="C5813" t="str">
            <v>NG</v>
          </cell>
          <cell r="D5813" t="str">
            <v>200404</v>
          </cell>
          <cell r="E5813">
            <v>5.1639999999999997</v>
          </cell>
        </row>
        <row r="5814">
          <cell r="A5814" t="str">
            <v>37750200405</v>
          </cell>
          <cell r="B5814">
            <v>37750</v>
          </cell>
          <cell r="C5814" t="str">
            <v>NG</v>
          </cell>
          <cell r="D5814" t="str">
            <v>200405</v>
          </cell>
          <cell r="E5814">
            <v>5.0190000000000001</v>
          </cell>
        </row>
        <row r="5815">
          <cell r="A5815" t="str">
            <v>37750200406</v>
          </cell>
          <cell r="B5815">
            <v>37750</v>
          </cell>
          <cell r="C5815" t="str">
            <v>NG</v>
          </cell>
          <cell r="D5815" t="str">
            <v>200406</v>
          </cell>
          <cell r="E5815">
            <v>4.9859999999999998</v>
          </cell>
        </row>
        <row r="5816">
          <cell r="A5816" t="str">
            <v>37750200407</v>
          </cell>
          <cell r="B5816">
            <v>37750</v>
          </cell>
          <cell r="C5816" t="str">
            <v>NG</v>
          </cell>
          <cell r="D5816" t="str">
            <v>200407</v>
          </cell>
          <cell r="E5816">
            <v>4.9740000000000002</v>
          </cell>
        </row>
        <row r="5817">
          <cell r="A5817" t="str">
            <v>37750200408</v>
          </cell>
          <cell r="B5817">
            <v>37750</v>
          </cell>
          <cell r="C5817" t="str">
            <v>NG</v>
          </cell>
          <cell r="D5817" t="str">
            <v>200408</v>
          </cell>
          <cell r="E5817">
            <v>4.9829999999999997</v>
          </cell>
        </row>
        <row r="5818">
          <cell r="A5818" t="str">
            <v>37750200409</v>
          </cell>
          <cell r="B5818">
            <v>37750</v>
          </cell>
          <cell r="C5818" t="str">
            <v>NG</v>
          </cell>
          <cell r="D5818" t="str">
            <v>200409</v>
          </cell>
          <cell r="E5818">
            <v>4.9729999999999999</v>
          </cell>
        </row>
        <row r="5819">
          <cell r="A5819" t="str">
            <v>37750200410</v>
          </cell>
          <cell r="B5819">
            <v>37750</v>
          </cell>
          <cell r="C5819" t="str">
            <v>NG</v>
          </cell>
          <cell r="D5819" t="str">
            <v>200410</v>
          </cell>
          <cell r="E5819">
            <v>4.9779999999999998</v>
          </cell>
        </row>
        <row r="5820">
          <cell r="A5820" t="str">
            <v>37750200411</v>
          </cell>
          <cell r="B5820">
            <v>37750</v>
          </cell>
          <cell r="C5820" t="str">
            <v>NG</v>
          </cell>
          <cell r="D5820" t="str">
            <v>200411</v>
          </cell>
          <cell r="E5820">
            <v>5.1280000000000001</v>
          </cell>
        </row>
        <row r="5821">
          <cell r="A5821" t="str">
            <v>37750200412</v>
          </cell>
          <cell r="B5821">
            <v>37750</v>
          </cell>
          <cell r="C5821" t="str">
            <v>NG</v>
          </cell>
          <cell r="D5821" t="str">
            <v>200412</v>
          </cell>
          <cell r="E5821">
            <v>5.3179999999999996</v>
          </cell>
        </row>
        <row r="5822">
          <cell r="A5822" t="str">
            <v>37751200401</v>
          </cell>
          <cell r="B5822">
            <v>37751</v>
          </cell>
          <cell r="C5822" t="str">
            <v>NG</v>
          </cell>
          <cell r="D5822" t="str">
            <v>200401</v>
          </cell>
          <cell r="E5822">
            <v>5.7080000000000002</v>
          </cell>
        </row>
        <row r="5823">
          <cell r="A5823" t="str">
            <v>37751200402</v>
          </cell>
          <cell r="B5823">
            <v>37751</v>
          </cell>
          <cell r="C5823" t="str">
            <v>NG</v>
          </cell>
          <cell r="D5823" t="str">
            <v>200402</v>
          </cell>
          <cell r="E5823">
            <v>5.5880000000000001</v>
          </cell>
        </row>
        <row r="5824">
          <cell r="A5824" t="str">
            <v>37751200403</v>
          </cell>
          <cell r="B5824">
            <v>37751</v>
          </cell>
          <cell r="C5824" t="str">
            <v>NG</v>
          </cell>
          <cell r="D5824" t="str">
            <v>200403</v>
          </cell>
          <cell r="E5824">
            <v>5.3879999999999999</v>
          </cell>
        </row>
        <row r="5825">
          <cell r="A5825" t="str">
            <v>37751200404</v>
          </cell>
          <cell r="B5825">
            <v>37751</v>
          </cell>
          <cell r="C5825" t="str">
            <v>NG</v>
          </cell>
          <cell r="D5825" t="str">
            <v>200404</v>
          </cell>
          <cell r="E5825">
            <v>4.8280000000000003</v>
          </cell>
        </row>
        <row r="5826">
          <cell r="A5826" t="str">
            <v>37751200405</v>
          </cell>
          <cell r="B5826">
            <v>37751</v>
          </cell>
          <cell r="C5826" t="str">
            <v>NG</v>
          </cell>
          <cell r="D5826" t="str">
            <v>200405</v>
          </cell>
          <cell r="E5826">
            <v>4.726</v>
          </cell>
        </row>
        <row r="5827">
          <cell r="A5827" t="str">
            <v>37751200406</v>
          </cell>
          <cell r="B5827">
            <v>37751</v>
          </cell>
          <cell r="C5827" t="str">
            <v>NG</v>
          </cell>
          <cell r="D5827" t="str">
            <v>200406</v>
          </cell>
          <cell r="E5827">
            <v>4.6859999999999999</v>
          </cell>
        </row>
        <row r="5828">
          <cell r="A5828" t="str">
            <v>37751200407</v>
          </cell>
          <cell r="B5828">
            <v>37751</v>
          </cell>
          <cell r="C5828" t="str">
            <v>NG</v>
          </cell>
          <cell r="D5828" t="str">
            <v>200407</v>
          </cell>
          <cell r="E5828">
            <v>4.6559999999999997</v>
          </cell>
        </row>
        <row r="5829">
          <cell r="A5829" t="str">
            <v>37751200408</v>
          </cell>
          <cell r="B5829">
            <v>37751</v>
          </cell>
          <cell r="C5829" t="str">
            <v>NG</v>
          </cell>
          <cell r="D5829" t="str">
            <v>200408</v>
          </cell>
          <cell r="E5829">
            <v>4.6760000000000002</v>
          </cell>
        </row>
        <row r="5830">
          <cell r="A5830" t="str">
            <v>37751200409</v>
          </cell>
          <cell r="B5830">
            <v>37751</v>
          </cell>
          <cell r="C5830" t="str">
            <v>NG</v>
          </cell>
          <cell r="D5830" t="str">
            <v>200409</v>
          </cell>
          <cell r="E5830">
            <v>4.6459999999999999</v>
          </cell>
        </row>
        <row r="5831">
          <cell r="A5831" t="str">
            <v>37751200410</v>
          </cell>
          <cell r="B5831">
            <v>37751</v>
          </cell>
          <cell r="C5831" t="str">
            <v>NG</v>
          </cell>
          <cell r="D5831" t="str">
            <v>200410</v>
          </cell>
          <cell r="E5831">
            <v>4.6360000000000001</v>
          </cell>
        </row>
        <row r="5832">
          <cell r="A5832" t="str">
            <v>37751200411</v>
          </cell>
          <cell r="B5832">
            <v>37751</v>
          </cell>
          <cell r="C5832" t="str">
            <v>NG</v>
          </cell>
          <cell r="D5832" t="str">
            <v>200411</v>
          </cell>
          <cell r="E5832">
            <v>4.7759999999999998</v>
          </cell>
        </row>
        <row r="5833">
          <cell r="A5833" t="str">
            <v>37751200412</v>
          </cell>
          <cell r="B5833">
            <v>37751</v>
          </cell>
          <cell r="C5833" t="str">
            <v>NG</v>
          </cell>
          <cell r="D5833" t="str">
            <v>200412</v>
          </cell>
          <cell r="E5833">
            <v>4.9710000000000001</v>
          </cell>
        </row>
        <row r="5834">
          <cell r="A5834" t="str">
            <v>37752200401</v>
          </cell>
          <cell r="B5834">
            <v>37752</v>
          </cell>
          <cell r="C5834" t="str">
            <v>NG</v>
          </cell>
          <cell r="D5834" t="str">
            <v>200401</v>
          </cell>
          <cell r="E5834">
            <v>5.7080000000000002</v>
          </cell>
        </row>
        <row r="5835">
          <cell r="A5835" t="str">
            <v>37752200402</v>
          </cell>
          <cell r="B5835">
            <v>37752</v>
          </cell>
          <cell r="C5835" t="str">
            <v>NG</v>
          </cell>
          <cell r="D5835" t="str">
            <v>200402</v>
          </cell>
          <cell r="E5835">
            <v>5.5880000000000001</v>
          </cell>
        </row>
        <row r="5836">
          <cell r="A5836" t="str">
            <v>37752200403</v>
          </cell>
          <cell r="B5836">
            <v>37752</v>
          </cell>
          <cell r="C5836" t="str">
            <v>NG</v>
          </cell>
          <cell r="D5836" t="str">
            <v>200403</v>
          </cell>
          <cell r="E5836">
            <v>5.3879999999999999</v>
          </cell>
        </row>
        <row r="5837">
          <cell r="A5837" t="str">
            <v>37752200404</v>
          </cell>
          <cell r="B5837">
            <v>37752</v>
          </cell>
          <cell r="C5837" t="str">
            <v>NG</v>
          </cell>
          <cell r="D5837" t="str">
            <v>200404</v>
          </cell>
          <cell r="E5837">
            <v>4.8280000000000003</v>
          </cell>
        </row>
        <row r="5838">
          <cell r="A5838" t="str">
            <v>37752200405</v>
          </cell>
          <cell r="B5838">
            <v>37752</v>
          </cell>
          <cell r="C5838" t="str">
            <v>NG</v>
          </cell>
          <cell r="D5838" t="str">
            <v>200405</v>
          </cell>
          <cell r="E5838">
            <v>4.726</v>
          </cell>
        </row>
        <row r="5839">
          <cell r="A5839" t="str">
            <v>37752200406</v>
          </cell>
          <cell r="B5839">
            <v>37752</v>
          </cell>
          <cell r="C5839" t="str">
            <v>NG</v>
          </cell>
          <cell r="D5839" t="str">
            <v>200406</v>
          </cell>
          <cell r="E5839">
            <v>4.6859999999999999</v>
          </cell>
        </row>
        <row r="5840">
          <cell r="A5840" t="str">
            <v>37752200407</v>
          </cell>
          <cell r="B5840">
            <v>37752</v>
          </cell>
          <cell r="C5840" t="str">
            <v>NG</v>
          </cell>
          <cell r="D5840" t="str">
            <v>200407</v>
          </cell>
          <cell r="E5840">
            <v>4.6559999999999997</v>
          </cell>
        </row>
        <row r="5841">
          <cell r="A5841" t="str">
            <v>37752200408</v>
          </cell>
          <cell r="B5841">
            <v>37752</v>
          </cell>
          <cell r="C5841" t="str">
            <v>NG</v>
          </cell>
          <cell r="D5841" t="str">
            <v>200408</v>
          </cell>
          <cell r="E5841">
            <v>4.6760000000000002</v>
          </cell>
        </row>
        <row r="5842">
          <cell r="A5842" t="str">
            <v>37752200409</v>
          </cell>
          <cell r="B5842">
            <v>37752</v>
          </cell>
          <cell r="C5842" t="str">
            <v>NG</v>
          </cell>
          <cell r="D5842" t="str">
            <v>200409</v>
          </cell>
          <cell r="E5842">
            <v>4.6459999999999999</v>
          </cell>
        </row>
        <row r="5843">
          <cell r="A5843" t="str">
            <v>37752200410</v>
          </cell>
          <cell r="B5843">
            <v>37752</v>
          </cell>
          <cell r="C5843" t="str">
            <v>NG</v>
          </cell>
          <cell r="D5843" t="str">
            <v>200410</v>
          </cell>
          <cell r="E5843">
            <v>4.6360000000000001</v>
          </cell>
        </row>
        <row r="5844">
          <cell r="A5844" t="str">
            <v>37752200411</v>
          </cell>
          <cell r="B5844">
            <v>37752</v>
          </cell>
          <cell r="C5844" t="str">
            <v>NG</v>
          </cell>
          <cell r="D5844" t="str">
            <v>200411</v>
          </cell>
          <cell r="E5844">
            <v>4.7759999999999998</v>
          </cell>
        </row>
        <row r="5845">
          <cell r="A5845" t="str">
            <v>37752200412</v>
          </cell>
          <cell r="B5845">
            <v>37752</v>
          </cell>
          <cell r="C5845" t="str">
            <v>NG</v>
          </cell>
          <cell r="D5845" t="str">
            <v>200412</v>
          </cell>
          <cell r="E5845">
            <v>4.9710000000000001</v>
          </cell>
        </row>
        <row r="5846">
          <cell r="A5846" t="str">
            <v>37753200401</v>
          </cell>
          <cell r="B5846">
            <v>37753</v>
          </cell>
          <cell r="C5846" t="str">
            <v>NG</v>
          </cell>
          <cell r="D5846" t="str">
            <v>200401</v>
          </cell>
          <cell r="E5846">
            <v>6.32</v>
          </cell>
        </row>
        <row r="5847">
          <cell r="A5847" t="str">
            <v>37753200402</v>
          </cell>
          <cell r="B5847">
            <v>37753</v>
          </cell>
          <cell r="C5847" t="str">
            <v>NG</v>
          </cell>
          <cell r="D5847" t="str">
            <v>200402</v>
          </cell>
          <cell r="E5847">
            <v>6.17</v>
          </cell>
        </row>
        <row r="5848">
          <cell r="A5848" t="str">
            <v>37753200403</v>
          </cell>
          <cell r="B5848">
            <v>37753</v>
          </cell>
          <cell r="C5848" t="str">
            <v>NG</v>
          </cell>
          <cell r="D5848" t="str">
            <v>200403</v>
          </cell>
          <cell r="E5848">
            <v>5.915</v>
          </cell>
        </row>
        <row r="5849">
          <cell r="A5849" t="str">
            <v>37753200404</v>
          </cell>
          <cell r="B5849">
            <v>37753</v>
          </cell>
          <cell r="C5849" t="str">
            <v>NG</v>
          </cell>
          <cell r="D5849" t="str">
            <v>200404</v>
          </cell>
          <cell r="E5849">
            <v>5.1849999999999996</v>
          </cell>
        </row>
        <row r="5850">
          <cell r="A5850" t="str">
            <v>37753200405</v>
          </cell>
          <cell r="B5850">
            <v>37753</v>
          </cell>
          <cell r="C5850" t="str">
            <v>NG</v>
          </cell>
          <cell r="D5850" t="str">
            <v>200405</v>
          </cell>
          <cell r="E5850">
            <v>5.0350000000000001</v>
          </cell>
        </row>
        <row r="5851">
          <cell r="A5851" t="str">
            <v>37753200406</v>
          </cell>
          <cell r="B5851">
            <v>37753</v>
          </cell>
          <cell r="C5851" t="str">
            <v>NG</v>
          </cell>
          <cell r="D5851" t="str">
            <v>200406</v>
          </cell>
          <cell r="E5851">
            <v>5.0019999999999998</v>
          </cell>
        </row>
        <row r="5852">
          <cell r="A5852" t="str">
            <v>37753200407</v>
          </cell>
          <cell r="B5852">
            <v>37753</v>
          </cell>
          <cell r="C5852" t="str">
            <v>NG</v>
          </cell>
          <cell r="D5852" t="str">
            <v>200407</v>
          </cell>
          <cell r="E5852">
            <v>4.99</v>
          </cell>
        </row>
        <row r="5853">
          <cell r="A5853" t="str">
            <v>37753200408</v>
          </cell>
          <cell r="B5853">
            <v>37753</v>
          </cell>
          <cell r="C5853" t="str">
            <v>NG</v>
          </cell>
          <cell r="D5853" t="str">
            <v>200408</v>
          </cell>
          <cell r="E5853">
            <v>4.9749999999999996</v>
          </cell>
        </row>
        <row r="5854">
          <cell r="A5854" t="str">
            <v>37753200409</v>
          </cell>
          <cell r="B5854">
            <v>37753</v>
          </cell>
          <cell r="C5854" t="str">
            <v>NG</v>
          </cell>
          <cell r="D5854" t="str">
            <v>200409</v>
          </cell>
          <cell r="E5854">
            <v>4.9649999999999999</v>
          </cell>
        </row>
        <row r="5855">
          <cell r="A5855" t="str">
            <v>37753200410</v>
          </cell>
          <cell r="B5855">
            <v>37753</v>
          </cell>
          <cell r="C5855" t="str">
            <v>NG</v>
          </cell>
          <cell r="D5855" t="str">
            <v>200410</v>
          </cell>
          <cell r="E5855">
            <v>4.9649999999999999</v>
          </cell>
        </row>
        <row r="5856">
          <cell r="A5856" t="str">
            <v>37753200411</v>
          </cell>
          <cell r="B5856">
            <v>37753</v>
          </cell>
          <cell r="C5856" t="str">
            <v>NG</v>
          </cell>
          <cell r="D5856" t="str">
            <v>200411</v>
          </cell>
          <cell r="E5856">
            <v>5.14</v>
          </cell>
        </row>
        <row r="5857">
          <cell r="A5857" t="str">
            <v>37753200412</v>
          </cell>
          <cell r="B5857">
            <v>37753</v>
          </cell>
          <cell r="C5857" t="str">
            <v>NG</v>
          </cell>
          <cell r="D5857" t="str">
            <v>200412</v>
          </cell>
          <cell r="E5857">
            <v>5.32</v>
          </cell>
        </row>
        <row r="5858">
          <cell r="A5858" t="str">
            <v>37754200401</v>
          </cell>
          <cell r="B5858">
            <v>37754</v>
          </cell>
          <cell r="C5858" t="str">
            <v>NG</v>
          </cell>
          <cell r="D5858" t="str">
            <v>200401</v>
          </cell>
          <cell r="E5858">
            <v>6.625</v>
          </cell>
        </row>
        <row r="5859">
          <cell r="A5859" t="str">
            <v>37754200402</v>
          </cell>
          <cell r="B5859">
            <v>37754</v>
          </cell>
          <cell r="C5859" t="str">
            <v>NG</v>
          </cell>
          <cell r="D5859" t="str">
            <v>200402</v>
          </cell>
          <cell r="E5859">
            <v>6.44</v>
          </cell>
        </row>
        <row r="5860">
          <cell r="A5860" t="str">
            <v>37754200403</v>
          </cell>
          <cell r="B5860">
            <v>37754</v>
          </cell>
          <cell r="C5860" t="str">
            <v>NG</v>
          </cell>
          <cell r="D5860" t="str">
            <v>200403</v>
          </cell>
          <cell r="E5860">
            <v>6.17</v>
          </cell>
        </row>
        <row r="5861">
          <cell r="A5861" t="str">
            <v>37754200404</v>
          </cell>
          <cell r="B5861">
            <v>37754</v>
          </cell>
          <cell r="C5861" t="str">
            <v>NG</v>
          </cell>
          <cell r="D5861" t="str">
            <v>200404</v>
          </cell>
          <cell r="E5861">
            <v>5.34</v>
          </cell>
        </row>
        <row r="5862">
          <cell r="A5862" t="str">
            <v>37754200405</v>
          </cell>
          <cell r="B5862">
            <v>37754</v>
          </cell>
          <cell r="C5862" t="str">
            <v>NG</v>
          </cell>
          <cell r="D5862" t="str">
            <v>200405</v>
          </cell>
          <cell r="E5862">
            <v>5.18</v>
          </cell>
        </row>
        <row r="5863">
          <cell r="A5863" t="str">
            <v>37754200406</v>
          </cell>
          <cell r="B5863">
            <v>37754</v>
          </cell>
          <cell r="C5863" t="str">
            <v>NG</v>
          </cell>
          <cell r="D5863" t="str">
            <v>200406</v>
          </cell>
          <cell r="E5863">
            <v>5.0999999999999996</v>
          </cell>
        </row>
        <row r="5864">
          <cell r="A5864" t="str">
            <v>37754200407</v>
          </cell>
          <cell r="B5864">
            <v>37754</v>
          </cell>
          <cell r="C5864" t="str">
            <v>NG</v>
          </cell>
          <cell r="D5864" t="str">
            <v>200407</v>
          </cell>
          <cell r="E5864">
            <v>5.0880000000000001</v>
          </cell>
        </row>
        <row r="5865">
          <cell r="A5865" t="str">
            <v>37754200408</v>
          </cell>
          <cell r="B5865">
            <v>37754</v>
          </cell>
          <cell r="C5865" t="str">
            <v>NG</v>
          </cell>
          <cell r="D5865" t="str">
            <v>200408</v>
          </cell>
          <cell r="E5865">
            <v>5.0730000000000004</v>
          </cell>
        </row>
        <row r="5866">
          <cell r="A5866" t="str">
            <v>37754200409</v>
          </cell>
          <cell r="B5866">
            <v>37754</v>
          </cell>
          <cell r="C5866" t="str">
            <v>NG</v>
          </cell>
          <cell r="D5866" t="str">
            <v>200409</v>
          </cell>
          <cell r="E5866">
            <v>5.0579999999999998</v>
          </cell>
        </row>
        <row r="5867">
          <cell r="A5867" t="str">
            <v>37754200410</v>
          </cell>
          <cell r="B5867">
            <v>37754</v>
          </cell>
          <cell r="C5867" t="str">
            <v>NG</v>
          </cell>
          <cell r="D5867" t="str">
            <v>200410</v>
          </cell>
          <cell r="E5867">
            <v>5.05</v>
          </cell>
        </row>
        <row r="5868">
          <cell r="A5868" t="str">
            <v>37754200411</v>
          </cell>
          <cell r="B5868">
            <v>37754</v>
          </cell>
          <cell r="C5868" t="str">
            <v>NG</v>
          </cell>
          <cell r="D5868" t="str">
            <v>200411</v>
          </cell>
          <cell r="E5868">
            <v>5.2</v>
          </cell>
        </row>
        <row r="5869">
          <cell r="A5869" t="str">
            <v>37754200412</v>
          </cell>
          <cell r="B5869">
            <v>37754</v>
          </cell>
          <cell r="C5869" t="str">
            <v>NG</v>
          </cell>
          <cell r="D5869" t="str">
            <v>200412</v>
          </cell>
          <cell r="E5869">
            <v>5.37</v>
          </cell>
        </row>
        <row r="5870">
          <cell r="A5870" t="str">
            <v>37755200401</v>
          </cell>
          <cell r="B5870">
            <v>37755</v>
          </cell>
          <cell r="C5870" t="str">
            <v>NG</v>
          </cell>
          <cell r="D5870" t="str">
            <v>200401</v>
          </cell>
          <cell r="E5870">
            <v>6.6059999999999999</v>
          </cell>
        </row>
        <row r="5871">
          <cell r="A5871" t="str">
            <v>37755200402</v>
          </cell>
          <cell r="B5871">
            <v>37755</v>
          </cell>
          <cell r="C5871" t="str">
            <v>NG</v>
          </cell>
          <cell r="D5871" t="str">
            <v>200402</v>
          </cell>
          <cell r="E5871">
            <v>6.4260000000000002</v>
          </cell>
        </row>
        <row r="5872">
          <cell r="A5872" t="str">
            <v>37755200403</v>
          </cell>
          <cell r="B5872">
            <v>37755</v>
          </cell>
          <cell r="C5872" t="str">
            <v>NG</v>
          </cell>
          <cell r="D5872" t="str">
            <v>200403</v>
          </cell>
          <cell r="E5872">
            <v>6.1360000000000001</v>
          </cell>
        </row>
        <row r="5873">
          <cell r="A5873" t="str">
            <v>37755200404</v>
          </cell>
          <cell r="B5873">
            <v>37755</v>
          </cell>
          <cell r="C5873" t="str">
            <v>NG</v>
          </cell>
          <cell r="D5873" t="str">
            <v>200404</v>
          </cell>
          <cell r="E5873">
            <v>5.24</v>
          </cell>
        </row>
        <row r="5874">
          <cell r="A5874" t="str">
            <v>37755200405</v>
          </cell>
          <cell r="B5874">
            <v>37755</v>
          </cell>
          <cell r="C5874" t="str">
            <v>NG</v>
          </cell>
          <cell r="D5874" t="str">
            <v>200405</v>
          </cell>
          <cell r="E5874">
            <v>5.0599999999999996</v>
          </cell>
        </row>
        <row r="5875">
          <cell r="A5875" t="str">
            <v>37755200406</v>
          </cell>
          <cell r="B5875">
            <v>37755</v>
          </cell>
          <cell r="C5875" t="str">
            <v>NG</v>
          </cell>
          <cell r="D5875" t="str">
            <v>200406</v>
          </cell>
          <cell r="E5875">
            <v>5.0049999999999999</v>
          </cell>
        </row>
        <row r="5876">
          <cell r="A5876" t="str">
            <v>37755200407</v>
          </cell>
          <cell r="B5876">
            <v>37755</v>
          </cell>
          <cell r="C5876" t="str">
            <v>NG</v>
          </cell>
          <cell r="D5876" t="str">
            <v>200407</v>
          </cell>
          <cell r="E5876">
            <v>4.9950000000000001</v>
          </cell>
        </row>
        <row r="5877">
          <cell r="A5877" t="str">
            <v>37755200408</v>
          </cell>
          <cell r="B5877">
            <v>37755</v>
          </cell>
          <cell r="C5877" t="str">
            <v>NG</v>
          </cell>
          <cell r="D5877" t="str">
            <v>200408</v>
          </cell>
          <cell r="E5877">
            <v>4.9850000000000003</v>
          </cell>
        </row>
        <row r="5878">
          <cell r="A5878" t="str">
            <v>37755200409</v>
          </cell>
          <cell r="B5878">
            <v>37755</v>
          </cell>
          <cell r="C5878" t="str">
            <v>NG</v>
          </cell>
          <cell r="D5878" t="str">
            <v>200409</v>
          </cell>
          <cell r="E5878">
            <v>4.97</v>
          </cell>
        </row>
        <row r="5879">
          <cell r="A5879" t="str">
            <v>37755200410</v>
          </cell>
          <cell r="B5879">
            <v>37755</v>
          </cell>
          <cell r="C5879" t="str">
            <v>NG</v>
          </cell>
          <cell r="D5879" t="str">
            <v>200410</v>
          </cell>
          <cell r="E5879">
            <v>4.9619999999999997</v>
          </cell>
        </row>
        <row r="5880">
          <cell r="A5880" t="str">
            <v>37755200411</v>
          </cell>
          <cell r="B5880">
            <v>37755</v>
          </cell>
          <cell r="C5880" t="str">
            <v>NG</v>
          </cell>
          <cell r="D5880" t="str">
            <v>200411</v>
          </cell>
          <cell r="E5880">
            <v>5.1319999999999997</v>
          </cell>
        </row>
        <row r="5881">
          <cell r="A5881" t="str">
            <v>37755200412</v>
          </cell>
          <cell r="B5881">
            <v>37755</v>
          </cell>
          <cell r="C5881" t="str">
            <v>NG</v>
          </cell>
          <cell r="D5881" t="str">
            <v>200412</v>
          </cell>
          <cell r="E5881">
            <v>5.3019999999999996</v>
          </cell>
        </row>
        <row r="5882">
          <cell r="A5882" t="str">
            <v>37756200401</v>
          </cell>
          <cell r="B5882">
            <v>37756</v>
          </cell>
          <cell r="C5882" t="str">
            <v>NG</v>
          </cell>
          <cell r="D5882" t="str">
            <v>200401</v>
          </cell>
          <cell r="E5882">
            <v>6.4989999999999997</v>
          </cell>
        </row>
        <row r="5883">
          <cell r="A5883" t="str">
            <v>37756200402</v>
          </cell>
          <cell r="B5883">
            <v>37756</v>
          </cell>
          <cell r="C5883" t="str">
            <v>NG</v>
          </cell>
          <cell r="D5883" t="str">
            <v>200402</v>
          </cell>
          <cell r="E5883">
            <v>6.3239999999999998</v>
          </cell>
        </row>
        <row r="5884">
          <cell r="A5884" t="str">
            <v>37756200403</v>
          </cell>
          <cell r="B5884">
            <v>37756</v>
          </cell>
          <cell r="C5884" t="str">
            <v>NG</v>
          </cell>
          <cell r="D5884" t="str">
            <v>200403</v>
          </cell>
          <cell r="E5884">
            <v>6.0389999999999997</v>
          </cell>
        </row>
        <row r="5885">
          <cell r="A5885" t="str">
            <v>37756200404</v>
          </cell>
          <cell r="B5885">
            <v>37756</v>
          </cell>
          <cell r="C5885" t="str">
            <v>NG</v>
          </cell>
          <cell r="D5885" t="str">
            <v>200404</v>
          </cell>
          <cell r="E5885">
            <v>5.1589999999999998</v>
          </cell>
        </row>
        <row r="5886">
          <cell r="A5886" t="str">
            <v>37756200405</v>
          </cell>
          <cell r="B5886">
            <v>37756</v>
          </cell>
          <cell r="C5886" t="str">
            <v>NG</v>
          </cell>
          <cell r="D5886" t="str">
            <v>200405</v>
          </cell>
          <cell r="E5886">
            <v>4.9859999999999998</v>
          </cell>
        </row>
        <row r="5887">
          <cell r="A5887" t="str">
            <v>37756200406</v>
          </cell>
          <cell r="B5887">
            <v>37756</v>
          </cell>
          <cell r="C5887" t="str">
            <v>NG</v>
          </cell>
          <cell r="D5887" t="str">
            <v>200406</v>
          </cell>
          <cell r="E5887">
            <v>4.9390000000000001</v>
          </cell>
        </row>
        <row r="5888">
          <cell r="A5888" t="str">
            <v>37756200407</v>
          </cell>
          <cell r="B5888">
            <v>37756</v>
          </cell>
          <cell r="C5888" t="str">
            <v>NG</v>
          </cell>
          <cell r="D5888" t="str">
            <v>200407</v>
          </cell>
          <cell r="E5888">
            <v>4.9290000000000003</v>
          </cell>
        </row>
        <row r="5889">
          <cell r="A5889" t="str">
            <v>37756200408</v>
          </cell>
          <cell r="B5889">
            <v>37756</v>
          </cell>
          <cell r="C5889" t="str">
            <v>NG</v>
          </cell>
          <cell r="D5889" t="str">
            <v>200408</v>
          </cell>
          <cell r="E5889">
            <v>4.9260000000000002</v>
          </cell>
        </row>
        <row r="5890">
          <cell r="A5890" t="str">
            <v>37756200409</v>
          </cell>
          <cell r="B5890">
            <v>37756</v>
          </cell>
          <cell r="C5890" t="str">
            <v>NG</v>
          </cell>
          <cell r="D5890" t="str">
            <v>200409</v>
          </cell>
          <cell r="E5890">
            <v>4.9109999999999996</v>
          </cell>
        </row>
        <row r="5891">
          <cell r="A5891" t="str">
            <v>37756200410</v>
          </cell>
          <cell r="B5891">
            <v>37756</v>
          </cell>
          <cell r="C5891" t="str">
            <v>NG</v>
          </cell>
          <cell r="D5891" t="str">
            <v>200410</v>
          </cell>
          <cell r="E5891">
            <v>4.8959999999999999</v>
          </cell>
        </row>
        <row r="5892">
          <cell r="A5892" t="str">
            <v>37756200411</v>
          </cell>
          <cell r="B5892">
            <v>37756</v>
          </cell>
          <cell r="C5892" t="str">
            <v>NG</v>
          </cell>
          <cell r="D5892" t="str">
            <v>200411</v>
          </cell>
          <cell r="E5892">
            <v>5.056</v>
          </cell>
        </row>
        <row r="5893">
          <cell r="A5893" t="str">
            <v>37756200412</v>
          </cell>
          <cell r="B5893">
            <v>37756</v>
          </cell>
          <cell r="C5893" t="str">
            <v>NG</v>
          </cell>
          <cell r="D5893" t="str">
            <v>200412</v>
          </cell>
          <cell r="E5893">
            <v>5.2290000000000001</v>
          </cell>
        </row>
        <row r="5894">
          <cell r="A5894" t="str">
            <v>37757200401</v>
          </cell>
          <cell r="B5894">
            <v>37757</v>
          </cell>
          <cell r="C5894" t="str">
            <v>NG</v>
          </cell>
          <cell r="D5894" t="str">
            <v>200401</v>
          </cell>
          <cell r="E5894">
            <v>6.4939999999999998</v>
          </cell>
        </row>
        <row r="5895">
          <cell r="A5895" t="str">
            <v>37757200402</v>
          </cell>
          <cell r="B5895">
            <v>37757</v>
          </cell>
          <cell r="C5895" t="str">
            <v>NG</v>
          </cell>
          <cell r="D5895" t="str">
            <v>200402</v>
          </cell>
          <cell r="E5895">
            <v>6.319</v>
          </cell>
        </row>
        <row r="5896">
          <cell r="A5896" t="str">
            <v>37757200403</v>
          </cell>
          <cell r="B5896">
            <v>37757</v>
          </cell>
          <cell r="C5896" t="str">
            <v>NG</v>
          </cell>
          <cell r="D5896" t="str">
            <v>200403</v>
          </cell>
          <cell r="E5896">
            <v>6.0339999999999998</v>
          </cell>
        </row>
        <row r="5897">
          <cell r="A5897" t="str">
            <v>37757200404</v>
          </cell>
          <cell r="B5897">
            <v>37757</v>
          </cell>
          <cell r="C5897" t="str">
            <v>NG</v>
          </cell>
          <cell r="D5897" t="str">
            <v>200404</v>
          </cell>
          <cell r="E5897">
            <v>5.1420000000000003</v>
          </cell>
        </row>
        <row r="5898">
          <cell r="A5898" t="str">
            <v>37757200405</v>
          </cell>
          <cell r="B5898">
            <v>37757</v>
          </cell>
          <cell r="C5898" t="str">
            <v>NG</v>
          </cell>
          <cell r="D5898" t="str">
            <v>200405</v>
          </cell>
          <cell r="E5898">
            <v>4.9669999999999996</v>
          </cell>
        </row>
        <row r="5899">
          <cell r="A5899" t="str">
            <v>37757200406</v>
          </cell>
          <cell r="B5899">
            <v>37757</v>
          </cell>
          <cell r="C5899" t="str">
            <v>NG</v>
          </cell>
          <cell r="D5899" t="str">
            <v>200406</v>
          </cell>
          <cell r="E5899">
            <v>4.92</v>
          </cell>
        </row>
        <row r="5900">
          <cell r="A5900" t="str">
            <v>37757200407</v>
          </cell>
          <cell r="B5900">
            <v>37757</v>
          </cell>
          <cell r="C5900" t="str">
            <v>NG</v>
          </cell>
          <cell r="D5900" t="str">
            <v>200407</v>
          </cell>
          <cell r="E5900">
            <v>4.9089999999999998</v>
          </cell>
        </row>
        <row r="5901">
          <cell r="A5901" t="str">
            <v>37757200408</v>
          </cell>
          <cell r="B5901">
            <v>37757</v>
          </cell>
          <cell r="C5901" t="str">
            <v>NG</v>
          </cell>
          <cell r="D5901" t="str">
            <v>200408</v>
          </cell>
          <cell r="E5901">
            <v>4.9039999999999999</v>
          </cell>
        </row>
        <row r="5902">
          <cell r="A5902" t="str">
            <v>37757200409</v>
          </cell>
          <cell r="B5902">
            <v>37757</v>
          </cell>
          <cell r="C5902" t="str">
            <v>NG</v>
          </cell>
          <cell r="D5902" t="str">
            <v>200409</v>
          </cell>
          <cell r="E5902">
            <v>4.8789999999999996</v>
          </cell>
        </row>
        <row r="5903">
          <cell r="A5903" t="str">
            <v>37757200410</v>
          </cell>
          <cell r="B5903">
            <v>37757</v>
          </cell>
          <cell r="C5903" t="str">
            <v>NG</v>
          </cell>
          <cell r="D5903" t="str">
            <v>200410</v>
          </cell>
          <cell r="E5903">
            <v>4.8639999999999999</v>
          </cell>
        </row>
        <row r="5904">
          <cell r="A5904" t="str">
            <v>37757200411</v>
          </cell>
          <cell r="B5904">
            <v>37757</v>
          </cell>
          <cell r="C5904" t="str">
            <v>NG</v>
          </cell>
          <cell r="D5904" t="str">
            <v>200411</v>
          </cell>
          <cell r="E5904">
            <v>5.024</v>
          </cell>
        </row>
        <row r="5905">
          <cell r="A5905" t="str">
            <v>37757200412</v>
          </cell>
          <cell r="B5905">
            <v>37757</v>
          </cell>
          <cell r="C5905" t="str">
            <v>NG</v>
          </cell>
          <cell r="D5905" t="str">
            <v>200412</v>
          </cell>
          <cell r="E5905">
            <v>5.1989999999999998</v>
          </cell>
        </row>
        <row r="5906">
          <cell r="A5906" t="str">
            <v>37758200401</v>
          </cell>
          <cell r="B5906">
            <v>37758</v>
          </cell>
          <cell r="C5906" t="str">
            <v>NG</v>
          </cell>
          <cell r="D5906" t="str">
            <v>200401</v>
          </cell>
          <cell r="E5906">
            <v>6.4939999999999998</v>
          </cell>
        </row>
        <row r="5907">
          <cell r="A5907" t="str">
            <v>37758200402</v>
          </cell>
          <cell r="B5907">
            <v>37758</v>
          </cell>
          <cell r="C5907" t="str">
            <v>NG</v>
          </cell>
          <cell r="D5907" t="str">
            <v>200402</v>
          </cell>
          <cell r="E5907">
            <v>6.319</v>
          </cell>
        </row>
        <row r="5908">
          <cell r="A5908" t="str">
            <v>37758200403</v>
          </cell>
          <cell r="B5908">
            <v>37758</v>
          </cell>
          <cell r="C5908" t="str">
            <v>NG</v>
          </cell>
          <cell r="D5908" t="str">
            <v>200403</v>
          </cell>
          <cell r="E5908">
            <v>6.0339999999999998</v>
          </cell>
        </row>
        <row r="5909">
          <cell r="A5909" t="str">
            <v>37758200404</v>
          </cell>
          <cell r="B5909">
            <v>37758</v>
          </cell>
          <cell r="C5909" t="str">
            <v>NG</v>
          </cell>
          <cell r="D5909" t="str">
            <v>200404</v>
          </cell>
          <cell r="E5909">
            <v>5.1420000000000003</v>
          </cell>
        </row>
        <row r="5910">
          <cell r="A5910" t="str">
            <v>37758200405</v>
          </cell>
          <cell r="B5910">
            <v>37758</v>
          </cell>
          <cell r="C5910" t="str">
            <v>NG</v>
          </cell>
          <cell r="D5910" t="str">
            <v>200405</v>
          </cell>
          <cell r="E5910">
            <v>4.9669999999999996</v>
          </cell>
        </row>
        <row r="5911">
          <cell r="A5911" t="str">
            <v>37758200406</v>
          </cell>
          <cell r="B5911">
            <v>37758</v>
          </cell>
          <cell r="C5911" t="str">
            <v>NG</v>
          </cell>
          <cell r="D5911" t="str">
            <v>200406</v>
          </cell>
          <cell r="E5911">
            <v>4.92</v>
          </cell>
        </row>
        <row r="5912">
          <cell r="A5912" t="str">
            <v>37758200407</v>
          </cell>
          <cell r="B5912">
            <v>37758</v>
          </cell>
          <cell r="C5912" t="str">
            <v>NG</v>
          </cell>
          <cell r="D5912" t="str">
            <v>200407</v>
          </cell>
          <cell r="E5912">
            <v>4.9089999999999998</v>
          </cell>
        </row>
        <row r="5913">
          <cell r="A5913" t="str">
            <v>37758200408</v>
          </cell>
          <cell r="B5913">
            <v>37758</v>
          </cell>
          <cell r="C5913" t="str">
            <v>NG</v>
          </cell>
          <cell r="D5913" t="str">
            <v>200408</v>
          </cell>
          <cell r="E5913">
            <v>4.9039999999999999</v>
          </cell>
        </row>
        <row r="5914">
          <cell r="A5914" t="str">
            <v>37758200409</v>
          </cell>
          <cell r="B5914">
            <v>37758</v>
          </cell>
          <cell r="C5914" t="str">
            <v>NG</v>
          </cell>
          <cell r="D5914" t="str">
            <v>200409</v>
          </cell>
          <cell r="E5914">
            <v>4.8789999999999996</v>
          </cell>
        </row>
        <row r="5915">
          <cell r="A5915" t="str">
            <v>37758200410</v>
          </cell>
          <cell r="B5915">
            <v>37758</v>
          </cell>
          <cell r="C5915" t="str">
            <v>NG</v>
          </cell>
          <cell r="D5915" t="str">
            <v>200410</v>
          </cell>
          <cell r="E5915">
            <v>4.8639999999999999</v>
          </cell>
        </row>
        <row r="5916">
          <cell r="A5916" t="str">
            <v>37758200411</v>
          </cell>
          <cell r="B5916">
            <v>37758</v>
          </cell>
          <cell r="C5916" t="str">
            <v>NG</v>
          </cell>
          <cell r="D5916" t="str">
            <v>200411</v>
          </cell>
          <cell r="E5916">
            <v>5.024</v>
          </cell>
        </row>
        <row r="5917">
          <cell r="A5917" t="str">
            <v>37758200412</v>
          </cell>
          <cell r="B5917">
            <v>37758</v>
          </cell>
          <cell r="C5917" t="str">
            <v>NG</v>
          </cell>
          <cell r="D5917" t="str">
            <v>200412</v>
          </cell>
          <cell r="E5917">
            <v>5.1989999999999998</v>
          </cell>
        </row>
        <row r="5918">
          <cell r="A5918" t="str">
            <v>37759200401</v>
          </cell>
          <cell r="B5918">
            <v>37759</v>
          </cell>
          <cell r="C5918" t="str">
            <v>NG</v>
          </cell>
          <cell r="D5918" t="str">
            <v>200401</v>
          </cell>
          <cell r="E5918">
            <v>6.4939999999999998</v>
          </cell>
        </row>
        <row r="5919">
          <cell r="A5919" t="str">
            <v>37759200402</v>
          </cell>
          <cell r="B5919">
            <v>37759</v>
          </cell>
          <cell r="C5919" t="str">
            <v>NG</v>
          </cell>
          <cell r="D5919" t="str">
            <v>200402</v>
          </cell>
          <cell r="E5919">
            <v>6.319</v>
          </cell>
        </row>
        <row r="5920">
          <cell r="A5920" t="str">
            <v>37759200403</v>
          </cell>
          <cell r="B5920">
            <v>37759</v>
          </cell>
          <cell r="C5920" t="str">
            <v>NG</v>
          </cell>
          <cell r="D5920" t="str">
            <v>200403</v>
          </cell>
          <cell r="E5920">
            <v>6.0339999999999998</v>
          </cell>
        </row>
        <row r="5921">
          <cell r="A5921" t="str">
            <v>37759200404</v>
          </cell>
          <cell r="B5921">
            <v>37759</v>
          </cell>
          <cell r="C5921" t="str">
            <v>NG</v>
          </cell>
          <cell r="D5921" t="str">
            <v>200404</v>
          </cell>
          <cell r="E5921">
            <v>5.1420000000000003</v>
          </cell>
        </row>
        <row r="5922">
          <cell r="A5922" t="str">
            <v>37759200405</v>
          </cell>
          <cell r="B5922">
            <v>37759</v>
          </cell>
          <cell r="C5922" t="str">
            <v>NG</v>
          </cell>
          <cell r="D5922" t="str">
            <v>200405</v>
          </cell>
          <cell r="E5922">
            <v>4.9669999999999996</v>
          </cell>
        </row>
        <row r="5923">
          <cell r="A5923" t="str">
            <v>37759200406</v>
          </cell>
          <cell r="B5923">
            <v>37759</v>
          </cell>
          <cell r="C5923" t="str">
            <v>NG</v>
          </cell>
          <cell r="D5923" t="str">
            <v>200406</v>
          </cell>
          <cell r="E5923">
            <v>4.92</v>
          </cell>
        </row>
        <row r="5924">
          <cell r="A5924" t="str">
            <v>37759200407</v>
          </cell>
          <cell r="B5924">
            <v>37759</v>
          </cell>
          <cell r="C5924" t="str">
            <v>NG</v>
          </cell>
          <cell r="D5924" t="str">
            <v>200407</v>
          </cell>
          <cell r="E5924">
            <v>4.9089999999999998</v>
          </cell>
        </row>
        <row r="5925">
          <cell r="A5925" t="str">
            <v>37759200408</v>
          </cell>
          <cell r="B5925">
            <v>37759</v>
          </cell>
          <cell r="C5925" t="str">
            <v>NG</v>
          </cell>
          <cell r="D5925" t="str">
            <v>200408</v>
          </cell>
          <cell r="E5925">
            <v>4.9039999999999999</v>
          </cell>
        </row>
        <row r="5926">
          <cell r="A5926" t="str">
            <v>37759200409</v>
          </cell>
          <cell r="B5926">
            <v>37759</v>
          </cell>
          <cell r="C5926" t="str">
            <v>NG</v>
          </cell>
          <cell r="D5926" t="str">
            <v>200409</v>
          </cell>
          <cell r="E5926">
            <v>4.8789999999999996</v>
          </cell>
        </row>
        <row r="5927">
          <cell r="A5927" t="str">
            <v>37759200410</v>
          </cell>
          <cell r="B5927">
            <v>37759</v>
          </cell>
          <cell r="C5927" t="str">
            <v>NG</v>
          </cell>
          <cell r="D5927" t="str">
            <v>200410</v>
          </cell>
          <cell r="E5927">
            <v>4.8639999999999999</v>
          </cell>
        </row>
        <row r="5928">
          <cell r="A5928" t="str">
            <v>37759200411</v>
          </cell>
          <cell r="B5928">
            <v>37759</v>
          </cell>
          <cell r="C5928" t="str">
            <v>NG</v>
          </cell>
          <cell r="D5928" t="str">
            <v>200411</v>
          </cell>
          <cell r="E5928">
            <v>5.024</v>
          </cell>
        </row>
        <row r="5929">
          <cell r="A5929" t="str">
            <v>37759200412</v>
          </cell>
          <cell r="B5929">
            <v>37759</v>
          </cell>
          <cell r="C5929" t="str">
            <v>NG</v>
          </cell>
          <cell r="D5929" t="str">
            <v>200412</v>
          </cell>
          <cell r="E5929">
            <v>5.1989999999999998</v>
          </cell>
        </row>
        <row r="5930">
          <cell r="A5930" t="str">
            <v>37760200401</v>
          </cell>
          <cell r="B5930">
            <v>37760</v>
          </cell>
          <cell r="C5930" t="str">
            <v>NG</v>
          </cell>
          <cell r="D5930" t="str">
            <v>200401</v>
          </cell>
          <cell r="E5930">
            <v>6.4329999999999998</v>
          </cell>
        </row>
        <row r="5931">
          <cell r="A5931" t="str">
            <v>37760200402</v>
          </cell>
          <cell r="B5931">
            <v>37760</v>
          </cell>
          <cell r="C5931" t="str">
            <v>NG</v>
          </cell>
          <cell r="D5931" t="str">
            <v>200402</v>
          </cell>
          <cell r="E5931">
            <v>6.2679999999999998</v>
          </cell>
        </row>
        <row r="5932">
          <cell r="A5932" t="str">
            <v>37760200403</v>
          </cell>
          <cell r="B5932">
            <v>37760</v>
          </cell>
          <cell r="C5932" t="str">
            <v>NG</v>
          </cell>
          <cell r="D5932" t="str">
            <v>200403</v>
          </cell>
          <cell r="E5932">
            <v>5.9829999999999997</v>
          </cell>
        </row>
        <row r="5933">
          <cell r="A5933" t="str">
            <v>37760200404</v>
          </cell>
          <cell r="B5933">
            <v>37760</v>
          </cell>
          <cell r="C5933" t="str">
            <v>NG</v>
          </cell>
          <cell r="D5933" t="str">
            <v>200404</v>
          </cell>
          <cell r="E5933">
            <v>5.0979999999999999</v>
          </cell>
        </row>
        <row r="5934">
          <cell r="A5934" t="str">
            <v>37760200405</v>
          </cell>
          <cell r="B5934">
            <v>37760</v>
          </cell>
          <cell r="C5934" t="str">
            <v>NG</v>
          </cell>
          <cell r="D5934" t="str">
            <v>200405</v>
          </cell>
          <cell r="E5934">
            <v>4.9180000000000001</v>
          </cell>
        </row>
        <row r="5935">
          <cell r="A5935" t="str">
            <v>37760200406</v>
          </cell>
          <cell r="B5935">
            <v>37760</v>
          </cell>
          <cell r="C5935" t="str">
            <v>NG</v>
          </cell>
          <cell r="D5935" t="str">
            <v>200406</v>
          </cell>
          <cell r="E5935">
            <v>4.8710000000000004</v>
          </cell>
        </row>
        <row r="5936">
          <cell r="A5936" t="str">
            <v>37760200407</v>
          </cell>
          <cell r="B5936">
            <v>37760</v>
          </cell>
          <cell r="C5936" t="str">
            <v>NG</v>
          </cell>
          <cell r="D5936" t="str">
            <v>200407</v>
          </cell>
          <cell r="E5936">
            <v>4.8600000000000003</v>
          </cell>
        </row>
        <row r="5937">
          <cell r="A5937" t="str">
            <v>37760200408</v>
          </cell>
          <cell r="B5937">
            <v>37760</v>
          </cell>
          <cell r="C5937" t="str">
            <v>NG</v>
          </cell>
          <cell r="D5937" t="str">
            <v>200408</v>
          </cell>
          <cell r="E5937">
            <v>4.8550000000000004</v>
          </cell>
        </row>
        <row r="5938">
          <cell r="A5938" t="str">
            <v>37760200409</v>
          </cell>
          <cell r="B5938">
            <v>37760</v>
          </cell>
          <cell r="C5938" t="str">
            <v>NG</v>
          </cell>
          <cell r="D5938" t="str">
            <v>200409</v>
          </cell>
          <cell r="E5938">
            <v>4.84</v>
          </cell>
        </row>
        <row r="5939">
          <cell r="A5939" t="str">
            <v>37760200410</v>
          </cell>
          <cell r="B5939">
            <v>37760</v>
          </cell>
          <cell r="C5939" t="str">
            <v>NG</v>
          </cell>
          <cell r="D5939" t="str">
            <v>200410</v>
          </cell>
          <cell r="E5939">
            <v>4.835</v>
          </cell>
        </row>
        <row r="5940">
          <cell r="A5940" t="str">
            <v>37760200411</v>
          </cell>
          <cell r="B5940">
            <v>37760</v>
          </cell>
          <cell r="C5940" t="str">
            <v>NG</v>
          </cell>
          <cell r="D5940" t="str">
            <v>200411</v>
          </cell>
          <cell r="E5940">
            <v>4.9950000000000001</v>
          </cell>
        </row>
        <row r="5941">
          <cell r="A5941" t="str">
            <v>37760200412</v>
          </cell>
          <cell r="B5941">
            <v>37760</v>
          </cell>
          <cell r="C5941" t="str">
            <v>NG</v>
          </cell>
          <cell r="D5941" t="str">
            <v>200412</v>
          </cell>
          <cell r="E5941">
            <v>5.17</v>
          </cell>
        </row>
        <row r="5942">
          <cell r="A5942" t="str">
            <v>37761200401</v>
          </cell>
          <cell r="B5942">
            <v>37761</v>
          </cell>
          <cell r="C5942" t="str">
            <v>NG</v>
          </cell>
          <cell r="D5942" t="str">
            <v>200401</v>
          </cell>
          <cell r="E5942">
            <v>6.4530000000000003</v>
          </cell>
        </row>
        <row r="5943">
          <cell r="A5943" t="str">
            <v>37761200402</v>
          </cell>
          <cell r="B5943">
            <v>37761</v>
          </cell>
          <cell r="C5943" t="str">
            <v>NG</v>
          </cell>
          <cell r="D5943" t="str">
            <v>200402</v>
          </cell>
          <cell r="E5943">
            <v>6.2830000000000004</v>
          </cell>
        </row>
        <row r="5944">
          <cell r="A5944" t="str">
            <v>37761200403</v>
          </cell>
          <cell r="B5944">
            <v>37761</v>
          </cell>
          <cell r="C5944" t="str">
            <v>NG</v>
          </cell>
          <cell r="D5944" t="str">
            <v>200403</v>
          </cell>
          <cell r="E5944">
            <v>5.9880000000000004</v>
          </cell>
        </row>
        <row r="5945">
          <cell r="A5945" t="str">
            <v>37761200404</v>
          </cell>
          <cell r="B5945">
            <v>37761</v>
          </cell>
          <cell r="C5945" t="str">
            <v>NG</v>
          </cell>
          <cell r="D5945" t="str">
            <v>200404</v>
          </cell>
          <cell r="E5945">
            <v>5.0810000000000004</v>
          </cell>
        </row>
        <row r="5946">
          <cell r="A5946" t="str">
            <v>37761200405</v>
          </cell>
          <cell r="B5946">
            <v>37761</v>
          </cell>
          <cell r="C5946" t="str">
            <v>NG</v>
          </cell>
          <cell r="D5946" t="str">
            <v>200405</v>
          </cell>
          <cell r="E5946">
            <v>4.9009999999999998</v>
          </cell>
        </row>
        <row r="5947">
          <cell r="A5947" t="str">
            <v>37761200406</v>
          </cell>
          <cell r="B5947">
            <v>37761</v>
          </cell>
          <cell r="C5947" t="str">
            <v>NG</v>
          </cell>
          <cell r="D5947" t="str">
            <v>200406</v>
          </cell>
          <cell r="E5947">
            <v>4.8529999999999998</v>
          </cell>
        </row>
        <row r="5948">
          <cell r="A5948" t="str">
            <v>37761200407</v>
          </cell>
          <cell r="B5948">
            <v>37761</v>
          </cell>
          <cell r="C5948" t="str">
            <v>NG</v>
          </cell>
          <cell r="D5948" t="str">
            <v>200407</v>
          </cell>
          <cell r="E5948">
            <v>4.843</v>
          </cell>
        </row>
        <row r="5949">
          <cell r="A5949" t="str">
            <v>37761200408</v>
          </cell>
          <cell r="B5949">
            <v>37761</v>
          </cell>
          <cell r="C5949" t="str">
            <v>NG</v>
          </cell>
          <cell r="D5949" t="str">
            <v>200408</v>
          </cell>
          <cell r="E5949">
            <v>4.843</v>
          </cell>
        </row>
        <row r="5950">
          <cell r="A5950" t="str">
            <v>37761200409</v>
          </cell>
          <cell r="B5950">
            <v>37761</v>
          </cell>
          <cell r="C5950" t="str">
            <v>NG</v>
          </cell>
          <cell r="D5950" t="str">
            <v>200409</v>
          </cell>
          <cell r="E5950">
            <v>4.8179999999999996</v>
          </cell>
        </row>
        <row r="5951">
          <cell r="A5951" t="str">
            <v>37761200410</v>
          </cell>
          <cell r="B5951">
            <v>37761</v>
          </cell>
          <cell r="C5951" t="str">
            <v>NG</v>
          </cell>
          <cell r="D5951" t="str">
            <v>200410</v>
          </cell>
          <cell r="E5951">
            <v>4.8</v>
          </cell>
        </row>
        <row r="5952">
          <cell r="A5952" t="str">
            <v>37761200411</v>
          </cell>
          <cell r="B5952">
            <v>37761</v>
          </cell>
          <cell r="C5952" t="str">
            <v>NG</v>
          </cell>
          <cell r="D5952" t="str">
            <v>200411</v>
          </cell>
          <cell r="E5952">
            <v>4.9800000000000004</v>
          </cell>
        </row>
        <row r="5953">
          <cell r="A5953" t="str">
            <v>37761200412</v>
          </cell>
          <cell r="B5953">
            <v>37761</v>
          </cell>
          <cell r="C5953" t="str">
            <v>NG</v>
          </cell>
          <cell r="D5953" t="str">
            <v>200412</v>
          </cell>
          <cell r="E5953">
            <v>5.16</v>
          </cell>
        </row>
        <row r="5954">
          <cell r="A5954" t="str">
            <v>37762200401</v>
          </cell>
          <cell r="B5954">
            <v>37762</v>
          </cell>
          <cell r="C5954" t="str">
            <v>NG</v>
          </cell>
          <cell r="D5954" t="str">
            <v>200401</v>
          </cell>
          <cell r="E5954">
            <v>6.5540000000000003</v>
          </cell>
        </row>
        <row r="5955">
          <cell r="A5955" t="str">
            <v>37762200402</v>
          </cell>
          <cell r="B5955">
            <v>37762</v>
          </cell>
          <cell r="C5955" t="str">
            <v>NG</v>
          </cell>
          <cell r="D5955" t="str">
            <v>200402</v>
          </cell>
          <cell r="E5955">
            <v>6.3789999999999996</v>
          </cell>
        </row>
        <row r="5956">
          <cell r="A5956" t="str">
            <v>37762200403</v>
          </cell>
          <cell r="B5956">
            <v>37762</v>
          </cell>
          <cell r="C5956" t="str">
            <v>NG</v>
          </cell>
          <cell r="D5956" t="str">
            <v>200403</v>
          </cell>
          <cell r="E5956">
            <v>6.0640000000000001</v>
          </cell>
        </row>
        <row r="5957">
          <cell r="A5957" t="str">
            <v>37762200404</v>
          </cell>
          <cell r="B5957">
            <v>37762</v>
          </cell>
          <cell r="C5957" t="str">
            <v>NG</v>
          </cell>
          <cell r="D5957" t="str">
            <v>200404</v>
          </cell>
          <cell r="E5957">
            <v>5.1210000000000004</v>
          </cell>
        </row>
        <row r="5958">
          <cell r="A5958" t="str">
            <v>37762200405</v>
          </cell>
          <cell r="B5958">
            <v>37762</v>
          </cell>
          <cell r="C5958" t="str">
            <v>NG</v>
          </cell>
          <cell r="D5958" t="str">
            <v>200405</v>
          </cell>
          <cell r="E5958">
            <v>4.9260000000000002</v>
          </cell>
        </row>
        <row r="5959">
          <cell r="A5959" t="str">
            <v>37762200406</v>
          </cell>
          <cell r="B5959">
            <v>37762</v>
          </cell>
          <cell r="C5959" t="str">
            <v>NG</v>
          </cell>
          <cell r="D5959" t="str">
            <v>200406</v>
          </cell>
          <cell r="E5959">
            <v>4.88</v>
          </cell>
        </row>
        <row r="5960">
          <cell r="A5960" t="str">
            <v>37762200407</v>
          </cell>
          <cell r="B5960">
            <v>37762</v>
          </cell>
          <cell r="C5960" t="str">
            <v>NG</v>
          </cell>
          <cell r="D5960" t="str">
            <v>200407</v>
          </cell>
          <cell r="E5960">
            <v>4.87</v>
          </cell>
        </row>
        <row r="5961">
          <cell r="A5961" t="str">
            <v>37762200408</v>
          </cell>
          <cell r="B5961">
            <v>37762</v>
          </cell>
          <cell r="C5961" t="str">
            <v>NG</v>
          </cell>
          <cell r="D5961" t="str">
            <v>200408</v>
          </cell>
          <cell r="E5961">
            <v>4.87</v>
          </cell>
        </row>
        <row r="5962">
          <cell r="A5962" t="str">
            <v>37762200409</v>
          </cell>
          <cell r="B5962">
            <v>37762</v>
          </cell>
          <cell r="C5962" t="str">
            <v>NG</v>
          </cell>
          <cell r="D5962" t="str">
            <v>200409</v>
          </cell>
          <cell r="E5962">
            <v>4.8449999999999998</v>
          </cell>
        </row>
        <row r="5963">
          <cell r="A5963" t="str">
            <v>37762200410</v>
          </cell>
          <cell r="B5963">
            <v>37762</v>
          </cell>
          <cell r="C5963" t="str">
            <v>NG</v>
          </cell>
          <cell r="D5963" t="str">
            <v>200410</v>
          </cell>
          <cell r="E5963">
            <v>4.835</v>
          </cell>
        </row>
        <row r="5964">
          <cell r="A5964" t="str">
            <v>37762200411</v>
          </cell>
          <cell r="B5964">
            <v>37762</v>
          </cell>
          <cell r="C5964" t="str">
            <v>NG</v>
          </cell>
          <cell r="D5964" t="str">
            <v>200411</v>
          </cell>
          <cell r="E5964">
            <v>4.9950000000000001</v>
          </cell>
        </row>
        <row r="5965">
          <cell r="A5965" t="str">
            <v>37762200412</v>
          </cell>
          <cell r="B5965">
            <v>37762</v>
          </cell>
          <cell r="C5965" t="str">
            <v>NG</v>
          </cell>
          <cell r="D5965" t="str">
            <v>200412</v>
          </cell>
          <cell r="E5965">
            <v>5.165</v>
          </cell>
        </row>
        <row r="5966">
          <cell r="A5966" t="str">
            <v>37763200401</v>
          </cell>
          <cell r="B5966">
            <v>37763</v>
          </cell>
          <cell r="C5966" t="str">
            <v>NG</v>
          </cell>
          <cell r="D5966" t="str">
            <v>200401</v>
          </cell>
          <cell r="E5966">
            <v>6.4630000000000001</v>
          </cell>
        </row>
        <row r="5967">
          <cell r="A5967" t="str">
            <v>37763200402</v>
          </cell>
          <cell r="B5967">
            <v>37763</v>
          </cell>
          <cell r="C5967" t="str">
            <v>NG</v>
          </cell>
          <cell r="D5967" t="str">
            <v>200402</v>
          </cell>
          <cell r="E5967">
            <v>6.3029999999999999</v>
          </cell>
        </row>
        <row r="5968">
          <cell r="A5968" t="str">
            <v>37763200403</v>
          </cell>
          <cell r="B5968">
            <v>37763</v>
          </cell>
          <cell r="C5968" t="str">
            <v>NG</v>
          </cell>
          <cell r="D5968" t="str">
            <v>200403</v>
          </cell>
          <cell r="E5968">
            <v>5.9980000000000002</v>
          </cell>
        </row>
        <row r="5969">
          <cell r="A5969" t="str">
            <v>37763200404</v>
          </cell>
          <cell r="B5969">
            <v>37763</v>
          </cell>
          <cell r="C5969" t="str">
            <v>NG</v>
          </cell>
          <cell r="D5969" t="str">
            <v>200404</v>
          </cell>
          <cell r="E5969">
            <v>5.0720000000000001</v>
          </cell>
        </row>
        <row r="5970">
          <cell r="A5970" t="str">
            <v>37763200405</v>
          </cell>
          <cell r="B5970">
            <v>37763</v>
          </cell>
          <cell r="C5970" t="str">
            <v>NG</v>
          </cell>
          <cell r="D5970" t="str">
            <v>200405</v>
          </cell>
          <cell r="E5970">
            <v>4.8869999999999996</v>
          </cell>
        </row>
        <row r="5971">
          <cell r="A5971" t="str">
            <v>37763200406</v>
          </cell>
          <cell r="B5971">
            <v>37763</v>
          </cell>
          <cell r="C5971" t="str">
            <v>NG</v>
          </cell>
          <cell r="D5971" t="str">
            <v>200406</v>
          </cell>
          <cell r="E5971">
            <v>4.8410000000000002</v>
          </cell>
        </row>
        <row r="5972">
          <cell r="A5972" t="str">
            <v>37763200407</v>
          </cell>
          <cell r="B5972">
            <v>37763</v>
          </cell>
          <cell r="C5972" t="str">
            <v>NG</v>
          </cell>
          <cell r="D5972" t="str">
            <v>200407</v>
          </cell>
          <cell r="E5972">
            <v>4.8310000000000004</v>
          </cell>
        </row>
        <row r="5973">
          <cell r="A5973" t="str">
            <v>37763200408</v>
          </cell>
          <cell r="B5973">
            <v>37763</v>
          </cell>
          <cell r="C5973" t="str">
            <v>NG</v>
          </cell>
          <cell r="D5973" t="str">
            <v>200408</v>
          </cell>
          <cell r="E5973">
            <v>4.8310000000000004</v>
          </cell>
        </row>
        <row r="5974">
          <cell r="A5974" t="str">
            <v>37763200409</v>
          </cell>
          <cell r="B5974">
            <v>37763</v>
          </cell>
          <cell r="C5974" t="str">
            <v>NG</v>
          </cell>
          <cell r="D5974" t="str">
            <v>200409</v>
          </cell>
          <cell r="E5974">
            <v>4.8159999999999998</v>
          </cell>
        </row>
        <row r="5975">
          <cell r="A5975" t="str">
            <v>37763200410</v>
          </cell>
          <cell r="B5975">
            <v>37763</v>
          </cell>
          <cell r="C5975" t="str">
            <v>NG</v>
          </cell>
          <cell r="D5975" t="str">
            <v>200410</v>
          </cell>
          <cell r="E5975">
            <v>4.8159999999999998</v>
          </cell>
        </row>
        <row r="5976">
          <cell r="A5976" t="str">
            <v>37763200411</v>
          </cell>
          <cell r="B5976">
            <v>37763</v>
          </cell>
          <cell r="C5976" t="str">
            <v>NG</v>
          </cell>
          <cell r="D5976" t="str">
            <v>200411</v>
          </cell>
          <cell r="E5976">
            <v>4.976</v>
          </cell>
        </row>
        <row r="5977">
          <cell r="A5977" t="str">
            <v>37763200412</v>
          </cell>
          <cell r="B5977">
            <v>37763</v>
          </cell>
          <cell r="C5977" t="str">
            <v>NG</v>
          </cell>
          <cell r="D5977" t="str">
            <v>200412</v>
          </cell>
          <cell r="E5977">
            <v>5.1559999999999997</v>
          </cell>
        </row>
        <row r="5978">
          <cell r="A5978" t="str">
            <v>37764200401</v>
          </cell>
          <cell r="B5978">
            <v>37764</v>
          </cell>
          <cell r="C5978" t="str">
            <v>NG</v>
          </cell>
          <cell r="D5978" t="str">
            <v>200401</v>
          </cell>
          <cell r="E5978">
            <v>6.5359999999999996</v>
          </cell>
        </row>
        <row r="5979">
          <cell r="A5979" t="str">
            <v>37764200402</v>
          </cell>
          <cell r="B5979">
            <v>37764</v>
          </cell>
          <cell r="C5979" t="str">
            <v>NG</v>
          </cell>
          <cell r="D5979" t="str">
            <v>200402</v>
          </cell>
          <cell r="E5979">
            <v>6.3710000000000004</v>
          </cell>
        </row>
        <row r="5980">
          <cell r="A5980" t="str">
            <v>37764200403</v>
          </cell>
          <cell r="B5980">
            <v>37764</v>
          </cell>
          <cell r="C5980" t="str">
            <v>NG</v>
          </cell>
          <cell r="D5980" t="str">
            <v>200403</v>
          </cell>
          <cell r="E5980">
            <v>6.0609999999999999</v>
          </cell>
        </row>
        <row r="5981">
          <cell r="A5981" t="str">
            <v>37764200404</v>
          </cell>
          <cell r="B5981">
            <v>37764</v>
          </cell>
          <cell r="C5981" t="str">
            <v>NG</v>
          </cell>
          <cell r="D5981" t="str">
            <v>200404</v>
          </cell>
          <cell r="E5981">
            <v>5.1349999999999998</v>
          </cell>
        </row>
        <row r="5982">
          <cell r="A5982" t="str">
            <v>37764200405</v>
          </cell>
          <cell r="B5982">
            <v>37764</v>
          </cell>
          <cell r="C5982" t="str">
            <v>NG</v>
          </cell>
          <cell r="D5982" t="str">
            <v>200405</v>
          </cell>
          <cell r="E5982">
            <v>4.95</v>
          </cell>
        </row>
        <row r="5983">
          <cell r="A5983" t="str">
            <v>37764200406</v>
          </cell>
          <cell r="B5983">
            <v>37764</v>
          </cell>
          <cell r="C5983" t="str">
            <v>NG</v>
          </cell>
          <cell r="D5983" t="str">
            <v>200406</v>
          </cell>
          <cell r="E5983">
            <v>4.9039999999999999</v>
          </cell>
        </row>
        <row r="5984">
          <cell r="A5984" t="str">
            <v>37764200407</v>
          </cell>
          <cell r="B5984">
            <v>37764</v>
          </cell>
          <cell r="C5984" t="str">
            <v>NG</v>
          </cell>
          <cell r="D5984" t="str">
            <v>200407</v>
          </cell>
          <cell r="E5984">
            <v>4.8890000000000002</v>
          </cell>
        </row>
        <row r="5985">
          <cell r="A5985" t="str">
            <v>37764200408</v>
          </cell>
          <cell r="B5985">
            <v>37764</v>
          </cell>
          <cell r="C5985" t="str">
            <v>NG</v>
          </cell>
          <cell r="D5985" t="str">
            <v>200408</v>
          </cell>
          <cell r="E5985">
            <v>4.8890000000000002</v>
          </cell>
        </row>
        <row r="5986">
          <cell r="A5986" t="str">
            <v>37764200409</v>
          </cell>
          <cell r="B5986">
            <v>37764</v>
          </cell>
          <cell r="C5986" t="str">
            <v>NG</v>
          </cell>
          <cell r="D5986" t="str">
            <v>200409</v>
          </cell>
          <cell r="E5986">
            <v>4.8739999999999997</v>
          </cell>
        </row>
        <row r="5987">
          <cell r="A5987" t="str">
            <v>37764200410</v>
          </cell>
          <cell r="B5987">
            <v>37764</v>
          </cell>
          <cell r="C5987" t="str">
            <v>NG</v>
          </cell>
          <cell r="D5987" t="str">
            <v>200410</v>
          </cell>
          <cell r="E5987">
            <v>4.8789999999999996</v>
          </cell>
        </row>
        <row r="5988">
          <cell r="A5988" t="str">
            <v>37764200411</v>
          </cell>
          <cell r="B5988">
            <v>37764</v>
          </cell>
          <cell r="C5988" t="str">
            <v>NG</v>
          </cell>
          <cell r="D5988" t="str">
            <v>200411</v>
          </cell>
          <cell r="E5988">
            <v>5.0490000000000004</v>
          </cell>
        </row>
        <row r="5989">
          <cell r="A5989" t="str">
            <v>37764200412</v>
          </cell>
          <cell r="B5989">
            <v>37764</v>
          </cell>
          <cell r="C5989" t="str">
            <v>NG</v>
          </cell>
          <cell r="D5989" t="str">
            <v>200412</v>
          </cell>
          <cell r="E5989">
            <v>5.2140000000000004</v>
          </cell>
        </row>
        <row r="5990">
          <cell r="A5990" t="str">
            <v>37765200401</v>
          </cell>
          <cell r="B5990">
            <v>37765</v>
          </cell>
          <cell r="C5990" t="str">
            <v>NG</v>
          </cell>
          <cell r="D5990" t="str">
            <v>200401</v>
          </cell>
          <cell r="E5990">
            <v>6.5359999999999996</v>
          </cell>
        </row>
        <row r="5991">
          <cell r="A5991" t="str">
            <v>37765200402</v>
          </cell>
          <cell r="B5991">
            <v>37765</v>
          </cell>
          <cell r="C5991" t="str">
            <v>NG</v>
          </cell>
          <cell r="D5991" t="str">
            <v>200402</v>
          </cell>
          <cell r="E5991">
            <v>6.3710000000000004</v>
          </cell>
        </row>
        <row r="5992">
          <cell r="A5992" t="str">
            <v>37765200403</v>
          </cell>
          <cell r="B5992">
            <v>37765</v>
          </cell>
          <cell r="C5992" t="str">
            <v>NG</v>
          </cell>
          <cell r="D5992" t="str">
            <v>200403</v>
          </cell>
          <cell r="E5992">
            <v>6.0609999999999999</v>
          </cell>
        </row>
        <row r="5993">
          <cell r="A5993" t="str">
            <v>37765200404</v>
          </cell>
          <cell r="B5993">
            <v>37765</v>
          </cell>
          <cell r="C5993" t="str">
            <v>NG</v>
          </cell>
          <cell r="D5993" t="str">
            <v>200404</v>
          </cell>
          <cell r="E5993">
            <v>5.1349999999999998</v>
          </cell>
        </row>
        <row r="5994">
          <cell r="A5994" t="str">
            <v>37765200405</v>
          </cell>
          <cell r="B5994">
            <v>37765</v>
          </cell>
          <cell r="C5994" t="str">
            <v>NG</v>
          </cell>
          <cell r="D5994" t="str">
            <v>200405</v>
          </cell>
          <cell r="E5994">
            <v>4.95</v>
          </cell>
        </row>
        <row r="5995">
          <cell r="A5995" t="str">
            <v>37765200406</v>
          </cell>
          <cell r="B5995">
            <v>37765</v>
          </cell>
          <cell r="C5995" t="str">
            <v>NG</v>
          </cell>
          <cell r="D5995" t="str">
            <v>200406</v>
          </cell>
          <cell r="E5995">
            <v>4.9039999999999999</v>
          </cell>
        </row>
        <row r="5996">
          <cell r="A5996" t="str">
            <v>37765200407</v>
          </cell>
          <cell r="B5996">
            <v>37765</v>
          </cell>
          <cell r="C5996" t="str">
            <v>NG</v>
          </cell>
          <cell r="D5996" t="str">
            <v>200407</v>
          </cell>
          <cell r="E5996">
            <v>4.8890000000000002</v>
          </cell>
        </row>
        <row r="5997">
          <cell r="A5997" t="str">
            <v>37765200408</v>
          </cell>
          <cell r="B5997">
            <v>37765</v>
          </cell>
          <cell r="C5997" t="str">
            <v>NG</v>
          </cell>
          <cell r="D5997" t="str">
            <v>200408</v>
          </cell>
          <cell r="E5997">
            <v>4.8890000000000002</v>
          </cell>
        </row>
        <row r="5998">
          <cell r="A5998" t="str">
            <v>37765200409</v>
          </cell>
          <cell r="B5998">
            <v>37765</v>
          </cell>
          <cell r="C5998" t="str">
            <v>NG</v>
          </cell>
          <cell r="D5998" t="str">
            <v>200409</v>
          </cell>
          <cell r="E5998">
            <v>4.8739999999999997</v>
          </cell>
        </row>
        <row r="5999">
          <cell r="A5999" t="str">
            <v>37765200410</v>
          </cell>
          <cell r="B5999">
            <v>37765</v>
          </cell>
          <cell r="C5999" t="str">
            <v>NG</v>
          </cell>
          <cell r="D5999" t="str">
            <v>200410</v>
          </cell>
          <cell r="E5999">
            <v>4.8789999999999996</v>
          </cell>
        </row>
        <row r="6000">
          <cell r="A6000" t="str">
            <v>37765200411</v>
          </cell>
          <cell r="B6000">
            <v>37765</v>
          </cell>
          <cell r="C6000" t="str">
            <v>NG</v>
          </cell>
          <cell r="D6000" t="str">
            <v>200411</v>
          </cell>
          <cell r="E6000">
            <v>5.0490000000000004</v>
          </cell>
        </row>
        <row r="6001">
          <cell r="A6001" t="str">
            <v>37765200412</v>
          </cell>
          <cell r="B6001">
            <v>37765</v>
          </cell>
          <cell r="C6001" t="str">
            <v>NG</v>
          </cell>
          <cell r="D6001" t="str">
            <v>200412</v>
          </cell>
          <cell r="E6001">
            <v>5.2140000000000004</v>
          </cell>
        </row>
        <row r="6002">
          <cell r="A6002" t="str">
            <v>37766200401</v>
          </cell>
          <cell r="B6002">
            <v>37766</v>
          </cell>
          <cell r="C6002" t="str">
            <v>NG</v>
          </cell>
          <cell r="D6002" t="str">
            <v>200401</v>
          </cell>
          <cell r="E6002">
            <v>6.5359999999999996</v>
          </cell>
        </row>
        <row r="6003">
          <cell r="A6003" t="str">
            <v>37766200402</v>
          </cell>
          <cell r="B6003">
            <v>37766</v>
          </cell>
          <cell r="C6003" t="str">
            <v>NG</v>
          </cell>
          <cell r="D6003" t="str">
            <v>200402</v>
          </cell>
          <cell r="E6003">
            <v>6.3710000000000004</v>
          </cell>
        </row>
        <row r="6004">
          <cell r="A6004" t="str">
            <v>37766200403</v>
          </cell>
          <cell r="B6004">
            <v>37766</v>
          </cell>
          <cell r="C6004" t="str">
            <v>NG</v>
          </cell>
          <cell r="D6004" t="str">
            <v>200403</v>
          </cell>
          <cell r="E6004">
            <v>6.0609999999999999</v>
          </cell>
        </row>
        <row r="6005">
          <cell r="A6005" t="str">
            <v>37766200404</v>
          </cell>
          <cell r="B6005">
            <v>37766</v>
          </cell>
          <cell r="C6005" t="str">
            <v>NG</v>
          </cell>
          <cell r="D6005" t="str">
            <v>200404</v>
          </cell>
          <cell r="E6005">
            <v>5.1349999999999998</v>
          </cell>
        </row>
        <row r="6006">
          <cell r="A6006" t="str">
            <v>37766200405</v>
          </cell>
          <cell r="B6006">
            <v>37766</v>
          </cell>
          <cell r="C6006" t="str">
            <v>NG</v>
          </cell>
          <cell r="D6006" t="str">
            <v>200405</v>
          </cell>
          <cell r="E6006">
            <v>4.95</v>
          </cell>
        </row>
        <row r="6007">
          <cell r="A6007" t="str">
            <v>37766200406</v>
          </cell>
          <cell r="B6007">
            <v>37766</v>
          </cell>
          <cell r="C6007" t="str">
            <v>NG</v>
          </cell>
          <cell r="D6007" t="str">
            <v>200406</v>
          </cell>
          <cell r="E6007">
            <v>4.9039999999999999</v>
          </cell>
        </row>
        <row r="6008">
          <cell r="A6008" t="str">
            <v>37766200407</v>
          </cell>
          <cell r="B6008">
            <v>37766</v>
          </cell>
          <cell r="C6008" t="str">
            <v>NG</v>
          </cell>
          <cell r="D6008" t="str">
            <v>200407</v>
          </cell>
          <cell r="E6008">
            <v>4.8890000000000002</v>
          </cell>
        </row>
        <row r="6009">
          <cell r="A6009" t="str">
            <v>37766200408</v>
          </cell>
          <cell r="B6009">
            <v>37766</v>
          </cell>
          <cell r="C6009" t="str">
            <v>NG</v>
          </cell>
          <cell r="D6009" t="str">
            <v>200408</v>
          </cell>
          <cell r="E6009">
            <v>4.8890000000000002</v>
          </cell>
        </row>
        <row r="6010">
          <cell r="A6010" t="str">
            <v>37766200409</v>
          </cell>
          <cell r="B6010">
            <v>37766</v>
          </cell>
          <cell r="C6010" t="str">
            <v>NG</v>
          </cell>
          <cell r="D6010" t="str">
            <v>200409</v>
          </cell>
          <cell r="E6010">
            <v>4.8739999999999997</v>
          </cell>
        </row>
        <row r="6011">
          <cell r="A6011" t="str">
            <v>37766200410</v>
          </cell>
          <cell r="B6011">
            <v>37766</v>
          </cell>
          <cell r="C6011" t="str">
            <v>NG</v>
          </cell>
          <cell r="D6011" t="str">
            <v>200410</v>
          </cell>
          <cell r="E6011">
            <v>4.8789999999999996</v>
          </cell>
        </row>
        <row r="6012">
          <cell r="A6012" t="str">
            <v>37766200411</v>
          </cell>
          <cell r="B6012">
            <v>37766</v>
          </cell>
          <cell r="C6012" t="str">
            <v>NG</v>
          </cell>
          <cell r="D6012" t="str">
            <v>200411</v>
          </cell>
          <cell r="E6012">
            <v>5.0490000000000004</v>
          </cell>
        </row>
        <row r="6013">
          <cell r="A6013" t="str">
            <v>37766200412</v>
          </cell>
          <cell r="B6013">
            <v>37766</v>
          </cell>
          <cell r="C6013" t="str">
            <v>NG</v>
          </cell>
          <cell r="D6013" t="str">
            <v>200412</v>
          </cell>
          <cell r="E6013">
            <v>5.2140000000000004</v>
          </cell>
        </row>
        <row r="6014">
          <cell r="A6014" t="str">
            <v>37767200401</v>
          </cell>
          <cell r="B6014">
            <v>37767</v>
          </cell>
          <cell r="C6014" t="str">
            <v>NG</v>
          </cell>
          <cell r="D6014" t="str">
            <v>200401</v>
          </cell>
          <cell r="E6014">
            <v>6.5359999999999996</v>
          </cell>
        </row>
        <row r="6015">
          <cell r="A6015" t="str">
            <v>37767200402</v>
          </cell>
          <cell r="B6015">
            <v>37767</v>
          </cell>
          <cell r="C6015" t="str">
            <v>NG</v>
          </cell>
          <cell r="D6015" t="str">
            <v>200402</v>
          </cell>
          <cell r="E6015">
            <v>6.3710000000000004</v>
          </cell>
        </row>
        <row r="6016">
          <cell r="A6016" t="str">
            <v>37767200403</v>
          </cell>
          <cell r="B6016">
            <v>37767</v>
          </cell>
          <cell r="C6016" t="str">
            <v>NG</v>
          </cell>
          <cell r="D6016" t="str">
            <v>200403</v>
          </cell>
          <cell r="E6016">
            <v>6.0609999999999999</v>
          </cell>
        </row>
        <row r="6017">
          <cell r="A6017" t="str">
            <v>37767200404</v>
          </cell>
          <cell r="B6017">
            <v>37767</v>
          </cell>
          <cell r="C6017" t="str">
            <v>NG</v>
          </cell>
          <cell r="D6017" t="str">
            <v>200404</v>
          </cell>
          <cell r="E6017">
            <v>5.1349999999999998</v>
          </cell>
        </row>
        <row r="6018">
          <cell r="A6018" t="str">
            <v>37767200405</v>
          </cell>
          <cell r="B6018">
            <v>37767</v>
          </cell>
          <cell r="C6018" t="str">
            <v>NG</v>
          </cell>
          <cell r="D6018" t="str">
            <v>200405</v>
          </cell>
          <cell r="E6018">
            <v>4.95</v>
          </cell>
        </row>
        <row r="6019">
          <cell r="A6019" t="str">
            <v>37767200406</v>
          </cell>
          <cell r="B6019">
            <v>37767</v>
          </cell>
          <cell r="C6019" t="str">
            <v>NG</v>
          </cell>
          <cell r="D6019" t="str">
            <v>200406</v>
          </cell>
          <cell r="E6019">
            <v>4.9039999999999999</v>
          </cell>
        </row>
        <row r="6020">
          <cell r="A6020" t="str">
            <v>37767200407</v>
          </cell>
          <cell r="B6020">
            <v>37767</v>
          </cell>
          <cell r="C6020" t="str">
            <v>NG</v>
          </cell>
          <cell r="D6020" t="str">
            <v>200407</v>
          </cell>
          <cell r="E6020">
            <v>4.8890000000000002</v>
          </cell>
        </row>
        <row r="6021">
          <cell r="A6021" t="str">
            <v>37767200408</v>
          </cell>
          <cell r="B6021">
            <v>37767</v>
          </cell>
          <cell r="C6021" t="str">
            <v>NG</v>
          </cell>
          <cell r="D6021" t="str">
            <v>200408</v>
          </cell>
          <cell r="E6021">
            <v>4.8890000000000002</v>
          </cell>
        </row>
        <row r="6022">
          <cell r="A6022" t="str">
            <v>37767200409</v>
          </cell>
          <cell r="B6022">
            <v>37767</v>
          </cell>
          <cell r="C6022" t="str">
            <v>NG</v>
          </cell>
          <cell r="D6022" t="str">
            <v>200409</v>
          </cell>
          <cell r="E6022">
            <v>4.8739999999999997</v>
          </cell>
        </row>
        <row r="6023">
          <cell r="A6023" t="str">
            <v>37767200410</v>
          </cell>
          <cell r="B6023">
            <v>37767</v>
          </cell>
          <cell r="C6023" t="str">
            <v>NG</v>
          </cell>
          <cell r="D6023" t="str">
            <v>200410</v>
          </cell>
          <cell r="E6023">
            <v>4.8789999999999996</v>
          </cell>
        </row>
        <row r="6024">
          <cell r="A6024" t="str">
            <v>37767200411</v>
          </cell>
          <cell r="B6024">
            <v>37767</v>
          </cell>
          <cell r="C6024" t="str">
            <v>NG</v>
          </cell>
          <cell r="D6024" t="str">
            <v>200411</v>
          </cell>
          <cell r="E6024">
            <v>5.0490000000000004</v>
          </cell>
        </row>
        <row r="6025">
          <cell r="A6025" t="str">
            <v>37767200412</v>
          </cell>
          <cell r="B6025">
            <v>37767</v>
          </cell>
          <cell r="C6025" t="str">
            <v>NG</v>
          </cell>
          <cell r="D6025" t="str">
            <v>200412</v>
          </cell>
          <cell r="E6025">
            <v>5.2140000000000004</v>
          </cell>
        </row>
        <row r="6026">
          <cell r="A6026" t="str">
            <v>37768200401</v>
          </cell>
          <cell r="B6026">
            <v>37768</v>
          </cell>
          <cell r="C6026" t="str">
            <v>NG</v>
          </cell>
          <cell r="D6026" t="str">
            <v>200401</v>
          </cell>
          <cell r="E6026">
            <v>6.39</v>
          </cell>
        </row>
        <row r="6027">
          <cell r="A6027" t="str">
            <v>37768200402</v>
          </cell>
          <cell r="B6027">
            <v>37768</v>
          </cell>
          <cell r="C6027" t="str">
            <v>NG</v>
          </cell>
          <cell r="D6027" t="str">
            <v>200402</v>
          </cell>
          <cell r="E6027">
            <v>6.2450000000000001</v>
          </cell>
        </row>
        <row r="6028">
          <cell r="A6028" t="str">
            <v>37768200403</v>
          </cell>
          <cell r="B6028">
            <v>37768</v>
          </cell>
          <cell r="C6028" t="str">
            <v>NG</v>
          </cell>
          <cell r="D6028" t="str">
            <v>200403</v>
          </cell>
          <cell r="E6028">
            <v>5.9749999999999996</v>
          </cell>
        </row>
        <row r="6029">
          <cell r="A6029" t="str">
            <v>37768200404</v>
          </cell>
          <cell r="B6029">
            <v>37768</v>
          </cell>
          <cell r="C6029" t="str">
            <v>NG</v>
          </cell>
          <cell r="D6029" t="str">
            <v>200404</v>
          </cell>
          <cell r="E6029">
            <v>5.1100000000000003</v>
          </cell>
        </row>
        <row r="6030">
          <cell r="A6030" t="str">
            <v>37768200405</v>
          </cell>
          <cell r="B6030">
            <v>37768</v>
          </cell>
          <cell r="C6030" t="str">
            <v>NG</v>
          </cell>
          <cell r="D6030" t="str">
            <v>200405</v>
          </cell>
          <cell r="E6030">
            <v>4.9349999999999996</v>
          </cell>
        </row>
        <row r="6031">
          <cell r="A6031" t="str">
            <v>37768200406</v>
          </cell>
          <cell r="B6031">
            <v>37768</v>
          </cell>
          <cell r="C6031" t="str">
            <v>NG</v>
          </cell>
          <cell r="D6031" t="str">
            <v>200406</v>
          </cell>
          <cell r="E6031">
            <v>4.8890000000000002</v>
          </cell>
        </row>
        <row r="6032">
          <cell r="A6032" t="str">
            <v>37768200407</v>
          </cell>
          <cell r="B6032">
            <v>37768</v>
          </cell>
          <cell r="C6032" t="str">
            <v>NG</v>
          </cell>
          <cell r="D6032" t="str">
            <v>200407</v>
          </cell>
          <cell r="E6032">
            <v>4.8840000000000003</v>
          </cell>
        </row>
        <row r="6033">
          <cell r="A6033" t="str">
            <v>37768200408</v>
          </cell>
          <cell r="B6033">
            <v>37768</v>
          </cell>
          <cell r="C6033" t="str">
            <v>NG</v>
          </cell>
          <cell r="D6033" t="str">
            <v>200408</v>
          </cell>
          <cell r="E6033">
            <v>4.8819999999999997</v>
          </cell>
        </row>
        <row r="6034">
          <cell r="A6034" t="str">
            <v>37768200409</v>
          </cell>
          <cell r="B6034">
            <v>37768</v>
          </cell>
          <cell r="C6034" t="str">
            <v>NG</v>
          </cell>
          <cell r="D6034" t="str">
            <v>200409</v>
          </cell>
          <cell r="E6034">
            <v>4.8719999999999999</v>
          </cell>
        </row>
        <row r="6035">
          <cell r="A6035" t="str">
            <v>37768200410</v>
          </cell>
          <cell r="B6035">
            <v>37768</v>
          </cell>
          <cell r="C6035" t="str">
            <v>NG</v>
          </cell>
          <cell r="D6035" t="str">
            <v>200410</v>
          </cell>
          <cell r="E6035">
            <v>4.8869999999999996</v>
          </cell>
        </row>
        <row r="6036">
          <cell r="A6036" t="str">
            <v>37768200411</v>
          </cell>
          <cell r="B6036">
            <v>37768</v>
          </cell>
          <cell r="C6036" t="str">
            <v>NG</v>
          </cell>
          <cell r="D6036" t="str">
            <v>200411</v>
          </cell>
          <cell r="E6036">
            <v>5.0570000000000004</v>
          </cell>
        </row>
        <row r="6037">
          <cell r="A6037" t="str">
            <v>37768200412</v>
          </cell>
          <cell r="B6037">
            <v>37768</v>
          </cell>
          <cell r="C6037" t="str">
            <v>NG</v>
          </cell>
          <cell r="D6037" t="str">
            <v>200412</v>
          </cell>
          <cell r="E6037">
            <v>5.2370000000000001</v>
          </cell>
        </row>
        <row r="6038">
          <cell r="A6038" t="str">
            <v>37769200401</v>
          </cell>
          <cell r="B6038">
            <v>37769</v>
          </cell>
          <cell r="C6038" t="str">
            <v>NG</v>
          </cell>
          <cell r="D6038" t="str">
            <v>200401</v>
          </cell>
          <cell r="E6038">
            <v>6.3849999999999998</v>
          </cell>
        </row>
        <row r="6039">
          <cell r="A6039" t="str">
            <v>37769200402</v>
          </cell>
          <cell r="B6039">
            <v>37769</v>
          </cell>
          <cell r="C6039" t="str">
            <v>NG</v>
          </cell>
          <cell r="D6039" t="str">
            <v>200402</v>
          </cell>
          <cell r="E6039">
            <v>6.24</v>
          </cell>
        </row>
        <row r="6040">
          <cell r="A6040" t="str">
            <v>37769200403</v>
          </cell>
          <cell r="B6040">
            <v>37769</v>
          </cell>
          <cell r="C6040" t="str">
            <v>NG</v>
          </cell>
          <cell r="D6040" t="str">
            <v>200403</v>
          </cell>
          <cell r="E6040">
            <v>5.97</v>
          </cell>
        </row>
        <row r="6041">
          <cell r="A6041" t="str">
            <v>37769200404</v>
          </cell>
          <cell r="B6041">
            <v>37769</v>
          </cell>
          <cell r="C6041" t="str">
            <v>NG</v>
          </cell>
          <cell r="D6041" t="str">
            <v>200404</v>
          </cell>
          <cell r="E6041">
            <v>5.1150000000000002</v>
          </cell>
        </row>
        <row r="6042">
          <cell r="A6042" t="str">
            <v>37769200405</v>
          </cell>
          <cell r="B6042">
            <v>37769</v>
          </cell>
          <cell r="C6042" t="str">
            <v>NG</v>
          </cell>
          <cell r="D6042" t="str">
            <v>200405</v>
          </cell>
          <cell r="E6042">
            <v>4.9400000000000004</v>
          </cell>
        </row>
        <row r="6043">
          <cell r="A6043" t="str">
            <v>37769200406</v>
          </cell>
          <cell r="B6043">
            <v>37769</v>
          </cell>
          <cell r="C6043" t="str">
            <v>NG</v>
          </cell>
          <cell r="D6043" t="str">
            <v>200406</v>
          </cell>
          <cell r="E6043">
            <v>4.8899999999999997</v>
          </cell>
        </row>
        <row r="6044">
          <cell r="A6044" t="str">
            <v>37769200407</v>
          </cell>
          <cell r="B6044">
            <v>37769</v>
          </cell>
          <cell r="C6044" t="str">
            <v>NG</v>
          </cell>
          <cell r="D6044" t="str">
            <v>200407</v>
          </cell>
          <cell r="E6044">
            <v>4.88</v>
          </cell>
        </row>
        <row r="6045">
          <cell r="A6045" t="str">
            <v>37769200408</v>
          </cell>
          <cell r="B6045">
            <v>37769</v>
          </cell>
          <cell r="C6045" t="str">
            <v>NG</v>
          </cell>
          <cell r="D6045" t="str">
            <v>200408</v>
          </cell>
          <cell r="E6045">
            <v>4.875</v>
          </cell>
        </row>
        <row r="6046">
          <cell r="A6046" t="str">
            <v>37769200409</v>
          </cell>
          <cell r="B6046">
            <v>37769</v>
          </cell>
          <cell r="C6046" t="str">
            <v>NG</v>
          </cell>
          <cell r="D6046" t="str">
            <v>200409</v>
          </cell>
          <cell r="E6046">
            <v>4.8650000000000002</v>
          </cell>
        </row>
        <row r="6047">
          <cell r="A6047" t="str">
            <v>37769200410</v>
          </cell>
          <cell r="B6047">
            <v>37769</v>
          </cell>
          <cell r="C6047" t="str">
            <v>NG</v>
          </cell>
          <cell r="D6047" t="str">
            <v>200410</v>
          </cell>
          <cell r="E6047">
            <v>4.88</v>
          </cell>
        </row>
        <row r="6048">
          <cell r="A6048" t="str">
            <v>37769200411</v>
          </cell>
          <cell r="B6048">
            <v>37769</v>
          </cell>
          <cell r="C6048" t="str">
            <v>NG</v>
          </cell>
          <cell r="D6048" t="str">
            <v>200411</v>
          </cell>
          <cell r="E6048">
            <v>5.66</v>
          </cell>
        </row>
        <row r="6049">
          <cell r="A6049" t="str">
            <v>37769200412</v>
          </cell>
          <cell r="B6049">
            <v>37769</v>
          </cell>
          <cell r="C6049" t="str">
            <v>NG</v>
          </cell>
          <cell r="D6049" t="str">
            <v>200412</v>
          </cell>
          <cell r="E6049">
            <v>5.24</v>
          </cell>
        </row>
        <row r="6050">
          <cell r="A6050" t="str">
            <v>37770200401</v>
          </cell>
          <cell r="B6050">
            <v>37770</v>
          </cell>
          <cell r="C6050" t="str">
            <v>NG</v>
          </cell>
          <cell r="D6050" t="str">
            <v>200401</v>
          </cell>
          <cell r="E6050">
            <v>6.4530000000000003</v>
          </cell>
        </row>
        <row r="6051">
          <cell r="A6051" t="str">
            <v>37770200402</v>
          </cell>
          <cell r="B6051">
            <v>37770</v>
          </cell>
          <cell r="C6051" t="str">
            <v>NG</v>
          </cell>
          <cell r="D6051" t="str">
            <v>200402</v>
          </cell>
          <cell r="E6051">
            <v>6.3079999999999998</v>
          </cell>
        </row>
        <row r="6052">
          <cell r="A6052" t="str">
            <v>37770200403</v>
          </cell>
          <cell r="B6052">
            <v>37770</v>
          </cell>
          <cell r="C6052" t="str">
            <v>NG</v>
          </cell>
          <cell r="D6052" t="str">
            <v>200403</v>
          </cell>
          <cell r="E6052">
            <v>6.0330000000000004</v>
          </cell>
        </row>
        <row r="6053">
          <cell r="A6053" t="str">
            <v>37770200404</v>
          </cell>
          <cell r="B6053">
            <v>37770</v>
          </cell>
          <cell r="C6053" t="str">
            <v>NG</v>
          </cell>
          <cell r="D6053" t="str">
            <v>200404</v>
          </cell>
          <cell r="E6053">
            <v>5.1829999999999998</v>
          </cell>
        </row>
        <row r="6054">
          <cell r="A6054" t="str">
            <v>37770200405</v>
          </cell>
          <cell r="B6054">
            <v>37770</v>
          </cell>
          <cell r="C6054" t="str">
            <v>NG</v>
          </cell>
          <cell r="D6054" t="str">
            <v>200405</v>
          </cell>
          <cell r="E6054">
            <v>5.0030000000000001</v>
          </cell>
        </row>
        <row r="6055">
          <cell r="A6055" t="str">
            <v>37770200406</v>
          </cell>
          <cell r="B6055">
            <v>37770</v>
          </cell>
          <cell r="C6055" t="str">
            <v>NG</v>
          </cell>
          <cell r="D6055" t="str">
            <v>200406</v>
          </cell>
          <cell r="E6055">
            <v>4.9530000000000003</v>
          </cell>
        </row>
        <row r="6056">
          <cell r="A6056" t="str">
            <v>37770200407</v>
          </cell>
          <cell r="B6056">
            <v>37770</v>
          </cell>
          <cell r="C6056" t="str">
            <v>NG</v>
          </cell>
          <cell r="D6056" t="str">
            <v>200407</v>
          </cell>
          <cell r="E6056">
            <v>4.9429999999999996</v>
          </cell>
        </row>
        <row r="6057">
          <cell r="A6057" t="str">
            <v>37770200408</v>
          </cell>
          <cell r="B6057">
            <v>37770</v>
          </cell>
          <cell r="C6057" t="str">
            <v>NG</v>
          </cell>
          <cell r="D6057" t="str">
            <v>200408</v>
          </cell>
          <cell r="E6057">
            <v>4.9329999999999998</v>
          </cell>
        </row>
        <row r="6058">
          <cell r="A6058" t="str">
            <v>37770200409</v>
          </cell>
          <cell r="B6058">
            <v>37770</v>
          </cell>
          <cell r="C6058" t="str">
            <v>NG</v>
          </cell>
          <cell r="D6058" t="str">
            <v>200409</v>
          </cell>
          <cell r="E6058">
            <v>4.923</v>
          </cell>
        </row>
        <row r="6059">
          <cell r="A6059" t="str">
            <v>37770200410</v>
          </cell>
          <cell r="B6059">
            <v>37770</v>
          </cell>
          <cell r="C6059" t="str">
            <v>NG</v>
          </cell>
          <cell r="D6059" t="str">
            <v>200410</v>
          </cell>
          <cell r="E6059">
            <v>4.9329999999999998</v>
          </cell>
        </row>
        <row r="6060">
          <cell r="A6060" t="str">
            <v>37770200411</v>
          </cell>
          <cell r="B6060">
            <v>37770</v>
          </cell>
          <cell r="C6060" t="str">
            <v>NG</v>
          </cell>
          <cell r="D6060" t="str">
            <v>200411</v>
          </cell>
          <cell r="E6060">
            <v>5.1130000000000004</v>
          </cell>
        </row>
        <row r="6061">
          <cell r="A6061" t="str">
            <v>37770200412</v>
          </cell>
          <cell r="B6061">
            <v>37770</v>
          </cell>
          <cell r="C6061" t="str">
            <v>NG</v>
          </cell>
          <cell r="D6061" t="str">
            <v>200412</v>
          </cell>
          <cell r="E6061">
            <v>5.2930000000000001</v>
          </cell>
        </row>
        <row r="6062">
          <cell r="A6062" t="str">
            <v>37771200401</v>
          </cell>
          <cell r="B6062">
            <v>37771</v>
          </cell>
          <cell r="C6062" t="str">
            <v>NG</v>
          </cell>
          <cell r="D6062" t="str">
            <v>200401</v>
          </cell>
          <cell r="E6062">
            <v>6.5960000000000001</v>
          </cell>
        </row>
        <row r="6063">
          <cell r="A6063" t="str">
            <v>37771200402</v>
          </cell>
          <cell r="B6063">
            <v>37771</v>
          </cell>
          <cell r="C6063" t="str">
            <v>NG</v>
          </cell>
          <cell r="D6063" t="str">
            <v>200402</v>
          </cell>
          <cell r="E6063">
            <v>6.4459999999999997</v>
          </cell>
        </row>
        <row r="6064">
          <cell r="A6064" t="str">
            <v>37771200403</v>
          </cell>
          <cell r="B6064">
            <v>37771</v>
          </cell>
          <cell r="C6064" t="str">
            <v>NG</v>
          </cell>
          <cell r="D6064" t="str">
            <v>200403</v>
          </cell>
          <cell r="E6064">
            <v>6.1660000000000004</v>
          </cell>
        </row>
        <row r="6065">
          <cell r="A6065" t="str">
            <v>37771200404</v>
          </cell>
          <cell r="B6065">
            <v>37771</v>
          </cell>
          <cell r="C6065" t="str">
            <v>NG</v>
          </cell>
          <cell r="D6065" t="str">
            <v>200404</v>
          </cell>
          <cell r="E6065">
            <v>5.3109999999999999</v>
          </cell>
        </row>
        <row r="6066">
          <cell r="A6066" t="str">
            <v>37771200405</v>
          </cell>
          <cell r="B6066">
            <v>37771</v>
          </cell>
          <cell r="C6066" t="str">
            <v>NG</v>
          </cell>
          <cell r="D6066" t="str">
            <v>200405</v>
          </cell>
          <cell r="E6066">
            <v>5.1310000000000002</v>
          </cell>
        </row>
        <row r="6067">
          <cell r="A6067" t="str">
            <v>37771200406</v>
          </cell>
          <cell r="B6067">
            <v>37771</v>
          </cell>
          <cell r="C6067" t="str">
            <v>NG</v>
          </cell>
          <cell r="D6067" t="str">
            <v>200406</v>
          </cell>
          <cell r="E6067">
            <v>5.0810000000000004</v>
          </cell>
        </row>
        <row r="6068">
          <cell r="A6068" t="str">
            <v>37771200407</v>
          </cell>
          <cell r="B6068">
            <v>37771</v>
          </cell>
          <cell r="C6068" t="str">
            <v>NG</v>
          </cell>
          <cell r="D6068" t="str">
            <v>200407</v>
          </cell>
          <cell r="E6068">
            <v>5.0709999999999997</v>
          </cell>
        </row>
        <row r="6069">
          <cell r="A6069" t="str">
            <v>37771200408</v>
          </cell>
          <cell r="B6069">
            <v>37771</v>
          </cell>
          <cell r="C6069" t="str">
            <v>NG</v>
          </cell>
          <cell r="D6069" t="str">
            <v>200408</v>
          </cell>
          <cell r="E6069">
            <v>5.0609999999999999</v>
          </cell>
        </row>
        <row r="6070">
          <cell r="A6070" t="str">
            <v>37771200409</v>
          </cell>
          <cell r="B6070">
            <v>37771</v>
          </cell>
          <cell r="C6070" t="str">
            <v>NG</v>
          </cell>
          <cell r="D6070" t="str">
            <v>200409</v>
          </cell>
          <cell r="E6070">
            <v>5.0510000000000002</v>
          </cell>
        </row>
        <row r="6071">
          <cell r="A6071" t="str">
            <v>37771200410</v>
          </cell>
          <cell r="B6071">
            <v>37771</v>
          </cell>
          <cell r="C6071" t="str">
            <v>NG</v>
          </cell>
          <cell r="D6071" t="str">
            <v>200410</v>
          </cell>
          <cell r="E6071">
            <v>5.0609999999999999</v>
          </cell>
        </row>
        <row r="6072">
          <cell r="A6072" t="str">
            <v>37771200411</v>
          </cell>
          <cell r="B6072">
            <v>37771</v>
          </cell>
          <cell r="C6072" t="str">
            <v>NG</v>
          </cell>
          <cell r="D6072" t="str">
            <v>200411</v>
          </cell>
          <cell r="E6072">
            <v>5.2409999999999997</v>
          </cell>
        </row>
        <row r="6073">
          <cell r="A6073" t="str">
            <v>37771200412</v>
          </cell>
          <cell r="B6073">
            <v>37771</v>
          </cell>
          <cell r="C6073" t="str">
            <v>NG</v>
          </cell>
          <cell r="D6073" t="str">
            <v>200412</v>
          </cell>
          <cell r="E6073">
            <v>5.4109999999999996</v>
          </cell>
        </row>
        <row r="6074">
          <cell r="A6074" t="str">
            <v>37772200401</v>
          </cell>
          <cell r="B6074">
            <v>37772</v>
          </cell>
          <cell r="C6074" t="str">
            <v>NG</v>
          </cell>
          <cell r="D6074" t="str">
            <v>200401</v>
          </cell>
          <cell r="E6074">
            <v>6.5960000000000001</v>
          </cell>
        </row>
        <row r="6075">
          <cell r="A6075" t="str">
            <v>37772200402</v>
          </cell>
          <cell r="B6075">
            <v>37772</v>
          </cell>
          <cell r="C6075" t="str">
            <v>NG</v>
          </cell>
          <cell r="D6075" t="str">
            <v>200402</v>
          </cell>
          <cell r="E6075">
            <v>6.4459999999999997</v>
          </cell>
        </row>
        <row r="6076">
          <cell r="A6076" t="str">
            <v>37772200403</v>
          </cell>
          <cell r="B6076">
            <v>37772</v>
          </cell>
          <cell r="C6076" t="str">
            <v>NG</v>
          </cell>
          <cell r="D6076" t="str">
            <v>200403</v>
          </cell>
          <cell r="E6076">
            <v>6.1660000000000004</v>
          </cell>
        </row>
        <row r="6077">
          <cell r="A6077" t="str">
            <v>37772200404</v>
          </cell>
          <cell r="B6077">
            <v>37772</v>
          </cell>
          <cell r="C6077" t="str">
            <v>NG</v>
          </cell>
          <cell r="D6077" t="str">
            <v>200404</v>
          </cell>
          <cell r="E6077">
            <v>5.3109999999999999</v>
          </cell>
        </row>
        <row r="6078">
          <cell r="A6078" t="str">
            <v>37772200405</v>
          </cell>
          <cell r="B6078">
            <v>37772</v>
          </cell>
          <cell r="C6078" t="str">
            <v>NG</v>
          </cell>
          <cell r="D6078" t="str">
            <v>200405</v>
          </cell>
          <cell r="E6078">
            <v>5.1310000000000002</v>
          </cell>
        </row>
        <row r="6079">
          <cell r="A6079" t="str">
            <v>37772200406</v>
          </cell>
          <cell r="B6079">
            <v>37772</v>
          </cell>
          <cell r="C6079" t="str">
            <v>NG</v>
          </cell>
          <cell r="D6079" t="str">
            <v>200406</v>
          </cell>
          <cell r="E6079">
            <v>5.0810000000000004</v>
          </cell>
        </row>
        <row r="6080">
          <cell r="A6080" t="str">
            <v>37772200407</v>
          </cell>
          <cell r="B6080">
            <v>37772</v>
          </cell>
          <cell r="C6080" t="str">
            <v>NG</v>
          </cell>
          <cell r="D6080" t="str">
            <v>200407</v>
          </cell>
          <cell r="E6080">
            <v>5.0709999999999997</v>
          </cell>
        </row>
        <row r="6081">
          <cell r="A6081" t="str">
            <v>37772200408</v>
          </cell>
          <cell r="B6081">
            <v>37772</v>
          </cell>
          <cell r="C6081" t="str">
            <v>NG</v>
          </cell>
          <cell r="D6081" t="str">
            <v>200408</v>
          </cell>
          <cell r="E6081">
            <v>5.0609999999999999</v>
          </cell>
        </row>
        <row r="6082">
          <cell r="A6082" t="str">
            <v>37772200409</v>
          </cell>
          <cell r="B6082">
            <v>37772</v>
          </cell>
          <cell r="C6082" t="str">
            <v>NG</v>
          </cell>
          <cell r="D6082" t="str">
            <v>200409</v>
          </cell>
          <cell r="E6082">
            <v>5.0510000000000002</v>
          </cell>
        </row>
        <row r="6083">
          <cell r="A6083" t="str">
            <v>37772200410</v>
          </cell>
          <cell r="B6083">
            <v>37772</v>
          </cell>
          <cell r="C6083" t="str">
            <v>NG</v>
          </cell>
          <cell r="D6083" t="str">
            <v>200410</v>
          </cell>
          <cell r="E6083">
            <v>5.0609999999999999</v>
          </cell>
        </row>
        <row r="6084">
          <cell r="A6084" t="str">
            <v>37772200411</v>
          </cell>
          <cell r="B6084">
            <v>37772</v>
          </cell>
          <cell r="C6084" t="str">
            <v>NG</v>
          </cell>
          <cell r="D6084" t="str">
            <v>200411</v>
          </cell>
          <cell r="E6084">
            <v>5.2409999999999997</v>
          </cell>
        </row>
        <row r="6085">
          <cell r="A6085" t="str">
            <v>37772200412</v>
          </cell>
          <cell r="B6085">
            <v>37772</v>
          </cell>
          <cell r="C6085" t="str">
            <v>NG</v>
          </cell>
          <cell r="D6085" t="str">
            <v>200412</v>
          </cell>
          <cell r="E6085">
            <v>5.4109999999999996</v>
          </cell>
        </row>
        <row r="6086">
          <cell r="A6086" t="str">
            <v>37773200401</v>
          </cell>
          <cell r="B6086">
            <v>37773</v>
          </cell>
          <cell r="C6086" t="str">
            <v>NG</v>
          </cell>
          <cell r="D6086" t="str">
            <v>200401</v>
          </cell>
          <cell r="E6086">
            <v>6.5960000000000001</v>
          </cell>
        </row>
        <row r="6087">
          <cell r="A6087" t="str">
            <v>37773200402</v>
          </cell>
          <cell r="B6087">
            <v>37773</v>
          </cell>
          <cell r="C6087" t="str">
            <v>NG</v>
          </cell>
          <cell r="D6087" t="str">
            <v>200402</v>
          </cell>
          <cell r="E6087">
            <v>6.4459999999999997</v>
          </cell>
        </row>
        <row r="6088">
          <cell r="A6088" t="str">
            <v>37773200403</v>
          </cell>
          <cell r="B6088">
            <v>37773</v>
          </cell>
          <cell r="C6088" t="str">
            <v>NG</v>
          </cell>
          <cell r="D6088" t="str">
            <v>200403</v>
          </cell>
          <cell r="E6088">
            <v>6.1660000000000004</v>
          </cell>
        </row>
        <row r="6089">
          <cell r="A6089" t="str">
            <v>37773200404</v>
          </cell>
          <cell r="B6089">
            <v>37773</v>
          </cell>
          <cell r="C6089" t="str">
            <v>NG</v>
          </cell>
          <cell r="D6089" t="str">
            <v>200404</v>
          </cell>
          <cell r="E6089">
            <v>5.3109999999999999</v>
          </cell>
        </row>
        <row r="6090">
          <cell r="A6090" t="str">
            <v>37773200405</v>
          </cell>
          <cell r="B6090">
            <v>37773</v>
          </cell>
          <cell r="C6090" t="str">
            <v>NG</v>
          </cell>
          <cell r="D6090" t="str">
            <v>200405</v>
          </cell>
          <cell r="E6090">
            <v>5.1310000000000002</v>
          </cell>
        </row>
        <row r="6091">
          <cell r="A6091" t="str">
            <v>37773200406</v>
          </cell>
          <cell r="B6091">
            <v>37773</v>
          </cell>
          <cell r="C6091" t="str">
            <v>NG</v>
          </cell>
          <cell r="D6091" t="str">
            <v>200406</v>
          </cell>
          <cell r="E6091">
            <v>5.0810000000000004</v>
          </cell>
        </row>
        <row r="6092">
          <cell r="A6092" t="str">
            <v>37773200407</v>
          </cell>
          <cell r="B6092">
            <v>37773</v>
          </cell>
          <cell r="C6092" t="str">
            <v>NG</v>
          </cell>
          <cell r="D6092" t="str">
            <v>200407</v>
          </cell>
          <cell r="E6092">
            <v>5.0709999999999997</v>
          </cell>
        </row>
        <row r="6093">
          <cell r="A6093" t="str">
            <v>37773200408</v>
          </cell>
          <cell r="B6093">
            <v>37773</v>
          </cell>
          <cell r="C6093" t="str">
            <v>NG</v>
          </cell>
          <cell r="D6093" t="str">
            <v>200408</v>
          </cell>
          <cell r="E6093">
            <v>5.0609999999999999</v>
          </cell>
        </row>
        <row r="6094">
          <cell r="A6094" t="str">
            <v>37773200409</v>
          </cell>
          <cell r="B6094">
            <v>37773</v>
          </cell>
          <cell r="C6094" t="str">
            <v>NG</v>
          </cell>
          <cell r="D6094" t="str">
            <v>200409</v>
          </cell>
          <cell r="E6094">
            <v>5.0510000000000002</v>
          </cell>
        </row>
        <row r="6095">
          <cell r="A6095" t="str">
            <v>37773200410</v>
          </cell>
          <cell r="B6095">
            <v>37773</v>
          </cell>
          <cell r="C6095" t="str">
            <v>NG</v>
          </cell>
          <cell r="D6095" t="str">
            <v>200410</v>
          </cell>
          <cell r="E6095">
            <v>5.0609999999999999</v>
          </cell>
        </row>
        <row r="6096">
          <cell r="A6096" t="str">
            <v>37773200411</v>
          </cell>
          <cell r="B6096">
            <v>37773</v>
          </cell>
          <cell r="C6096" t="str">
            <v>NG</v>
          </cell>
          <cell r="D6096" t="str">
            <v>200411</v>
          </cell>
          <cell r="E6096">
            <v>5.2409999999999997</v>
          </cell>
        </row>
        <row r="6097">
          <cell r="A6097" t="str">
            <v>37773200412</v>
          </cell>
          <cell r="B6097">
            <v>37773</v>
          </cell>
          <cell r="C6097" t="str">
            <v>NG</v>
          </cell>
          <cell r="D6097" t="str">
            <v>200412</v>
          </cell>
          <cell r="E6097">
            <v>5.4109999999999996</v>
          </cell>
        </row>
        <row r="6098">
          <cell r="A6098" t="str">
            <v>37774200401</v>
          </cell>
          <cell r="B6098">
            <v>37774</v>
          </cell>
          <cell r="C6098" t="str">
            <v>NG</v>
          </cell>
          <cell r="D6098" t="str">
            <v>200401</v>
          </cell>
          <cell r="E6098">
            <v>6.742</v>
          </cell>
        </row>
        <row r="6099">
          <cell r="A6099" t="str">
            <v>37774200402</v>
          </cell>
          <cell r="B6099">
            <v>37774</v>
          </cell>
          <cell r="C6099" t="str">
            <v>NG</v>
          </cell>
          <cell r="D6099" t="str">
            <v>200402</v>
          </cell>
          <cell r="E6099">
            <v>6.5819999999999999</v>
          </cell>
        </row>
        <row r="6100">
          <cell r="A6100" t="str">
            <v>37774200403</v>
          </cell>
          <cell r="B6100">
            <v>37774</v>
          </cell>
          <cell r="C6100" t="str">
            <v>NG</v>
          </cell>
          <cell r="D6100" t="str">
            <v>200403</v>
          </cell>
          <cell r="E6100">
            <v>6.266</v>
          </cell>
        </row>
        <row r="6101">
          <cell r="A6101" t="str">
            <v>37774200404</v>
          </cell>
          <cell r="B6101">
            <v>37774</v>
          </cell>
          <cell r="C6101" t="str">
            <v>NG</v>
          </cell>
          <cell r="D6101" t="str">
            <v>200404</v>
          </cell>
          <cell r="E6101">
            <v>5.3710000000000004</v>
          </cell>
        </row>
        <row r="6102">
          <cell r="A6102" t="str">
            <v>37774200405</v>
          </cell>
          <cell r="B6102">
            <v>37774</v>
          </cell>
          <cell r="C6102" t="str">
            <v>NG</v>
          </cell>
          <cell r="D6102" t="str">
            <v>200405</v>
          </cell>
          <cell r="E6102">
            <v>5.1710000000000003</v>
          </cell>
        </row>
        <row r="6103">
          <cell r="A6103" t="str">
            <v>37774200406</v>
          </cell>
          <cell r="B6103">
            <v>37774</v>
          </cell>
          <cell r="C6103" t="str">
            <v>NG</v>
          </cell>
          <cell r="D6103" t="str">
            <v>200406</v>
          </cell>
          <cell r="E6103">
            <v>5.1310000000000002</v>
          </cell>
        </row>
        <row r="6104">
          <cell r="A6104" t="str">
            <v>37774200407</v>
          </cell>
          <cell r="B6104">
            <v>37774</v>
          </cell>
          <cell r="C6104" t="str">
            <v>NG</v>
          </cell>
          <cell r="D6104" t="str">
            <v>200407</v>
          </cell>
          <cell r="E6104">
            <v>5.1210000000000004</v>
          </cell>
        </row>
        <row r="6105">
          <cell r="A6105" t="str">
            <v>37774200408</v>
          </cell>
          <cell r="B6105">
            <v>37774</v>
          </cell>
          <cell r="C6105" t="str">
            <v>NG</v>
          </cell>
          <cell r="D6105" t="str">
            <v>200408</v>
          </cell>
          <cell r="E6105">
            <v>5.101</v>
          </cell>
        </row>
        <row r="6106">
          <cell r="A6106" t="str">
            <v>37774200409</v>
          </cell>
          <cell r="B6106">
            <v>37774</v>
          </cell>
          <cell r="C6106" t="str">
            <v>NG</v>
          </cell>
          <cell r="D6106" t="str">
            <v>200409</v>
          </cell>
          <cell r="E6106">
            <v>5.0810000000000004</v>
          </cell>
        </row>
        <row r="6107">
          <cell r="A6107" t="str">
            <v>37774200410</v>
          </cell>
          <cell r="B6107">
            <v>37774</v>
          </cell>
          <cell r="C6107" t="str">
            <v>NG</v>
          </cell>
          <cell r="D6107" t="str">
            <v>200410</v>
          </cell>
          <cell r="E6107">
            <v>5.0910000000000002</v>
          </cell>
        </row>
        <row r="6108">
          <cell r="A6108" t="str">
            <v>37774200411</v>
          </cell>
          <cell r="B6108">
            <v>37774</v>
          </cell>
          <cell r="C6108" t="str">
            <v>NG</v>
          </cell>
          <cell r="D6108" t="str">
            <v>200411</v>
          </cell>
          <cell r="E6108">
            <v>5.2560000000000002</v>
          </cell>
        </row>
        <row r="6109">
          <cell r="A6109" t="str">
            <v>37774200412</v>
          </cell>
          <cell r="B6109">
            <v>37774</v>
          </cell>
          <cell r="C6109" t="str">
            <v>NG</v>
          </cell>
          <cell r="D6109" t="str">
            <v>200412</v>
          </cell>
          <cell r="E6109">
            <v>5.4109999999999996</v>
          </cell>
        </row>
        <row r="6110">
          <cell r="A6110" t="str">
            <v>37775200401</v>
          </cell>
          <cell r="B6110">
            <v>37775</v>
          </cell>
          <cell r="C6110" t="str">
            <v>NG</v>
          </cell>
          <cell r="D6110" t="str">
            <v>200401</v>
          </cell>
          <cell r="E6110">
            <v>6.7140000000000004</v>
          </cell>
        </row>
        <row r="6111">
          <cell r="A6111" t="str">
            <v>37775200402</v>
          </cell>
          <cell r="B6111">
            <v>37775</v>
          </cell>
          <cell r="C6111" t="str">
            <v>NG</v>
          </cell>
          <cell r="D6111" t="str">
            <v>200402</v>
          </cell>
          <cell r="E6111">
            <v>6.5640000000000001</v>
          </cell>
        </row>
        <row r="6112">
          <cell r="A6112" t="str">
            <v>37775200403</v>
          </cell>
          <cell r="B6112">
            <v>37775</v>
          </cell>
          <cell r="C6112" t="str">
            <v>NG</v>
          </cell>
          <cell r="D6112" t="str">
            <v>200403</v>
          </cell>
          <cell r="E6112">
            <v>6.2640000000000002</v>
          </cell>
        </row>
        <row r="6113">
          <cell r="A6113" t="str">
            <v>37775200404</v>
          </cell>
          <cell r="B6113">
            <v>37775</v>
          </cell>
          <cell r="C6113" t="str">
            <v>NG</v>
          </cell>
          <cell r="D6113" t="str">
            <v>200404</v>
          </cell>
          <cell r="E6113">
            <v>5.3689999999999998</v>
          </cell>
        </row>
        <row r="6114">
          <cell r="A6114" t="str">
            <v>37775200405</v>
          </cell>
          <cell r="B6114">
            <v>37775</v>
          </cell>
          <cell r="C6114" t="str">
            <v>NG</v>
          </cell>
          <cell r="D6114" t="str">
            <v>200405</v>
          </cell>
          <cell r="E6114">
            <v>5.1689999999999996</v>
          </cell>
        </row>
        <row r="6115">
          <cell r="A6115" t="str">
            <v>37775200406</v>
          </cell>
          <cell r="B6115">
            <v>37775</v>
          </cell>
          <cell r="C6115" t="str">
            <v>NG</v>
          </cell>
          <cell r="D6115" t="str">
            <v>200406</v>
          </cell>
          <cell r="E6115">
            <v>5.1440000000000001</v>
          </cell>
        </row>
        <row r="6116">
          <cell r="A6116" t="str">
            <v>37775200407</v>
          </cell>
          <cell r="B6116">
            <v>37775</v>
          </cell>
          <cell r="C6116" t="str">
            <v>NG</v>
          </cell>
          <cell r="D6116" t="str">
            <v>200407</v>
          </cell>
          <cell r="E6116">
            <v>5.1340000000000003</v>
          </cell>
        </row>
        <row r="6117">
          <cell r="A6117" t="str">
            <v>37775200408</v>
          </cell>
          <cell r="B6117">
            <v>37775</v>
          </cell>
          <cell r="C6117" t="str">
            <v>NG</v>
          </cell>
          <cell r="D6117" t="str">
            <v>200408</v>
          </cell>
          <cell r="E6117">
            <v>5.1239999999999997</v>
          </cell>
        </row>
        <row r="6118">
          <cell r="A6118" t="str">
            <v>37775200409</v>
          </cell>
          <cell r="B6118">
            <v>37775</v>
          </cell>
          <cell r="C6118" t="str">
            <v>NG</v>
          </cell>
          <cell r="D6118" t="str">
            <v>200409</v>
          </cell>
          <cell r="E6118">
            <v>5.109</v>
          </cell>
        </row>
        <row r="6119">
          <cell r="A6119" t="str">
            <v>37775200410</v>
          </cell>
          <cell r="B6119">
            <v>37775</v>
          </cell>
          <cell r="C6119" t="str">
            <v>NG</v>
          </cell>
          <cell r="D6119" t="str">
            <v>200410</v>
          </cell>
          <cell r="E6119">
            <v>5.109</v>
          </cell>
        </row>
        <row r="6120">
          <cell r="A6120" t="str">
            <v>37775200411</v>
          </cell>
          <cell r="B6120">
            <v>37775</v>
          </cell>
          <cell r="C6120" t="str">
            <v>NG</v>
          </cell>
          <cell r="D6120" t="str">
            <v>200411</v>
          </cell>
          <cell r="E6120">
            <v>5.2789999999999999</v>
          </cell>
        </row>
        <row r="6121">
          <cell r="A6121" t="str">
            <v>37775200412</v>
          </cell>
          <cell r="B6121">
            <v>37775</v>
          </cell>
          <cell r="C6121" t="str">
            <v>NG</v>
          </cell>
          <cell r="D6121" t="str">
            <v>200412</v>
          </cell>
          <cell r="E6121">
            <v>5.4390000000000001</v>
          </cell>
        </row>
        <row r="6122">
          <cell r="A6122" t="str">
            <v>37776200401</v>
          </cell>
          <cell r="B6122">
            <v>37776</v>
          </cell>
          <cell r="C6122" t="str">
            <v>NG</v>
          </cell>
          <cell r="D6122" t="str">
            <v>200401</v>
          </cell>
          <cell r="E6122">
            <v>6.7380000000000004</v>
          </cell>
        </row>
        <row r="6123">
          <cell r="A6123" t="str">
            <v>37776200402</v>
          </cell>
          <cell r="B6123">
            <v>37776</v>
          </cell>
          <cell r="C6123" t="str">
            <v>NG</v>
          </cell>
          <cell r="D6123" t="str">
            <v>200402</v>
          </cell>
          <cell r="E6123">
            <v>6.5880000000000001</v>
          </cell>
        </row>
        <row r="6124">
          <cell r="A6124" t="str">
            <v>37776200403</v>
          </cell>
          <cell r="B6124">
            <v>37776</v>
          </cell>
          <cell r="C6124" t="str">
            <v>NG</v>
          </cell>
          <cell r="D6124" t="str">
            <v>200403</v>
          </cell>
          <cell r="E6124">
            <v>6.2880000000000003</v>
          </cell>
        </row>
        <row r="6125">
          <cell r="A6125" t="str">
            <v>37776200404</v>
          </cell>
          <cell r="B6125">
            <v>37776</v>
          </cell>
          <cell r="C6125" t="str">
            <v>NG</v>
          </cell>
          <cell r="D6125" t="str">
            <v>200404</v>
          </cell>
          <cell r="E6125">
            <v>5.3840000000000003</v>
          </cell>
        </row>
        <row r="6126">
          <cell r="A6126" t="str">
            <v>37776200405</v>
          </cell>
          <cell r="B6126">
            <v>37776</v>
          </cell>
          <cell r="C6126" t="str">
            <v>NG</v>
          </cell>
          <cell r="D6126" t="str">
            <v>200405</v>
          </cell>
          <cell r="E6126">
            <v>5.1840000000000002</v>
          </cell>
        </row>
        <row r="6127">
          <cell r="A6127" t="str">
            <v>37776200406</v>
          </cell>
          <cell r="B6127">
            <v>37776</v>
          </cell>
          <cell r="C6127" t="str">
            <v>NG</v>
          </cell>
          <cell r="D6127" t="str">
            <v>200406</v>
          </cell>
          <cell r="E6127">
            <v>5.1539999999999999</v>
          </cell>
        </row>
        <row r="6128">
          <cell r="A6128" t="str">
            <v>37776200407</v>
          </cell>
          <cell r="B6128">
            <v>37776</v>
          </cell>
          <cell r="C6128" t="str">
            <v>NG</v>
          </cell>
          <cell r="D6128" t="str">
            <v>200407</v>
          </cell>
          <cell r="E6128">
            <v>5.1440000000000001</v>
          </cell>
        </row>
        <row r="6129">
          <cell r="A6129" t="str">
            <v>37776200408</v>
          </cell>
          <cell r="B6129">
            <v>37776</v>
          </cell>
          <cell r="C6129" t="str">
            <v>NG</v>
          </cell>
          <cell r="D6129" t="str">
            <v>200408</v>
          </cell>
          <cell r="E6129">
            <v>5.1340000000000003</v>
          </cell>
        </row>
        <row r="6130">
          <cell r="A6130" t="str">
            <v>37776200409</v>
          </cell>
          <cell r="B6130">
            <v>37776</v>
          </cell>
          <cell r="C6130" t="str">
            <v>NG</v>
          </cell>
          <cell r="D6130" t="str">
            <v>200409</v>
          </cell>
          <cell r="E6130">
            <v>5.1189999999999998</v>
          </cell>
        </row>
        <row r="6131">
          <cell r="A6131" t="str">
            <v>37776200410</v>
          </cell>
          <cell r="B6131">
            <v>37776</v>
          </cell>
          <cell r="C6131" t="str">
            <v>NG</v>
          </cell>
          <cell r="D6131" t="str">
            <v>200410</v>
          </cell>
          <cell r="E6131">
            <v>5.1189999999999998</v>
          </cell>
        </row>
        <row r="6132">
          <cell r="A6132" t="str">
            <v>37776200411</v>
          </cell>
          <cell r="B6132">
            <v>37776</v>
          </cell>
          <cell r="C6132" t="str">
            <v>NG</v>
          </cell>
          <cell r="D6132" t="str">
            <v>200411</v>
          </cell>
          <cell r="E6132">
            <v>5.2930000000000001</v>
          </cell>
        </row>
        <row r="6133">
          <cell r="A6133" t="str">
            <v>37776200412</v>
          </cell>
          <cell r="B6133">
            <v>37776</v>
          </cell>
          <cell r="C6133" t="str">
            <v>NG</v>
          </cell>
          <cell r="D6133" t="str">
            <v>200412</v>
          </cell>
          <cell r="E6133">
            <v>5.4580000000000002</v>
          </cell>
        </row>
        <row r="6134">
          <cell r="A6134" t="str">
            <v>37777200401</v>
          </cell>
          <cell r="B6134">
            <v>37777</v>
          </cell>
          <cell r="C6134" t="str">
            <v>NG</v>
          </cell>
          <cell r="D6134" t="str">
            <v>200401</v>
          </cell>
          <cell r="E6134">
            <v>6.86</v>
          </cell>
        </row>
        <row r="6135">
          <cell r="A6135" t="str">
            <v>37777200402</v>
          </cell>
          <cell r="B6135">
            <v>37777</v>
          </cell>
          <cell r="C6135" t="str">
            <v>NG</v>
          </cell>
          <cell r="D6135" t="str">
            <v>200402</v>
          </cell>
          <cell r="E6135">
            <v>6.72</v>
          </cell>
        </row>
        <row r="6136">
          <cell r="A6136" t="str">
            <v>37777200403</v>
          </cell>
          <cell r="B6136">
            <v>37777</v>
          </cell>
          <cell r="C6136" t="str">
            <v>NG</v>
          </cell>
          <cell r="D6136" t="str">
            <v>200403</v>
          </cell>
          <cell r="E6136">
            <v>6.41</v>
          </cell>
        </row>
        <row r="6137">
          <cell r="A6137" t="str">
            <v>37777200404</v>
          </cell>
          <cell r="B6137">
            <v>37777</v>
          </cell>
          <cell r="C6137" t="str">
            <v>NG</v>
          </cell>
          <cell r="D6137" t="str">
            <v>200404</v>
          </cell>
          <cell r="E6137">
            <v>5.48</v>
          </cell>
        </row>
        <row r="6138">
          <cell r="A6138" t="str">
            <v>37777200405</v>
          </cell>
          <cell r="B6138">
            <v>37777</v>
          </cell>
          <cell r="C6138" t="str">
            <v>NG</v>
          </cell>
          <cell r="D6138" t="str">
            <v>200405</v>
          </cell>
          <cell r="E6138">
            <v>5.28</v>
          </cell>
        </row>
        <row r="6139">
          <cell r="A6139" t="str">
            <v>37777200406</v>
          </cell>
          <cell r="B6139">
            <v>37777</v>
          </cell>
          <cell r="C6139" t="str">
            <v>NG</v>
          </cell>
          <cell r="D6139" t="str">
            <v>200406</v>
          </cell>
          <cell r="E6139">
            <v>5.25</v>
          </cell>
        </row>
        <row r="6140">
          <cell r="A6140" t="str">
            <v>37777200407</v>
          </cell>
          <cell r="B6140">
            <v>37777</v>
          </cell>
          <cell r="C6140" t="str">
            <v>NG</v>
          </cell>
          <cell r="D6140" t="str">
            <v>200407</v>
          </cell>
          <cell r="E6140">
            <v>5.24</v>
          </cell>
        </row>
        <row r="6141">
          <cell r="A6141" t="str">
            <v>37777200408</v>
          </cell>
          <cell r="B6141">
            <v>37777</v>
          </cell>
          <cell r="C6141" t="str">
            <v>NG</v>
          </cell>
          <cell r="D6141" t="str">
            <v>200408</v>
          </cell>
          <cell r="E6141">
            <v>5.23</v>
          </cell>
        </row>
        <row r="6142">
          <cell r="A6142" t="str">
            <v>37777200409</v>
          </cell>
          <cell r="B6142">
            <v>37777</v>
          </cell>
          <cell r="C6142" t="str">
            <v>NG</v>
          </cell>
          <cell r="D6142" t="str">
            <v>200409</v>
          </cell>
          <cell r="E6142">
            <v>5.2149999999999999</v>
          </cell>
        </row>
        <row r="6143">
          <cell r="A6143" t="str">
            <v>37777200410</v>
          </cell>
          <cell r="B6143">
            <v>37777</v>
          </cell>
          <cell r="C6143" t="str">
            <v>NG</v>
          </cell>
          <cell r="D6143" t="str">
            <v>200410</v>
          </cell>
          <cell r="E6143">
            <v>5.2149999999999999</v>
          </cell>
        </row>
        <row r="6144">
          <cell r="A6144" t="str">
            <v>37777200411</v>
          </cell>
          <cell r="B6144">
            <v>37777</v>
          </cell>
          <cell r="C6144" t="str">
            <v>NG</v>
          </cell>
          <cell r="D6144" t="str">
            <v>200411</v>
          </cell>
          <cell r="E6144">
            <v>5.3890000000000002</v>
          </cell>
        </row>
        <row r="6145">
          <cell r="A6145" t="str">
            <v>37777200412</v>
          </cell>
          <cell r="B6145">
            <v>37777</v>
          </cell>
          <cell r="C6145" t="str">
            <v>NG</v>
          </cell>
          <cell r="D6145" t="str">
            <v>200412</v>
          </cell>
          <cell r="E6145">
            <v>5.5540000000000003</v>
          </cell>
        </row>
        <row r="6146">
          <cell r="A6146" t="str">
            <v>37778200401</v>
          </cell>
          <cell r="B6146">
            <v>37778</v>
          </cell>
          <cell r="C6146" t="str">
            <v>NG</v>
          </cell>
          <cell r="D6146" t="str">
            <v>200401</v>
          </cell>
          <cell r="E6146">
            <v>6.8470000000000004</v>
          </cell>
        </row>
        <row r="6147">
          <cell r="A6147" t="str">
            <v>37778200402</v>
          </cell>
          <cell r="B6147">
            <v>37778</v>
          </cell>
          <cell r="C6147" t="str">
            <v>NG</v>
          </cell>
          <cell r="D6147" t="str">
            <v>200402</v>
          </cell>
          <cell r="E6147">
            <v>6.7119999999999997</v>
          </cell>
        </row>
        <row r="6148">
          <cell r="A6148" t="str">
            <v>37778200403</v>
          </cell>
          <cell r="B6148">
            <v>37778</v>
          </cell>
          <cell r="C6148" t="str">
            <v>NG</v>
          </cell>
          <cell r="D6148" t="str">
            <v>200403</v>
          </cell>
          <cell r="E6148">
            <v>6.3970000000000002</v>
          </cell>
        </row>
        <row r="6149">
          <cell r="A6149" t="str">
            <v>37778200404</v>
          </cell>
          <cell r="B6149">
            <v>37778</v>
          </cell>
          <cell r="C6149" t="str">
            <v>NG</v>
          </cell>
          <cell r="D6149" t="str">
            <v>200404</v>
          </cell>
          <cell r="E6149">
            <v>5.4569999999999999</v>
          </cell>
        </row>
        <row r="6150">
          <cell r="A6150" t="str">
            <v>37778200405</v>
          </cell>
          <cell r="B6150">
            <v>37778</v>
          </cell>
          <cell r="C6150" t="str">
            <v>NG</v>
          </cell>
          <cell r="D6150" t="str">
            <v>200405</v>
          </cell>
          <cell r="E6150">
            <v>5.2569999999999997</v>
          </cell>
        </row>
        <row r="6151">
          <cell r="A6151" t="str">
            <v>37778200406</v>
          </cell>
          <cell r="B6151">
            <v>37778</v>
          </cell>
          <cell r="C6151" t="str">
            <v>NG</v>
          </cell>
          <cell r="D6151" t="str">
            <v>200406</v>
          </cell>
          <cell r="E6151">
            <v>5.2270000000000003</v>
          </cell>
        </row>
        <row r="6152">
          <cell r="A6152" t="str">
            <v>37778200407</v>
          </cell>
          <cell r="B6152">
            <v>37778</v>
          </cell>
          <cell r="C6152" t="str">
            <v>NG</v>
          </cell>
          <cell r="D6152" t="str">
            <v>200407</v>
          </cell>
          <cell r="E6152">
            <v>5.2169999999999996</v>
          </cell>
        </row>
        <row r="6153">
          <cell r="A6153" t="str">
            <v>37778200408</v>
          </cell>
          <cell r="B6153">
            <v>37778</v>
          </cell>
          <cell r="C6153" t="str">
            <v>NG</v>
          </cell>
          <cell r="D6153" t="str">
            <v>200408</v>
          </cell>
          <cell r="E6153">
            <v>5.2069999999999999</v>
          </cell>
        </row>
        <row r="6154">
          <cell r="A6154" t="str">
            <v>37778200409</v>
          </cell>
          <cell r="B6154">
            <v>37778</v>
          </cell>
          <cell r="C6154" t="str">
            <v>NG</v>
          </cell>
          <cell r="D6154" t="str">
            <v>200409</v>
          </cell>
          <cell r="E6154">
            <v>5.1920000000000002</v>
          </cell>
        </row>
        <row r="6155">
          <cell r="A6155" t="str">
            <v>37778200410</v>
          </cell>
          <cell r="B6155">
            <v>37778</v>
          </cell>
          <cell r="C6155" t="str">
            <v>NG</v>
          </cell>
          <cell r="D6155" t="str">
            <v>200410</v>
          </cell>
          <cell r="E6155">
            <v>5.1920000000000002</v>
          </cell>
        </row>
        <row r="6156">
          <cell r="A6156" t="str">
            <v>37778200411</v>
          </cell>
          <cell r="B6156">
            <v>37778</v>
          </cell>
          <cell r="C6156" t="str">
            <v>NG</v>
          </cell>
          <cell r="D6156" t="str">
            <v>200411</v>
          </cell>
          <cell r="E6156">
            <v>5.3659999999999997</v>
          </cell>
        </row>
        <row r="6157">
          <cell r="A6157" t="str">
            <v>37778200412</v>
          </cell>
          <cell r="B6157">
            <v>37778</v>
          </cell>
          <cell r="C6157" t="str">
            <v>NG</v>
          </cell>
          <cell r="D6157" t="str">
            <v>200412</v>
          </cell>
          <cell r="E6157">
            <v>5.5309999999999997</v>
          </cell>
        </row>
        <row r="6158">
          <cell r="A6158" t="str">
            <v>37779200401</v>
          </cell>
          <cell r="B6158">
            <v>37779</v>
          </cell>
          <cell r="C6158" t="str">
            <v>NG</v>
          </cell>
          <cell r="D6158" t="str">
            <v>200401</v>
          </cell>
          <cell r="E6158">
            <v>6.8470000000000004</v>
          </cell>
        </row>
        <row r="6159">
          <cell r="A6159" t="str">
            <v>37779200402</v>
          </cell>
          <cell r="B6159">
            <v>37779</v>
          </cell>
          <cell r="C6159" t="str">
            <v>NG</v>
          </cell>
          <cell r="D6159" t="str">
            <v>200402</v>
          </cell>
          <cell r="E6159">
            <v>6.7119999999999997</v>
          </cell>
        </row>
        <row r="6160">
          <cell r="A6160" t="str">
            <v>37779200403</v>
          </cell>
          <cell r="B6160">
            <v>37779</v>
          </cell>
          <cell r="C6160" t="str">
            <v>NG</v>
          </cell>
          <cell r="D6160" t="str">
            <v>200403</v>
          </cell>
          <cell r="E6160">
            <v>6.3970000000000002</v>
          </cell>
        </row>
        <row r="6161">
          <cell r="A6161" t="str">
            <v>37779200404</v>
          </cell>
          <cell r="B6161">
            <v>37779</v>
          </cell>
          <cell r="C6161" t="str">
            <v>NG</v>
          </cell>
          <cell r="D6161" t="str">
            <v>200404</v>
          </cell>
          <cell r="E6161">
            <v>5.4569999999999999</v>
          </cell>
        </row>
        <row r="6162">
          <cell r="A6162" t="str">
            <v>37779200405</v>
          </cell>
          <cell r="B6162">
            <v>37779</v>
          </cell>
          <cell r="C6162" t="str">
            <v>NG</v>
          </cell>
          <cell r="D6162" t="str">
            <v>200405</v>
          </cell>
          <cell r="E6162">
            <v>5.2569999999999997</v>
          </cell>
        </row>
        <row r="6163">
          <cell r="A6163" t="str">
            <v>37779200406</v>
          </cell>
          <cell r="B6163">
            <v>37779</v>
          </cell>
          <cell r="C6163" t="str">
            <v>NG</v>
          </cell>
          <cell r="D6163" t="str">
            <v>200406</v>
          </cell>
          <cell r="E6163">
            <v>5.2270000000000003</v>
          </cell>
        </row>
        <row r="6164">
          <cell r="A6164" t="str">
            <v>37779200407</v>
          </cell>
          <cell r="B6164">
            <v>37779</v>
          </cell>
          <cell r="C6164" t="str">
            <v>NG</v>
          </cell>
          <cell r="D6164" t="str">
            <v>200407</v>
          </cell>
          <cell r="E6164">
            <v>5.2169999999999996</v>
          </cell>
        </row>
        <row r="6165">
          <cell r="A6165" t="str">
            <v>37779200408</v>
          </cell>
          <cell r="B6165">
            <v>37779</v>
          </cell>
          <cell r="C6165" t="str">
            <v>NG</v>
          </cell>
          <cell r="D6165" t="str">
            <v>200408</v>
          </cell>
          <cell r="E6165">
            <v>5.2069999999999999</v>
          </cell>
        </row>
        <row r="6166">
          <cell r="A6166" t="str">
            <v>37779200409</v>
          </cell>
          <cell r="B6166">
            <v>37779</v>
          </cell>
          <cell r="C6166" t="str">
            <v>NG</v>
          </cell>
          <cell r="D6166" t="str">
            <v>200409</v>
          </cell>
          <cell r="E6166">
            <v>5.1920000000000002</v>
          </cell>
        </row>
        <row r="6167">
          <cell r="A6167" t="str">
            <v>37779200410</v>
          </cell>
          <cell r="B6167">
            <v>37779</v>
          </cell>
          <cell r="C6167" t="str">
            <v>NG</v>
          </cell>
          <cell r="D6167" t="str">
            <v>200410</v>
          </cell>
          <cell r="E6167">
            <v>5.1920000000000002</v>
          </cell>
        </row>
        <row r="6168">
          <cell r="A6168" t="str">
            <v>37779200411</v>
          </cell>
          <cell r="B6168">
            <v>37779</v>
          </cell>
          <cell r="C6168" t="str">
            <v>NG</v>
          </cell>
          <cell r="D6168" t="str">
            <v>200411</v>
          </cell>
          <cell r="E6168">
            <v>5.3659999999999997</v>
          </cell>
        </row>
        <row r="6169">
          <cell r="A6169" t="str">
            <v>37779200412</v>
          </cell>
          <cell r="B6169">
            <v>37779</v>
          </cell>
          <cell r="C6169" t="str">
            <v>NG</v>
          </cell>
          <cell r="D6169" t="str">
            <v>200412</v>
          </cell>
          <cell r="E6169">
            <v>5.5309999999999997</v>
          </cell>
        </row>
        <row r="6170">
          <cell r="A6170" t="str">
            <v>37780200401</v>
          </cell>
          <cell r="B6170">
            <v>37780</v>
          </cell>
          <cell r="C6170" t="str">
            <v>NG</v>
          </cell>
          <cell r="D6170" t="str">
            <v>200401</v>
          </cell>
          <cell r="E6170">
            <v>6.8470000000000004</v>
          </cell>
        </row>
        <row r="6171">
          <cell r="A6171" t="str">
            <v>37780200402</v>
          </cell>
          <cell r="B6171">
            <v>37780</v>
          </cell>
          <cell r="C6171" t="str">
            <v>NG</v>
          </cell>
          <cell r="D6171" t="str">
            <v>200402</v>
          </cell>
          <cell r="E6171">
            <v>6.7119999999999997</v>
          </cell>
        </row>
        <row r="6172">
          <cell r="A6172" t="str">
            <v>37780200403</v>
          </cell>
          <cell r="B6172">
            <v>37780</v>
          </cell>
          <cell r="C6172" t="str">
            <v>NG</v>
          </cell>
          <cell r="D6172" t="str">
            <v>200403</v>
          </cell>
          <cell r="E6172">
            <v>6.3970000000000002</v>
          </cell>
        </row>
        <row r="6173">
          <cell r="A6173" t="str">
            <v>37780200404</v>
          </cell>
          <cell r="B6173">
            <v>37780</v>
          </cell>
          <cell r="C6173" t="str">
            <v>NG</v>
          </cell>
          <cell r="D6173" t="str">
            <v>200404</v>
          </cell>
          <cell r="E6173">
            <v>5.4569999999999999</v>
          </cell>
        </row>
        <row r="6174">
          <cell r="A6174" t="str">
            <v>37780200405</v>
          </cell>
          <cell r="B6174">
            <v>37780</v>
          </cell>
          <cell r="C6174" t="str">
            <v>NG</v>
          </cell>
          <cell r="D6174" t="str">
            <v>200405</v>
          </cell>
          <cell r="E6174">
            <v>5.2569999999999997</v>
          </cell>
        </row>
        <row r="6175">
          <cell r="A6175" t="str">
            <v>37780200406</v>
          </cell>
          <cell r="B6175">
            <v>37780</v>
          </cell>
          <cell r="C6175" t="str">
            <v>NG</v>
          </cell>
          <cell r="D6175" t="str">
            <v>200406</v>
          </cell>
          <cell r="E6175">
            <v>5.2270000000000003</v>
          </cell>
        </row>
        <row r="6176">
          <cell r="A6176" t="str">
            <v>37780200407</v>
          </cell>
          <cell r="B6176">
            <v>37780</v>
          </cell>
          <cell r="C6176" t="str">
            <v>NG</v>
          </cell>
          <cell r="D6176" t="str">
            <v>200407</v>
          </cell>
          <cell r="E6176">
            <v>5.2169999999999996</v>
          </cell>
        </row>
        <row r="6177">
          <cell r="A6177" t="str">
            <v>37780200408</v>
          </cell>
          <cell r="B6177">
            <v>37780</v>
          </cell>
          <cell r="C6177" t="str">
            <v>NG</v>
          </cell>
          <cell r="D6177" t="str">
            <v>200408</v>
          </cell>
          <cell r="E6177">
            <v>5.2069999999999999</v>
          </cell>
        </row>
        <row r="6178">
          <cell r="A6178" t="str">
            <v>37780200409</v>
          </cell>
          <cell r="B6178">
            <v>37780</v>
          </cell>
          <cell r="C6178" t="str">
            <v>NG</v>
          </cell>
          <cell r="D6178" t="str">
            <v>200409</v>
          </cell>
          <cell r="E6178">
            <v>5.1920000000000002</v>
          </cell>
        </row>
        <row r="6179">
          <cell r="A6179" t="str">
            <v>37780200410</v>
          </cell>
          <cell r="B6179">
            <v>37780</v>
          </cell>
          <cell r="C6179" t="str">
            <v>NG</v>
          </cell>
          <cell r="D6179" t="str">
            <v>200410</v>
          </cell>
          <cell r="E6179">
            <v>5.1920000000000002</v>
          </cell>
        </row>
        <row r="6180">
          <cell r="A6180" t="str">
            <v>37780200411</v>
          </cell>
          <cell r="B6180">
            <v>37780</v>
          </cell>
          <cell r="C6180" t="str">
            <v>NG</v>
          </cell>
          <cell r="D6180" t="str">
            <v>200411</v>
          </cell>
          <cell r="E6180">
            <v>5.3659999999999997</v>
          </cell>
        </row>
        <row r="6181">
          <cell r="A6181" t="str">
            <v>37780200412</v>
          </cell>
          <cell r="B6181">
            <v>37780</v>
          </cell>
          <cell r="C6181" t="str">
            <v>NG</v>
          </cell>
          <cell r="D6181" t="str">
            <v>200412</v>
          </cell>
          <cell r="E6181">
            <v>5.5309999999999997</v>
          </cell>
        </row>
        <row r="6182">
          <cell r="A6182" t="str">
            <v>37781200401</v>
          </cell>
          <cell r="B6182">
            <v>37781</v>
          </cell>
          <cell r="C6182" t="str">
            <v>NG</v>
          </cell>
          <cell r="D6182" t="str">
            <v>200401</v>
          </cell>
          <cell r="E6182">
            <v>6.7590000000000003</v>
          </cell>
        </row>
        <row r="6183">
          <cell r="A6183" t="str">
            <v>37781200402</v>
          </cell>
          <cell r="B6183">
            <v>37781</v>
          </cell>
          <cell r="C6183" t="str">
            <v>NG</v>
          </cell>
          <cell r="D6183" t="str">
            <v>200402</v>
          </cell>
          <cell r="E6183">
            <v>6.6340000000000003</v>
          </cell>
        </row>
        <row r="6184">
          <cell r="A6184" t="str">
            <v>37781200403</v>
          </cell>
          <cell r="B6184">
            <v>37781</v>
          </cell>
          <cell r="C6184" t="str">
            <v>NG</v>
          </cell>
          <cell r="D6184" t="str">
            <v>200403</v>
          </cell>
          <cell r="E6184">
            <v>6.3239999999999998</v>
          </cell>
        </row>
        <row r="6185">
          <cell r="A6185" t="str">
            <v>37781200404</v>
          </cell>
          <cell r="B6185">
            <v>37781</v>
          </cell>
          <cell r="C6185" t="str">
            <v>NG</v>
          </cell>
          <cell r="D6185" t="str">
            <v>200404</v>
          </cell>
          <cell r="E6185">
            <v>5.4039999999999999</v>
          </cell>
        </row>
        <row r="6186">
          <cell r="A6186" t="str">
            <v>37781200405</v>
          </cell>
          <cell r="B6186">
            <v>37781</v>
          </cell>
          <cell r="C6186" t="str">
            <v>NG</v>
          </cell>
          <cell r="D6186" t="str">
            <v>200405</v>
          </cell>
          <cell r="E6186">
            <v>5.2039999999999997</v>
          </cell>
        </row>
        <row r="6187">
          <cell r="A6187" t="str">
            <v>37781200406</v>
          </cell>
          <cell r="B6187">
            <v>37781</v>
          </cell>
          <cell r="C6187" t="str">
            <v>NG</v>
          </cell>
          <cell r="D6187" t="str">
            <v>200406</v>
          </cell>
          <cell r="E6187">
            <v>5.1740000000000004</v>
          </cell>
        </row>
        <row r="6188">
          <cell r="A6188" t="str">
            <v>37781200407</v>
          </cell>
          <cell r="B6188">
            <v>37781</v>
          </cell>
          <cell r="C6188" t="str">
            <v>NG</v>
          </cell>
          <cell r="D6188" t="str">
            <v>200407</v>
          </cell>
          <cell r="E6188">
            <v>5.1639999999999997</v>
          </cell>
        </row>
        <row r="6189">
          <cell r="A6189" t="str">
            <v>37781200408</v>
          </cell>
          <cell r="B6189">
            <v>37781</v>
          </cell>
          <cell r="C6189" t="str">
            <v>NG</v>
          </cell>
          <cell r="D6189" t="str">
            <v>200408</v>
          </cell>
          <cell r="E6189">
            <v>5.1639999999999997</v>
          </cell>
        </row>
        <row r="6190">
          <cell r="A6190" t="str">
            <v>37781200409</v>
          </cell>
          <cell r="B6190">
            <v>37781</v>
          </cell>
          <cell r="C6190" t="str">
            <v>NG</v>
          </cell>
          <cell r="D6190" t="str">
            <v>200409</v>
          </cell>
          <cell r="E6190">
            <v>5.1440000000000001</v>
          </cell>
        </row>
        <row r="6191">
          <cell r="A6191" t="str">
            <v>37781200410</v>
          </cell>
          <cell r="B6191">
            <v>37781</v>
          </cell>
          <cell r="C6191" t="str">
            <v>NG</v>
          </cell>
          <cell r="D6191" t="str">
            <v>200410</v>
          </cell>
          <cell r="E6191">
            <v>5.1440000000000001</v>
          </cell>
        </row>
        <row r="6192">
          <cell r="A6192" t="str">
            <v>37781200411</v>
          </cell>
          <cell r="B6192">
            <v>37781</v>
          </cell>
          <cell r="C6192" t="str">
            <v>NG</v>
          </cell>
          <cell r="D6192" t="str">
            <v>200411</v>
          </cell>
          <cell r="E6192">
            <v>5.3209999999999997</v>
          </cell>
        </row>
        <row r="6193">
          <cell r="A6193" t="str">
            <v>37781200412</v>
          </cell>
          <cell r="B6193">
            <v>37781</v>
          </cell>
          <cell r="C6193" t="str">
            <v>NG</v>
          </cell>
          <cell r="D6193" t="str">
            <v>200412</v>
          </cell>
          <cell r="E6193">
            <v>5.4889999999999999</v>
          </cell>
        </row>
        <row r="6194">
          <cell r="A6194" t="str">
            <v>37782200401</v>
          </cell>
          <cell r="B6194">
            <v>37782</v>
          </cell>
          <cell r="C6194" t="str">
            <v>NG</v>
          </cell>
          <cell r="D6194" t="str">
            <v>200401</v>
          </cell>
          <cell r="E6194">
            <v>6.7750000000000004</v>
          </cell>
        </row>
        <row r="6195">
          <cell r="A6195" t="str">
            <v>37782200402</v>
          </cell>
          <cell r="B6195">
            <v>37782</v>
          </cell>
          <cell r="C6195" t="str">
            <v>NG</v>
          </cell>
          <cell r="D6195" t="str">
            <v>200402</v>
          </cell>
          <cell r="E6195">
            <v>6.6550000000000002</v>
          </cell>
        </row>
        <row r="6196">
          <cell r="A6196" t="str">
            <v>37782200403</v>
          </cell>
          <cell r="B6196">
            <v>37782</v>
          </cell>
          <cell r="C6196" t="str">
            <v>NG</v>
          </cell>
          <cell r="D6196" t="str">
            <v>200403</v>
          </cell>
          <cell r="E6196">
            <v>6.3550000000000004</v>
          </cell>
        </row>
        <row r="6197">
          <cell r="A6197" t="str">
            <v>37782200404</v>
          </cell>
          <cell r="B6197">
            <v>37782</v>
          </cell>
          <cell r="C6197" t="str">
            <v>NG</v>
          </cell>
          <cell r="D6197" t="str">
            <v>200404</v>
          </cell>
          <cell r="E6197">
            <v>5.4249999999999998</v>
          </cell>
        </row>
        <row r="6198">
          <cell r="A6198" t="str">
            <v>37782200405</v>
          </cell>
          <cell r="B6198">
            <v>37782</v>
          </cell>
          <cell r="C6198" t="str">
            <v>NG</v>
          </cell>
          <cell r="D6198" t="str">
            <v>200405</v>
          </cell>
          <cell r="E6198">
            <v>5.2249999999999996</v>
          </cell>
        </row>
        <row r="6199">
          <cell r="A6199" t="str">
            <v>37782200406</v>
          </cell>
          <cell r="B6199">
            <v>37782</v>
          </cell>
          <cell r="C6199" t="str">
            <v>NG</v>
          </cell>
          <cell r="D6199" t="str">
            <v>200406</v>
          </cell>
          <cell r="E6199">
            <v>5.1870000000000003</v>
          </cell>
        </row>
        <row r="6200">
          <cell r="A6200" t="str">
            <v>37782200407</v>
          </cell>
          <cell r="B6200">
            <v>37782</v>
          </cell>
          <cell r="C6200" t="str">
            <v>NG</v>
          </cell>
          <cell r="D6200" t="str">
            <v>200407</v>
          </cell>
          <cell r="E6200">
            <v>5.1719999999999997</v>
          </cell>
        </row>
        <row r="6201">
          <cell r="A6201" t="str">
            <v>37782200408</v>
          </cell>
          <cell r="B6201">
            <v>37782</v>
          </cell>
          <cell r="C6201" t="str">
            <v>NG</v>
          </cell>
          <cell r="D6201" t="str">
            <v>200408</v>
          </cell>
          <cell r="E6201">
            <v>5.165</v>
          </cell>
        </row>
        <row r="6202">
          <cell r="A6202" t="str">
            <v>37782200409</v>
          </cell>
          <cell r="B6202">
            <v>37782</v>
          </cell>
          <cell r="C6202" t="str">
            <v>NG</v>
          </cell>
          <cell r="D6202" t="str">
            <v>200409</v>
          </cell>
          <cell r="E6202">
            <v>5.1449999999999996</v>
          </cell>
        </row>
        <row r="6203">
          <cell r="A6203" t="str">
            <v>37782200410</v>
          </cell>
          <cell r="B6203">
            <v>37782</v>
          </cell>
          <cell r="C6203" t="str">
            <v>NG</v>
          </cell>
          <cell r="D6203" t="str">
            <v>200410</v>
          </cell>
          <cell r="E6203">
            <v>5.1449999999999996</v>
          </cell>
        </row>
        <row r="6204">
          <cell r="A6204" t="str">
            <v>37782200411</v>
          </cell>
          <cell r="B6204">
            <v>37782</v>
          </cell>
          <cell r="C6204" t="str">
            <v>NG</v>
          </cell>
          <cell r="D6204" t="str">
            <v>200411</v>
          </cell>
          <cell r="E6204">
            <v>5.3220000000000001</v>
          </cell>
        </row>
        <row r="6205">
          <cell r="A6205" t="str">
            <v>37782200412</v>
          </cell>
          <cell r="B6205">
            <v>37782</v>
          </cell>
          <cell r="C6205" t="str">
            <v>NG</v>
          </cell>
          <cell r="D6205" t="str">
            <v>200412</v>
          </cell>
          <cell r="E6205">
            <v>5.49</v>
          </cell>
        </row>
        <row r="6206">
          <cell r="A6206" t="str">
            <v>37783200401</v>
          </cell>
          <cell r="B6206">
            <v>37783</v>
          </cell>
          <cell r="C6206" t="str">
            <v>NG</v>
          </cell>
          <cell r="D6206" t="str">
            <v>200401</v>
          </cell>
          <cell r="E6206">
            <v>6.6870000000000003</v>
          </cell>
        </row>
        <row r="6207">
          <cell r="A6207" t="str">
            <v>37783200402</v>
          </cell>
          <cell r="B6207">
            <v>37783</v>
          </cell>
          <cell r="C6207" t="str">
            <v>NG</v>
          </cell>
          <cell r="D6207" t="str">
            <v>200402</v>
          </cell>
          <cell r="E6207">
            <v>6.5780000000000003</v>
          </cell>
        </row>
        <row r="6208">
          <cell r="A6208" t="str">
            <v>37783200403</v>
          </cell>
          <cell r="B6208">
            <v>37783</v>
          </cell>
          <cell r="C6208" t="str">
            <v>NG</v>
          </cell>
          <cell r="D6208" t="str">
            <v>200403</v>
          </cell>
          <cell r="E6208">
            <v>6.2880000000000003</v>
          </cell>
        </row>
        <row r="6209">
          <cell r="A6209" t="str">
            <v>37783200404</v>
          </cell>
          <cell r="B6209">
            <v>37783</v>
          </cell>
          <cell r="C6209" t="str">
            <v>NG</v>
          </cell>
          <cell r="D6209" t="str">
            <v>200404</v>
          </cell>
          <cell r="E6209">
            <v>5.3680000000000003</v>
          </cell>
        </row>
        <row r="6210">
          <cell r="A6210" t="str">
            <v>37783200405</v>
          </cell>
          <cell r="B6210">
            <v>37783</v>
          </cell>
          <cell r="C6210" t="str">
            <v>NG</v>
          </cell>
          <cell r="D6210" t="str">
            <v>200405</v>
          </cell>
          <cell r="E6210">
            <v>5.1829999999999998</v>
          </cell>
        </row>
        <row r="6211">
          <cell r="A6211" t="str">
            <v>37783200406</v>
          </cell>
          <cell r="B6211">
            <v>37783</v>
          </cell>
          <cell r="C6211" t="str">
            <v>NG</v>
          </cell>
          <cell r="D6211" t="str">
            <v>200406</v>
          </cell>
          <cell r="E6211">
            <v>5.165</v>
          </cell>
        </row>
        <row r="6212">
          <cell r="A6212" t="str">
            <v>37783200407</v>
          </cell>
          <cell r="B6212">
            <v>37783</v>
          </cell>
          <cell r="C6212" t="str">
            <v>NG</v>
          </cell>
          <cell r="D6212" t="str">
            <v>200407</v>
          </cell>
          <cell r="E6212">
            <v>5.1529999999999996</v>
          </cell>
        </row>
        <row r="6213">
          <cell r="A6213" t="str">
            <v>37783200408</v>
          </cell>
          <cell r="B6213">
            <v>37783</v>
          </cell>
          <cell r="C6213" t="str">
            <v>NG</v>
          </cell>
          <cell r="D6213" t="str">
            <v>200408</v>
          </cell>
          <cell r="E6213">
            <v>5.1459999999999999</v>
          </cell>
        </row>
        <row r="6214">
          <cell r="A6214" t="str">
            <v>37783200409</v>
          </cell>
          <cell r="B6214">
            <v>37783</v>
          </cell>
          <cell r="C6214" t="str">
            <v>NG</v>
          </cell>
          <cell r="D6214" t="str">
            <v>200409</v>
          </cell>
          <cell r="E6214">
            <v>5.1310000000000002</v>
          </cell>
        </row>
        <row r="6215">
          <cell r="A6215" t="str">
            <v>37783200410</v>
          </cell>
          <cell r="B6215">
            <v>37783</v>
          </cell>
          <cell r="C6215" t="str">
            <v>NG</v>
          </cell>
          <cell r="D6215" t="str">
            <v>200410</v>
          </cell>
          <cell r="E6215">
            <v>5.1310000000000002</v>
          </cell>
        </row>
        <row r="6216">
          <cell r="A6216" t="str">
            <v>37783200411</v>
          </cell>
          <cell r="B6216">
            <v>37783</v>
          </cell>
          <cell r="C6216" t="str">
            <v>NG</v>
          </cell>
          <cell r="D6216" t="str">
            <v>200411</v>
          </cell>
          <cell r="E6216">
            <v>5.3109999999999999</v>
          </cell>
        </row>
        <row r="6217">
          <cell r="A6217" t="str">
            <v>37783200412</v>
          </cell>
          <cell r="B6217">
            <v>37783</v>
          </cell>
          <cell r="C6217" t="str">
            <v>NG</v>
          </cell>
          <cell r="D6217" t="str">
            <v>200412</v>
          </cell>
          <cell r="E6217">
            <v>5.4960000000000004</v>
          </cell>
        </row>
        <row r="6218">
          <cell r="A6218" t="str">
            <v>37784200401</v>
          </cell>
          <cell r="B6218">
            <v>37784</v>
          </cell>
          <cell r="C6218" t="str">
            <v>NG</v>
          </cell>
          <cell r="D6218" t="str">
            <v>200401</v>
          </cell>
          <cell r="E6218">
            <v>6.2910000000000004</v>
          </cell>
        </row>
        <row r="6219">
          <cell r="A6219" t="str">
            <v>37784200402</v>
          </cell>
          <cell r="B6219">
            <v>37784</v>
          </cell>
          <cell r="C6219" t="str">
            <v>NG</v>
          </cell>
          <cell r="D6219" t="str">
            <v>200402</v>
          </cell>
          <cell r="E6219">
            <v>6.2160000000000002</v>
          </cell>
        </row>
        <row r="6220">
          <cell r="A6220" t="str">
            <v>37784200403</v>
          </cell>
          <cell r="B6220">
            <v>37784</v>
          </cell>
          <cell r="C6220" t="str">
            <v>NG</v>
          </cell>
          <cell r="D6220" t="str">
            <v>200403</v>
          </cell>
          <cell r="E6220">
            <v>5.9809999999999999</v>
          </cell>
        </row>
        <row r="6221">
          <cell r="A6221" t="str">
            <v>37784200404</v>
          </cell>
          <cell r="B6221">
            <v>37784</v>
          </cell>
          <cell r="C6221" t="str">
            <v>NG</v>
          </cell>
          <cell r="D6221" t="str">
            <v>200404</v>
          </cell>
          <cell r="E6221">
            <v>5.2709999999999999</v>
          </cell>
        </row>
        <row r="6222">
          <cell r="A6222" t="str">
            <v>37784200405</v>
          </cell>
          <cell r="B6222">
            <v>37784</v>
          </cell>
          <cell r="C6222" t="str">
            <v>NG</v>
          </cell>
          <cell r="D6222" t="str">
            <v>200405</v>
          </cell>
          <cell r="E6222">
            <v>5.1260000000000003</v>
          </cell>
        </row>
        <row r="6223">
          <cell r="A6223" t="str">
            <v>37784200406</v>
          </cell>
          <cell r="B6223">
            <v>37784</v>
          </cell>
          <cell r="C6223" t="str">
            <v>NG</v>
          </cell>
          <cell r="D6223" t="str">
            <v>200406</v>
          </cell>
          <cell r="E6223">
            <v>5.1159999999999997</v>
          </cell>
        </row>
        <row r="6224">
          <cell r="A6224" t="str">
            <v>37784200407</v>
          </cell>
          <cell r="B6224">
            <v>37784</v>
          </cell>
          <cell r="C6224" t="str">
            <v>NG</v>
          </cell>
          <cell r="D6224" t="str">
            <v>200407</v>
          </cell>
          <cell r="E6224">
            <v>5.1059999999999999</v>
          </cell>
        </row>
        <row r="6225">
          <cell r="A6225" t="str">
            <v>37784200408</v>
          </cell>
          <cell r="B6225">
            <v>37784</v>
          </cell>
          <cell r="C6225" t="str">
            <v>NG</v>
          </cell>
          <cell r="D6225" t="str">
            <v>200408</v>
          </cell>
          <cell r="E6225">
            <v>5.1159999999999997</v>
          </cell>
        </row>
        <row r="6226">
          <cell r="A6226" t="str">
            <v>37784200409</v>
          </cell>
          <cell r="B6226">
            <v>37784</v>
          </cell>
          <cell r="C6226" t="str">
            <v>NG</v>
          </cell>
          <cell r="D6226" t="str">
            <v>200409</v>
          </cell>
          <cell r="E6226">
            <v>5.1159999999999997</v>
          </cell>
        </row>
        <row r="6227">
          <cell r="A6227" t="str">
            <v>37784200410</v>
          </cell>
          <cell r="B6227">
            <v>37784</v>
          </cell>
          <cell r="C6227" t="str">
            <v>NG</v>
          </cell>
          <cell r="D6227" t="str">
            <v>200410</v>
          </cell>
          <cell r="E6227">
            <v>5.1260000000000003</v>
          </cell>
        </row>
        <row r="6228">
          <cell r="A6228" t="str">
            <v>37784200411</v>
          </cell>
          <cell r="B6228">
            <v>37784</v>
          </cell>
          <cell r="C6228" t="str">
            <v>NG</v>
          </cell>
          <cell r="D6228" t="str">
            <v>200411</v>
          </cell>
          <cell r="E6228">
            <v>5.3159999999999998</v>
          </cell>
        </row>
        <row r="6229">
          <cell r="A6229" t="str">
            <v>37784200412</v>
          </cell>
          <cell r="B6229">
            <v>37784</v>
          </cell>
          <cell r="C6229" t="str">
            <v>NG</v>
          </cell>
          <cell r="D6229" t="str">
            <v>200412</v>
          </cell>
          <cell r="E6229">
            <v>5.5060000000000002</v>
          </cell>
        </row>
        <row r="6230">
          <cell r="A6230" t="str">
            <v>37785200401</v>
          </cell>
          <cell r="B6230">
            <v>37785</v>
          </cell>
          <cell r="C6230" t="str">
            <v>NG</v>
          </cell>
          <cell r="D6230" t="str">
            <v>200401</v>
          </cell>
          <cell r="E6230">
            <v>6.2880000000000003</v>
          </cell>
        </row>
        <row r="6231">
          <cell r="A6231" t="str">
            <v>37785200402</v>
          </cell>
          <cell r="B6231">
            <v>37785</v>
          </cell>
          <cell r="C6231" t="str">
            <v>NG</v>
          </cell>
          <cell r="D6231" t="str">
            <v>200402</v>
          </cell>
          <cell r="E6231">
            <v>6.2130000000000001</v>
          </cell>
        </row>
        <row r="6232">
          <cell r="A6232" t="str">
            <v>37785200403</v>
          </cell>
          <cell r="B6232">
            <v>37785</v>
          </cell>
          <cell r="C6232" t="str">
            <v>NG</v>
          </cell>
          <cell r="D6232" t="str">
            <v>200403</v>
          </cell>
          <cell r="E6232">
            <v>5.9779999999999998</v>
          </cell>
        </row>
        <row r="6233">
          <cell r="A6233" t="str">
            <v>37785200404</v>
          </cell>
          <cell r="B6233">
            <v>37785</v>
          </cell>
          <cell r="C6233" t="str">
            <v>NG</v>
          </cell>
          <cell r="D6233" t="str">
            <v>200404</v>
          </cell>
          <cell r="E6233">
            <v>5.2679999999999998</v>
          </cell>
        </row>
        <row r="6234">
          <cell r="A6234" t="str">
            <v>37785200405</v>
          </cell>
          <cell r="B6234">
            <v>37785</v>
          </cell>
          <cell r="C6234" t="str">
            <v>NG</v>
          </cell>
          <cell r="D6234" t="str">
            <v>200405</v>
          </cell>
          <cell r="E6234">
            <v>5.1230000000000002</v>
          </cell>
        </row>
        <row r="6235">
          <cell r="A6235" t="str">
            <v>37785200406</v>
          </cell>
          <cell r="B6235">
            <v>37785</v>
          </cell>
          <cell r="C6235" t="str">
            <v>NG</v>
          </cell>
          <cell r="D6235" t="str">
            <v>200406</v>
          </cell>
          <cell r="E6235">
            <v>5.1130000000000004</v>
          </cell>
        </row>
        <row r="6236">
          <cell r="A6236" t="str">
            <v>37785200407</v>
          </cell>
          <cell r="B6236">
            <v>37785</v>
          </cell>
          <cell r="C6236" t="str">
            <v>NG</v>
          </cell>
          <cell r="D6236" t="str">
            <v>200407</v>
          </cell>
          <cell r="E6236">
            <v>5.1029999999999998</v>
          </cell>
        </row>
        <row r="6237">
          <cell r="A6237" t="str">
            <v>37785200408</v>
          </cell>
          <cell r="B6237">
            <v>37785</v>
          </cell>
          <cell r="C6237" t="str">
            <v>NG</v>
          </cell>
          <cell r="D6237" t="str">
            <v>200408</v>
          </cell>
          <cell r="E6237">
            <v>5.1079999999999997</v>
          </cell>
        </row>
        <row r="6238">
          <cell r="A6238" t="str">
            <v>37785200409</v>
          </cell>
          <cell r="B6238">
            <v>37785</v>
          </cell>
          <cell r="C6238" t="str">
            <v>NG</v>
          </cell>
          <cell r="D6238" t="str">
            <v>200409</v>
          </cell>
          <cell r="E6238">
            <v>5.1079999999999997</v>
          </cell>
        </row>
        <row r="6239">
          <cell r="A6239" t="str">
            <v>37785200410</v>
          </cell>
          <cell r="B6239">
            <v>37785</v>
          </cell>
          <cell r="C6239" t="str">
            <v>NG</v>
          </cell>
          <cell r="D6239" t="str">
            <v>200410</v>
          </cell>
          <cell r="E6239">
            <v>5.1180000000000003</v>
          </cell>
        </row>
        <row r="6240">
          <cell r="A6240" t="str">
            <v>37785200411</v>
          </cell>
          <cell r="B6240">
            <v>37785</v>
          </cell>
          <cell r="C6240" t="str">
            <v>NG</v>
          </cell>
          <cell r="D6240" t="str">
            <v>200411</v>
          </cell>
          <cell r="E6240">
            <v>5.3079999999999998</v>
          </cell>
        </row>
        <row r="6241">
          <cell r="A6241" t="str">
            <v>37785200412</v>
          </cell>
          <cell r="B6241">
            <v>37785</v>
          </cell>
          <cell r="C6241" t="str">
            <v>NG</v>
          </cell>
          <cell r="D6241" t="str">
            <v>200412</v>
          </cell>
          <cell r="E6241">
            <v>5.4980000000000002</v>
          </cell>
        </row>
        <row r="6242">
          <cell r="A6242" t="str">
            <v>37786200401</v>
          </cell>
          <cell r="B6242">
            <v>37786</v>
          </cell>
          <cell r="C6242" t="str">
            <v>NG</v>
          </cell>
          <cell r="D6242" t="str">
            <v>200401</v>
          </cell>
          <cell r="E6242">
            <v>6.2880000000000003</v>
          </cell>
        </row>
        <row r="6243">
          <cell r="A6243" t="str">
            <v>37786200402</v>
          </cell>
          <cell r="B6243">
            <v>37786</v>
          </cell>
          <cell r="C6243" t="str">
            <v>NG</v>
          </cell>
          <cell r="D6243" t="str">
            <v>200402</v>
          </cell>
          <cell r="E6243">
            <v>6.2130000000000001</v>
          </cell>
        </row>
        <row r="6244">
          <cell r="A6244" t="str">
            <v>37786200403</v>
          </cell>
          <cell r="B6244">
            <v>37786</v>
          </cell>
          <cell r="C6244" t="str">
            <v>NG</v>
          </cell>
          <cell r="D6244" t="str">
            <v>200403</v>
          </cell>
          <cell r="E6244">
            <v>5.9779999999999998</v>
          </cell>
        </row>
        <row r="6245">
          <cell r="A6245" t="str">
            <v>37786200404</v>
          </cell>
          <cell r="B6245">
            <v>37786</v>
          </cell>
          <cell r="C6245" t="str">
            <v>NG</v>
          </cell>
          <cell r="D6245" t="str">
            <v>200404</v>
          </cell>
          <cell r="E6245">
            <v>5.2679999999999998</v>
          </cell>
        </row>
        <row r="6246">
          <cell r="A6246" t="str">
            <v>37786200405</v>
          </cell>
          <cell r="B6246">
            <v>37786</v>
          </cell>
          <cell r="C6246" t="str">
            <v>NG</v>
          </cell>
          <cell r="D6246" t="str">
            <v>200405</v>
          </cell>
          <cell r="E6246">
            <v>5.1230000000000002</v>
          </cell>
        </row>
        <row r="6247">
          <cell r="A6247" t="str">
            <v>37786200406</v>
          </cell>
          <cell r="B6247">
            <v>37786</v>
          </cell>
          <cell r="C6247" t="str">
            <v>NG</v>
          </cell>
          <cell r="D6247" t="str">
            <v>200406</v>
          </cell>
          <cell r="E6247">
            <v>5.1130000000000004</v>
          </cell>
        </row>
        <row r="6248">
          <cell r="A6248" t="str">
            <v>37786200407</v>
          </cell>
          <cell r="B6248">
            <v>37786</v>
          </cell>
          <cell r="C6248" t="str">
            <v>NG</v>
          </cell>
          <cell r="D6248" t="str">
            <v>200407</v>
          </cell>
          <cell r="E6248">
            <v>5.1029999999999998</v>
          </cell>
        </row>
        <row r="6249">
          <cell r="A6249" t="str">
            <v>37786200408</v>
          </cell>
          <cell r="B6249">
            <v>37786</v>
          </cell>
          <cell r="C6249" t="str">
            <v>NG</v>
          </cell>
          <cell r="D6249" t="str">
            <v>200408</v>
          </cell>
          <cell r="E6249">
            <v>5.1079999999999997</v>
          </cell>
        </row>
        <row r="6250">
          <cell r="A6250" t="str">
            <v>37786200409</v>
          </cell>
          <cell r="B6250">
            <v>37786</v>
          </cell>
          <cell r="C6250" t="str">
            <v>NG</v>
          </cell>
          <cell r="D6250" t="str">
            <v>200409</v>
          </cell>
          <cell r="E6250">
            <v>5.1079999999999997</v>
          </cell>
        </row>
        <row r="6251">
          <cell r="A6251" t="str">
            <v>37786200410</v>
          </cell>
          <cell r="B6251">
            <v>37786</v>
          </cell>
          <cell r="C6251" t="str">
            <v>NG</v>
          </cell>
          <cell r="D6251" t="str">
            <v>200410</v>
          </cell>
          <cell r="E6251">
            <v>5.1180000000000003</v>
          </cell>
        </row>
        <row r="6252">
          <cell r="A6252" t="str">
            <v>37786200411</v>
          </cell>
          <cell r="B6252">
            <v>37786</v>
          </cell>
          <cell r="C6252" t="str">
            <v>NG</v>
          </cell>
          <cell r="D6252" t="str">
            <v>200411</v>
          </cell>
          <cell r="E6252">
            <v>5.3079999999999998</v>
          </cell>
        </row>
        <row r="6253">
          <cell r="A6253" t="str">
            <v>37786200412</v>
          </cell>
          <cell r="B6253">
            <v>37786</v>
          </cell>
          <cell r="C6253" t="str">
            <v>NG</v>
          </cell>
          <cell r="D6253" t="str">
            <v>200412</v>
          </cell>
          <cell r="E6253">
            <v>5.4980000000000002</v>
          </cell>
        </row>
        <row r="6254">
          <cell r="A6254" t="str">
            <v>37787200401</v>
          </cell>
          <cell r="B6254">
            <v>37787</v>
          </cell>
          <cell r="C6254" t="str">
            <v>NG</v>
          </cell>
          <cell r="D6254" t="str">
            <v>200401</v>
          </cell>
          <cell r="E6254">
            <v>6.2880000000000003</v>
          </cell>
        </row>
        <row r="6255">
          <cell r="A6255" t="str">
            <v>37787200402</v>
          </cell>
          <cell r="B6255">
            <v>37787</v>
          </cell>
          <cell r="C6255" t="str">
            <v>NG</v>
          </cell>
          <cell r="D6255" t="str">
            <v>200402</v>
          </cell>
          <cell r="E6255">
            <v>6.2130000000000001</v>
          </cell>
        </row>
        <row r="6256">
          <cell r="A6256" t="str">
            <v>37787200403</v>
          </cell>
          <cell r="B6256">
            <v>37787</v>
          </cell>
          <cell r="C6256" t="str">
            <v>NG</v>
          </cell>
          <cell r="D6256" t="str">
            <v>200403</v>
          </cell>
          <cell r="E6256">
            <v>5.9779999999999998</v>
          </cell>
        </row>
        <row r="6257">
          <cell r="A6257" t="str">
            <v>37787200404</v>
          </cell>
          <cell r="B6257">
            <v>37787</v>
          </cell>
          <cell r="C6257" t="str">
            <v>NG</v>
          </cell>
          <cell r="D6257" t="str">
            <v>200404</v>
          </cell>
          <cell r="E6257">
            <v>5.2679999999999998</v>
          </cell>
        </row>
        <row r="6258">
          <cell r="A6258" t="str">
            <v>37787200405</v>
          </cell>
          <cell r="B6258">
            <v>37787</v>
          </cell>
          <cell r="C6258" t="str">
            <v>NG</v>
          </cell>
          <cell r="D6258" t="str">
            <v>200405</v>
          </cell>
          <cell r="E6258">
            <v>5.1230000000000002</v>
          </cell>
        </row>
        <row r="6259">
          <cell r="A6259" t="str">
            <v>37787200406</v>
          </cell>
          <cell r="B6259">
            <v>37787</v>
          </cell>
          <cell r="C6259" t="str">
            <v>NG</v>
          </cell>
          <cell r="D6259" t="str">
            <v>200406</v>
          </cell>
          <cell r="E6259">
            <v>5.1130000000000004</v>
          </cell>
        </row>
        <row r="6260">
          <cell r="A6260" t="str">
            <v>37787200407</v>
          </cell>
          <cell r="B6260">
            <v>37787</v>
          </cell>
          <cell r="C6260" t="str">
            <v>NG</v>
          </cell>
          <cell r="D6260" t="str">
            <v>200407</v>
          </cell>
          <cell r="E6260">
            <v>5.1029999999999998</v>
          </cell>
        </row>
        <row r="6261">
          <cell r="A6261" t="str">
            <v>37787200408</v>
          </cell>
          <cell r="B6261">
            <v>37787</v>
          </cell>
          <cell r="C6261" t="str">
            <v>NG</v>
          </cell>
          <cell r="D6261" t="str">
            <v>200408</v>
          </cell>
          <cell r="E6261">
            <v>5.1079999999999997</v>
          </cell>
        </row>
        <row r="6262">
          <cell r="A6262" t="str">
            <v>37787200409</v>
          </cell>
          <cell r="B6262">
            <v>37787</v>
          </cell>
          <cell r="C6262" t="str">
            <v>NG</v>
          </cell>
          <cell r="D6262" t="str">
            <v>200409</v>
          </cell>
          <cell r="E6262">
            <v>5.1079999999999997</v>
          </cell>
        </row>
        <row r="6263">
          <cell r="A6263" t="str">
            <v>37787200410</v>
          </cell>
          <cell r="B6263">
            <v>37787</v>
          </cell>
          <cell r="C6263" t="str">
            <v>NG</v>
          </cell>
          <cell r="D6263" t="str">
            <v>200410</v>
          </cell>
          <cell r="E6263">
            <v>5.1180000000000003</v>
          </cell>
        </row>
        <row r="6264">
          <cell r="A6264" t="str">
            <v>37787200411</v>
          </cell>
          <cell r="B6264">
            <v>37787</v>
          </cell>
          <cell r="C6264" t="str">
            <v>NG</v>
          </cell>
          <cell r="D6264" t="str">
            <v>200411</v>
          </cell>
          <cell r="E6264">
            <v>5.3079999999999998</v>
          </cell>
        </row>
        <row r="6265">
          <cell r="A6265" t="str">
            <v>37787200412</v>
          </cell>
          <cell r="B6265">
            <v>37787</v>
          </cell>
          <cell r="C6265" t="str">
            <v>NG</v>
          </cell>
          <cell r="D6265" t="str">
            <v>200412</v>
          </cell>
          <cell r="E6265">
            <v>5.4980000000000002</v>
          </cell>
        </row>
        <row r="6266">
          <cell r="A6266" t="str">
            <v>37788200401</v>
          </cell>
          <cell r="B6266">
            <v>37788</v>
          </cell>
          <cell r="C6266" t="str">
            <v>NG</v>
          </cell>
          <cell r="D6266" t="str">
            <v>200401</v>
          </cell>
          <cell r="E6266">
            <v>6.2930000000000001</v>
          </cell>
        </row>
        <row r="6267">
          <cell r="A6267" t="str">
            <v>37788200402</v>
          </cell>
          <cell r="B6267">
            <v>37788</v>
          </cell>
          <cell r="C6267" t="str">
            <v>NG</v>
          </cell>
          <cell r="D6267" t="str">
            <v>200402</v>
          </cell>
          <cell r="E6267">
            <v>6.218</v>
          </cell>
        </row>
        <row r="6268">
          <cell r="A6268" t="str">
            <v>37788200403</v>
          </cell>
          <cell r="B6268">
            <v>37788</v>
          </cell>
          <cell r="C6268" t="str">
            <v>NG</v>
          </cell>
          <cell r="D6268" t="str">
            <v>200403</v>
          </cell>
          <cell r="E6268">
            <v>5.9980000000000002</v>
          </cell>
        </row>
        <row r="6269">
          <cell r="A6269" t="str">
            <v>37788200404</v>
          </cell>
          <cell r="B6269">
            <v>37788</v>
          </cell>
          <cell r="C6269" t="str">
            <v>NG</v>
          </cell>
          <cell r="D6269" t="str">
            <v>200404</v>
          </cell>
          <cell r="E6269">
            <v>5.3029999999999999</v>
          </cell>
        </row>
        <row r="6270">
          <cell r="A6270" t="str">
            <v>37788200405</v>
          </cell>
          <cell r="B6270">
            <v>37788</v>
          </cell>
          <cell r="C6270" t="str">
            <v>NG</v>
          </cell>
          <cell r="D6270" t="str">
            <v>200405</v>
          </cell>
          <cell r="E6270">
            <v>5.1630000000000003</v>
          </cell>
        </row>
        <row r="6271">
          <cell r="A6271" t="str">
            <v>37788200406</v>
          </cell>
          <cell r="B6271">
            <v>37788</v>
          </cell>
          <cell r="C6271" t="str">
            <v>NG</v>
          </cell>
          <cell r="D6271" t="str">
            <v>200406</v>
          </cell>
          <cell r="E6271">
            <v>5.1630000000000003</v>
          </cell>
        </row>
        <row r="6272">
          <cell r="A6272" t="str">
            <v>37788200407</v>
          </cell>
          <cell r="B6272">
            <v>37788</v>
          </cell>
          <cell r="C6272" t="str">
            <v>NG</v>
          </cell>
          <cell r="D6272" t="str">
            <v>200407</v>
          </cell>
          <cell r="E6272">
            <v>5.1529999999999996</v>
          </cell>
        </row>
        <row r="6273">
          <cell r="A6273" t="str">
            <v>37788200408</v>
          </cell>
          <cell r="B6273">
            <v>37788</v>
          </cell>
          <cell r="C6273" t="str">
            <v>NG</v>
          </cell>
          <cell r="D6273" t="str">
            <v>200408</v>
          </cell>
          <cell r="E6273">
            <v>5.1630000000000003</v>
          </cell>
        </row>
        <row r="6274">
          <cell r="A6274" t="str">
            <v>37788200409</v>
          </cell>
          <cell r="B6274">
            <v>37788</v>
          </cell>
          <cell r="C6274" t="str">
            <v>NG</v>
          </cell>
          <cell r="D6274" t="str">
            <v>200409</v>
          </cell>
          <cell r="E6274">
            <v>5.1630000000000003</v>
          </cell>
        </row>
        <row r="6275">
          <cell r="A6275" t="str">
            <v>37788200410</v>
          </cell>
          <cell r="B6275">
            <v>37788</v>
          </cell>
          <cell r="C6275" t="str">
            <v>NG</v>
          </cell>
          <cell r="D6275" t="str">
            <v>200410</v>
          </cell>
          <cell r="E6275">
            <v>5.1630000000000003</v>
          </cell>
        </row>
        <row r="6276">
          <cell r="A6276" t="str">
            <v>37788200411</v>
          </cell>
          <cell r="B6276">
            <v>37788</v>
          </cell>
          <cell r="C6276" t="str">
            <v>NG</v>
          </cell>
          <cell r="D6276" t="str">
            <v>200411</v>
          </cell>
          <cell r="E6276">
            <v>5.3630000000000004</v>
          </cell>
        </row>
        <row r="6277">
          <cell r="A6277" t="str">
            <v>37788200412</v>
          </cell>
          <cell r="B6277">
            <v>37788</v>
          </cell>
          <cell r="C6277" t="str">
            <v>NG</v>
          </cell>
          <cell r="D6277" t="str">
            <v>200412</v>
          </cell>
          <cell r="E6277">
            <v>5.5430000000000001</v>
          </cell>
        </row>
        <row r="6278">
          <cell r="A6278" t="str">
            <v>37789200401</v>
          </cell>
          <cell r="B6278">
            <v>37789</v>
          </cell>
          <cell r="C6278" t="str">
            <v>NG</v>
          </cell>
          <cell r="D6278" t="str">
            <v>200401</v>
          </cell>
          <cell r="E6278">
            <v>6.2569999999999997</v>
          </cell>
        </row>
        <row r="6279">
          <cell r="A6279" t="str">
            <v>37789200402</v>
          </cell>
          <cell r="B6279">
            <v>37789</v>
          </cell>
          <cell r="C6279" t="str">
            <v>NG</v>
          </cell>
          <cell r="D6279" t="str">
            <v>200402</v>
          </cell>
          <cell r="E6279">
            <v>6.1769999999999996</v>
          </cell>
        </row>
        <row r="6280">
          <cell r="A6280" t="str">
            <v>37789200403</v>
          </cell>
          <cell r="B6280">
            <v>37789</v>
          </cell>
          <cell r="C6280" t="str">
            <v>NG</v>
          </cell>
          <cell r="D6280" t="str">
            <v>200403</v>
          </cell>
          <cell r="E6280">
            <v>5.9569999999999999</v>
          </cell>
        </row>
        <row r="6281">
          <cell r="A6281" t="str">
            <v>37789200404</v>
          </cell>
          <cell r="B6281">
            <v>37789</v>
          </cell>
          <cell r="C6281" t="str">
            <v>NG</v>
          </cell>
          <cell r="D6281" t="str">
            <v>200404</v>
          </cell>
          <cell r="E6281">
            <v>5.2469999999999999</v>
          </cell>
        </row>
        <row r="6282">
          <cell r="A6282" t="str">
            <v>37789200405</v>
          </cell>
          <cell r="B6282">
            <v>37789</v>
          </cell>
          <cell r="C6282" t="str">
            <v>NG</v>
          </cell>
          <cell r="D6282" t="str">
            <v>200405</v>
          </cell>
          <cell r="E6282">
            <v>5.1070000000000002</v>
          </cell>
        </row>
        <row r="6283">
          <cell r="A6283" t="str">
            <v>37789200406</v>
          </cell>
          <cell r="B6283">
            <v>37789</v>
          </cell>
          <cell r="C6283" t="str">
            <v>NG</v>
          </cell>
          <cell r="D6283" t="str">
            <v>200406</v>
          </cell>
          <cell r="E6283">
            <v>5.1020000000000003</v>
          </cell>
        </row>
        <row r="6284">
          <cell r="A6284" t="str">
            <v>37789200407</v>
          </cell>
          <cell r="B6284">
            <v>37789</v>
          </cell>
          <cell r="C6284" t="str">
            <v>NG</v>
          </cell>
          <cell r="D6284" t="str">
            <v>200407</v>
          </cell>
          <cell r="E6284">
            <v>5.0919999999999996</v>
          </cell>
        </row>
        <row r="6285">
          <cell r="A6285" t="str">
            <v>37789200408</v>
          </cell>
          <cell r="B6285">
            <v>37789</v>
          </cell>
          <cell r="C6285" t="str">
            <v>NG</v>
          </cell>
          <cell r="D6285" t="str">
            <v>200408</v>
          </cell>
          <cell r="E6285">
            <v>5.1020000000000003</v>
          </cell>
        </row>
        <row r="6286">
          <cell r="A6286" t="str">
            <v>37789200409</v>
          </cell>
          <cell r="B6286">
            <v>37789</v>
          </cell>
          <cell r="C6286" t="str">
            <v>NG</v>
          </cell>
          <cell r="D6286" t="str">
            <v>200409</v>
          </cell>
          <cell r="E6286">
            <v>5.0869999999999997</v>
          </cell>
        </row>
        <row r="6287">
          <cell r="A6287" t="str">
            <v>37789200410</v>
          </cell>
          <cell r="B6287">
            <v>37789</v>
          </cell>
          <cell r="C6287" t="str">
            <v>NG</v>
          </cell>
          <cell r="D6287" t="str">
            <v>200410</v>
          </cell>
          <cell r="E6287">
            <v>5.1070000000000002</v>
          </cell>
        </row>
        <row r="6288">
          <cell r="A6288" t="str">
            <v>37789200411</v>
          </cell>
          <cell r="B6288">
            <v>37789</v>
          </cell>
          <cell r="C6288" t="str">
            <v>NG</v>
          </cell>
          <cell r="D6288" t="str">
            <v>200411</v>
          </cell>
          <cell r="E6288">
            <v>5.2969999999999997</v>
          </cell>
        </row>
        <row r="6289">
          <cell r="A6289" t="str">
            <v>37789200412</v>
          </cell>
          <cell r="B6289">
            <v>37789</v>
          </cell>
          <cell r="C6289" t="str">
            <v>NG</v>
          </cell>
          <cell r="D6289" t="str">
            <v>200412</v>
          </cell>
          <cell r="E6289">
            <v>5.4770000000000003</v>
          </cell>
        </row>
        <row r="6290">
          <cell r="A6290" t="str">
            <v>37790200401</v>
          </cell>
          <cell r="B6290">
            <v>37790</v>
          </cell>
          <cell r="C6290" t="str">
            <v>NG</v>
          </cell>
          <cell r="D6290" t="str">
            <v>200401</v>
          </cell>
          <cell r="E6290">
            <v>6.1429999999999998</v>
          </cell>
        </row>
        <row r="6291">
          <cell r="A6291" t="str">
            <v>37790200402</v>
          </cell>
          <cell r="B6291">
            <v>37790</v>
          </cell>
          <cell r="C6291" t="str">
            <v>NG</v>
          </cell>
          <cell r="D6291" t="str">
            <v>200402</v>
          </cell>
          <cell r="E6291">
            <v>6.0629999999999997</v>
          </cell>
        </row>
        <row r="6292">
          <cell r="A6292" t="str">
            <v>37790200403</v>
          </cell>
          <cell r="B6292">
            <v>37790</v>
          </cell>
          <cell r="C6292" t="str">
            <v>NG</v>
          </cell>
          <cell r="D6292" t="str">
            <v>200403</v>
          </cell>
          <cell r="E6292">
            <v>5.843</v>
          </cell>
        </row>
        <row r="6293">
          <cell r="A6293" t="str">
            <v>37790200404</v>
          </cell>
          <cell r="B6293">
            <v>37790</v>
          </cell>
          <cell r="C6293" t="str">
            <v>NG</v>
          </cell>
          <cell r="D6293" t="str">
            <v>200404</v>
          </cell>
          <cell r="E6293">
            <v>5.1529999999999996</v>
          </cell>
        </row>
        <row r="6294">
          <cell r="A6294" t="str">
            <v>37790200405</v>
          </cell>
          <cell r="B6294">
            <v>37790</v>
          </cell>
          <cell r="C6294" t="str">
            <v>NG</v>
          </cell>
          <cell r="D6294" t="str">
            <v>200405</v>
          </cell>
          <cell r="E6294">
            <v>5.0279999999999996</v>
          </cell>
        </row>
        <row r="6295">
          <cell r="A6295" t="str">
            <v>37790200406</v>
          </cell>
          <cell r="B6295">
            <v>37790</v>
          </cell>
          <cell r="C6295" t="str">
            <v>NG</v>
          </cell>
          <cell r="D6295" t="str">
            <v>200406</v>
          </cell>
          <cell r="E6295">
            <v>5.0220000000000002</v>
          </cell>
        </row>
        <row r="6296">
          <cell r="A6296" t="str">
            <v>37790200407</v>
          </cell>
          <cell r="B6296">
            <v>37790</v>
          </cell>
          <cell r="C6296" t="str">
            <v>NG</v>
          </cell>
          <cell r="D6296" t="str">
            <v>200407</v>
          </cell>
          <cell r="E6296">
            <v>5.0069999999999997</v>
          </cell>
        </row>
        <row r="6297">
          <cell r="A6297" t="str">
            <v>37790200408</v>
          </cell>
          <cell r="B6297">
            <v>37790</v>
          </cell>
          <cell r="C6297" t="str">
            <v>NG</v>
          </cell>
          <cell r="D6297" t="str">
            <v>200408</v>
          </cell>
          <cell r="E6297">
            <v>5.0220000000000002</v>
          </cell>
        </row>
        <row r="6298">
          <cell r="A6298" t="str">
            <v>37790200409</v>
          </cell>
          <cell r="B6298">
            <v>37790</v>
          </cell>
          <cell r="C6298" t="str">
            <v>NG</v>
          </cell>
          <cell r="D6298" t="str">
            <v>200409</v>
          </cell>
          <cell r="E6298">
            <v>4.992</v>
          </cell>
        </row>
        <row r="6299">
          <cell r="A6299" t="str">
            <v>37790200410</v>
          </cell>
          <cell r="B6299">
            <v>37790</v>
          </cell>
          <cell r="C6299" t="str">
            <v>NG</v>
          </cell>
          <cell r="D6299" t="str">
            <v>200410</v>
          </cell>
          <cell r="E6299">
            <v>5.0019999999999998</v>
          </cell>
        </row>
        <row r="6300">
          <cell r="A6300" t="str">
            <v>37790200411</v>
          </cell>
          <cell r="B6300">
            <v>37790</v>
          </cell>
          <cell r="C6300" t="str">
            <v>NG</v>
          </cell>
          <cell r="D6300" t="str">
            <v>200411</v>
          </cell>
          <cell r="E6300">
            <v>5.1920000000000002</v>
          </cell>
        </row>
        <row r="6301">
          <cell r="A6301" t="str">
            <v>37790200412</v>
          </cell>
          <cell r="B6301">
            <v>37790</v>
          </cell>
          <cell r="C6301" t="str">
            <v>NG</v>
          </cell>
          <cell r="D6301" t="str">
            <v>200412</v>
          </cell>
          <cell r="E6301">
            <v>5.3719999999999999</v>
          </cell>
        </row>
        <row r="6302">
          <cell r="A6302" t="str">
            <v>37791200401</v>
          </cell>
          <cell r="B6302">
            <v>37791</v>
          </cell>
          <cell r="C6302" t="str">
            <v>NG</v>
          </cell>
          <cell r="D6302" t="str">
            <v>200401</v>
          </cell>
          <cell r="E6302">
            <v>6.4219999999999997</v>
          </cell>
        </row>
        <row r="6303">
          <cell r="A6303" t="str">
            <v>37791200402</v>
          </cell>
          <cell r="B6303">
            <v>37791</v>
          </cell>
          <cell r="C6303" t="str">
            <v>NG</v>
          </cell>
          <cell r="D6303" t="str">
            <v>200402</v>
          </cell>
          <cell r="E6303">
            <v>6.3319999999999999</v>
          </cell>
        </row>
        <row r="6304">
          <cell r="A6304" t="str">
            <v>37791200403</v>
          </cell>
          <cell r="B6304">
            <v>37791</v>
          </cell>
          <cell r="C6304" t="str">
            <v>NG</v>
          </cell>
          <cell r="D6304" t="str">
            <v>200403</v>
          </cell>
          <cell r="E6304">
            <v>6.0819999999999999</v>
          </cell>
        </row>
        <row r="6305">
          <cell r="A6305" t="str">
            <v>37791200404</v>
          </cell>
          <cell r="B6305">
            <v>37791</v>
          </cell>
          <cell r="C6305" t="str">
            <v>NG</v>
          </cell>
          <cell r="D6305" t="str">
            <v>200404</v>
          </cell>
          <cell r="E6305">
            <v>5.2519999999999998</v>
          </cell>
        </row>
        <row r="6306">
          <cell r="A6306" t="str">
            <v>37791200405</v>
          </cell>
          <cell r="B6306">
            <v>37791</v>
          </cell>
          <cell r="C6306" t="str">
            <v>NG</v>
          </cell>
          <cell r="D6306" t="str">
            <v>200405</v>
          </cell>
          <cell r="E6306">
            <v>5.1120000000000001</v>
          </cell>
        </row>
        <row r="6307">
          <cell r="A6307" t="str">
            <v>37791200406</v>
          </cell>
          <cell r="B6307">
            <v>37791</v>
          </cell>
          <cell r="C6307" t="str">
            <v>NG</v>
          </cell>
          <cell r="D6307" t="str">
            <v>200406</v>
          </cell>
          <cell r="E6307">
            <v>5.0949999999999998</v>
          </cell>
        </row>
        <row r="6308">
          <cell r="A6308" t="str">
            <v>37791200407</v>
          </cell>
          <cell r="B6308">
            <v>37791</v>
          </cell>
          <cell r="C6308" t="str">
            <v>NG</v>
          </cell>
          <cell r="D6308" t="str">
            <v>200407</v>
          </cell>
          <cell r="E6308">
            <v>5.07</v>
          </cell>
        </row>
        <row r="6309">
          <cell r="A6309" t="str">
            <v>37791200408</v>
          </cell>
          <cell r="B6309">
            <v>37791</v>
          </cell>
          <cell r="C6309" t="str">
            <v>NG</v>
          </cell>
          <cell r="D6309" t="str">
            <v>200408</v>
          </cell>
          <cell r="E6309">
            <v>5.08</v>
          </cell>
        </row>
        <row r="6310">
          <cell r="A6310" t="str">
            <v>37791200409</v>
          </cell>
          <cell r="B6310">
            <v>37791</v>
          </cell>
          <cell r="C6310" t="str">
            <v>NG</v>
          </cell>
          <cell r="D6310" t="str">
            <v>200409</v>
          </cell>
          <cell r="E6310">
            <v>5.05</v>
          </cell>
        </row>
        <row r="6311">
          <cell r="A6311" t="str">
            <v>37791200410</v>
          </cell>
          <cell r="B6311">
            <v>37791</v>
          </cell>
          <cell r="C6311" t="str">
            <v>NG</v>
          </cell>
          <cell r="D6311" t="str">
            <v>200410</v>
          </cell>
          <cell r="E6311">
            <v>5.0599999999999996</v>
          </cell>
        </row>
        <row r="6312">
          <cell r="A6312" t="str">
            <v>37791200411</v>
          </cell>
          <cell r="B6312">
            <v>37791</v>
          </cell>
          <cell r="C6312" t="str">
            <v>NG</v>
          </cell>
          <cell r="D6312" t="str">
            <v>200411</v>
          </cell>
          <cell r="E6312">
            <v>5.25</v>
          </cell>
        </row>
        <row r="6313">
          <cell r="A6313" t="str">
            <v>37791200412</v>
          </cell>
          <cell r="B6313">
            <v>37791</v>
          </cell>
          <cell r="C6313" t="str">
            <v>NG</v>
          </cell>
          <cell r="D6313" t="str">
            <v>200412</v>
          </cell>
          <cell r="E6313">
            <v>5.43</v>
          </cell>
        </row>
        <row r="6314">
          <cell r="A6314" t="str">
            <v>37792200401</v>
          </cell>
          <cell r="B6314">
            <v>37792</v>
          </cell>
          <cell r="C6314" t="str">
            <v>NG</v>
          </cell>
          <cell r="D6314" t="str">
            <v>200401</v>
          </cell>
          <cell r="E6314">
            <v>6.351</v>
          </cell>
        </row>
        <row r="6315">
          <cell r="A6315" t="str">
            <v>37792200402</v>
          </cell>
          <cell r="B6315">
            <v>37792</v>
          </cell>
          <cell r="C6315" t="str">
            <v>NG</v>
          </cell>
          <cell r="D6315" t="str">
            <v>200402</v>
          </cell>
          <cell r="E6315">
            <v>6.2610000000000001</v>
          </cell>
        </row>
        <row r="6316">
          <cell r="A6316" t="str">
            <v>37792200403</v>
          </cell>
          <cell r="B6316">
            <v>37792</v>
          </cell>
          <cell r="C6316" t="str">
            <v>NG</v>
          </cell>
          <cell r="D6316" t="str">
            <v>200403</v>
          </cell>
          <cell r="E6316">
            <v>6.0209999999999999</v>
          </cell>
        </row>
        <row r="6317">
          <cell r="A6317" t="str">
            <v>37792200404</v>
          </cell>
          <cell r="B6317">
            <v>37792</v>
          </cell>
          <cell r="C6317" t="str">
            <v>NG</v>
          </cell>
          <cell r="D6317" t="str">
            <v>200404</v>
          </cell>
          <cell r="E6317">
            <v>5.1929999999999996</v>
          </cell>
        </row>
        <row r="6318">
          <cell r="A6318" t="str">
            <v>37792200405</v>
          </cell>
          <cell r="B6318">
            <v>37792</v>
          </cell>
          <cell r="C6318" t="str">
            <v>NG</v>
          </cell>
          <cell r="D6318" t="str">
            <v>200405</v>
          </cell>
          <cell r="E6318">
            <v>5.048</v>
          </cell>
        </row>
        <row r="6319">
          <cell r="A6319" t="str">
            <v>37792200406</v>
          </cell>
          <cell r="B6319">
            <v>37792</v>
          </cell>
          <cell r="C6319" t="str">
            <v>NG</v>
          </cell>
          <cell r="D6319" t="str">
            <v>200406</v>
          </cell>
          <cell r="E6319">
            <v>5.0309999999999997</v>
          </cell>
        </row>
        <row r="6320">
          <cell r="A6320" t="str">
            <v>37792200407</v>
          </cell>
          <cell r="B6320">
            <v>37792</v>
          </cell>
          <cell r="C6320" t="str">
            <v>NG</v>
          </cell>
          <cell r="D6320" t="str">
            <v>200407</v>
          </cell>
          <cell r="E6320">
            <v>5.016</v>
          </cell>
        </row>
        <row r="6321">
          <cell r="A6321" t="str">
            <v>37792200408</v>
          </cell>
          <cell r="B6321">
            <v>37792</v>
          </cell>
          <cell r="C6321" t="str">
            <v>NG</v>
          </cell>
          <cell r="D6321" t="str">
            <v>200408</v>
          </cell>
          <cell r="E6321">
            <v>5.0259999999999998</v>
          </cell>
        </row>
        <row r="6322">
          <cell r="A6322" t="str">
            <v>37792200409</v>
          </cell>
          <cell r="B6322">
            <v>37792</v>
          </cell>
          <cell r="C6322" t="str">
            <v>NG</v>
          </cell>
          <cell r="D6322" t="str">
            <v>200409</v>
          </cell>
          <cell r="E6322">
            <v>5.0110000000000001</v>
          </cell>
        </row>
        <row r="6323">
          <cell r="A6323" t="str">
            <v>37792200410</v>
          </cell>
          <cell r="B6323">
            <v>37792</v>
          </cell>
          <cell r="C6323" t="str">
            <v>NG</v>
          </cell>
          <cell r="D6323" t="str">
            <v>200410</v>
          </cell>
          <cell r="E6323">
            <v>5.0309999999999997</v>
          </cell>
        </row>
        <row r="6324">
          <cell r="A6324" t="str">
            <v>37792200411</v>
          </cell>
          <cell r="B6324">
            <v>37792</v>
          </cell>
          <cell r="C6324" t="str">
            <v>NG</v>
          </cell>
          <cell r="D6324" t="str">
            <v>200411</v>
          </cell>
          <cell r="E6324">
            <v>5.2210000000000001</v>
          </cell>
        </row>
        <row r="6325">
          <cell r="A6325" t="str">
            <v>37792200412</v>
          </cell>
          <cell r="B6325">
            <v>37792</v>
          </cell>
          <cell r="C6325" t="str">
            <v>NG</v>
          </cell>
          <cell r="D6325" t="str">
            <v>200412</v>
          </cell>
          <cell r="E6325">
            <v>5.4109999999999996</v>
          </cell>
        </row>
        <row r="6326">
          <cell r="A6326" t="str">
            <v>37793200401</v>
          </cell>
          <cell r="B6326">
            <v>37793</v>
          </cell>
          <cell r="C6326" t="str">
            <v>NG</v>
          </cell>
          <cell r="D6326" t="str">
            <v>200401</v>
          </cell>
          <cell r="E6326">
            <v>6.351</v>
          </cell>
        </row>
        <row r="6327">
          <cell r="A6327" t="str">
            <v>37793200402</v>
          </cell>
          <cell r="B6327">
            <v>37793</v>
          </cell>
          <cell r="C6327" t="str">
            <v>NG</v>
          </cell>
          <cell r="D6327" t="str">
            <v>200402</v>
          </cell>
          <cell r="E6327">
            <v>6.2610000000000001</v>
          </cell>
        </row>
        <row r="6328">
          <cell r="A6328" t="str">
            <v>37793200403</v>
          </cell>
          <cell r="B6328">
            <v>37793</v>
          </cell>
          <cell r="C6328" t="str">
            <v>NG</v>
          </cell>
          <cell r="D6328" t="str">
            <v>200403</v>
          </cell>
          <cell r="E6328">
            <v>6.0209999999999999</v>
          </cell>
        </row>
        <row r="6329">
          <cell r="A6329" t="str">
            <v>37793200404</v>
          </cell>
          <cell r="B6329">
            <v>37793</v>
          </cell>
          <cell r="C6329" t="str">
            <v>NG</v>
          </cell>
          <cell r="D6329" t="str">
            <v>200404</v>
          </cell>
          <cell r="E6329">
            <v>5.1929999999999996</v>
          </cell>
        </row>
        <row r="6330">
          <cell r="A6330" t="str">
            <v>37793200405</v>
          </cell>
          <cell r="B6330">
            <v>37793</v>
          </cell>
          <cell r="C6330" t="str">
            <v>NG</v>
          </cell>
          <cell r="D6330" t="str">
            <v>200405</v>
          </cell>
          <cell r="E6330">
            <v>5.048</v>
          </cell>
        </row>
        <row r="6331">
          <cell r="A6331" t="str">
            <v>37793200406</v>
          </cell>
          <cell r="B6331">
            <v>37793</v>
          </cell>
          <cell r="C6331" t="str">
            <v>NG</v>
          </cell>
          <cell r="D6331" t="str">
            <v>200406</v>
          </cell>
          <cell r="E6331">
            <v>5.0309999999999997</v>
          </cell>
        </row>
        <row r="6332">
          <cell r="A6332" t="str">
            <v>37793200407</v>
          </cell>
          <cell r="B6332">
            <v>37793</v>
          </cell>
          <cell r="C6332" t="str">
            <v>NG</v>
          </cell>
          <cell r="D6332" t="str">
            <v>200407</v>
          </cell>
          <cell r="E6332">
            <v>5.016</v>
          </cell>
        </row>
        <row r="6333">
          <cell r="A6333" t="str">
            <v>37793200408</v>
          </cell>
          <cell r="B6333">
            <v>37793</v>
          </cell>
          <cell r="C6333" t="str">
            <v>NG</v>
          </cell>
          <cell r="D6333" t="str">
            <v>200408</v>
          </cell>
          <cell r="E6333">
            <v>5.0259999999999998</v>
          </cell>
        </row>
        <row r="6334">
          <cell r="A6334" t="str">
            <v>37793200409</v>
          </cell>
          <cell r="B6334">
            <v>37793</v>
          </cell>
          <cell r="C6334" t="str">
            <v>NG</v>
          </cell>
          <cell r="D6334" t="str">
            <v>200409</v>
          </cell>
          <cell r="E6334">
            <v>5.0110000000000001</v>
          </cell>
        </row>
        <row r="6335">
          <cell r="A6335" t="str">
            <v>37793200410</v>
          </cell>
          <cell r="B6335">
            <v>37793</v>
          </cell>
          <cell r="C6335" t="str">
            <v>NG</v>
          </cell>
          <cell r="D6335" t="str">
            <v>200410</v>
          </cell>
          <cell r="E6335">
            <v>5.0309999999999997</v>
          </cell>
        </row>
        <row r="6336">
          <cell r="A6336" t="str">
            <v>37793200411</v>
          </cell>
          <cell r="B6336">
            <v>37793</v>
          </cell>
          <cell r="C6336" t="str">
            <v>NG</v>
          </cell>
          <cell r="D6336" t="str">
            <v>200411</v>
          </cell>
          <cell r="E6336">
            <v>5.2210000000000001</v>
          </cell>
        </row>
        <row r="6337">
          <cell r="A6337" t="str">
            <v>37793200412</v>
          </cell>
          <cell r="B6337">
            <v>37793</v>
          </cell>
          <cell r="C6337" t="str">
            <v>NG</v>
          </cell>
          <cell r="D6337" t="str">
            <v>200412</v>
          </cell>
          <cell r="E6337">
            <v>5.4109999999999996</v>
          </cell>
        </row>
        <row r="6338">
          <cell r="A6338" t="str">
            <v>37794200401</v>
          </cell>
          <cell r="B6338">
            <v>37794</v>
          </cell>
          <cell r="C6338" t="str">
            <v>NG</v>
          </cell>
          <cell r="D6338" t="str">
            <v>200401</v>
          </cell>
          <cell r="E6338">
            <v>6.351</v>
          </cell>
        </row>
        <row r="6339">
          <cell r="A6339" t="str">
            <v>37794200402</v>
          </cell>
          <cell r="B6339">
            <v>37794</v>
          </cell>
          <cell r="C6339" t="str">
            <v>NG</v>
          </cell>
          <cell r="D6339" t="str">
            <v>200402</v>
          </cell>
          <cell r="E6339">
            <v>6.2610000000000001</v>
          </cell>
        </row>
        <row r="6340">
          <cell r="A6340" t="str">
            <v>37794200403</v>
          </cell>
          <cell r="B6340">
            <v>37794</v>
          </cell>
          <cell r="C6340" t="str">
            <v>NG</v>
          </cell>
          <cell r="D6340" t="str">
            <v>200403</v>
          </cell>
          <cell r="E6340">
            <v>6.0209999999999999</v>
          </cell>
        </row>
        <row r="6341">
          <cell r="A6341" t="str">
            <v>37794200404</v>
          </cell>
          <cell r="B6341">
            <v>37794</v>
          </cell>
          <cell r="C6341" t="str">
            <v>NG</v>
          </cell>
          <cell r="D6341" t="str">
            <v>200404</v>
          </cell>
          <cell r="E6341">
            <v>5.1929999999999996</v>
          </cell>
        </row>
        <row r="6342">
          <cell r="A6342" t="str">
            <v>37794200405</v>
          </cell>
          <cell r="B6342">
            <v>37794</v>
          </cell>
          <cell r="C6342" t="str">
            <v>NG</v>
          </cell>
          <cell r="D6342" t="str">
            <v>200405</v>
          </cell>
          <cell r="E6342">
            <v>5.048</v>
          </cell>
        </row>
        <row r="6343">
          <cell r="A6343" t="str">
            <v>37794200406</v>
          </cell>
          <cell r="B6343">
            <v>37794</v>
          </cell>
          <cell r="C6343" t="str">
            <v>NG</v>
          </cell>
          <cell r="D6343" t="str">
            <v>200406</v>
          </cell>
          <cell r="E6343">
            <v>5.0309999999999997</v>
          </cell>
        </row>
        <row r="6344">
          <cell r="A6344" t="str">
            <v>37794200407</v>
          </cell>
          <cell r="B6344">
            <v>37794</v>
          </cell>
          <cell r="C6344" t="str">
            <v>NG</v>
          </cell>
          <cell r="D6344" t="str">
            <v>200407</v>
          </cell>
          <cell r="E6344">
            <v>5.016</v>
          </cell>
        </row>
        <row r="6345">
          <cell r="A6345" t="str">
            <v>37794200408</v>
          </cell>
          <cell r="B6345">
            <v>37794</v>
          </cell>
          <cell r="C6345" t="str">
            <v>NG</v>
          </cell>
          <cell r="D6345" t="str">
            <v>200408</v>
          </cell>
          <cell r="E6345">
            <v>5.0259999999999998</v>
          </cell>
        </row>
        <row r="6346">
          <cell r="A6346" t="str">
            <v>37794200409</v>
          </cell>
          <cell r="B6346">
            <v>37794</v>
          </cell>
          <cell r="C6346" t="str">
            <v>NG</v>
          </cell>
          <cell r="D6346" t="str">
            <v>200409</v>
          </cell>
          <cell r="E6346">
            <v>5.0110000000000001</v>
          </cell>
        </row>
        <row r="6347">
          <cell r="A6347" t="str">
            <v>37794200410</v>
          </cell>
          <cell r="B6347">
            <v>37794</v>
          </cell>
          <cell r="C6347" t="str">
            <v>NG</v>
          </cell>
          <cell r="D6347" t="str">
            <v>200410</v>
          </cell>
          <cell r="E6347">
            <v>5.0309999999999997</v>
          </cell>
        </row>
        <row r="6348">
          <cell r="A6348" t="str">
            <v>37794200411</v>
          </cell>
          <cell r="B6348">
            <v>37794</v>
          </cell>
          <cell r="C6348" t="str">
            <v>NG</v>
          </cell>
          <cell r="D6348" t="str">
            <v>200411</v>
          </cell>
          <cell r="E6348">
            <v>5.2210000000000001</v>
          </cell>
        </row>
        <row r="6349">
          <cell r="A6349" t="str">
            <v>37794200412</v>
          </cell>
          <cell r="B6349">
            <v>37794</v>
          </cell>
          <cell r="C6349" t="str">
            <v>NG</v>
          </cell>
          <cell r="D6349" t="str">
            <v>200412</v>
          </cell>
          <cell r="E6349">
            <v>5.4109999999999996</v>
          </cell>
        </row>
        <row r="6350">
          <cell r="A6350" t="str">
            <v>37795200401</v>
          </cell>
          <cell r="B6350">
            <v>37795</v>
          </cell>
          <cell r="C6350" t="str">
            <v>NG</v>
          </cell>
          <cell r="D6350" t="str">
            <v>200401</v>
          </cell>
          <cell r="E6350">
            <v>6.3979999999999997</v>
          </cell>
        </row>
        <row r="6351">
          <cell r="A6351" t="str">
            <v>37795200402</v>
          </cell>
          <cell r="B6351">
            <v>37795</v>
          </cell>
          <cell r="C6351" t="str">
            <v>NG</v>
          </cell>
          <cell r="D6351" t="str">
            <v>200402</v>
          </cell>
          <cell r="E6351">
            <v>6.3129999999999997</v>
          </cell>
        </row>
        <row r="6352">
          <cell r="A6352" t="str">
            <v>37795200403</v>
          </cell>
          <cell r="B6352">
            <v>37795</v>
          </cell>
          <cell r="C6352" t="str">
            <v>NG</v>
          </cell>
          <cell r="D6352" t="str">
            <v>200403</v>
          </cell>
          <cell r="E6352">
            <v>6.0730000000000004</v>
          </cell>
        </row>
        <row r="6353">
          <cell r="A6353" t="str">
            <v>37795200404</v>
          </cell>
          <cell r="B6353">
            <v>37795</v>
          </cell>
          <cell r="C6353" t="str">
            <v>NG</v>
          </cell>
          <cell r="D6353" t="str">
            <v>200404</v>
          </cell>
          <cell r="E6353">
            <v>5.2380000000000004</v>
          </cell>
        </row>
        <row r="6354">
          <cell r="A6354" t="str">
            <v>37795200405</v>
          </cell>
          <cell r="B6354">
            <v>37795</v>
          </cell>
          <cell r="C6354" t="str">
            <v>NG</v>
          </cell>
          <cell r="D6354" t="str">
            <v>200405</v>
          </cell>
          <cell r="E6354">
            <v>5.0880000000000001</v>
          </cell>
        </row>
        <row r="6355">
          <cell r="A6355" t="str">
            <v>37795200406</v>
          </cell>
          <cell r="B6355">
            <v>37795</v>
          </cell>
          <cell r="C6355" t="str">
            <v>NG</v>
          </cell>
          <cell r="D6355" t="str">
            <v>200406</v>
          </cell>
          <cell r="E6355">
            <v>5.0730000000000004</v>
          </cell>
        </row>
        <row r="6356">
          <cell r="A6356" t="str">
            <v>37795200407</v>
          </cell>
          <cell r="B6356">
            <v>37795</v>
          </cell>
          <cell r="C6356" t="str">
            <v>NG</v>
          </cell>
          <cell r="D6356" t="str">
            <v>200407</v>
          </cell>
          <cell r="E6356">
            <v>5.0579999999999998</v>
          </cell>
        </row>
        <row r="6357">
          <cell r="A6357" t="str">
            <v>37795200408</v>
          </cell>
          <cell r="B6357">
            <v>37795</v>
          </cell>
          <cell r="C6357" t="str">
            <v>NG</v>
          </cell>
          <cell r="D6357" t="str">
            <v>200408</v>
          </cell>
          <cell r="E6357">
            <v>5.0679999999999996</v>
          </cell>
        </row>
        <row r="6358">
          <cell r="A6358" t="str">
            <v>37795200409</v>
          </cell>
          <cell r="B6358">
            <v>37795</v>
          </cell>
          <cell r="C6358" t="str">
            <v>NG</v>
          </cell>
          <cell r="D6358" t="str">
            <v>200409</v>
          </cell>
          <cell r="E6358">
            <v>5.048</v>
          </cell>
        </row>
        <row r="6359">
          <cell r="A6359" t="str">
            <v>37795200410</v>
          </cell>
          <cell r="B6359">
            <v>37795</v>
          </cell>
          <cell r="C6359" t="str">
            <v>NG</v>
          </cell>
          <cell r="D6359" t="str">
            <v>200410</v>
          </cell>
          <cell r="E6359">
            <v>5.0679999999999996</v>
          </cell>
        </row>
        <row r="6360">
          <cell r="A6360" t="str">
            <v>37795200411</v>
          </cell>
          <cell r="B6360">
            <v>37795</v>
          </cell>
          <cell r="C6360" t="str">
            <v>NG</v>
          </cell>
          <cell r="D6360" t="str">
            <v>200411</v>
          </cell>
          <cell r="E6360">
            <v>5.2629999999999999</v>
          </cell>
        </row>
        <row r="6361">
          <cell r="A6361" t="str">
            <v>37795200412</v>
          </cell>
          <cell r="B6361">
            <v>37795</v>
          </cell>
          <cell r="C6361" t="str">
            <v>NG</v>
          </cell>
          <cell r="D6361" t="str">
            <v>200412</v>
          </cell>
          <cell r="E6361">
            <v>5.4530000000000003</v>
          </cell>
        </row>
        <row r="6362">
          <cell r="A6362" t="str">
            <v>37796200401</v>
          </cell>
          <cell r="B6362">
            <v>37796</v>
          </cell>
          <cell r="C6362" t="str">
            <v>NG</v>
          </cell>
          <cell r="D6362" t="str">
            <v>200401</v>
          </cell>
          <cell r="E6362">
            <v>6.3979999999999997</v>
          </cell>
        </row>
        <row r="6363">
          <cell r="A6363" t="str">
            <v>37796200402</v>
          </cell>
          <cell r="B6363">
            <v>37796</v>
          </cell>
          <cell r="C6363" t="str">
            <v>NG</v>
          </cell>
          <cell r="D6363" t="str">
            <v>200402</v>
          </cell>
          <cell r="E6363">
            <v>6.3129999999999997</v>
          </cell>
        </row>
        <row r="6364">
          <cell r="A6364" t="str">
            <v>37796200403</v>
          </cell>
          <cell r="B6364">
            <v>37796</v>
          </cell>
          <cell r="C6364" t="str">
            <v>NG</v>
          </cell>
          <cell r="D6364" t="str">
            <v>200403</v>
          </cell>
          <cell r="E6364">
            <v>6.0730000000000004</v>
          </cell>
        </row>
        <row r="6365">
          <cell r="A6365" t="str">
            <v>37796200404</v>
          </cell>
          <cell r="B6365">
            <v>37796</v>
          </cell>
          <cell r="C6365" t="str">
            <v>NG</v>
          </cell>
          <cell r="D6365" t="str">
            <v>200404</v>
          </cell>
          <cell r="E6365">
            <v>5.2380000000000004</v>
          </cell>
        </row>
        <row r="6366">
          <cell r="A6366" t="str">
            <v>37796200405</v>
          </cell>
          <cell r="B6366">
            <v>37796</v>
          </cell>
          <cell r="C6366" t="str">
            <v>NG</v>
          </cell>
          <cell r="D6366" t="str">
            <v>200405</v>
          </cell>
          <cell r="E6366">
            <v>5.0880000000000001</v>
          </cell>
        </row>
        <row r="6367">
          <cell r="A6367" t="str">
            <v>37796200406</v>
          </cell>
          <cell r="B6367">
            <v>37796</v>
          </cell>
          <cell r="C6367" t="str">
            <v>NG</v>
          </cell>
          <cell r="D6367" t="str">
            <v>200406</v>
          </cell>
          <cell r="E6367">
            <v>5.0730000000000004</v>
          </cell>
        </row>
        <row r="6368">
          <cell r="A6368" t="str">
            <v>37796200407</v>
          </cell>
          <cell r="B6368">
            <v>37796</v>
          </cell>
          <cell r="C6368" t="str">
            <v>NG</v>
          </cell>
          <cell r="D6368" t="str">
            <v>200407</v>
          </cell>
          <cell r="E6368">
            <v>5.0579999999999998</v>
          </cell>
        </row>
        <row r="6369">
          <cell r="A6369" t="str">
            <v>37796200408</v>
          </cell>
          <cell r="B6369">
            <v>37796</v>
          </cell>
          <cell r="C6369" t="str">
            <v>NG</v>
          </cell>
          <cell r="D6369" t="str">
            <v>200408</v>
          </cell>
          <cell r="E6369">
            <v>5.0679999999999996</v>
          </cell>
        </row>
        <row r="6370">
          <cell r="A6370" t="str">
            <v>37796200409</v>
          </cell>
          <cell r="B6370">
            <v>37796</v>
          </cell>
          <cell r="C6370" t="str">
            <v>NG</v>
          </cell>
          <cell r="D6370" t="str">
            <v>200409</v>
          </cell>
          <cell r="E6370">
            <v>5.048</v>
          </cell>
        </row>
        <row r="6371">
          <cell r="A6371" t="str">
            <v>37796200410</v>
          </cell>
          <cell r="B6371">
            <v>37796</v>
          </cell>
          <cell r="C6371" t="str">
            <v>NG</v>
          </cell>
          <cell r="D6371" t="str">
            <v>200410</v>
          </cell>
          <cell r="E6371">
            <v>5.0679999999999996</v>
          </cell>
        </row>
        <row r="6372">
          <cell r="A6372" t="str">
            <v>37796200411</v>
          </cell>
          <cell r="B6372">
            <v>37796</v>
          </cell>
          <cell r="C6372" t="str">
            <v>NG</v>
          </cell>
          <cell r="D6372" t="str">
            <v>200411</v>
          </cell>
          <cell r="E6372">
            <v>5.2629999999999999</v>
          </cell>
        </row>
        <row r="6373">
          <cell r="A6373" t="str">
            <v>37796200412</v>
          </cell>
          <cell r="B6373">
            <v>37796</v>
          </cell>
          <cell r="C6373" t="str">
            <v>NG</v>
          </cell>
          <cell r="D6373" t="str">
            <v>200412</v>
          </cell>
          <cell r="E6373">
            <v>5.4530000000000003</v>
          </cell>
        </row>
        <row r="6374">
          <cell r="A6374" t="str">
            <v/>
          </cell>
          <cell r="B6374">
            <v>37797</v>
          </cell>
          <cell r="C6374" t="str">
            <v>NG</v>
          </cell>
          <cell r="D6374" t="str">
            <v>200401</v>
          </cell>
          <cell r="E6374">
            <v>6.2720000000000002</v>
          </cell>
        </row>
        <row r="6375">
          <cell r="A6375" t="str">
            <v/>
          </cell>
          <cell r="B6375">
            <v>37797</v>
          </cell>
          <cell r="C6375" t="str">
            <v>NG</v>
          </cell>
          <cell r="D6375" t="str">
            <v>200402</v>
          </cell>
          <cell r="E6375">
            <v>6.1890000000000001</v>
          </cell>
        </row>
        <row r="6376">
          <cell r="A6376" t="str">
            <v/>
          </cell>
          <cell r="B6376">
            <v>37797</v>
          </cell>
          <cell r="C6376" t="str">
            <v>NG</v>
          </cell>
          <cell r="D6376" t="str">
            <v>200403</v>
          </cell>
          <cell r="E6376">
            <v>5.9589999999999996</v>
          </cell>
        </row>
        <row r="6377">
          <cell r="A6377" t="str">
            <v/>
          </cell>
          <cell r="B6377">
            <v>37797</v>
          </cell>
          <cell r="C6377" t="str">
            <v>NG</v>
          </cell>
          <cell r="D6377" t="str">
            <v>200404</v>
          </cell>
          <cell r="E6377">
            <v>5.1589999999999998</v>
          </cell>
        </row>
        <row r="6378">
          <cell r="A6378" t="str">
            <v/>
          </cell>
          <cell r="B6378">
            <v>37797</v>
          </cell>
          <cell r="C6378" t="str">
            <v>NG</v>
          </cell>
          <cell r="D6378" t="str">
            <v>200405</v>
          </cell>
          <cell r="E6378">
            <v>5.0110000000000001</v>
          </cell>
        </row>
        <row r="6379">
          <cell r="A6379" t="str">
            <v/>
          </cell>
          <cell r="B6379">
            <v>37797</v>
          </cell>
          <cell r="C6379" t="str">
            <v>NG</v>
          </cell>
          <cell r="D6379" t="str">
            <v>200406</v>
          </cell>
          <cell r="E6379">
            <v>4.9960000000000004</v>
          </cell>
        </row>
        <row r="6380">
          <cell r="A6380" t="str">
            <v/>
          </cell>
          <cell r="B6380">
            <v>37797</v>
          </cell>
          <cell r="C6380" t="str">
            <v>NG</v>
          </cell>
          <cell r="D6380" t="str">
            <v>200407</v>
          </cell>
          <cell r="E6380">
            <v>4.976</v>
          </cell>
        </row>
        <row r="6381">
          <cell r="A6381" t="str">
            <v/>
          </cell>
          <cell r="B6381">
            <v>37797</v>
          </cell>
          <cell r="C6381" t="str">
            <v>NG</v>
          </cell>
          <cell r="D6381" t="str">
            <v>200408</v>
          </cell>
          <cell r="E6381">
            <v>4.9859999999999998</v>
          </cell>
        </row>
        <row r="6382">
          <cell r="A6382" t="str">
            <v/>
          </cell>
          <cell r="B6382">
            <v>37797</v>
          </cell>
          <cell r="C6382" t="str">
            <v>NG</v>
          </cell>
          <cell r="D6382" t="str">
            <v>200409</v>
          </cell>
          <cell r="E6382">
            <v>4.9710000000000001</v>
          </cell>
        </row>
        <row r="6383">
          <cell r="A6383" t="str">
            <v/>
          </cell>
          <cell r="B6383">
            <v>37797</v>
          </cell>
          <cell r="C6383" t="str">
            <v>NG</v>
          </cell>
          <cell r="D6383" t="str">
            <v>200410</v>
          </cell>
          <cell r="E6383">
            <v>4.9909999999999997</v>
          </cell>
        </row>
        <row r="6384">
          <cell r="A6384" t="str">
            <v/>
          </cell>
          <cell r="B6384">
            <v>37797</v>
          </cell>
          <cell r="C6384" t="str">
            <v>NG</v>
          </cell>
          <cell r="D6384" t="str">
            <v>200411</v>
          </cell>
          <cell r="E6384">
            <v>5.181</v>
          </cell>
        </row>
        <row r="6385">
          <cell r="A6385" t="str">
            <v/>
          </cell>
          <cell r="B6385">
            <v>37797</v>
          </cell>
          <cell r="C6385" t="str">
            <v>NG</v>
          </cell>
          <cell r="D6385" t="str">
            <v>200412</v>
          </cell>
          <cell r="E6385">
            <v>5.38</v>
          </cell>
        </row>
        <row r="6386">
          <cell r="A6386" t="str">
            <v/>
          </cell>
          <cell r="B6386">
            <v>37798</v>
          </cell>
          <cell r="C6386" t="str">
            <v>NG</v>
          </cell>
          <cell r="D6386" t="str">
            <v>200401</v>
          </cell>
          <cell r="E6386">
            <v>5.9509999999999996</v>
          </cell>
        </row>
        <row r="6387">
          <cell r="A6387" t="str">
            <v/>
          </cell>
          <cell r="B6387">
            <v>37798</v>
          </cell>
          <cell r="C6387" t="str">
            <v>NG</v>
          </cell>
          <cell r="D6387" t="str">
            <v>200402</v>
          </cell>
          <cell r="E6387">
            <v>5.8860000000000001</v>
          </cell>
        </row>
        <row r="6388">
          <cell r="A6388" t="str">
            <v/>
          </cell>
          <cell r="B6388">
            <v>37798</v>
          </cell>
          <cell r="C6388" t="str">
            <v>NG</v>
          </cell>
          <cell r="D6388" t="str">
            <v>200403</v>
          </cell>
          <cell r="E6388">
            <v>5.6909999999999998</v>
          </cell>
        </row>
        <row r="6389">
          <cell r="A6389" t="str">
            <v/>
          </cell>
          <cell r="B6389">
            <v>37798</v>
          </cell>
          <cell r="C6389" t="str">
            <v>NG</v>
          </cell>
          <cell r="D6389" t="str">
            <v>200404</v>
          </cell>
          <cell r="E6389">
            <v>5.0209999999999999</v>
          </cell>
        </row>
        <row r="6390">
          <cell r="A6390" t="str">
            <v/>
          </cell>
          <cell r="B6390">
            <v>37798</v>
          </cell>
          <cell r="C6390" t="str">
            <v>NG</v>
          </cell>
          <cell r="D6390" t="str">
            <v>200405</v>
          </cell>
          <cell r="E6390">
            <v>4.875</v>
          </cell>
        </row>
        <row r="6391">
          <cell r="A6391" t="str">
            <v/>
          </cell>
          <cell r="B6391">
            <v>37798</v>
          </cell>
          <cell r="C6391" t="str">
            <v>NG</v>
          </cell>
          <cell r="D6391" t="str">
            <v>200406</v>
          </cell>
          <cell r="E6391">
            <v>4.8650000000000002</v>
          </cell>
        </row>
        <row r="6392">
          <cell r="A6392" t="str">
            <v/>
          </cell>
          <cell r="B6392">
            <v>37798</v>
          </cell>
          <cell r="C6392" t="str">
            <v>NG</v>
          </cell>
          <cell r="D6392" t="str">
            <v>200407</v>
          </cell>
          <cell r="E6392">
            <v>4.8600000000000003</v>
          </cell>
        </row>
        <row r="6393">
          <cell r="A6393" t="str">
            <v/>
          </cell>
          <cell r="B6393">
            <v>37798</v>
          </cell>
          <cell r="C6393" t="str">
            <v>NG</v>
          </cell>
          <cell r="D6393" t="str">
            <v>200408</v>
          </cell>
          <cell r="E6393">
            <v>4.88</v>
          </cell>
        </row>
        <row r="6394">
          <cell r="A6394" t="str">
            <v/>
          </cell>
          <cell r="B6394">
            <v>37798</v>
          </cell>
          <cell r="C6394" t="str">
            <v>NG</v>
          </cell>
          <cell r="D6394" t="str">
            <v>200409</v>
          </cell>
          <cell r="E6394">
            <v>4.88</v>
          </cell>
        </row>
        <row r="6395">
          <cell r="A6395" t="str">
            <v/>
          </cell>
          <cell r="B6395">
            <v>37798</v>
          </cell>
          <cell r="C6395" t="str">
            <v>NG</v>
          </cell>
          <cell r="D6395" t="str">
            <v>200410</v>
          </cell>
          <cell r="E6395">
            <v>4.91</v>
          </cell>
        </row>
        <row r="6396">
          <cell r="A6396" t="str">
            <v/>
          </cell>
          <cell r="B6396">
            <v>37798</v>
          </cell>
          <cell r="C6396" t="str">
            <v>NG</v>
          </cell>
          <cell r="D6396" t="str">
            <v>200411</v>
          </cell>
          <cell r="E6396">
            <v>5.1150000000000002</v>
          </cell>
        </row>
        <row r="6397">
          <cell r="A6397" t="str">
            <v/>
          </cell>
          <cell r="B6397">
            <v>37798</v>
          </cell>
          <cell r="C6397" t="str">
            <v>NG</v>
          </cell>
          <cell r="D6397" t="str">
            <v>200412</v>
          </cell>
          <cell r="E6397">
            <v>5.31</v>
          </cell>
        </row>
        <row r="6398">
          <cell r="A6398" t="str">
            <v/>
          </cell>
          <cell r="B6398">
            <v>37799</v>
          </cell>
          <cell r="C6398" t="str">
            <v>NG</v>
          </cell>
          <cell r="D6398" t="str">
            <v>200401</v>
          </cell>
          <cell r="E6398">
            <v>5.8979999999999997</v>
          </cell>
        </row>
        <row r="6399">
          <cell r="A6399" t="str">
            <v/>
          </cell>
          <cell r="B6399">
            <v>37799</v>
          </cell>
          <cell r="C6399" t="str">
            <v>NG</v>
          </cell>
          <cell r="D6399" t="str">
            <v>200402</v>
          </cell>
          <cell r="E6399">
            <v>5.8330000000000002</v>
          </cell>
        </row>
        <row r="6400">
          <cell r="A6400" t="str">
            <v/>
          </cell>
          <cell r="B6400">
            <v>37799</v>
          </cell>
          <cell r="C6400" t="str">
            <v>NG</v>
          </cell>
          <cell r="D6400" t="str">
            <v>200403</v>
          </cell>
          <cell r="E6400">
            <v>5.6529999999999996</v>
          </cell>
        </row>
        <row r="6401">
          <cell r="A6401" t="str">
            <v/>
          </cell>
          <cell r="B6401">
            <v>37799</v>
          </cell>
          <cell r="C6401" t="str">
            <v>NG</v>
          </cell>
          <cell r="D6401" t="str">
            <v>200404</v>
          </cell>
          <cell r="E6401">
            <v>5.0030000000000001</v>
          </cell>
        </row>
        <row r="6402">
          <cell r="A6402" t="str">
            <v/>
          </cell>
          <cell r="B6402">
            <v>37799</v>
          </cell>
          <cell r="C6402" t="str">
            <v>NG</v>
          </cell>
          <cell r="D6402" t="str">
            <v>200405</v>
          </cell>
          <cell r="E6402">
            <v>4.8570000000000002</v>
          </cell>
        </row>
        <row r="6403">
          <cell r="A6403" t="str">
            <v/>
          </cell>
          <cell r="B6403">
            <v>37799</v>
          </cell>
          <cell r="C6403" t="str">
            <v>NG</v>
          </cell>
          <cell r="D6403" t="str">
            <v>200406</v>
          </cell>
          <cell r="E6403">
            <v>4.8419999999999996</v>
          </cell>
        </row>
        <row r="6404">
          <cell r="A6404" t="str">
            <v/>
          </cell>
          <cell r="B6404">
            <v>37799</v>
          </cell>
          <cell r="C6404" t="str">
            <v>NG</v>
          </cell>
          <cell r="D6404" t="str">
            <v>200407</v>
          </cell>
          <cell r="E6404">
            <v>4.8369999999999997</v>
          </cell>
        </row>
        <row r="6405">
          <cell r="A6405" t="str">
            <v/>
          </cell>
          <cell r="B6405">
            <v>37799</v>
          </cell>
          <cell r="C6405" t="str">
            <v>NG</v>
          </cell>
          <cell r="D6405" t="str">
            <v>200408</v>
          </cell>
          <cell r="E6405">
            <v>4.8570000000000002</v>
          </cell>
        </row>
        <row r="6406">
          <cell r="A6406" t="str">
            <v/>
          </cell>
          <cell r="B6406">
            <v>37799</v>
          </cell>
          <cell r="C6406" t="str">
            <v>NG</v>
          </cell>
          <cell r="D6406" t="str">
            <v>200409</v>
          </cell>
          <cell r="E6406">
            <v>4.8570000000000002</v>
          </cell>
        </row>
        <row r="6407">
          <cell r="A6407" t="str">
            <v/>
          </cell>
          <cell r="B6407">
            <v>37799</v>
          </cell>
          <cell r="C6407" t="str">
            <v>NG</v>
          </cell>
          <cell r="D6407" t="str">
            <v>200410</v>
          </cell>
          <cell r="E6407">
            <v>4.8869999999999996</v>
          </cell>
        </row>
        <row r="6408">
          <cell r="A6408" t="str">
            <v/>
          </cell>
          <cell r="B6408">
            <v>37799</v>
          </cell>
          <cell r="C6408" t="str">
            <v>NG</v>
          </cell>
          <cell r="D6408" t="str">
            <v>200411</v>
          </cell>
          <cell r="E6408">
            <v>5.0670000000000002</v>
          </cell>
        </row>
        <row r="6409">
          <cell r="A6409" t="str">
            <v/>
          </cell>
          <cell r="B6409">
            <v>37799</v>
          </cell>
          <cell r="C6409" t="str">
            <v>NG</v>
          </cell>
          <cell r="D6409" t="str">
            <v>200412</v>
          </cell>
          <cell r="E6409">
            <v>5.2720000000000002</v>
          </cell>
        </row>
        <row r="6410">
          <cell r="A6410" t="str">
            <v/>
          </cell>
          <cell r="B6410">
            <v>37800</v>
          </cell>
          <cell r="C6410" t="str">
            <v>NG</v>
          </cell>
          <cell r="D6410" t="str">
            <v>200401</v>
          </cell>
          <cell r="E6410">
            <v>5.8979999999999997</v>
          </cell>
        </row>
        <row r="6411">
          <cell r="A6411" t="str">
            <v/>
          </cell>
          <cell r="B6411">
            <v>37800</v>
          </cell>
          <cell r="C6411" t="str">
            <v>NG</v>
          </cell>
          <cell r="D6411" t="str">
            <v>200402</v>
          </cell>
          <cell r="E6411">
            <v>5.8330000000000002</v>
          </cell>
        </row>
        <row r="6412">
          <cell r="A6412" t="str">
            <v/>
          </cell>
          <cell r="B6412">
            <v>37800</v>
          </cell>
          <cell r="C6412" t="str">
            <v>NG</v>
          </cell>
          <cell r="D6412" t="str">
            <v>200403</v>
          </cell>
          <cell r="E6412">
            <v>5.6529999999999996</v>
          </cell>
        </row>
        <row r="6413">
          <cell r="A6413" t="str">
            <v/>
          </cell>
          <cell r="B6413">
            <v>37800</v>
          </cell>
          <cell r="C6413" t="str">
            <v>NG</v>
          </cell>
          <cell r="D6413" t="str">
            <v>200404</v>
          </cell>
          <cell r="E6413">
            <v>5.0030000000000001</v>
          </cell>
        </row>
        <row r="6414">
          <cell r="A6414" t="str">
            <v/>
          </cell>
          <cell r="B6414">
            <v>37800</v>
          </cell>
          <cell r="C6414" t="str">
            <v>NG</v>
          </cell>
          <cell r="D6414" t="str">
            <v>200405</v>
          </cell>
          <cell r="E6414">
            <v>4.8570000000000002</v>
          </cell>
        </row>
        <row r="6415">
          <cell r="A6415" t="str">
            <v/>
          </cell>
          <cell r="B6415">
            <v>37800</v>
          </cell>
          <cell r="C6415" t="str">
            <v>NG</v>
          </cell>
          <cell r="D6415" t="str">
            <v>200406</v>
          </cell>
          <cell r="E6415">
            <v>4.8419999999999996</v>
          </cell>
        </row>
        <row r="6416">
          <cell r="A6416" t="str">
            <v/>
          </cell>
          <cell r="B6416">
            <v>37800</v>
          </cell>
          <cell r="C6416" t="str">
            <v>NG</v>
          </cell>
          <cell r="D6416" t="str">
            <v>200407</v>
          </cell>
          <cell r="E6416">
            <v>4.8369999999999997</v>
          </cell>
        </row>
        <row r="6417">
          <cell r="A6417" t="str">
            <v/>
          </cell>
          <cell r="B6417">
            <v>37800</v>
          </cell>
          <cell r="C6417" t="str">
            <v>NG</v>
          </cell>
          <cell r="D6417" t="str">
            <v>200408</v>
          </cell>
          <cell r="E6417">
            <v>4.8570000000000002</v>
          </cell>
        </row>
        <row r="6418">
          <cell r="A6418" t="str">
            <v/>
          </cell>
          <cell r="B6418">
            <v>37800</v>
          </cell>
          <cell r="C6418" t="str">
            <v>NG</v>
          </cell>
          <cell r="D6418" t="str">
            <v>200409</v>
          </cell>
          <cell r="E6418">
            <v>4.8570000000000002</v>
          </cell>
        </row>
        <row r="6419">
          <cell r="A6419" t="str">
            <v/>
          </cell>
          <cell r="B6419">
            <v>37800</v>
          </cell>
          <cell r="C6419" t="str">
            <v>NG</v>
          </cell>
          <cell r="D6419" t="str">
            <v>200410</v>
          </cell>
          <cell r="E6419">
            <v>4.8869999999999996</v>
          </cell>
        </row>
        <row r="6420">
          <cell r="A6420" t="str">
            <v/>
          </cell>
          <cell r="B6420">
            <v>37800</v>
          </cell>
          <cell r="C6420" t="str">
            <v>NG</v>
          </cell>
          <cell r="D6420" t="str">
            <v>200411</v>
          </cell>
          <cell r="E6420">
            <v>5.0670000000000002</v>
          </cell>
        </row>
        <row r="6421">
          <cell r="A6421" t="str">
            <v/>
          </cell>
          <cell r="B6421">
            <v>37800</v>
          </cell>
          <cell r="C6421" t="str">
            <v>NG</v>
          </cell>
          <cell r="D6421" t="str">
            <v>200412</v>
          </cell>
          <cell r="E6421">
            <v>5.2720000000000002</v>
          </cell>
        </row>
        <row r="6422">
          <cell r="A6422" t="str">
            <v/>
          </cell>
          <cell r="B6422">
            <v>37801</v>
          </cell>
          <cell r="C6422" t="str">
            <v>NG</v>
          </cell>
          <cell r="D6422" t="str">
            <v>200401</v>
          </cell>
          <cell r="E6422">
            <v>5.8979999999999997</v>
          </cell>
        </row>
        <row r="6423">
          <cell r="A6423" t="str">
            <v/>
          </cell>
          <cell r="B6423">
            <v>37801</v>
          </cell>
          <cell r="C6423" t="str">
            <v>NG</v>
          </cell>
          <cell r="D6423" t="str">
            <v>200402</v>
          </cell>
          <cell r="E6423">
            <v>5.8330000000000002</v>
          </cell>
        </row>
        <row r="6424">
          <cell r="A6424" t="str">
            <v/>
          </cell>
          <cell r="B6424">
            <v>37801</v>
          </cell>
          <cell r="C6424" t="str">
            <v>NG</v>
          </cell>
          <cell r="D6424" t="str">
            <v>200403</v>
          </cell>
          <cell r="E6424">
            <v>5.6529999999999996</v>
          </cell>
        </row>
        <row r="6425">
          <cell r="A6425" t="str">
            <v/>
          </cell>
          <cell r="B6425">
            <v>37801</v>
          </cell>
          <cell r="C6425" t="str">
            <v>NG</v>
          </cell>
          <cell r="D6425" t="str">
            <v>200404</v>
          </cell>
          <cell r="E6425">
            <v>5.0030000000000001</v>
          </cell>
        </row>
        <row r="6426">
          <cell r="A6426" t="str">
            <v/>
          </cell>
          <cell r="B6426">
            <v>37801</v>
          </cell>
          <cell r="C6426" t="str">
            <v>NG</v>
          </cell>
          <cell r="D6426" t="str">
            <v>200405</v>
          </cell>
          <cell r="E6426">
            <v>4.8570000000000002</v>
          </cell>
        </row>
        <row r="6427">
          <cell r="A6427" t="str">
            <v/>
          </cell>
          <cell r="B6427">
            <v>37801</v>
          </cell>
          <cell r="C6427" t="str">
            <v>NG</v>
          </cell>
          <cell r="D6427" t="str">
            <v>200406</v>
          </cell>
          <cell r="E6427">
            <v>4.8419999999999996</v>
          </cell>
        </row>
        <row r="6428">
          <cell r="A6428" t="str">
            <v/>
          </cell>
          <cell r="B6428">
            <v>37801</v>
          </cell>
          <cell r="C6428" t="str">
            <v>NG</v>
          </cell>
          <cell r="D6428" t="str">
            <v>200407</v>
          </cell>
          <cell r="E6428">
            <v>4.8369999999999997</v>
          </cell>
        </row>
        <row r="6429">
          <cell r="A6429" t="str">
            <v/>
          </cell>
          <cell r="B6429">
            <v>37801</v>
          </cell>
          <cell r="C6429" t="str">
            <v>NG</v>
          </cell>
          <cell r="D6429" t="str">
            <v>200408</v>
          </cell>
          <cell r="E6429">
            <v>4.8570000000000002</v>
          </cell>
        </row>
        <row r="6430">
          <cell r="A6430" t="str">
            <v/>
          </cell>
          <cell r="B6430">
            <v>37801</v>
          </cell>
          <cell r="C6430" t="str">
            <v>NG</v>
          </cell>
          <cell r="D6430" t="str">
            <v>200409</v>
          </cell>
          <cell r="E6430">
            <v>4.8570000000000002</v>
          </cell>
        </row>
        <row r="6431">
          <cell r="A6431" t="str">
            <v/>
          </cell>
          <cell r="B6431">
            <v>37801</v>
          </cell>
          <cell r="C6431" t="str">
            <v>NG</v>
          </cell>
          <cell r="D6431" t="str">
            <v>200410</v>
          </cell>
          <cell r="E6431">
            <v>4.8869999999999996</v>
          </cell>
        </row>
        <row r="6432">
          <cell r="A6432" t="str">
            <v/>
          </cell>
          <cell r="B6432">
            <v>37801</v>
          </cell>
          <cell r="C6432" t="str">
            <v>NG</v>
          </cell>
          <cell r="D6432" t="str">
            <v>200411</v>
          </cell>
          <cell r="E6432">
            <v>5.0670000000000002</v>
          </cell>
        </row>
        <row r="6433">
          <cell r="A6433" t="str">
            <v/>
          </cell>
          <cell r="B6433">
            <v>37801</v>
          </cell>
          <cell r="C6433" t="str">
            <v>NG</v>
          </cell>
          <cell r="D6433" t="str">
            <v>200412</v>
          </cell>
          <cell r="E6433">
            <v>5.2720000000000002</v>
          </cell>
        </row>
        <row r="6434">
          <cell r="A6434" t="str">
            <v/>
          </cell>
          <cell r="B6434">
            <v>37802</v>
          </cell>
          <cell r="C6434" t="str">
            <v>NG</v>
          </cell>
          <cell r="D6434" t="str">
            <v>200401</v>
          </cell>
          <cell r="E6434">
            <v>5.9240000000000004</v>
          </cell>
        </row>
        <row r="6435">
          <cell r="A6435" t="str">
            <v/>
          </cell>
          <cell r="B6435">
            <v>37802</v>
          </cell>
          <cell r="C6435" t="str">
            <v>NG</v>
          </cell>
          <cell r="D6435" t="str">
            <v>200402</v>
          </cell>
          <cell r="E6435">
            <v>5.8490000000000002</v>
          </cell>
        </row>
        <row r="6436">
          <cell r="A6436" t="str">
            <v/>
          </cell>
          <cell r="B6436">
            <v>37802</v>
          </cell>
          <cell r="C6436" t="str">
            <v>NG</v>
          </cell>
          <cell r="D6436" t="str">
            <v>200403</v>
          </cell>
          <cell r="E6436">
            <v>5.6639999999999997</v>
          </cell>
        </row>
        <row r="6437">
          <cell r="A6437" t="str">
            <v/>
          </cell>
          <cell r="B6437">
            <v>37802</v>
          </cell>
          <cell r="C6437" t="str">
            <v>NG</v>
          </cell>
          <cell r="D6437" t="str">
            <v>200404</v>
          </cell>
          <cell r="E6437">
            <v>5.0339999999999998</v>
          </cell>
        </row>
        <row r="6438">
          <cell r="A6438" t="str">
            <v/>
          </cell>
          <cell r="B6438">
            <v>37802</v>
          </cell>
          <cell r="C6438" t="str">
            <v>NG</v>
          </cell>
          <cell r="D6438" t="str">
            <v>200405</v>
          </cell>
          <cell r="E6438">
            <v>4.8879999999999999</v>
          </cell>
        </row>
        <row r="6439">
          <cell r="A6439" t="str">
            <v/>
          </cell>
          <cell r="B6439">
            <v>37802</v>
          </cell>
          <cell r="C6439" t="str">
            <v>NG</v>
          </cell>
          <cell r="D6439" t="str">
            <v>200406</v>
          </cell>
          <cell r="E6439">
            <v>4.8730000000000002</v>
          </cell>
        </row>
        <row r="6440">
          <cell r="A6440" t="str">
            <v/>
          </cell>
          <cell r="B6440">
            <v>37802</v>
          </cell>
          <cell r="C6440" t="str">
            <v>NG</v>
          </cell>
          <cell r="D6440" t="str">
            <v>200407</v>
          </cell>
          <cell r="E6440">
            <v>4.8680000000000003</v>
          </cell>
        </row>
        <row r="6441">
          <cell r="A6441" t="str">
            <v/>
          </cell>
          <cell r="B6441">
            <v>37802</v>
          </cell>
          <cell r="C6441" t="str">
            <v>NG</v>
          </cell>
          <cell r="D6441" t="str">
            <v>200408</v>
          </cell>
          <cell r="E6441">
            <v>4.8879999999999999</v>
          </cell>
        </row>
        <row r="6442">
          <cell r="A6442" t="str">
            <v/>
          </cell>
          <cell r="B6442">
            <v>37802</v>
          </cell>
          <cell r="C6442" t="str">
            <v>NG</v>
          </cell>
          <cell r="D6442" t="str">
            <v>200409</v>
          </cell>
          <cell r="E6442">
            <v>4.8879999999999999</v>
          </cell>
        </row>
        <row r="6443">
          <cell r="A6443" t="str">
            <v/>
          </cell>
          <cell r="B6443">
            <v>37802</v>
          </cell>
          <cell r="C6443" t="str">
            <v>NG</v>
          </cell>
          <cell r="D6443" t="str">
            <v>200410</v>
          </cell>
          <cell r="E6443">
            <v>4.9180000000000001</v>
          </cell>
        </row>
        <row r="6444">
          <cell r="A6444" t="str">
            <v/>
          </cell>
          <cell r="B6444">
            <v>37802</v>
          </cell>
          <cell r="C6444" t="str">
            <v>NG</v>
          </cell>
          <cell r="D6444" t="str">
            <v>200411</v>
          </cell>
          <cell r="E6444">
            <v>5.1230000000000002</v>
          </cell>
        </row>
        <row r="6445">
          <cell r="A6445" t="str">
            <v/>
          </cell>
          <cell r="B6445">
            <v>37802</v>
          </cell>
          <cell r="C6445" t="str">
            <v>NG</v>
          </cell>
          <cell r="D6445" t="str">
            <v>200412</v>
          </cell>
          <cell r="E6445">
            <v>5.3029999999999999</v>
          </cell>
        </row>
        <row r="6446">
          <cell r="A6446" t="str">
            <v/>
          </cell>
          <cell r="B6446">
            <v>37803</v>
          </cell>
          <cell r="C6446" t="str">
            <v>NG</v>
          </cell>
          <cell r="D6446" t="str">
            <v>200401</v>
          </cell>
          <cell r="E6446">
            <v>5.85</v>
          </cell>
        </row>
        <row r="6447">
          <cell r="A6447" t="str">
            <v/>
          </cell>
          <cell r="B6447">
            <v>37803</v>
          </cell>
          <cell r="C6447" t="str">
            <v>NG</v>
          </cell>
          <cell r="D6447" t="str">
            <v>200402</v>
          </cell>
          <cell r="E6447">
            <v>5.78</v>
          </cell>
        </row>
        <row r="6448">
          <cell r="A6448" t="str">
            <v/>
          </cell>
          <cell r="B6448">
            <v>37803</v>
          </cell>
          <cell r="C6448" t="str">
            <v>NG</v>
          </cell>
          <cell r="D6448" t="str">
            <v>200403</v>
          </cell>
          <cell r="E6448">
            <v>5.62</v>
          </cell>
        </row>
        <row r="6449">
          <cell r="A6449" t="str">
            <v/>
          </cell>
          <cell r="B6449">
            <v>37803</v>
          </cell>
          <cell r="C6449" t="str">
            <v>NG</v>
          </cell>
          <cell r="D6449" t="str">
            <v>200404</v>
          </cell>
          <cell r="E6449">
            <v>5.0350000000000001</v>
          </cell>
        </row>
        <row r="6450">
          <cell r="A6450" t="str">
            <v/>
          </cell>
          <cell r="B6450">
            <v>37803</v>
          </cell>
          <cell r="C6450" t="str">
            <v>NG</v>
          </cell>
          <cell r="D6450" t="str">
            <v>200405</v>
          </cell>
          <cell r="E6450">
            <v>4.8849999999999998</v>
          </cell>
        </row>
        <row r="6451">
          <cell r="A6451" t="str">
            <v/>
          </cell>
          <cell r="B6451">
            <v>37803</v>
          </cell>
          <cell r="C6451" t="str">
            <v>NG</v>
          </cell>
          <cell r="D6451" t="str">
            <v>200406</v>
          </cell>
          <cell r="E6451">
            <v>4.875</v>
          </cell>
        </row>
        <row r="6452">
          <cell r="A6452" t="str">
            <v/>
          </cell>
          <cell r="B6452">
            <v>37803</v>
          </cell>
          <cell r="C6452" t="str">
            <v>NG</v>
          </cell>
          <cell r="D6452" t="str">
            <v>200407</v>
          </cell>
          <cell r="E6452">
            <v>4.87</v>
          </cell>
        </row>
        <row r="6453">
          <cell r="A6453" t="str">
            <v/>
          </cell>
          <cell r="B6453">
            <v>37803</v>
          </cell>
          <cell r="C6453" t="str">
            <v>NG</v>
          </cell>
          <cell r="D6453" t="str">
            <v>200408</v>
          </cell>
          <cell r="E6453">
            <v>4.8849999999999998</v>
          </cell>
        </row>
        <row r="6454">
          <cell r="A6454" t="str">
            <v/>
          </cell>
          <cell r="B6454">
            <v>37803</v>
          </cell>
          <cell r="C6454" t="str">
            <v>NG</v>
          </cell>
          <cell r="D6454" t="str">
            <v>200409</v>
          </cell>
          <cell r="E6454">
            <v>4.875</v>
          </cell>
        </row>
        <row r="6455">
          <cell r="A6455" t="str">
            <v/>
          </cell>
          <cell r="B6455">
            <v>37803</v>
          </cell>
          <cell r="C6455" t="str">
            <v>NG</v>
          </cell>
          <cell r="D6455" t="str">
            <v>200410</v>
          </cell>
          <cell r="E6455">
            <v>4.9050000000000002</v>
          </cell>
        </row>
        <row r="6456">
          <cell r="A6456" t="str">
            <v/>
          </cell>
          <cell r="B6456">
            <v>37803</v>
          </cell>
          <cell r="C6456" t="str">
            <v>NG</v>
          </cell>
          <cell r="D6456" t="str">
            <v>200411</v>
          </cell>
          <cell r="E6456">
            <v>5.085</v>
          </cell>
        </row>
        <row r="6457">
          <cell r="A6457" t="str">
            <v/>
          </cell>
          <cell r="B6457">
            <v>37803</v>
          </cell>
          <cell r="C6457" t="str">
            <v>NG</v>
          </cell>
          <cell r="D6457" t="str">
            <v>200412</v>
          </cell>
          <cell r="E6457">
            <v>5.26</v>
          </cell>
        </row>
        <row r="6458">
          <cell r="A6458" t="str">
            <v/>
          </cell>
          <cell r="B6458">
            <v>37804</v>
          </cell>
          <cell r="C6458" t="str">
            <v>NG</v>
          </cell>
          <cell r="D6458" t="str">
            <v>200401</v>
          </cell>
          <cell r="E6458">
            <v>5.7590000000000003</v>
          </cell>
        </row>
        <row r="6459">
          <cell r="A6459" t="str">
            <v/>
          </cell>
          <cell r="B6459">
            <v>37804</v>
          </cell>
          <cell r="C6459" t="str">
            <v>NG</v>
          </cell>
          <cell r="D6459" t="str">
            <v>200402</v>
          </cell>
          <cell r="E6459">
            <v>5.6890000000000001</v>
          </cell>
        </row>
        <row r="6460">
          <cell r="A6460" t="str">
            <v/>
          </cell>
          <cell r="B6460">
            <v>37804</v>
          </cell>
          <cell r="C6460" t="str">
            <v>NG</v>
          </cell>
          <cell r="D6460" t="str">
            <v>200403</v>
          </cell>
          <cell r="E6460">
            <v>5.5339999999999998</v>
          </cell>
        </row>
        <row r="6461">
          <cell r="A6461" t="str">
            <v/>
          </cell>
          <cell r="B6461">
            <v>37804</v>
          </cell>
          <cell r="C6461" t="str">
            <v>NG</v>
          </cell>
          <cell r="D6461" t="str">
            <v>200404</v>
          </cell>
          <cell r="E6461">
            <v>4.9640000000000004</v>
          </cell>
        </row>
        <row r="6462">
          <cell r="A6462" t="str">
            <v/>
          </cell>
          <cell r="B6462">
            <v>37804</v>
          </cell>
          <cell r="C6462" t="str">
            <v>NG</v>
          </cell>
          <cell r="D6462" t="str">
            <v>200405</v>
          </cell>
          <cell r="E6462">
            <v>4.8239999999999998</v>
          </cell>
        </row>
        <row r="6463">
          <cell r="A6463" t="str">
            <v/>
          </cell>
          <cell r="B6463">
            <v>37804</v>
          </cell>
          <cell r="C6463" t="str">
            <v>NG</v>
          </cell>
          <cell r="D6463" t="str">
            <v>200406</v>
          </cell>
          <cell r="E6463">
            <v>4.8109999999999999</v>
          </cell>
        </row>
        <row r="6464">
          <cell r="A6464" t="str">
            <v/>
          </cell>
          <cell r="B6464">
            <v>37804</v>
          </cell>
          <cell r="C6464" t="str">
            <v>NG</v>
          </cell>
          <cell r="D6464" t="str">
            <v>200407</v>
          </cell>
          <cell r="E6464">
            <v>4.8049999999999997</v>
          </cell>
        </row>
        <row r="6465">
          <cell r="A6465" t="str">
            <v/>
          </cell>
          <cell r="B6465">
            <v>37804</v>
          </cell>
          <cell r="C6465" t="str">
            <v>NG</v>
          </cell>
          <cell r="D6465" t="str">
            <v>200408</v>
          </cell>
          <cell r="E6465">
            <v>4.8250000000000002</v>
          </cell>
        </row>
        <row r="6466">
          <cell r="A6466" t="str">
            <v/>
          </cell>
          <cell r="B6466">
            <v>37804</v>
          </cell>
          <cell r="C6466" t="str">
            <v>NG</v>
          </cell>
          <cell r="D6466" t="str">
            <v>200409</v>
          </cell>
          <cell r="E6466">
            <v>4.8150000000000004</v>
          </cell>
        </row>
        <row r="6467">
          <cell r="A6467" t="str">
            <v/>
          </cell>
          <cell r="B6467">
            <v>37804</v>
          </cell>
          <cell r="C6467" t="str">
            <v>NG</v>
          </cell>
          <cell r="D6467" t="str">
            <v>200410</v>
          </cell>
          <cell r="E6467">
            <v>4.8449999999999998</v>
          </cell>
        </row>
        <row r="6468">
          <cell r="A6468" t="str">
            <v/>
          </cell>
          <cell r="B6468">
            <v>37804</v>
          </cell>
          <cell r="C6468" t="str">
            <v>NG</v>
          </cell>
          <cell r="D6468" t="str">
            <v>200411</v>
          </cell>
          <cell r="E6468">
            <v>5.0250000000000004</v>
          </cell>
        </row>
        <row r="6469">
          <cell r="A6469" t="str">
            <v/>
          </cell>
          <cell r="B6469">
            <v>37804</v>
          </cell>
          <cell r="C6469" t="str">
            <v>NG</v>
          </cell>
          <cell r="D6469" t="str">
            <v>200412</v>
          </cell>
          <cell r="E6469">
            <v>5.19</v>
          </cell>
        </row>
        <row r="6470">
          <cell r="A6470" t="str">
            <v/>
          </cell>
          <cell r="B6470">
            <v>37805</v>
          </cell>
          <cell r="C6470" t="str">
            <v>NG</v>
          </cell>
          <cell r="D6470" t="str">
            <v>200401</v>
          </cell>
          <cell r="E6470">
            <v>5.7850000000000001</v>
          </cell>
        </row>
        <row r="6471">
          <cell r="A6471" t="str">
            <v/>
          </cell>
          <cell r="B6471">
            <v>37805</v>
          </cell>
          <cell r="C6471" t="str">
            <v>NG</v>
          </cell>
          <cell r="D6471" t="str">
            <v>200402</v>
          </cell>
          <cell r="E6471">
            <v>5.7149999999999999</v>
          </cell>
        </row>
        <row r="6472">
          <cell r="A6472" t="str">
            <v/>
          </cell>
          <cell r="B6472">
            <v>37805</v>
          </cell>
          <cell r="C6472" t="str">
            <v>NG</v>
          </cell>
          <cell r="D6472" t="str">
            <v>200403</v>
          </cell>
          <cell r="E6472">
            <v>5.56</v>
          </cell>
        </row>
        <row r="6473">
          <cell r="A6473" t="str">
            <v/>
          </cell>
          <cell r="B6473">
            <v>37805</v>
          </cell>
          <cell r="C6473" t="str">
            <v>NG</v>
          </cell>
          <cell r="D6473" t="str">
            <v>200404</v>
          </cell>
          <cell r="E6473">
            <v>4.9850000000000003</v>
          </cell>
        </row>
        <row r="6474">
          <cell r="A6474" t="str">
            <v/>
          </cell>
          <cell r="B6474">
            <v>37805</v>
          </cell>
          <cell r="C6474" t="str">
            <v>NG</v>
          </cell>
          <cell r="D6474" t="str">
            <v>200405</v>
          </cell>
          <cell r="E6474">
            <v>4.8449999999999998</v>
          </cell>
        </row>
        <row r="6475">
          <cell r="A6475" t="str">
            <v/>
          </cell>
          <cell r="B6475">
            <v>37805</v>
          </cell>
          <cell r="C6475" t="str">
            <v>NG</v>
          </cell>
          <cell r="D6475" t="str">
            <v>200406</v>
          </cell>
          <cell r="E6475">
            <v>4.8319999999999999</v>
          </cell>
        </row>
        <row r="6476">
          <cell r="A6476" t="str">
            <v/>
          </cell>
          <cell r="B6476">
            <v>37805</v>
          </cell>
          <cell r="C6476" t="str">
            <v>NG</v>
          </cell>
          <cell r="D6476" t="str">
            <v>200407</v>
          </cell>
          <cell r="E6476">
            <v>4.8259999999999996</v>
          </cell>
        </row>
        <row r="6477">
          <cell r="A6477" t="str">
            <v/>
          </cell>
          <cell r="B6477">
            <v>37805</v>
          </cell>
          <cell r="C6477" t="str">
            <v>NG</v>
          </cell>
          <cell r="D6477" t="str">
            <v>200408</v>
          </cell>
          <cell r="E6477">
            <v>4.8460000000000001</v>
          </cell>
        </row>
        <row r="6478">
          <cell r="A6478" t="str">
            <v/>
          </cell>
          <cell r="B6478">
            <v>37805</v>
          </cell>
          <cell r="C6478" t="str">
            <v>NG</v>
          </cell>
          <cell r="D6478" t="str">
            <v>200409</v>
          </cell>
          <cell r="E6478">
            <v>4.8360000000000003</v>
          </cell>
        </row>
        <row r="6479">
          <cell r="A6479" t="str">
            <v/>
          </cell>
          <cell r="B6479">
            <v>37805</v>
          </cell>
          <cell r="C6479" t="str">
            <v>NG</v>
          </cell>
          <cell r="D6479" t="str">
            <v>200410</v>
          </cell>
          <cell r="E6479">
            <v>4.8659999999999997</v>
          </cell>
        </row>
        <row r="6480">
          <cell r="A6480" t="str">
            <v/>
          </cell>
          <cell r="B6480">
            <v>37805</v>
          </cell>
          <cell r="C6480" t="str">
            <v>NG</v>
          </cell>
          <cell r="D6480" t="str">
            <v>200411</v>
          </cell>
          <cell r="E6480">
            <v>5.0460000000000003</v>
          </cell>
        </row>
        <row r="6481">
          <cell r="A6481" t="str">
            <v/>
          </cell>
          <cell r="B6481">
            <v>37805</v>
          </cell>
          <cell r="C6481" t="str">
            <v>NG</v>
          </cell>
          <cell r="D6481" t="str">
            <v>200412</v>
          </cell>
          <cell r="E6481">
            <v>5.2110000000000003</v>
          </cell>
        </row>
        <row r="6482">
          <cell r="A6482" t="str">
            <v/>
          </cell>
          <cell r="B6482">
            <v>37806</v>
          </cell>
          <cell r="C6482" t="str">
            <v>NG</v>
          </cell>
          <cell r="D6482" t="str">
            <v>200401</v>
          </cell>
          <cell r="E6482">
            <v>5.7850000000000001</v>
          </cell>
        </row>
        <row r="6483">
          <cell r="A6483" t="str">
            <v/>
          </cell>
          <cell r="B6483">
            <v>37806</v>
          </cell>
          <cell r="C6483" t="str">
            <v>NG</v>
          </cell>
          <cell r="D6483" t="str">
            <v>200402</v>
          </cell>
          <cell r="E6483">
            <v>5.7149999999999999</v>
          </cell>
        </row>
        <row r="6484">
          <cell r="A6484" t="str">
            <v/>
          </cell>
          <cell r="B6484">
            <v>37806</v>
          </cell>
          <cell r="C6484" t="str">
            <v>NG</v>
          </cell>
          <cell r="D6484" t="str">
            <v>200403</v>
          </cell>
          <cell r="E6484">
            <v>5.56</v>
          </cell>
        </row>
        <row r="6485">
          <cell r="A6485" t="str">
            <v/>
          </cell>
          <cell r="B6485">
            <v>37806</v>
          </cell>
          <cell r="C6485" t="str">
            <v>NG</v>
          </cell>
          <cell r="D6485" t="str">
            <v>200404</v>
          </cell>
          <cell r="E6485">
            <v>4.9850000000000003</v>
          </cell>
        </row>
        <row r="6486">
          <cell r="A6486" t="str">
            <v/>
          </cell>
          <cell r="B6486">
            <v>37806</v>
          </cell>
          <cell r="C6486" t="str">
            <v>NG</v>
          </cell>
          <cell r="D6486" t="str">
            <v>200405</v>
          </cell>
          <cell r="E6486">
            <v>4.8449999999999998</v>
          </cell>
        </row>
        <row r="6487">
          <cell r="A6487" t="str">
            <v/>
          </cell>
          <cell r="B6487">
            <v>37806</v>
          </cell>
          <cell r="C6487" t="str">
            <v>NG</v>
          </cell>
          <cell r="D6487" t="str">
            <v>200406</v>
          </cell>
          <cell r="E6487">
            <v>4.8319999999999999</v>
          </cell>
        </row>
        <row r="6488">
          <cell r="A6488" t="str">
            <v/>
          </cell>
          <cell r="B6488">
            <v>37806</v>
          </cell>
          <cell r="C6488" t="str">
            <v>NG</v>
          </cell>
          <cell r="D6488" t="str">
            <v>200407</v>
          </cell>
          <cell r="E6488">
            <v>4.8259999999999996</v>
          </cell>
        </row>
        <row r="6489">
          <cell r="A6489" t="str">
            <v/>
          </cell>
          <cell r="B6489">
            <v>37806</v>
          </cell>
          <cell r="C6489" t="str">
            <v>NG</v>
          </cell>
          <cell r="D6489" t="str">
            <v>200408</v>
          </cell>
          <cell r="E6489">
            <v>4.8460000000000001</v>
          </cell>
        </row>
        <row r="6490">
          <cell r="A6490" t="str">
            <v/>
          </cell>
          <cell r="B6490">
            <v>37806</v>
          </cell>
          <cell r="C6490" t="str">
            <v>NG</v>
          </cell>
          <cell r="D6490" t="str">
            <v>200409</v>
          </cell>
          <cell r="E6490">
            <v>4.8360000000000003</v>
          </cell>
        </row>
        <row r="6491">
          <cell r="A6491" t="str">
            <v/>
          </cell>
          <cell r="B6491">
            <v>37806</v>
          </cell>
          <cell r="C6491" t="str">
            <v>NG</v>
          </cell>
          <cell r="D6491" t="str">
            <v>200410</v>
          </cell>
          <cell r="E6491">
            <v>4.8659999999999997</v>
          </cell>
        </row>
        <row r="6492">
          <cell r="A6492" t="str">
            <v/>
          </cell>
          <cell r="B6492">
            <v>37806</v>
          </cell>
          <cell r="C6492" t="str">
            <v>NG</v>
          </cell>
          <cell r="D6492" t="str">
            <v>200411</v>
          </cell>
          <cell r="E6492">
            <v>5.0460000000000003</v>
          </cell>
        </row>
        <row r="6493">
          <cell r="A6493" t="str">
            <v/>
          </cell>
          <cell r="B6493">
            <v>37806</v>
          </cell>
          <cell r="C6493" t="str">
            <v>NG</v>
          </cell>
          <cell r="D6493" t="str">
            <v>200412</v>
          </cell>
          <cell r="E6493">
            <v>5.2110000000000003</v>
          </cell>
        </row>
        <row r="6494">
          <cell r="A6494" t="str">
            <v/>
          </cell>
          <cell r="B6494">
            <v>37807</v>
          </cell>
          <cell r="C6494" t="str">
            <v>NG</v>
          </cell>
          <cell r="D6494" t="str">
            <v>200401</v>
          </cell>
          <cell r="E6494">
            <v>5.7850000000000001</v>
          </cell>
        </row>
        <row r="6495">
          <cell r="A6495" t="str">
            <v/>
          </cell>
          <cell r="B6495">
            <v>37807</v>
          </cell>
          <cell r="C6495" t="str">
            <v>NG</v>
          </cell>
          <cell r="D6495" t="str">
            <v>200402</v>
          </cell>
          <cell r="E6495">
            <v>5.7149999999999999</v>
          </cell>
        </row>
        <row r="6496">
          <cell r="A6496" t="str">
            <v/>
          </cell>
          <cell r="B6496">
            <v>37807</v>
          </cell>
          <cell r="C6496" t="str">
            <v>NG</v>
          </cell>
          <cell r="D6496" t="str">
            <v>200403</v>
          </cell>
          <cell r="E6496">
            <v>5.56</v>
          </cell>
        </row>
        <row r="6497">
          <cell r="A6497" t="str">
            <v/>
          </cell>
          <cell r="B6497">
            <v>37807</v>
          </cell>
          <cell r="C6497" t="str">
            <v>NG</v>
          </cell>
          <cell r="D6497" t="str">
            <v>200404</v>
          </cell>
          <cell r="E6497">
            <v>4.9850000000000003</v>
          </cell>
        </row>
        <row r="6498">
          <cell r="A6498" t="str">
            <v/>
          </cell>
          <cell r="B6498">
            <v>37807</v>
          </cell>
          <cell r="C6498" t="str">
            <v>NG</v>
          </cell>
          <cell r="D6498" t="str">
            <v>200405</v>
          </cell>
          <cell r="E6498">
            <v>4.8449999999999998</v>
          </cell>
        </row>
        <row r="6499">
          <cell r="A6499" t="str">
            <v/>
          </cell>
          <cell r="B6499">
            <v>37807</v>
          </cell>
          <cell r="C6499" t="str">
            <v>NG</v>
          </cell>
          <cell r="D6499" t="str">
            <v>200406</v>
          </cell>
          <cell r="E6499">
            <v>4.8319999999999999</v>
          </cell>
        </row>
        <row r="6500">
          <cell r="A6500" t="str">
            <v/>
          </cell>
          <cell r="B6500">
            <v>37807</v>
          </cell>
          <cell r="C6500" t="str">
            <v>NG</v>
          </cell>
          <cell r="D6500" t="str">
            <v>200407</v>
          </cell>
          <cell r="E6500">
            <v>4.8259999999999996</v>
          </cell>
        </row>
        <row r="6501">
          <cell r="A6501" t="str">
            <v/>
          </cell>
          <cell r="B6501">
            <v>37807</v>
          </cell>
          <cell r="C6501" t="str">
            <v>NG</v>
          </cell>
          <cell r="D6501" t="str">
            <v>200408</v>
          </cell>
          <cell r="E6501">
            <v>4.8460000000000001</v>
          </cell>
        </row>
        <row r="6502">
          <cell r="A6502" t="str">
            <v/>
          </cell>
          <cell r="B6502">
            <v>37807</v>
          </cell>
          <cell r="C6502" t="str">
            <v>NG</v>
          </cell>
          <cell r="D6502" t="str">
            <v>200409</v>
          </cell>
          <cell r="E6502">
            <v>4.8360000000000003</v>
          </cell>
        </row>
        <row r="6503">
          <cell r="A6503" t="str">
            <v/>
          </cell>
          <cell r="B6503">
            <v>37807</v>
          </cell>
          <cell r="C6503" t="str">
            <v>NG</v>
          </cell>
          <cell r="D6503" t="str">
            <v>200410</v>
          </cell>
          <cell r="E6503">
            <v>4.8659999999999997</v>
          </cell>
        </row>
        <row r="6504">
          <cell r="A6504" t="str">
            <v/>
          </cell>
          <cell r="B6504">
            <v>37807</v>
          </cell>
          <cell r="C6504" t="str">
            <v>NG</v>
          </cell>
          <cell r="D6504" t="str">
            <v>200411</v>
          </cell>
          <cell r="E6504">
            <v>5.0460000000000003</v>
          </cell>
        </row>
        <row r="6505">
          <cell r="A6505" t="str">
            <v/>
          </cell>
          <cell r="B6505">
            <v>37807</v>
          </cell>
          <cell r="C6505" t="str">
            <v>NG</v>
          </cell>
          <cell r="D6505" t="str">
            <v>200412</v>
          </cell>
          <cell r="E6505">
            <v>5.2110000000000003</v>
          </cell>
        </row>
        <row r="6506">
          <cell r="A6506" t="str">
            <v/>
          </cell>
          <cell r="B6506">
            <v>37808</v>
          </cell>
          <cell r="C6506" t="str">
            <v>NG</v>
          </cell>
          <cell r="D6506" t="str">
            <v>200401</v>
          </cell>
          <cell r="E6506">
            <v>5.7850000000000001</v>
          </cell>
        </row>
        <row r="6507">
          <cell r="A6507" t="str">
            <v/>
          </cell>
          <cell r="B6507">
            <v>37808</v>
          </cell>
          <cell r="C6507" t="str">
            <v>NG</v>
          </cell>
          <cell r="D6507" t="str">
            <v>200402</v>
          </cell>
          <cell r="E6507">
            <v>5.7149999999999999</v>
          </cell>
        </row>
        <row r="6508">
          <cell r="A6508" t="str">
            <v/>
          </cell>
          <cell r="B6508">
            <v>37808</v>
          </cell>
          <cell r="C6508" t="str">
            <v>NG</v>
          </cell>
          <cell r="D6508" t="str">
            <v>200403</v>
          </cell>
          <cell r="E6508">
            <v>5.56</v>
          </cell>
        </row>
        <row r="6509">
          <cell r="A6509" t="str">
            <v/>
          </cell>
          <cell r="B6509">
            <v>37808</v>
          </cell>
          <cell r="C6509" t="str">
            <v>NG</v>
          </cell>
          <cell r="D6509" t="str">
            <v>200404</v>
          </cell>
          <cell r="E6509">
            <v>4.9850000000000003</v>
          </cell>
        </row>
        <row r="6510">
          <cell r="A6510" t="str">
            <v/>
          </cell>
          <cell r="B6510">
            <v>37808</v>
          </cell>
          <cell r="C6510" t="str">
            <v>NG</v>
          </cell>
          <cell r="D6510" t="str">
            <v>200405</v>
          </cell>
          <cell r="E6510">
            <v>4.8449999999999998</v>
          </cell>
        </row>
        <row r="6511">
          <cell r="A6511" t="str">
            <v/>
          </cell>
          <cell r="B6511">
            <v>37808</v>
          </cell>
          <cell r="C6511" t="str">
            <v>NG</v>
          </cell>
          <cell r="D6511" t="str">
            <v>200406</v>
          </cell>
          <cell r="E6511">
            <v>4.8319999999999999</v>
          </cell>
        </row>
        <row r="6512">
          <cell r="A6512" t="str">
            <v/>
          </cell>
          <cell r="B6512">
            <v>37808</v>
          </cell>
          <cell r="C6512" t="str">
            <v>NG</v>
          </cell>
          <cell r="D6512" t="str">
            <v>200407</v>
          </cell>
          <cell r="E6512">
            <v>4.8259999999999996</v>
          </cell>
        </row>
        <row r="6513">
          <cell r="A6513" t="str">
            <v/>
          </cell>
          <cell r="B6513">
            <v>37808</v>
          </cell>
          <cell r="C6513" t="str">
            <v>NG</v>
          </cell>
          <cell r="D6513" t="str">
            <v>200408</v>
          </cell>
          <cell r="E6513">
            <v>4.8460000000000001</v>
          </cell>
        </row>
        <row r="6514">
          <cell r="A6514" t="str">
            <v/>
          </cell>
          <cell r="B6514">
            <v>37808</v>
          </cell>
          <cell r="C6514" t="str">
            <v>NG</v>
          </cell>
          <cell r="D6514" t="str">
            <v>200409</v>
          </cell>
          <cell r="E6514">
            <v>4.8360000000000003</v>
          </cell>
        </row>
        <row r="6515">
          <cell r="A6515" t="str">
            <v/>
          </cell>
          <cell r="B6515">
            <v>37808</v>
          </cell>
          <cell r="C6515" t="str">
            <v>NG</v>
          </cell>
          <cell r="D6515" t="str">
            <v>200410</v>
          </cell>
          <cell r="E6515">
            <v>4.8659999999999997</v>
          </cell>
        </row>
        <row r="6516">
          <cell r="A6516" t="str">
            <v/>
          </cell>
          <cell r="B6516">
            <v>37808</v>
          </cell>
          <cell r="C6516" t="str">
            <v>NG</v>
          </cell>
          <cell r="D6516" t="str">
            <v>200411</v>
          </cell>
          <cell r="E6516">
            <v>5.0460000000000003</v>
          </cell>
        </row>
        <row r="6517">
          <cell r="A6517" t="str">
            <v/>
          </cell>
          <cell r="B6517">
            <v>37808</v>
          </cell>
          <cell r="C6517" t="str">
            <v>NG</v>
          </cell>
          <cell r="D6517" t="str">
            <v>200412</v>
          </cell>
          <cell r="E6517">
            <v>5.2110000000000003</v>
          </cell>
        </row>
        <row r="6518">
          <cell r="A6518" t="str">
            <v/>
          </cell>
          <cell r="B6518">
            <v>37809</v>
          </cell>
          <cell r="C6518" t="str">
            <v>NG</v>
          </cell>
          <cell r="D6518" t="str">
            <v>200401</v>
          </cell>
          <cell r="E6518">
            <v>5.907</v>
          </cell>
        </row>
        <row r="6519">
          <cell r="A6519" t="str">
            <v/>
          </cell>
          <cell r="B6519">
            <v>37809</v>
          </cell>
          <cell r="C6519" t="str">
            <v>NG</v>
          </cell>
          <cell r="D6519" t="str">
            <v>200402</v>
          </cell>
          <cell r="E6519">
            <v>5.8319999999999999</v>
          </cell>
        </row>
        <row r="6520">
          <cell r="A6520" t="str">
            <v/>
          </cell>
          <cell r="B6520">
            <v>37809</v>
          </cell>
          <cell r="C6520" t="str">
            <v>NG</v>
          </cell>
          <cell r="D6520" t="str">
            <v>200403</v>
          </cell>
          <cell r="E6520">
            <v>5.6669999999999998</v>
          </cell>
        </row>
        <row r="6521">
          <cell r="A6521" t="str">
            <v/>
          </cell>
          <cell r="B6521">
            <v>37809</v>
          </cell>
          <cell r="C6521" t="str">
            <v>NG</v>
          </cell>
          <cell r="D6521" t="str">
            <v>200404</v>
          </cell>
          <cell r="E6521">
            <v>5.0570000000000004</v>
          </cell>
        </row>
        <row r="6522">
          <cell r="A6522" t="str">
            <v/>
          </cell>
          <cell r="B6522">
            <v>37809</v>
          </cell>
          <cell r="C6522" t="str">
            <v>NG</v>
          </cell>
          <cell r="D6522" t="str">
            <v>200405</v>
          </cell>
          <cell r="E6522">
            <v>4.9119999999999999</v>
          </cell>
        </row>
        <row r="6523">
          <cell r="A6523" t="str">
            <v/>
          </cell>
          <cell r="B6523">
            <v>37809</v>
          </cell>
          <cell r="C6523" t="str">
            <v>NG</v>
          </cell>
          <cell r="D6523" t="str">
            <v>200406</v>
          </cell>
          <cell r="E6523">
            <v>4.899</v>
          </cell>
        </row>
        <row r="6524">
          <cell r="A6524" t="str">
            <v/>
          </cell>
          <cell r="B6524">
            <v>37809</v>
          </cell>
          <cell r="C6524" t="str">
            <v>NG</v>
          </cell>
          <cell r="D6524" t="str">
            <v>200407</v>
          </cell>
          <cell r="E6524">
            <v>4.8890000000000002</v>
          </cell>
        </row>
        <row r="6525">
          <cell r="A6525" t="str">
            <v/>
          </cell>
          <cell r="B6525">
            <v>37809</v>
          </cell>
          <cell r="C6525" t="str">
            <v>NG</v>
          </cell>
          <cell r="D6525" t="str">
            <v>200408</v>
          </cell>
          <cell r="E6525">
            <v>4.9039999999999999</v>
          </cell>
        </row>
        <row r="6526">
          <cell r="A6526" t="str">
            <v/>
          </cell>
          <cell r="B6526">
            <v>37809</v>
          </cell>
          <cell r="C6526" t="str">
            <v>NG</v>
          </cell>
          <cell r="D6526" t="str">
            <v>200409</v>
          </cell>
          <cell r="E6526">
            <v>4.8940000000000001</v>
          </cell>
        </row>
        <row r="6527">
          <cell r="A6527" t="str">
            <v/>
          </cell>
          <cell r="B6527">
            <v>37809</v>
          </cell>
          <cell r="C6527" t="str">
            <v>NG</v>
          </cell>
          <cell r="D6527" t="str">
            <v>200410</v>
          </cell>
          <cell r="E6527">
            <v>4.9189999999999996</v>
          </cell>
        </row>
        <row r="6528">
          <cell r="A6528" t="str">
            <v/>
          </cell>
          <cell r="B6528">
            <v>37809</v>
          </cell>
          <cell r="C6528" t="str">
            <v>NG</v>
          </cell>
          <cell r="D6528" t="str">
            <v>200411</v>
          </cell>
          <cell r="E6528">
            <v>5.0990000000000002</v>
          </cell>
        </row>
        <row r="6529">
          <cell r="A6529" t="str">
            <v/>
          </cell>
          <cell r="B6529">
            <v>37809</v>
          </cell>
          <cell r="C6529" t="str">
            <v>NG</v>
          </cell>
          <cell r="D6529" t="str">
            <v>200412</v>
          </cell>
          <cell r="E6529">
            <v>5.2690000000000001</v>
          </cell>
        </row>
        <row r="6530">
          <cell r="A6530" t="str">
            <v/>
          </cell>
          <cell r="B6530">
            <v>37810</v>
          </cell>
          <cell r="C6530" t="str">
            <v>NG</v>
          </cell>
          <cell r="D6530" t="str">
            <v>200401</v>
          </cell>
          <cell r="E6530">
            <v>6.0170000000000003</v>
          </cell>
        </row>
        <row r="6531">
          <cell r="A6531" t="str">
            <v/>
          </cell>
          <cell r="B6531">
            <v>37810</v>
          </cell>
          <cell r="C6531" t="str">
            <v>NG</v>
          </cell>
          <cell r="D6531" t="str">
            <v>200402</v>
          </cell>
          <cell r="E6531">
            <v>5.9390000000000001</v>
          </cell>
        </row>
        <row r="6532">
          <cell r="A6532" t="str">
            <v/>
          </cell>
          <cell r="B6532">
            <v>37810</v>
          </cell>
          <cell r="C6532" t="str">
            <v>NG</v>
          </cell>
          <cell r="D6532" t="str">
            <v>200403</v>
          </cell>
          <cell r="E6532">
            <v>5.7640000000000002</v>
          </cell>
        </row>
        <row r="6533">
          <cell r="A6533" t="str">
            <v/>
          </cell>
          <cell r="B6533">
            <v>37810</v>
          </cell>
          <cell r="C6533" t="str">
            <v>NG</v>
          </cell>
          <cell r="D6533" t="str">
            <v>200404</v>
          </cell>
          <cell r="E6533">
            <v>5.1390000000000002</v>
          </cell>
        </row>
        <row r="6534">
          <cell r="A6534" t="str">
            <v/>
          </cell>
          <cell r="B6534">
            <v>37810</v>
          </cell>
          <cell r="C6534" t="str">
            <v>NG</v>
          </cell>
          <cell r="D6534" t="str">
            <v>200405</v>
          </cell>
          <cell r="E6534">
            <v>4.9889999999999999</v>
          </cell>
        </row>
        <row r="6535">
          <cell r="A6535" t="str">
            <v/>
          </cell>
          <cell r="B6535">
            <v>37810</v>
          </cell>
          <cell r="C6535" t="str">
            <v>NG</v>
          </cell>
          <cell r="D6535" t="str">
            <v>200406</v>
          </cell>
          <cell r="E6535">
            <v>4.9690000000000003</v>
          </cell>
        </row>
        <row r="6536">
          <cell r="A6536" t="str">
            <v/>
          </cell>
          <cell r="B6536">
            <v>37810</v>
          </cell>
          <cell r="C6536" t="str">
            <v>NG</v>
          </cell>
          <cell r="D6536" t="str">
            <v>200407</v>
          </cell>
          <cell r="E6536">
            <v>4.9489999999999998</v>
          </cell>
        </row>
        <row r="6537">
          <cell r="A6537" t="str">
            <v/>
          </cell>
          <cell r="B6537">
            <v>37810</v>
          </cell>
          <cell r="C6537" t="str">
            <v>NG</v>
          </cell>
          <cell r="D6537" t="str">
            <v>200408</v>
          </cell>
          <cell r="E6537">
            <v>4.9640000000000004</v>
          </cell>
        </row>
        <row r="6538">
          <cell r="A6538" t="str">
            <v/>
          </cell>
          <cell r="B6538">
            <v>37810</v>
          </cell>
          <cell r="C6538" t="str">
            <v>NG</v>
          </cell>
          <cell r="D6538" t="str">
            <v>200409</v>
          </cell>
          <cell r="E6538">
            <v>4.9539999999999997</v>
          </cell>
        </row>
        <row r="6539">
          <cell r="A6539" t="str">
            <v/>
          </cell>
          <cell r="B6539">
            <v>37810</v>
          </cell>
          <cell r="C6539" t="str">
            <v>NG</v>
          </cell>
          <cell r="D6539" t="str">
            <v>200410</v>
          </cell>
          <cell r="E6539">
            <v>4.9790000000000001</v>
          </cell>
        </row>
        <row r="6540">
          <cell r="A6540" t="str">
            <v/>
          </cell>
          <cell r="B6540">
            <v>37810</v>
          </cell>
          <cell r="C6540" t="str">
            <v>NG</v>
          </cell>
          <cell r="D6540" t="str">
            <v>200411</v>
          </cell>
          <cell r="E6540">
            <v>5.1289999999999996</v>
          </cell>
        </row>
        <row r="6541">
          <cell r="A6541" t="str">
            <v/>
          </cell>
          <cell r="B6541">
            <v>37810</v>
          </cell>
          <cell r="C6541" t="str">
            <v>NG</v>
          </cell>
          <cell r="D6541" t="str">
            <v>200412</v>
          </cell>
          <cell r="E6541">
            <v>5.2889999999999997</v>
          </cell>
        </row>
        <row r="6542">
          <cell r="A6542" t="str">
            <v/>
          </cell>
          <cell r="B6542">
            <v>37811</v>
          </cell>
          <cell r="C6542" t="str">
            <v>NG</v>
          </cell>
          <cell r="D6542" t="str">
            <v>200401</v>
          </cell>
          <cell r="E6542">
            <v>6.0389999999999997</v>
          </cell>
        </row>
        <row r="6543">
          <cell r="A6543" t="str">
            <v/>
          </cell>
          <cell r="B6543">
            <v>37811</v>
          </cell>
          <cell r="C6543" t="str">
            <v>NG</v>
          </cell>
          <cell r="D6543" t="str">
            <v>200402</v>
          </cell>
          <cell r="E6543">
            <v>5.9610000000000003</v>
          </cell>
        </row>
        <row r="6544">
          <cell r="A6544" t="str">
            <v/>
          </cell>
          <cell r="B6544">
            <v>37811</v>
          </cell>
          <cell r="C6544" t="str">
            <v>NG</v>
          </cell>
          <cell r="D6544" t="str">
            <v>200403</v>
          </cell>
          <cell r="E6544">
            <v>5.7859999999999996</v>
          </cell>
        </row>
        <row r="6545">
          <cell r="A6545" t="str">
            <v/>
          </cell>
          <cell r="B6545">
            <v>37811</v>
          </cell>
          <cell r="C6545" t="str">
            <v>NG</v>
          </cell>
          <cell r="D6545" t="str">
            <v>200404</v>
          </cell>
          <cell r="E6545">
            <v>5.1609999999999996</v>
          </cell>
        </row>
        <row r="6546">
          <cell r="A6546" t="str">
            <v/>
          </cell>
          <cell r="B6546">
            <v>37811</v>
          </cell>
          <cell r="C6546" t="str">
            <v>NG</v>
          </cell>
          <cell r="D6546" t="str">
            <v>200405</v>
          </cell>
          <cell r="E6546">
            <v>5.0110000000000001</v>
          </cell>
        </row>
        <row r="6547">
          <cell r="A6547" t="str">
            <v/>
          </cell>
          <cell r="B6547">
            <v>37811</v>
          </cell>
          <cell r="C6547" t="str">
            <v>NG</v>
          </cell>
          <cell r="D6547" t="str">
            <v>200406</v>
          </cell>
          <cell r="E6547">
            <v>4.9909999999999997</v>
          </cell>
        </row>
        <row r="6548">
          <cell r="A6548" t="str">
            <v/>
          </cell>
          <cell r="B6548">
            <v>37811</v>
          </cell>
          <cell r="C6548" t="str">
            <v>NG</v>
          </cell>
          <cell r="D6548" t="str">
            <v>200407</v>
          </cell>
          <cell r="E6548">
            <v>4.9809999999999999</v>
          </cell>
        </row>
        <row r="6549">
          <cell r="A6549" t="str">
            <v/>
          </cell>
          <cell r="B6549">
            <v>37811</v>
          </cell>
          <cell r="C6549" t="str">
            <v>NG</v>
          </cell>
          <cell r="D6549" t="str">
            <v>200408</v>
          </cell>
          <cell r="E6549">
            <v>4.9960000000000004</v>
          </cell>
        </row>
        <row r="6550">
          <cell r="A6550" t="str">
            <v/>
          </cell>
          <cell r="B6550">
            <v>37811</v>
          </cell>
          <cell r="C6550" t="str">
            <v>NG</v>
          </cell>
          <cell r="D6550" t="str">
            <v>200409</v>
          </cell>
          <cell r="E6550">
            <v>4.9859999999999998</v>
          </cell>
        </row>
        <row r="6551">
          <cell r="A6551" t="str">
            <v/>
          </cell>
          <cell r="B6551">
            <v>37811</v>
          </cell>
          <cell r="C6551" t="str">
            <v>NG</v>
          </cell>
          <cell r="D6551" t="str">
            <v>200410</v>
          </cell>
          <cell r="E6551">
            <v>5.0110000000000001</v>
          </cell>
        </row>
        <row r="6552">
          <cell r="A6552" t="str">
            <v/>
          </cell>
          <cell r="B6552">
            <v>37811</v>
          </cell>
          <cell r="C6552" t="str">
            <v>NG</v>
          </cell>
          <cell r="D6552" t="str">
            <v>200411</v>
          </cell>
          <cell r="E6552">
            <v>5.1509999999999998</v>
          </cell>
        </row>
        <row r="6553">
          <cell r="A6553" t="str">
            <v/>
          </cell>
          <cell r="B6553">
            <v>37811</v>
          </cell>
          <cell r="C6553" t="str">
            <v>NG</v>
          </cell>
          <cell r="D6553" t="str">
            <v>200412</v>
          </cell>
          <cell r="E6553">
            <v>5.3109999999999999</v>
          </cell>
        </row>
        <row r="6554">
          <cell r="A6554" t="str">
            <v/>
          </cell>
          <cell r="B6554">
            <v>37812</v>
          </cell>
          <cell r="C6554" t="str">
            <v>NG</v>
          </cell>
          <cell r="D6554" t="str">
            <v>200401</v>
          </cell>
          <cell r="E6554">
            <v>5.835</v>
          </cell>
        </row>
        <row r="6555">
          <cell r="A6555" t="str">
            <v/>
          </cell>
          <cell r="B6555">
            <v>37812</v>
          </cell>
          <cell r="C6555" t="str">
            <v>NG</v>
          </cell>
          <cell r="D6555" t="str">
            <v>200402</v>
          </cell>
          <cell r="E6555">
            <v>5.7649999999999997</v>
          </cell>
        </row>
        <row r="6556">
          <cell r="A6556" t="str">
            <v/>
          </cell>
          <cell r="B6556">
            <v>37812</v>
          </cell>
          <cell r="C6556" t="str">
            <v>NG</v>
          </cell>
          <cell r="D6556" t="str">
            <v>200403</v>
          </cell>
          <cell r="E6556">
            <v>5.6070000000000002</v>
          </cell>
        </row>
        <row r="6557">
          <cell r="A6557" t="str">
            <v/>
          </cell>
          <cell r="B6557">
            <v>37812</v>
          </cell>
          <cell r="C6557" t="str">
            <v>NG</v>
          </cell>
          <cell r="D6557" t="str">
            <v>200404</v>
          </cell>
          <cell r="E6557">
            <v>5.0270000000000001</v>
          </cell>
        </row>
        <row r="6558">
          <cell r="A6558" t="str">
            <v/>
          </cell>
          <cell r="B6558">
            <v>37812</v>
          </cell>
          <cell r="C6558" t="str">
            <v>NG</v>
          </cell>
          <cell r="D6558" t="str">
            <v>200405</v>
          </cell>
          <cell r="E6558">
            <v>4.8769999999999998</v>
          </cell>
        </row>
        <row r="6559">
          <cell r="A6559" t="str">
            <v/>
          </cell>
          <cell r="B6559">
            <v>37812</v>
          </cell>
          <cell r="C6559" t="str">
            <v>NG</v>
          </cell>
          <cell r="D6559" t="str">
            <v>200406</v>
          </cell>
          <cell r="E6559">
            <v>4.8620000000000001</v>
          </cell>
        </row>
        <row r="6560">
          <cell r="A6560" t="str">
            <v/>
          </cell>
          <cell r="B6560">
            <v>37812</v>
          </cell>
          <cell r="C6560" t="str">
            <v>NG</v>
          </cell>
          <cell r="D6560" t="str">
            <v>200407</v>
          </cell>
          <cell r="E6560">
            <v>4.8520000000000003</v>
          </cell>
        </row>
        <row r="6561">
          <cell r="A6561" t="str">
            <v/>
          </cell>
          <cell r="B6561">
            <v>37812</v>
          </cell>
          <cell r="C6561" t="str">
            <v>NG</v>
          </cell>
          <cell r="D6561" t="str">
            <v>200408</v>
          </cell>
          <cell r="E6561">
            <v>4.8620000000000001</v>
          </cell>
        </row>
        <row r="6562">
          <cell r="A6562" t="str">
            <v/>
          </cell>
          <cell r="B6562">
            <v>37812</v>
          </cell>
          <cell r="C6562" t="str">
            <v>NG</v>
          </cell>
          <cell r="D6562" t="str">
            <v>200409</v>
          </cell>
          <cell r="E6562">
            <v>4.8620000000000001</v>
          </cell>
        </row>
        <row r="6563">
          <cell r="A6563" t="str">
            <v/>
          </cell>
          <cell r="B6563">
            <v>37812</v>
          </cell>
          <cell r="C6563" t="str">
            <v>NG</v>
          </cell>
          <cell r="D6563" t="str">
            <v>200410</v>
          </cell>
          <cell r="E6563">
            <v>4.8949999999999996</v>
          </cell>
        </row>
        <row r="6564">
          <cell r="A6564" t="str">
            <v/>
          </cell>
          <cell r="B6564">
            <v>37812</v>
          </cell>
          <cell r="C6564" t="str">
            <v>NG</v>
          </cell>
          <cell r="D6564" t="str">
            <v>200411</v>
          </cell>
          <cell r="E6564">
            <v>5.0449999999999999</v>
          </cell>
        </row>
        <row r="6565">
          <cell r="A6565" t="str">
            <v/>
          </cell>
          <cell r="B6565">
            <v>37812</v>
          </cell>
          <cell r="C6565" t="str">
            <v>NG</v>
          </cell>
          <cell r="D6565" t="str">
            <v>200412</v>
          </cell>
          <cell r="E6565">
            <v>5.21</v>
          </cell>
        </row>
        <row r="6566">
          <cell r="A6566" t="str">
            <v/>
          </cell>
          <cell r="B6566">
            <v>37813</v>
          </cell>
          <cell r="C6566" t="str">
            <v>NG</v>
          </cell>
          <cell r="D6566" t="str">
            <v>200401</v>
          </cell>
          <cell r="E6566">
            <v>5.734</v>
          </cell>
        </row>
        <row r="6567">
          <cell r="A6567" t="str">
            <v/>
          </cell>
          <cell r="B6567">
            <v>37813</v>
          </cell>
          <cell r="C6567" t="str">
            <v>NG</v>
          </cell>
          <cell r="D6567" t="str">
            <v>200402</v>
          </cell>
          <cell r="E6567">
            <v>5.6660000000000004</v>
          </cell>
        </row>
        <row r="6568">
          <cell r="A6568" t="str">
            <v/>
          </cell>
          <cell r="B6568">
            <v>37813</v>
          </cell>
          <cell r="C6568" t="str">
            <v>NG</v>
          </cell>
          <cell r="D6568" t="str">
            <v>200403</v>
          </cell>
          <cell r="E6568">
            <v>5.5110000000000001</v>
          </cell>
        </row>
        <row r="6569">
          <cell r="A6569" t="str">
            <v/>
          </cell>
          <cell r="B6569">
            <v>37813</v>
          </cell>
          <cell r="C6569" t="str">
            <v>NG</v>
          </cell>
          <cell r="D6569" t="str">
            <v>200404</v>
          </cell>
          <cell r="E6569">
            <v>4.9480000000000004</v>
          </cell>
        </row>
        <row r="6570">
          <cell r="A6570" t="str">
            <v/>
          </cell>
          <cell r="B6570">
            <v>37813</v>
          </cell>
          <cell r="C6570" t="str">
            <v>NG</v>
          </cell>
          <cell r="D6570" t="str">
            <v>200405</v>
          </cell>
          <cell r="E6570">
            <v>4.8109999999999999</v>
          </cell>
        </row>
        <row r="6571">
          <cell r="A6571" t="str">
            <v/>
          </cell>
          <cell r="B6571">
            <v>37813</v>
          </cell>
          <cell r="C6571" t="str">
            <v>NG</v>
          </cell>
          <cell r="D6571" t="str">
            <v>200406</v>
          </cell>
          <cell r="E6571">
            <v>4.8010000000000002</v>
          </cell>
        </row>
        <row r="6572">
          <cell r="A6572" t="str">
            <v/>
          </cell>
          <cell r="B6572">
            <v>37813</v>
          </cell>
          <cell r="C6572" t="str">
            <v>NG</v>
          </cell>
          <cell r="D6572" t="str">
            <v>200407</v>
          </cell>
          <cell r="E6572">
            <v>4.7910000000000004</v>
          </cell>
        </row>
        <row r="6573">
          <cell r="A6573" t="str">
            <v/>
          </cell>
          <cell r="B6573">
            <v>37813</v>
          </cell>
          <cell r="C6573" t="str">
            <v>NG</v>
          </cell>
          <cell r="D6573" t="str">
            <v>200408</v>
          </cell>
          <cell r="E6573">
            <v>4.8109999999999999</v>
          </cell>
        </row>
        <row r="6574">
          <cell r="A6574" t="str">
            <v/>
          </cell>
          <cell r="B6574">
            <v>37813</v>
          </cell>
          <cell r="C6574" t="str">
            <v>NG</v>
          </cell>
          <cell r="D6574" t="str">
            <v>200409</v>
          </cell>
          <cell r="E6574">
            <v>4.8109999999999999</v>
          </cell>
        </row>
        <row r="6575">
          <cell r="A6575" t="str">
            <v/>
          </cell>
          <cell r="B6575">
            <v>37813</v>
          </cell>
          <cell r="C6575" t="str">
            <v>NG</v>
          </cell>
          <cell r="D6575" t="str">
            <v>200410</v>
          </cell>
          <cell r="E6575">
            <v>4.851</v>
          </cell>
        </row>
        <row r="6576">
          <cell r="A6576" t="str">
            <v/>
          </cell>
          <cell r="B6576">
            <v>37813</v>
          </cell>
          <cell r="C6576" t="str">
            <v>NG</v>
          </cell>
          <cell r="D6576" t="str">
            <v>200411</v>
          </cell>
          <cell r="E6576">
            <v>5.0090000000000003</v>
          </cell>
        </row>
        <row r="6577">
          <cell r="A6577" t="str">
            <v/>
          </cell>
          <cell r="B6577">
            <v>37813</v>
          </cell>
          <cell r="C6577" t="str">
            <v>NG</v>
          </cell>
          <cell r="D6577" t="str">
            <v>200412</v>
          </cell>
          <cell r="E6577">
            <v>5.181</v>
          </cell>
        </row>
        <row r="6578">
          <cell r="A6578" t="str">
            <v/>
          </cell>
          <cell r="B6578">
            <v>37814</v>
          </cell>
          <cell r="C6578" t="str">
            <v>NG</v>
          </cell>
          <cell r="D6578" t="str">
            <v>200401</v>
          </cell>
          <cell r="E6578">
            <v>5.734</v>
          </cell>
        </row>
        <row r="6579">
          <cell r="A6579" t="str">
            <v/>
          </cell>
          <cell r="B6579">
            <v>37814</v>
          </cell>
          <cell r="C6579" t="str">
            <v>NG</v>
          </cell>
          <cell r="D6579" t="str">
            <v>200402</v>
          </cell>
          <cell r="E6579">
            <v>5.6660000000000004</v>
          </cell>
        </row>
        <row r="6580">
          <cell r="A6580" t="str">
            <v/>
          </cell>
          <cell r="B6580">
            <v>37814</v>
          </cell>
          <cell r="C6580" t="str">
            <v>NG</v>
          </cell>
          <cell r="D6580" t="str">
            <v>200403</v>
          </cell>
          <cell r="E6580">
            <v>5.5110000000000001</v>
          </cell>
        </row>
        <row r="6581">
          <cell r="A6581" t="str">
            <v/>
          </cell>
          <cell r="B6581">
            <v>37814</v>
          </cell>
          <cell r="C6581" t="str">
            <v>NG</v>
          </cell>
          <cell r="D6581" t="str">
            <v>200404</v>
          </cell>
          <cell r="E6581">
            <v>4.9480000000000004</v>
          </cell>
        </row>
        <row r="6582">
          <cell r="A6582" t="str">
            <v/>
          </cell>
          <cell r="B6582">
            <v>37814</v>
          </cell>
          <cell r="C6582" t="str">
            <v>NG</v>
          </cell>
          <cell r="D6582" t="str">
            <v>200405</v>
          </cell>
          <cell r="E6582">
            <v>4.8109999999999999</v>
          </cell>
        </row>
        <row r="6583">
          <cell r="A6583" t="str">
            <v/>
          </cell>
          <cell r="B6583">
            <v>37814</v>
          </cell>
          <cell r="C6583" t="str">
            <v>NG</v>
          </cell>
          <cell r="D6583" t="str">
            <v>200406</v>
          </cell>
          <cell r="E6583">
            <v>4.8010000000000002</v>
          </cell>
        </row>
        <row r="6584">
          <cell r="A6584" t="str">
            <v/>
          </cell>
          <cell r="B6584">
            <v>37814</v>
          </cell>
          <cell r="C6584" t="str">
            <v>NG</v>
          </cell>
          <cell r="D6584" t="str">
            <v>200407</v>
          </cell>
          <cell r="E6584">
            <v>4.7910000000000004</v>
          </cell>
        </row>
        <row r="6585">
          <cell r="A6585" t="str">
            <v/>
          </cell>
          <cell r="B6585">
            <v>37814</v>
          </cell>
          <cell r="C6585" t="str">
            <v>NG</v>
          </cell>
          <cell r="D6585" t="str">
            <v>200408</v>
          </cell>
          <cell r="E6585">
            <v>4.8109999999999999</v>
          </cell>
        </row>
        <row r="6586">
          <cell r="A6586" t="str">
            <v/>
          </cell>
          <cell r="B6586">
            <v>37814</v>
          </cell>
          <cell r="C6586" t="str">
            <v>NG</v>
          </cell>
          <cell r="D6586" t="str">
            <v>200409</v>
          </cell>
          <cell r="E6586">
            <v>4.8109999999999999</v>
          </cell>
        </row>
        <row r="6587">
          <cell r="A6587" t="str">
            <v/>
          </cell>
          <cell r="B6587">
            <v>37814</v>
          </cell>
          <cell r="C6587" t="str">
            <v>NG</v>
          </cell>
          <cell r="D6587" t="str">
            <v>200410</v>
          </cell>
          <cell r="E6587">
            <v>4.851</v>
          </cell>
        </row>
        <row r="6588">
          <cell r="A6588" t="str">
            <v/>
          </cell>
          <cell r="B6588">
            <v>37814</v>
          </cell>
          <cell r="C6588" t="str">
            <v>NG</v>
          </cell>
          <cell r="D6588" t="str">
            <v>200411</v>
          </cell>
          <cell r="E6588">
            <v>5.0090000000000003</v>
          </cell>
        </row>
        <row r="6589">
          <cell r="A6589" t="str">
            <v/>
          </cell>
          <cell r="B6589">
            <v>37814</v>
          </cell>
          <cell r="C6589" t="str">
            <v>NG</v>
          </cell>
          <cell r="D6589" t="str">
            <v>200412</v>
          </cell>
          <cell r="E6589">
            <v>5.181</v>
          </cell>
        </row>
        <row r="6590">
          <cell r="A6590" t="str">
            <v/>
          </cell>
          <cell r="B6590">
            <v>37815</v>
          </cell>
          <cell r="C6590" t="str">
            <v>NG</v>
          </cell>
          <cell r="D6590" t="str">
            <v>200401</v>
          </cell>
          <cell r="E6590">
            <v>5.734</v>
          </cell>
        </row>
        <row r="6591">
          <cell r="A6591" t="str">
            <v/>
          </cell>
          <cell r="B6591">
            <v>37815</v>
          </cell>
          <cell r="C6591" t="str">
            <v>NG</v>
          </cell>
          <cell r="D6591" t="str">
            <v>200402</v>
          </cell>
          <cell r="E6591">
            <v>5.6660000000000004</v>
          </cell>
        </row>
        <row r="6592">
          <cell r="A6592" t="str">
            <v/>
          </cell>
          <cell r="B6592">
            <v>37815</v>
          </cell>
          <cell r="C6592" t="str">
            <v>NG</v>
          </cell>
          <cell r="D6592" t="str">
            <v>200403</v>
          </cell>
          <cell r="E6592">
            <v>5.5110000000000001</v>
          </cell>
        </row>
        <row r="6593">
          <cell r="A6593" t="str">
            <v/>
          </cell>
          <cell r="B6593">
            <v>37815</v>
          </cell>
          <cell r="C6593" t="str">
            <v>NG</v>
          </cell>
          <cell r="D6593" t="str">
            <v>200404</v>
          </cell>
          <cell r="E6593">
            <v>4.9480000000000004</v>
          </cell>
        </row>
        <row r="6594">
          <cell r="A6594" t="str">
            <v/>
          </cell>
          <cell r="B6594">
            <v>37815</v>
          </cell>
          <cell r="C6594" t="str">
            <v>NG</v>
          </cell>
          <cell r="D6594" t="str">
            <v>200405</v>
          </cell>
          <cell r="E6594">
            <v>4.8109999999999999</v>
          </cell>
        </row>
        <row r="6595">
          <cell r="A6595" t="str">
            <v/>
          </cell>
          <cell r="B6595">
            <v>37815</v>
          </cell>
          <cell r="C6595" t="str">
            <v>NG</v>
          </cell>
          <cell r="D6595" t="str">
            <v>200406</v>
          </cell>
          <cell r="E6595">
            <v>4.8010000000000002</v>
          </cell>
        </row>
        <row r="6596">
          <cell r="A6596" t="str">
            <v/>
          </cell>
          <cell r="B6596">
            <v>37815</v>
          </cell>
          <cell r="C6596" t="str">
            <v>NG</v>
          </cell>
          <cell r="D6596" t="str">
            <v>200407</v>
          </cell>
          <cell r="E6596">
            <v>4.7910000000000004</v>
          </cell>
        </row>
        <row r="6597">
          <cell r="A6597" t="str">
            <v/>
          </cell>
          <cell r="B6597">
            <v>37815</v>
          </cell>
          <cell r="C6597" t="str">
            <v>NG</v>
          </cell>
          <cell r="D6597" t="str">
            <v>200408</v>
          </cell>
          <cell r="E6597">
            <v>4.8109999999999999</v>
          </cell>
        </row>
        <row r="6598">
          <cell r="A6598" t="str">
            <v/>
          </cell>
          <cell r="B6598">
            <v>37815</v>
          </cell>
          <cell r="C6598" t="str">
            <v>NG</v>
          </cell>
          <cell r="D6598" t="str">
            <v>200409</v>
          </cell>
          <cell r="E6598">
            <v>4.8109999999999999</v>
          </cell>
        </row>
        <row r="6599">
          <cell r="A6599" t="str">
            <v/>
          </cell>
          <cell r="B6599">
            <v>37815</v>
          </cell>
          <cell r="C6599" t="str">
            <v>NG</v>
          </cell>
          <cell r="D6599" t="str">
            <v>200410</v>
          </cell>
          <cell r="E6599">
            <v>4.851</v>
          </cell>
        </row>
        <row r="6600">
          <cell r="A6600" t="str">
            <v/>
          </cell>
          <cell r="B6600">
            <v>37815</v>
          </cell>
          <cell r="C6600" t="str">
            <v>NG</v>
          </cell>
          <cell r="D6600" t="str">
            <v>200411</v>
          </cell>
          <cell r="E6600">
            <v>5.0090000000000003</v>
          </cell>
        </row>
        <row r="6601">
          <cell r="A6601" t="str">
            <v/>
          </cell>
          <cell r="B6601">
            <v>37815</v>
          </cell>
          <cell r="C6601" t="str">
            <v>NG</v>
          </cell>
          <cell r="D6601" t="str">
            <v>200412</v>
          </cell>
          <cell r="E6601">
            <v>5.181</v>
          </cell>
        </row>
        <row r="6602">
          <cell r="A6602" t="str">
            <v/>
          </cell>
          <cell r="B6602">
            <v>37816</v>
          </cell>
          <cell r="C6602" t="str">
            <v>NG</v>
          </cell>
          <cell r="D6602" t="str">
            <v>200401</v>
          </cell>
          <cell r="E6602">
            <v>5.6790000000000003</v>
          </cell>
        </row>
        <row r="6603">
          <cell r="A6603" t="str">
            <v/>
          </cell>
          <cell r="B6603">
            <v>37816</v>
          </cell>
          <cell r="C6603" t="str">
            <v>NG</v>
          </cell>
          <cell r="D6603" t="str">
            <v>200402</v>
          </cell>
          <cell r="E6603">
            <v>5.6109999999999998</v>
          </cell>
        </row>
        <row r="6604">
          <cell r="A6604" t="str">
            <v/>
          </cell>
          <cell r="B6604">
            <v>37816</v>
          </cell>
          <cell r="C6604" t="str">
            <v>NG</v>
          </cell>
          <cell r="D6604" t="str">
            <v>200403</v>
          </cell>
          <cell r="E6604">
            <v>5.4630000000000001</v>
          </cell>
        </row>
        <row r="6605">
          <cell r="A6605" t="str">
            <v/>
          </cell>
          <cell r="B6605">
            <v>37816</v>
          </cell>
          <cell r="C6605" t="str">
            <v>NG</v>
          </cell>
          <cell r="D6605" t="str">
            <v>200404</v>
          </cell>
          <cell r="E6605">
            <v>4.9029999999999996</v>
          </cell>
        </row>
        <row r="6606">
          <cell r="A6606" t="str">
            <v/>
          </cell>
          <cell r="B6606">
            <v>37816</v>
          </cell>
          <cell r="C6606" t="str">
            <v>NG</v>
          </cell>
          <cell r="D6606" t="str">
            <v>200405</v>
          </cell>
          <cell r="E6606">
            <v>4.766</v>
          </cell>
        </row>
        <row r="6607">
          <cell r="A6607" t="str">
            <v/>
          </cell>
          <cell r="B6607">
            <v>37816</v>
          </cell>
          <cell r="C6607" t="str">
            <v>NG</v>
          </cell>
          <cell r="D6607" t="str">
            <v>200406</v>
          </cell>
          <cell r="E6607">
            <v>4.766</v>
          </cell>
        </row>
        <row r="6608">
          <cell r="A6608" t="str">
            <v/>
          </cell>
          <cell r="B6608">
            <v>37816</v>
          </cell>
          <cell r="C6608" t="str">
            <v>NG</v>
          </cell>
          <cell r="D6608" t="str">
            <v>200407</v>
          </cell>
          <cell r="E6608">
            <v>4.7560000000000002</v>
          </cell>
        </row>
        <row r="6609">
          <cell r="A6609" t="str">
            <v/>
          </cell>
          <cell r="B6609">
            <v>37816</v>
          </cell>
          <cell r="C6609" t="str">
            <v>NG</v>
          </cell>
          <cell r="D6609" t="str">
            <v>200408</v>
          </cell>
          <cell r="E6609">
            <v>4.7610000000000001</v>
          </cell>
        </row>
        <row r="6610">
          <cell r="A6610" t="str">
            <v/>
          </cell>
          <cell r="B6610">
            <v>37816</v>
          </cell>
          <cell r="C6610" t="str">
            <v>NG</v>
          </cell>
          <cell r="D6610" t="str">
            <v>200409</v>
          </cell>
          <cell r="E6610">
            <v>4.7610000000000001</v>
          </cell>
        </row>
        <row r="6611">
          <cell r="A6611" t="str">
            <v/>
          </cell>
          <cell r="B6611">
            <v>37816</v>
          </cell>
          <cell r="C6611" t="str">
            <v>NG</v>
          </cell>
          <cell r="D6611" t="str">
            <v>200410</v>
          </cell>
          <cell r="E6611">
            <v>4.7990000000000004</v>
          </cell>
        </row>
        <row r="6612">
          <cell r="A6612" t="str">
            <v/>
          </cell>
          <cell r="B6612">
            <v>37816</v>
          </cell>
          <cell r="C6612" t="str">
            <v>NG</v>
          </cell>
          <cell r="D6612" t="str">
            <v>200411</v>
          </cell>
          <cell r="E6612">
            <v>4.9459999999999997</v>
          </cell>
        </row>
        <row r="6613">
          <cell r="A6613" t="str">
            <v/>
          </cell>
          <cell r="B6613">
            <v>37816</v>
          </cell>
          <cell r="C6613" t="str">
            <v>NG</v>
          </cell>
          <cell r="D6613" t="str">
            <v>200412</v>
          </cell>
          <cell r="E6613">
            <v>5.1159999999999997</v>
          </cell>
        </row>
        <row r="6614">
          <cell r="A6614" t="str">
            <v/>
          </cell>
          <cell r="B6614">
            <v>37817</v>
          </cell>
          <cell r="C6614" t="str">
            <v>NG</v>
          </cell>
          <cell r="D6614" t="str">
            <v>200401</v>
          </cell>
          <cell r="E6614">
            <v>5.59</v>
          </cell>
        </row>
        <row r="6615">
          <cell r="A6615" t="str">
            <v/>
          </cell>
          <cell r="B6615">
            <v>37817</v>
          </cell>
          <cell r="C6615" t="str">
            <v>NG</v>
          </cell>
          <cell r="D6615" t="str">
            <v>200402</v>
          </cell>
          <cell r="E6615">
            <v>5.5220000000000002</v>
          </cell>
        </row>
        <row r="6616">
          <cell r="A6616" t="str">
            <v/>
          </cell>
          <cell r="B6616">
            <v>37817</v>
          </cell>
          <cell r="C6616" t="str">
            <v>NG</v>
          </cell>
          <cell r="D6616" t="str">
            <v>200403</v>
          </cell>
          <cell r="E6616">
            <v>5.3739999999999997</v>
          </cell>
        </row>
        <row r="6617">
          <cell r="A6617" t="str">
            <v/>
          </cell>
          <cell r="B6617">
            <v>37817</v>
          </cell>
          <cell r="C6617" t="str">
            <v>NG</v>
          </cell>
          <cell r="D6617" t="str">
            <v>200404</v>
          </cell>
          <cell r="E6617">
            <v>4.819</v>
          </cell>
        </row>
        <row r="6618">
          <cell r="A6618" t="str">
            <v/>
          </cell>
          <cell r="B6618">
            <v>37817</v>
          </cell>
          <cell r="C6618" t="str">
            <v>NG</v>
          </cell>
          <cell r="D6618" t="str">
            <v>200405</v>
          </cell>
          <cell r="E6618">
            <v>4.6840000000000002</v>
          </cell>
        </row>
        <row r="6619">
          <cell r="A6619" t="str">
            <v/>
          </cell>
          <cell r="B6619">
            <v>37817</v>
          </cell>
          <cell r="C6619" t="str">
            <v>NG</v>
          </cell>
          <cell r="D6619" t="str">
            <v>200406</v>
          </cell>
          <cell r="E6619">
            <v>4.6779999999999999</v>
          </cell>
        </row>
        <row r="6620">
          <cell r="A6620" t="str">
            <v/>
          </cell>
          <cell r="B6620">
            <v>37817</v>
          </cell>
          <cell r="C6620" t="str">
            <v>NG</v>
          </cell>
          <cell r="D6620" t="str">
            <v>200407</v>
          </cell>
          <cell r="E6620">
            <v>4.673</v>
          </cell>
        </row>
        <row r="6621">
          <cell r="A6621" t="str">
            <v/>
          </cell>
          <cell r="B6621">
            <v>37817</v>
          </cell>
          <cell r="C6621" t="str">
            <v>NG</v>
          </cell>
          <cell r="D6621" t="str">
            <v>200408</v>
          </cell>
          <cell r="E6621">
            <v>4.6779999999999999</v>
          </cell>
        </row>
        <row r="6622">
          <cell r="A6622" t="str">
            <v/>
          </cell>
          <cell r="B6622">
            <v>37817</v>
          </cell>
          <cell r="C6622" t="str">
            <v>NG</v>
          </cell>
          <cell r="D6622" t="str">
            <v>200409</v>
          </cell>
          <cell r="E6622">
            <v>4.673</v>
          </cell>
        </row>
        <row r="6623">
          <cell r="A6623" t="str">
            <v/>
          </cell>
          <cell r="B6623">
            <v>37817</v>
          </cell>
          <cell r="C6623" t="str">
            <v>NG</v>
          </cell>
          <cell r="D6623" t="str">
            <v>200410</v>
          </cell>
          <cell r="E6623">
            <v>4.7080000000000002</v>
          </cell>
        </row>
        <row r="6624">
          <cell r="A6624" t="str">
            <v/>
          </cell>
          <cell r="B6624">
            <v>37817</v>
          </cell>
          <cell r="C6624" t="str">
            <v>NG</v>
          </cell>
          <cell r="D6624" t="str">
            <v>200411</v>
          </cell>
          <cell r="E6624">
            <v>4.8600000000000003</v>
          </cell>
        </row>
        <row r="6625">
          <cell r="A6625" t="str">
            <v/>
          </cell>
          <cell r="B6625">
            <v>37817</v>
          </cell>
          <cell r="C6625" t="str">
            <v>NG</v>
          </cell>
          <cell r="D6625" t="str">
            <v>200412</v>
          </cell>
          <cell r="E6625">
            <v>5.0350000000000001</v>
          </cell>
        </row>
        <row r="6626">
          <cell r="A6626" t="str">
            <v/>
          </cell>
          <cell r="B6626">
            <v>37818</v>
          </cell>
          <cell r="C6626" t="str">
            <v>NG</v>
          </cell>
          <cell r="D6626" t="str">
            <v>200401</v>
          </cell>
          <cell r="E6626">
            <v>5.4930000000000003</v>
          </cell>
        </row>
        <row r="6627">
          <cell r="A6627" t="str">
            <v/>
          </cell>
          <cell r="B6627">
            <v>37818</v>
          </cell>
          <cell r="C6627" t="str">
            <v>NG</v>
          </cell>
          <cell r="D6627" t="str">
            <v>200402</v>
          </cell>
          <cell r="E6627">
            <v>5.431</v>
          </cell>
        </row>
        <row r="6628">
          <cell r="A6628" t="str">
            <v/>
          </cell>
          <cell r="B6628">
            <v>37818</v>
          </cell>
          <cell r="C6628" t="str">
            <v>NG</v>
          </cell>
          <cell r="D6628" t="str">
            <v>200403</v>
          </cell>
          <cell r="E6628">
            <v>5.2859999999999996</v>
          </cell>
        </row>
        <row r="6629">
          <cell r="A6629" t="str">
            <v/>
          </cell>
          <cell r="B6629">
            <v>37818</v>
          </cell>
          <cell r="C6629" t="str">
            <v>NG</v>
          </cell>
          <cell r="D6629" t="str">
            <v>200404</v>
          </cell>
          <cell r="E6629">
            <v>4.7539999999999996</v>
          </cell>
        </row>
        <row r="6630">
          <cell r="A6630" t="str">
            <v/>
          </cell>
          <cell r="B6630">
            <v>37818</v>
          </cell>
          <cell r="C6630" t="str">
            <v>NG</v>
          </cell>
          <cell r="D6630" t="str">
            <v>200405</v>
          </cell>
          <cell r="E6630">
            <v>4.6239999999999997</v>
          </cell>
        </row>
        <row r="6631">
          <cell r="A6631" t="str">
            <v/>
          </cell>
          <cell r="B6631">
            <v>37818</v>
          </cell>
          <cell r="C6631" t="str">
            <v>NG</v>
          </cell>
          <cell r="D6631" t="str">
            <v>200406</v>
          </cell>
          <cell r="E6631">
            <v>4.6189999999999998</v>
          </cell>
        </row>
        <row r="6632">
          <cell r="A6632" t="str">
            <v/>
          </cell>
          <cell r="B6632">
            <v>37818</v>
          </cell>
          <cell r="C6632" t="str">
            <v>NG</v>
          </cell>
          <cell r="D6632" t="str">
            <v>200407</v>
          </cell>
          <cell r="E6632">
            <v>4.6139999999999999</v>
          </cell>
        </row>
        <row r="6633">
          <cell r="A6633" t="str">
            <v/>
          </cell>
          <cell r="B6633">
            <v>37818</v>
          </cell>
          <cell r="C6633" t="str">
            <v>NG</v>
          </cell>
          <cell r="D6633" t="str">
            <v>200408</v>
          </cell>
          <cell r="E6633">
            <v>4.6219999999999999</v>
          </cell>
        </row>
        <row r="6634">
          <cell r="A6634" t="str">
            <v/>
          </cell>
          <cell r="B6634">
            <v>37818</v>
          </cell>
          <cell r="C6634" t="str">
            <v>NG</v>
          </cell>
          <cell r="D6634" t="str">
            <v>200409</v>
          </cell>
          <cell r="E6634">
            <v>4.617</v>
          </cell>
        </row>
        <row r="6635">
          <cell r="A6635" t="str">
            <v/>
          </cell>
          <cell r="B6635">
            <v>37818</v>
          </cell>
          <cell r="C6635" t="str">
            <v>NG</v>
          </cell>
          <cell r="D6635" t="str">
            <v>200410</v>
          </cell>
          <cell r="E6635">
            <v>4.6520000000000001</v>
          </cell>
        </row>
        <row r="6636">
          <cell r="A6636" t="str">
            <v/>
          </cell>
          <cell r="B6636">
            <v>37818</v>
          </cell>
          <cell r="C6636" t="str">
            <v>NG</v>
          </cell>
          <cell r="D6636" t="str">
            <v>200411</v>
          </cell>
          <cell r="E6636">
            <v>4.8159999999999998</v>
          </cell>
        </row>
        <row r="6637">
          <cell r="A6637" t="str">
            <v/>
          </cell>
          <cell r="B6637">
            <v>37818</v>
          </cell>
          <cell r="C6637" t="str">
            <v>NG</v>
          </cell>
          <cell r="D6637" t="str">
            <v>200412</v>
          </cell>
          <cell r="E6637">
            <v>4.99</v>
          </cell>
        </row>
        <row r="6638">
          <cell r="A6638" t="str">
            <v/>
          </cell>
          <cell r="B6638">
            <v>37819</v>
          </cell>
          <cell r="C6638" t="str">
            <v>NG</v>
          </cell>
          <cell r="D6638" t="str">
            <v>200401</v>
          </cell>
          <cell r="E6638">
            <v>5.5830000000000002</v>
          </cell>
        </row>
        <row r="6639">
          <cell r="A6639" t="str">
            <v/>
          </cell>
          <cell r="B6639">
            <v>37819</v>
          </cell>
          <cell r="C6639" t="str">
            <v>NG</v>
          </cell>
          <cell r="D6639" t="str">
            <v>200402</v>
          </cell>
          <cell r="E6639">
            <v>5.5229999999999997</v>
          </cell>
        </row>
        <row r="6640">
          <cell r="A6640" t="str">
            <v/>
          </cell>
          <cell r="B6640">
            <v>37819</v>
          </cell>
          <cell r="C6640" t="str">
            <v>NG</v>
          </cell>
          <cell r="D6640" t="str">
            <v>200403</v>
          </cell>
          <cell r="E6640">
            <v>5.3780000000000001</v>
          </cell>
        </row>
        <row r="6641">
          <cell r="A6641" t="str">
            <v/>
          </cell>
          <cell r="B6641">
            <v>37819</v>
          </cell>
          <cell r="C6641" t="str">
            <v>NG</v>
          </cell>
          <cell r="D6641" t="str">
            <v>200404</v>
          </cell>
          <cell r="E6641">
            <v>4.8170000000000002</v>
          </cell>
        </row>
        <row r="6642">
          <cell r="A6642" t="str">
            <v/>
          </cell>
          <cell r="B6642">
            <v>37819</v>
          </cell>
          <cell r="C6642" t="str">
            <v>NG</v>
          </cell>
          <cell r="D6642" t="str">
            <v>200405</v>
          </cell>
          <cell r="E6642">
            <v>4.6820000000000004</v>
          </cell>
        </row>
        <row r="6643">
          <cell r="A6643" t="str">
            <v/>
          </cell>
          <cell r="B6643">
            <v>37819</v>
          </cell>
          <cell r="C6643" t="str">
            <v>NG</v>
          </cell>
          <cell r="D6643" t="str">
            <v>200406</v>
          </cell>
          <cell r="E6643">
            <v>4.6769999999999996</v>
          </cell>
        </row>
        <row r="6644">
          <cell r="A6644" t="str">
            <v/>
          </cell>
          <cell r="B6644">
            <v>37819</v>
          </cell>
          <cell r="C6644" t="str">
            <v>NG</v>
          </cell>
          <cell r="D6644" t="str">
            <v>200407</v>
          </cell>
          <cell r="E6644">
            <v>4.6719999999999997</v>
          </cell>
        </row>
        <row r="6645">
          <cell r="A6645" t="str">
            <v/>
          </cell>
          <cell r="B6645">
            <v>37819</v>
          </cell>
          <cell r="C6645" t="str">
            <v>NG</v>
          </cell>
          <cell r="D6645" t="str">
            <v>200408</v>
          </cell>
          <cell r="E6645">
            <v>4.68</v>
          </cell>
        </row>
        <row r="6646">
          <cell r="A6646" t="str">
            <v/>
          </cell>
          <cell r="B6646">
            <v>37819</v>
          </cell>
          <cell r="C6646" t="str">
            <v>NG</v>
          </cell>
          <cell r="D6646" t="str">
            <v>200409</v>
          </cell>
          <cell r="E6646">
            <v>4.6749999999999998</v>
          </cell>
        </row>
        <row r="6647">
          <cell r="A6647" t="str">
            <v/>
          </cell>
          <cell r="B6647">
            <v>37819</v>
          </cell>
          <cell r="C6647" t="str">
            <v>NG</v>
          </cell>
          <cell r="D6647" t="str">
            <v>200410</v>
          </cell>
          <cell r="E6647">
            <v>4.71</v>
          </cell>
        </row>
        <row r="6648">
          <cell r="A6648" t="str">
            <v/>
          </cell>
          <cell r="B6648">
            <v>37819</v>
          </cell>
          <cell r="C6648" t="str">
            <v>NG</v>
          </cell>
          <cell r="D6648" t="str">
            <v>200411</v>
          </cell>
          <cell r="E6648">
            <v>4.8739999999999997</v>
          </cell>
        </row>
        <row r="6649">
          <cell r="A6649" t="str">
            <v/>
          </cell>
          <cell r="B6649">
            <v>37819</v>
          </cell>
          <cell r="C6649" t="str">
            <v>NG</v>
          </cell>
          <cell r="D6649" t="str">
            <v>200412</v>
          </cell>
          <cell r="E6649">
            <v>5.048</v>
          </cell>
        </row>
        <row r="6650">
          <cell r="A6650" t="str">
            <v/>
          </cell>
          <cell r="B6650">
            <v>37820</v>
          </cell>
          <cell r="C6650" t="str">
            <v>NG</v>
          </cell>
          <cell r="D6650" t="str">
            <v>200401</v>
          </cell>
          <cell r="E6650">
            <v>5.58</v>
          </cell>
        </row>
        <row r="6651">
          <cell r="A6651" t="str">
            <v/>
          </cell>
          <cell r="B6651">
            <v>37820</v>
          </cell>
          <cell r="C6651" t="str">
            <v>NG</v>
          </cell>
          <cell r="D6651" t="str">
            <v>200402</v>
          </cell>
          <cell r="E6651">
            <v>5.5229999999999997</v>
          </cell>
        </row>
        <row r="6652">
          <cell r="A6652" t="str">
            <v/>
          </cell>
          <cell r="B6652">
            <v>37820</v>
          </cell>
          <cell r="C6652" t="str">
            <v>NG</v>
          </cell>
          <cell r="D6652" t="str">
            <v>200403</v>
          </cell>
          <cell r="E6652">
            <v>5.3929999999999998</v>
          </cell>
        </row>
        <row r="6653">
          <cell r="A6653" t="str">
            <v/>
          </cell>
          <cell r="B6653">
            <v>37820</v>
          </cell>
          <cell r="C6653" t="str">
            <v>NG</v>
          </cell>
          <cell r="D6653" t="str">
            <v>200404</v>
          </cell>
          <cell r="E6653">
            <v>4.8380000000000001</v>
          </cell>
        </row>
        <row r="6654">
          <cell r="A6654" t="str">
            <v/>
          </cell>
          <cell r="B6654">
            <v>37820</v>
          </cell>
          <cell r="C6654" t="str">
            <v>NG</v>
          </cell>
          <cell r="D6654" t="str">
            <v>200405</v>
          </cell>
          <cell r="E6654">
            <v>4.7050000000000001</v>
          </cell>
        </row>
        <row r="6655">
          <cell r="A6655" t="str">
            <v/>
          </cell>
          <cell r="B6655">
            <v>37820</v>
          </cell>
          <cell r="C6655" t="str">
            <v>NG</v>
          </cell>
          <cell r="D6655" t="str">
            <v>200406</v>
          </cell>
          <cell r="E6655">
            <v>4.7</v>
          </cell>
        </row>
        <row r="6656">
          <cell r="A6656" t="str">
            <v/>
          </cell>
          <cell r="B6656">
            <v>37820</v>
          </cell>
          <cell r="C6656" t="str">
            <v>NG</v>
          </cell>
          <cell r="D6656" t="str">
            <v>200407</v>
          </cell>
          <cell r="E6656">
            <v>4.6950000000000003</v>
          </cell>
        </row>
        <row r="6657">
          <cell r="A6657" t="str">
            <v/>
          </cell>
          <cell r="B6657">
            <v>37820</v>
          </cell>
          <cell r="C6657" t="str">
            <v>NG</v>
          </cell>
          <cell r="D6657" t="str">
            <v>200408</v>
          </cell>
          <cell r="E6657">
            <v>4.7030000000000003</v>
          </cell>
        </row>
        <row r="6658">
          <cell r="A6658" t="str">
            <v/>
          </cell>
          <cell r="B6658">
            <v>37820</v>
          </cell>
          <cell r="C6658" t="str">
            <v>NG</v>
          </cell>
          <cell r="D6658" t="str">
            <v>200409</v>
          </cell>
          <cell r="E6658">
            <v>4.6980000000000004</v>
          </cell>
        </row>
        <row r="6659">
          <cell r="A6659" t="str">
            <v/>
          </cell>
          <cell r="B6659">
            <v>37820</v>
          </cell>
          <cell r="C6659" t="str">
            <v>NG</v>
          </cell>
          <cell r="D6659" t="str">
            <v>200410</v>
          </cell>
          <cell r="E6659">
            <v>4.7329999999999997</v>
          </cell>
        </row>
        <row r="6660">
          <cell r="A6660" t="str">
            <v/>
          </cell>
          <cell r="B6660">
            <v>37820</v>
          </cell>
          <cell r="C6660" t="str">
            <v>NG</v>
          </cell>
          <cell r="D6660" t="str">
            <v>200411</v>
          </cell>
          <cell r="E6660">
            <v>4.8879999999999999</v>
          </cell>
        </row>
        <row r="6661">
          <cell r="A6661" t="str">
            <v/>
          </cell>
          <cell r="B6661">
            <v>37820</v>
          </cell>
          <cell r="C6661" t="str">
            <v>NG</v>
          </cell>
          <cell r="D6661" t="str">
            <v>200412</v>
          </cell>
          <cell r="E6661">
            <v>5.0529999999999999</v>
          </cell>
        </row>
        <row r="6662">
          <cell r="A6662" t="str">
            <v/>
          </cell>
          <cell r="B6662">
            <v>37821</v>
          </cell>
          <cell r="C6662" t="str">
            <v>NG</v>
          </cell>
          <cell r="D6662" t="str">
            <v>200401</v>
          </cell>
          <cell r="E6662">
            <v>5.58</v>
          </cell>
        </row>
        <row r="6663">
          <cell r="A6663" t="str">
            <v/>
          </cell>
          <cell r="B6663">
            <v>37821</v>
          </cell>
          <cell r="C6663" t="str">
            <v>NG</v>
          </cell>
          <cell r="D6663" t="str">
            <v>200402</v>
          </cell>
          <cell r="E6663">
            <v>5.5229999999999997</v>
          </cell>
        </row>
        <row r="6664">
          <cell r="A6664" t="str">
            <v/>
          </cell>
          <cell r="B6664">
            <v>37821</v>
          </cell>
          <cell r="C6664" t="str">
            <v>NG</v>
          </cell>
          <cell r="D6664" t="str">
            <v>200403</v>
          </cell>
          <cell r="E6664">
            <v>5.3929999999999998</v>
          </cell>
        </row>
        <row r="6665">
          <cell r="A6665" t="str">
            <v/>
          </cell>
          <cell r="B6665">
            <v>37821</v>
          </cell>
          <cell r="C6665" t="str">
            <v>NG</v>
          </cell>
          <cell r="D6665" t="str">
            <v>200404</v>
          </cell>
          <cell r="E6665">
            <v>4.8380000000000001</v>
          </cell>
        </row>
        <row r="6666">
          <cell r="A6666" t="str">
            <v/>
          </cell>
          <cell r="B6666">
            <v>37821</v>
          </cell>
          <cell r="C6666" t="str">
            <v>NG</v>
          </cell>
          <cell r="D6666" t="str">
            <v>200405</v>
          </cell>
          <cell r="E6666">
            <v>4.7050000000000001</v>
          </cell>
        </row>
        <row r="6667">
          <cell r="A6667" t="str">
            <v/>
          </cell>
          <cell r="B6667">
            <v>37821</v>
          </cell>
          <cell r="C6667" t="str">
            <v>NG</v>
          </cell>
          <cell r="D6667" t="str">
            <v>200406</v>
          </cell>
          <cell r="E6667">
            <v>4.7</v>
          </cell>
        </row>
        <row r="6668">
          <cell r="A6668" t="str">
            <v/>
          </cell>
          <cell r="B6668">
            <v>37821</v>
          </cell>
          <cell r="C6668" t="str">
            <v>NG</v>
          </cell>
          <cell r="D6668" t="str">
            <v>200407</v>
          </cell>
          <cell r="E6668">
            <v>4.6950000000000003</v>
          </cell>
        </row>
        <row r="6669">
          <cell r="A6669" t="str">
            <v/>
          </cell>
          <cell r="B6669">
            <v>37821</v>
          </cell>
          <cell r="C6669" t="str">
            <v>NG</v>
          </cell>
          <cell r="D6669" t="str">
            <v>200408</v>
          </cell>
          <cell r="E6669">
            <v>4.7030000000000003</v>
          </cell>
        </row>
        <row r="6670">
          <cell r="A6670" t="str">
            <v/>
          </cell>
          <cell r="B6670">
            <v>37821</v>
          </cell>
          <cell r="C6670" t="str">
            <v>NG</v>
          </cell>
          <cell r="D6670" t="str">
            <v>200409</v>
          </cell>
          <cell r="E6670">
            <v>4.6980000000000004</v>
          </cell>
        </row>
        <row r="6671">
          <cell r="A6671" t="str">
            <v/>
          </cell>
          <cell r="B6671">
            <v>37821</v>
          </cell>
          <cell r="C6671" t="str">
            <v>NG</v>
          </cell>
          <cell r="D6671" t="str">
            <v>200410</v>
          </cell>
          <cell r="E6671">
            <v>4.7329999999999997</v>
          </cell>
        </row>
        <row r="6672">
          <cell r="A6672" t="str">
            <v/>
          </cell>
          <cell r="B6672">
            <v>37821</v>
          </cell>
          <cell r="C6672" t="str">
            <v>NG</v>
          </cell>
          <cell r="D6672" t="str">
            <v>200411</v>
          </cell>
          <cell r="E6672">
            <v>4.8879999999999999</v>
          </cell>
        </row>
        <row r="6673">
          <cell r="A6673" t="str">
            <v/>
          </cell>
          <cell r="B6673">
            <v>37821</v>
          </cell>
          <cell r="C6673" t="str">
            <v>NG</v>
          </cell>
          <cell r="D6673" t="str">
            <v>200412</v>
          </cell>
          <cell r="E6673">
            <v>5.0529999999999999</v>
          </cell>
        </row>
        <row r="6674">
          <cell r="A6674" t="str">
            <v/>
          </cell>
          <cell r="B6674">
            <v>37822</v>
          </cell>
          <cell r="C6674" t="str">
            <v>NG</v>
          </cell>
          <cell r="D6674" t="str">
            <v>200401</v>
          </cell>
          <cell r="E6674">
            <v>5.58</v>
          </cell>
        </row>
        <row r="6675">
          <cell r="A6675" t="str">
            <v/>
          </cell>
          <cell r="B6675">
            <v>37822</v>
          </cell>
          <cell r="C6675" t="str">
            <v>NG</v>
          </cell>
          <cell r="D6675" t="str">
            <v>200402</v>
          </cell>
          <cell r="E6675">
            <v>5.5229999999999997</v>
          </cell>
        </row>
        <row r="6676">
          <cell r="A6676" t="str">
            <v/>
          </cell>
          <cell r="B6676">
            <v>37822</v>
          </cell>
          <cell r="C6676" t="str">
            <v>NG</v>
          </cell>
          <cell r="D6676" t="str">
            <v>200403</v>
          </cell>
          <cell r="E6676">
            <v>5.3929999999999998</v>
          </cell>
        </row>
        <row r="6677">
          <cell r="A6677" t="str">
            <v/>
          </cell>
          <cell r="B6677">
            <v>37822</v>
          </cell>
          <cell r="C6677" t="str">
            <v>NG</v>
          </cell>
          <cell r="D6677" t="str">
            <v>200404</v>
          </cell>
          <cell r="E6677">
            <v>4.8380000000000001</v>
          </cell>
        </row>
        <row r="6678">
          <cell r="A6678" t="str">
            <v/>
          </cell>
          <cell r="B6678">
            <v>37822</v>
          </cell>
          <cell r="C6678" t="str">
            <v>NG</v>
          </cell>
          <cell r="D6678" t="str">
            <v>200405</v>
          </cell>
          <cell r="E6678">
            <v>4.7050000000000001</v>
          </cell>
        </row>
        <row r="6679">
          <cell r="A6679" t="str">
            <v/>
          </cell>
          <cell r="B6679">
            <v>37822</v>
          </cell>
          <cell r="C6679" t="str">
            <v>NG</v>
          </cell>
          <cell r="D6679" t="str">
            <v>200406</v>
          </cell>
          <cell r="E6679">
            <v>4.7</v>
          </cell>
        </row>
        <row r="6680">
          <cell r="A6680" t="str">
            <v/>
          </cell>
          <cell r="B6680">
            <v>37822</v>
          </cell>
          <cell r="C6680" t="str">
            <v>NG</v>
          </cell>
          <cell r="D6680" t="str">
            <v>200407</v>
          </cell>
          <cell r="E6680">
            <v>4.6950000000000003</v>
          </cell>
        </row>
        <row r="6681">
          <cell r="A6681" t="str">
            <v/>
          </cell>
          <cell r="B6681">
            <v>37822</v>
          </cell>
          <cell r="C6681" t="str">
            <v>NG</v>
          </cell>
          <cell r="D6681" t="str">
            <v>200408</v>
          </cell>
          <cell r="E6681">
            <v>4.7030000000000003</v>
          </cell>
        </row>
        <row r="6682">
          <cell r="A6682" t="str">
            <v/>
          </cell>
          <cell r="B6682">
            <v>37822</v>
          </cell>
          <cell r="C6682" t="str">
            <v>NG</v>
          </cell>
          <cell r="D6682" t="str">
            <v>200409</v>
          </cell>
          <cell r="E6682">
            <v>4.6980000000000004</v>
          </cell>
        </row>
        <row r="6683">
          <cell r="A6683" t="str">
            <v/>
          </cell>
          <cell r="B6683">
            <v>37822</v>
          </cell>
          <cell r="C6683" t="str">
            <v>NG</v>
          </cell>
          <cell r="D6683" t="str">
            <v>200410</v>
          </cell>
          <cell r="E6683">
            <v>4.7329999999999997</v>
          </cell>
        </row>
        <row r="6684">
          <cell r="A6684" t="str">
            <v/>
          </cell>
          <cell r="B6684">
            <v>37822</v>
          </cell>
          <cell r="C6684" t="str">
            <v>NG</v>
          </cell>
          <cell r="D6684" t="str">
            <v>200411</v>
          </cell>
          <cell r="E6684">
            <v>4.8879999999999999</v>
          </cell>
        </row>
        <row r="6685">
          <cell r="A6685" t="str">
            <v/>
          </cell>
          <cell r="B6685">
            <v>37822</v>
          </cell>
          <cell r="C6685" t="str">
            <v>NG</v>
          </cell>
          <cell r="D6685" t="str">
            <v>200412</v>
          </cell>
          <cell r="E6685">
            <v>5.0529999999999999</v>
          </cell>
        </row>
        <row r="6686">
          <cell r="A6686" t="str">
            <v/>
          </cell>
          <cell r="B6686">
            <v>37823</v>
          </cell>
          <cell r="C6686" t="str">
            <v>NG</v>
          </cell>
          <cell r="D6686" t="str">
            <v>200401</v>
          </cell>
          <cell r="E6686">
            <v>5.6520000000000001</v>
          </cell>
        </row>
        <row r="6687">
          <cell r="A6687" t="str">
            <v/>
          </cell>
          <cell r="B6687">
            <v>37823</v>
          </cell>
          <cell r="C6687" t="str">
            <v>NG</v>
          </cell>
          <cell r="D6687" t="str">
            <v>200402</v>
          </cell>
          <cell r="E6687">
            <v>5.5919999999999996</v>
          </cell>
        </row>
        <row r="6688">
          <cell r="A6688" t="str">
            <v/>
          </cell>
          <cell r="B6688">
            <v>37823</v>
          </cell>
          <cell r="C6688" t="str">
            <v>NG</v>
          </cell>
          <cell r="D6688" t="str">
            <v>200403</v>
          </cell>
          <cell r="E6688">
            <v>5.4619999999999997</v>
          </cell>
        </row>
        <row r="6689">
          <cell r="A6689" t="str">
            <v/>
          </cell>
          <cell r="B6689">
            <v>37823</v>
          </cell>
          <cell r="C6689" t="str">
            <v>NG</v>
          </cell>
          <cell r="D6689" t="str">
            <v>200404</v>
          </cell>
          <cell r="E6689">
            <v>4.8540000000000001</v>
          </cell>
        </row>
        <row r="6690">
          <cell r="A6690" t="str">
            <v/>
          </cell>
          <cell r="B6690">
            <v>37823</v>
          </cell>
          <cell r="C6690" t="str">
            <v>NG</v>
          </cell>
          <cell r="D6690" t="str">
            <v>200405</v>
          </cell>
          <cell r="E6690">
            <v>4.7210000000000001</v>
          </cell>
        </row>
        <row r="6691">
          <cell r="A6691" t="str">
            <v/>
          </cell>
          <cell r="B6691">
            <v>37823</v>
          </cell>
          <cell r="C6691" t="str">
            <v>NG</v>
          </cell>
          <cell r="D6691" t="str">
            <v>200406</v>
          </cell>
          <cell r="E6691">
            <v>4.7160000000000002</v>
          </cell>
        </row>
        <row r="6692">
          <cell r="A6692" t="str">
            <v/>
          </cell>
          <cell r="B6692">
            <v>37823</v>
          </cell>
          <cell r="C6692" t="str">
            <v>NG</v>
          </cell>
          <cell r="D6692" t="str">
            <v>200407</v>
          </cell>
          <cell r="E6692">
            <v>4.7110000000000003</v>
          </cell>
        </row>
        <row r="6693">
          <cell r="A6693" t="str">
            <v/>
          </cell>
          <cell r="B6693">
            <v>37823</v>
          </cell>
          <cell r="C6693" t="str">
            <v>NG</v>
          </cell>
          <cell r="D6693" t="str">
            <v>200408</v>
          </cell>
          <cell r="E6693">
            <v>4.7190000000000003</v>
          </cell>
        </row>
        <row r="6694">
          <cell r="A6694" t="str">
            <v/>
          </cell>
          <cell r="B6694">
            <v>37823</v>
          </cell>
          <cell r="C6694" t="str">
            <v>NG</v>
          </cell>
          <cell r="D6694" t="str">
            <v>200409</v>
          </cell>
          <cell r="E6694">
            <v>4.7140000000000004</v>
          </cell>
        </row>
        <row r="6695">
          <cell r="A6695" t="str">
            <v/>
          </cell>
          <cell r="B6695">
            <v>37823</v>
          </cell>
          <cell r="C6695" t="str">
            <v>NG</v>
          </cell>
          <cell r="D6695" t="str">
            <v>200410</v>
          </cell>
          <cell r="E6695">
            <v>4.7489999999999997</v>
          </cell>
        </row>
        <row r="6696">
          <cell r="A6696" t="str">
            <v/>
          </cell>
          <cell r="B6696">
            <v>37823</v>
          </cell>
          <cell r="C6696" t="str">
            <v>NG</v>
          </cell>
          <cell r="D6696" t="str">
            <v>200411</v>
          </cell>
          <cell r="E6696">
            <v>4.9139999999999997</v>
          </cell>
        </row>
        <row r="6697">
          <cell r="A6697" t="str">
            <v/>
          </cell>
          <cell r="B6697">
            <v>37823</v>
          </cell>
          <cell r="C6697" t="str">
            <v>NG</v>
          </cell>
          <cell r="D6697" t="str">
            <v>200412</v>
          </cell>
          <cell r="E6697">
            <v>5.0890000000000004</v>
          </cell>
        </row>
        <row r="6698">
          <cell r="A6698" t="str">
            <v/>
          </cell>
          <cell r="B6698">
            <v>37824</v>
          </cell>
          <cell r="C6698" t="str">
            <v>NG</v>
          </cell>
          <cell r="D6698" t="str">
            <v>200401</v>
          </cell>
          <cell r="E6698">
            <v>5.4429999999999996</v>
          </cell>
        </row>
        <row r="6699">
          <cell r="A6699" t="str">
            <v/>
          </cell>
          <cell r="B6699">
            <v>37824</v>
          </cell>
          <cell r="C6699" t="str">
            <v>NG</v>
          </cell>
          <cell r="D6699" t="str">
            <v>200402</v>
          </cell>
          <cell r="E6699">
            <v>5.3949999999999996</v>
          </cell>
        </row>
        <row r="6700">
          <cell r="A6700" t="str">
            <v/>
          </cell>
          <cell r="B6700">
            <v>37824</v>
          </cell>
          <cell r="C6700" t="str">
            <v>NG</v>
          </cell>
          <cell r="D6700" t="str">
            <v>200403</v>
          </cell>
          <cell r="E6700">
            <v>5.28</v>
          </cell>
        </row>
        <row r="6701">
          <cell r="A6701" t="str">
            <v/>
          </cell>
          <cell r="B6701">
            <v>37824</v>
          </cell>
          <cell r="C6701" t="str">
            <v>NG</v>
          </cell>
          <cell r="D6701" t="str">
            <v>200404</v>
          </cell>
          <cell r="E6701">
            <v>4.7300000000000004</v>
          </cell>
        </row>
        <row r="6702">
          <cell r="A6702" t="str">
            <v/>
          </cell>
          <cell r="B6702">
            <v>37824</v>
          </cell>
          <cell r="C6702" t="str">
            <v>NG</v>
          </cell>
          <cell r="D6702" t="str">
            <v>200405</v>
          </cell>
          <cell r="E6702">
            <v>4.6050000000000004</v>
          </cell>
        </row>
        <row r="6703">
          <cell r="A6703" t="str">
            <v/>
          </cell>
          <cell r="B6703">
            <v>37824</v>
          </cell>
          <cell r="C6703" t="str">
            <v>NG</v>
          </cell>
          <cell r="D6703" t="str">
            <v>200406</v>
          </cell>
          <cell r="E6703">
            <v>4.6050000000000004</v>
          </cell>
        </row>
        <row r="6704">
          <cell r="A6704" t="str">
            <v/>
          </cell>
          <cell r="B6704">
            <v>37824</v>
          </cell>
          <cell r="C6704" t="str">
            <v>NG</v>
          </cell>
          <cell r="D6704" t="str">
            <v>200407</v>
          </cell>
          <cell r="E6704">
            <v>4.6050000000000004</v>
          </cell>
        </row>
        <row r="6705">
          <cell r="A6705" t="str">
            <v/>
          </cell>
          <cell r="B6705">
            <v>37824</v>
          </cell>
          <cell r="C6705" t="str">
            <v>NG</v>
          </cell>
          <cell r="D6705" t="str">
            <v>200408</v>
          </cell>
          <cell r="E6705">
            <v>4.6050000000000004</v>
          </cell>
        </row>
        <row r="6706">
          <cell r="A6706" t="str">
            <v/>
          </cell>
          <cell r="B6706">
            <v>37824</v>
          </cell>
          <cell r="C6706" t="str">
            <v>NG</v>
          </cell>
          <cell r="D6706" t="str">
            <v>200409</v>
          </cell>
          <cell r="E6706">
            <v>4.5949999999999998</v>
          </cell>
        </row>
        <row r="6707">
          <cell r="A6707" t="str">
            <v/>
          </cell>
          <cell r="B6707">
            <v>37824</v>
          </cell>
          <cell r="C6707" t="str">
            <v>NG</v>
          </cell>
          <cell r="D6707" t="str">
            <v>200410</v>
          </cell>
          <cell r="E6707">
            <v>4.625</v>
          </cell>
        </row>
        <row r="6708">
          <cell r="A6708" t="str">
            <v/>
          </cell>
          <cell r="B6708">
            <v>37824</v>
          </cell>
          <cell r="C6708" t="str">
            <v>NG</v>
          </cell>
          <cell r="D6708" t="str">
            <v>200411</v>
          </cell>
          <cell r="E6708">
            <v>4.7850000000000001</v>
          </cell>
        </row>
        <row r="6709">
          <cell r="A6709" t="str">
            <v/>
          </cell>
          <cell r="B6709">
            <v>37824</v>
          </cell>
          <cell r="C6709" t="str">
            <v>NG</v>
          </cell>
          <cell r="D6709" t="str">
            <v>200412</v>
          </cell>
          <cell r="E6709">
            <v>4.95</v>
          </cell>
        </row>
        <row r="6710">
          <cell r="A6710" t="str">
            <v/>
          </cell>
          <cell r="B6710">
            <v>37825</v>
          </cell>
          <cell r="C6710" t="str">
            <v>NG</v>
          </cell>
          <cell r="D6710" t="str">
            <v>200401</v>
          </cell>
          <cell r="E6710">
            <v>5.4160000000000004</v>
          </cell>
        </row>
        <row r="6711">
          <cell r="A6711" t="str">
            <v/>
          </cell>
          <cell r="B6711">
            <v>37825</v>
          </cell>
          <cell r="C6711" t="str">
            <v>NG</v>
          </cell>
          <cell r="D6711" t="str">
            <v>200402</v>
          </cell>
          <cell r="E6711">
            <v>5.3659999999999997</v>
          </cell>
        </row>
        <row r="6712">
          <cell r="A6712" t="str">
            <v/>
          </cell>
          <cell r="B6712">
            <v>37825</v>
          </cell>
          <cell r="C6712" t="str">
            <v>NG</v>
          </cell>
          <cell r="D6712" t="str">
            <v>200403</v>
          </cell>
          <cell r="E6712">
            <v>5.258</v>
          </cell>
        </row>
        <row r="6713">
          <cell r="A6713" t="str">
            <v/>
          </cell>
          <cell r="B6713">
            <v>37825</v>
          </cell>
          <cell r="C6713" t="str">
            <v>NG</v>
          </cell>
          <cell r="D6713" t="str">
            <v>200404</v>
          </cell>
          <cell r="E6713">
            <v>4.7080000000000002</v>
          </cell>
        </row>
        <row r="6714">
          <cell r="A6714" t="str">
            <v/>
          </cell>
          <cell r="B6714">
            <v>37825</v>
          </cell>
          <cell r="C6714" t="str">
            <v>NG</v>
          </cell>
          <cell r="D6714" t="str">
            <v>200405</v>
          </cell>
          <cell r="E6714">
            <v>4.5880000000000001</v>
          </cell>
        </row>
        <row r="6715">
          <cell r="A6715" t="str">
            <v/>
          </cell>
          <cell r="B6715">
            <v>37825</v>
          </cell>
          <cell r="C6715" t="str">
            <v>NG</v>
          </cell>
          <cell r="D6715" t="str">
            <v>200406</v>
          </cell>
          <cell r="E6715">
            <v>4.5880000000000001</v>
          </cell>
        </row>
        <row r="6716">
          <cell r="A6716" t="str">
            <v/>
          </cell>
          <cell r="B6716">
            <v>37825</v>
          </cell>
          <cell r="C6716" t="str">
            <v>NG</v>
          </cell>
          <cell r="D6716" t="str">
            <v>200407</v>
          </cell>
          <cell r="E6716">
            <v>4.5979999999999999</v>
          </cell>
        </row>
        <row r="6717">
          <cell r="A6717" t="str">
            <v/>
          </cell>
          <cell r="B6717">
            <v>37825</v>
          </cell>
          <cell r="C6717" t="str">
            <v>NG</v>
          </cell>
          <cell r="D6717" t="str">
            <v>200408</v>
          </cell>
          <cell r="E6717">
            <v>4.6079999999999997</v>
          </cell>
        </row>
        <row r="6718">
          <cell r="A6718" t="str">
            <v/>
          </cell>
          <cell r="B6718">
            <v>37825</v>
          </cell>
          <cell r="C6718" t="str">
            <v>NG</v>
          </cell>
          <cell r="D6718" t="str">
            <v>200409</v>
          </cell>
          <cell r="E6718">
            <v>4.593</v>
          </cell>
        </row>
        <row r="6719">
          <cell r="A6719" t="str">
            <v/>
          </cell>
          <cell r="B6719">
            <v>37825</v>
          </cell>
          <cell r="C6719" t="str">
            <v>NG</v>
          </cell>
          <cell r="D6719" t="str">
            <v>200410</v>
          </cell>
          <cell r="E6719">
            <v>4.6180000000000003</v>
          </cell>
        </row>
        <row r="6720">
          <cell r="A6720" t="str">
            <v/>
          </cell>
          <cell r="B6720">
            <v>37825</v>
          </cell>
          <cell r="C6720" t="str">
            <v>NG</v>
          </cell>
          <cell r="D6720" t="str">
            <v>200411</v>
          </cell>
          <cell r="E6720">
            <v>4.7729999999999997</v>
          </cell>
        </row>
        <row r="6721">
          <cell r="A6721" t="str">
            <v/>
          </cell>
          <cell r="B6721">
            <v>37825</v>
          </cell>
          <cell r="C6721" t="str">
            <v>NG</v>
          </cell>
          <cell r="D6721" t="str">
            <v>200412</v>
          </cell>
          <cell r="E6721">
            <v>4.9279999999999999</v>
          </cell>
        </row>
        <row r="6722">
          <cell r="A6722" t="str">
            <v/>
          </cell>
          <cell r="B6722">
            <v>37826</v>
          </cell>
          <cell r="C6722" t="str">
            <v>NG</v>
          </cell>
          <cell r="D6722" t="str">
            <v>200401</v>
          </cell>
          <cell r="E6722">
            <v>5.335</v>
          </cell>
        </row>
        <row r="6723">
          <cell r="A6723" t="str">
            <v/>
          </cell>
          <cell r="B6723">
            <v>37826</v>
          </cell>
          <cell r="C6723" t="str">
            <v>NG</v>
          </cell>
          <cell r="D6723" t="str">
            <v>200402</v>
          </cell>
          <cell r="E6723">
            <v>5.2949999999999999</v>
          </cell>
        </row>
        <row r="6724">
          <cell r="A6724" t="str">
            <v/>
          </cell>
          <cell r="B6724">
            <v>37826</v>
          </cell>
          <cell r="C6724" t="str">
            <v>NG</v>
          </cell>
          <cell r="D6724" t="str">
            <v>200403</v>
          </cell>
          <cell r="E6724">
            <v>5.194</v>
          </cell>
        </row>
        <row r="6725">
          <cell r="A6725" t="str">
            <v/>
          </cell>
          <cell r="B6725">
            <v>37826</v>
          </cell>
          <cell r="C6725" t="str">
            <v>NG</v>
          </cell>
          <cell r="D6725" t="str">
            <v>200404</v>
          </cell>
          <cell r="E6725">
            <v>4.6790000000000003</v>
          </cell>
        </row>
        <row r="6726">
          <cell r="A6726" t="str">
            <v/>
          </cell>
          <cell r="B6726">
            <v>37826</v>
          </cell>
          <cell r="C6726" t="str">
            <v>NG</v>
          </cell>
          <cell r="D6726" t="str">
            <v>200405</v>
          </cell>
          <cell r="E6726">
            <v>4.5640000000000001</v>
          </cell>
        </row>
        <row r="6727">
          <cell r="A6727" t="str">
            <v/>
          </cell>
          <cell r="B6727">
            <v>37826</v>
          </cell>
          <cell r="C6727" t="str">
            <v>NG</v>
          </cell>
          <cell r="D6727" t="str">
            <v>200406</v>
          </cell>
          <cell r="E6727">
            <v>4.5540000000000003</v>
          </cell>
        </row>
        <row r="6728">
          <cell r="A6728" t="str">
            <v/>
          </cell>
          <cell r="B6728">
            <v>37826</v>
          </cell>
          <cell r="C6728" t="str">
            <v>NG</v>
          </cell>
          <cell r="D6728" t="str">
            <v>200407</v>
          </cell>
          <cell r="E6728">
            <v>4.5540000000000003</v>
          </cell>
        </row>
        <row r="6729">
          <cell r="A6729" t="str">
            <v/>
          </cell>
          <cell r="B6729">
            <v>37826</v>
          </cell>
          <cell r="C6729" t="str">
            <v>NG</v>
          </cell>
          <cell r="D6729" t="str">
            <v>200408</v>
          </cell>
          <cell r="E6729">
            <v>4.5540000000000003</v>
          </cell>
        </row>
        <row r="6730">
          <cell r="A6730" t="str">
            <v/>
          </cell>
          <cell r="B6730">
            <v>37826</v>
          </cell>
          <cell r="C6730" t="str">
            <v>NG</v>
          </cell>
          <cell r="D6730" t="str">
            <v>200409</v>
          </cell>
          <cell r="E6730">
            <v>4.5439999999999996</v>
          </cell>
        </row>
        <row r="6731">
          <cell r="A6731" t="str">
            <v/>
          </cell>
          <cell r="B6731">
            <v>37826</v>
          </cell>
          <cell r="C6731" t="str">
            <v>NG</v>
          </cell>
          <cell r="D6731" t="str">
            <v>200410</v>
          </cell>
          <cell r="E6731">
            <v>4.5739999999999998</v>
          </cell>
        </row>
        <row r="6732">
          <cell r="A6732" t="str">
            <v/>
          </cell>
          <cell r="B6732">
            <v>37826</v>
          </cell>
          <cell r="C6732" t="str">
            <v>NG</v>
          </cell>
          <cell r="D6732" t="str">
            <v>200411</v>
          </cell>
          <cell r="E6732">
            <v>4.7389999999999999</v>
          </cell>
        </row>
        <row r="6733">
          <cell r="A6733" t="str">
            <v/>
          </cell>
          <cell r="B6733">
            <v>37826</v>
          </cell>
          <cell r="C6733" t="str">
            <v>NG</v>
          </cell>
          <cell r="D6733" t="str">
            <v>200412</v>
          </cell>
          <cell r="E6733">
            <v>4.9039999999999999</v>
          </cell>
        </row>
        <row r="6734">
          <cell r="A6734" t="str">
            <v/>
          </cell>
          <cell r="B6734">
            <v>37827</v>
          </cell>
          <cell r="C6734" t="str">
            <v>NG</v>
          </cell>
          <cell r="D6734" t="str">
            <v>200401</v>
          </cell>
          <cell r="E6734">
            <v>5.3239999999999998</v>
          </cell>
        </row>
        <row r="6735">
          <cell r="A6735" t="str">
            <v/>
          </cell>
          <cell r="B6735">
            <v>37827</v>
          </cell>
          <cell r="C6735" t="str">
            <v>NG</v>
          </cell>
          <cell r="D6735" t="str">
            <v>200402</v>
          </cell>
          <cell r="E6735">
            <v>5.2839999999999998</v>
          </cell>
        </row>
        <row r="6736">
          <cell r="A6736" t="str">
            <v/>
          </cell>
          <cell r="B6736">
            <v>37827</v>
          </cell>
          <cell r="C6736" t="str">
            <v>NG</v>
          </cell>
          <cell r="D6736" t="str">
            <v>200403</v>
          </cell>
          <cell r="E6736">
            <v>5.1849999999999996</v>
          </cell>
        </row>
        <row r="6737">
          <cell r="A6737" t="str">
            <v/>
          </cell>
          <cell r="B6737">
            <v>37827</v>
          </cell>
          <cell r="C6737" t="str">
            <v>NG</v>
          </cell>
          <cell r="D6737" t="str">
            <v>200404</v>
          </cell>
          <cell r="E6737">
            <v>4.6849999999999996</v>
          </cell>
        </row>
        <row r="6738">
          <cell r="A6738" t="str">
            <v/>
          </cell>
          <cell r="B6738">
            <v>37827</v>
          </cell>
          <cell r="C6738" t="str">
            <v>NG</v>
          </cell>
          <cell r="D6738" t="str">
            <v>200405</v>
          </cell>
          <cell r="E6738">
            <v>4.5750000000000002</v>
          </cell>
        </row>
        <row r="6739">
          <cell r="A6739" t="str">
            <v/>
          </cell>
          <cell r="B6739">
            <v>37827</v>
          </cell>
          <cell r="C6739" t="str">
            <v>NG</v>
          </cell>
          <cell r="D6739" t="str">
            <v>200406</v>
          </cell>
          <cell r="E6739">
            <v>4.57</v>
          </cell>
        </row>
        <row r="6740">
          <cell r="A6740" t="str">
            <v/>
          </cell>
          <cell r="B6740">
            <v>37827</v>
          </cell>
          <cell r="C6740" t="str">
            <v>NG</v>
          </cell>
          <cell r="D6740" t="str">
            <v>200407</v>
          </cell>
          <cell r="E6740">
            <v>4.57</v>
          </cell>
        </row>
        <row r="6741">
          <cell r="A6741" t="str">
            <v/>
          </cell>
          <cell r="B6741">
            <v>37827</v>
          </cell>
          <cell r="C6741" t="str">
            <v>NG</v>
          </cell>
          <cell r="D6741" t="str">
            <v>200408</v>
          </cell>
          <cell r="E6741">
            <v>4.5750000000000002</v>
          </cell>
        </row>
        <row r="6742">
          <cell r="A6742" t="str">
            <v/>
          </cell>
          <cell r="B6742">
            <v>37827</v>
          </cell>
          <cell r="C6742" t="str">
            <v>NG</v>
          </cell>
          <cell r="D6742" t="str">
            <v>200409</v>
          </cell>
          <cell r="E6742">
            <v>4.5549999999999997</v>
          </cell>
        </row>
        <row r="6743">
          <cell r="A6743" t="str">
            <v/>
          </cell>
          <cell r="B6743">
            <v>37827</v>
          </cell>
          <cell r="C6743" t="str">
            <v>NG</v>
          </cell>
          <cell r="D6743" t="str">
            <v>200410</v>
          </cell>
          <cell r="E6743">
            <v>4.585</v>
          </cell>
        </row>
        <row r="6744">
          <cell r="A6744" t="str">
            <v/>
          </cell>
          <cell r="B6744">
            <v>37827</v>
          </cell>
          <cell r="C6744" t="str">
            <v>NG</v>
          </cell>
          <cell r="D6744" t="str">
            <v>200411</v>
          </cell>
          <cell r="E6744">
            <v>4.7549999999999999</v>
          </cell>
        </row>
        <row r="6745">
          <cell r="A6745" t="str">
            <v/>
          </cell>
          <cell r="B6745">
            <v>37827</v>
          </cell>
          <cell r="C6745" t="str">
            <v>NG</v>
          </cell>
          <cell r="D6745" t="str">
            <v>200412</v>
          </cell>
          <cell r="E6745">
            <v>4.9249999999999998</v>
          </cell>
        </row>
        <row r="6746">
          <cell r="A6746" t="str">
            <v/>
          </cell>
          <cell r="B6746">
            <v>37828</v>
          </cell>
          <cell r="C6746" t="str">
            <v>NG</v>
          </cell>
          <cell r="D6746" t="str">
            <v>200401</v>
          </cell>
          <cell r="E6746">
            <v>5.3239999999999998</v>
          </cell>
        </row>
        <row r="6747">
          <cell r="A6747" t="str">
            <v/>
          </cell>
          <cell r="B6747">
            <v>37828</v>
          </cell>
          <cell r="C6747" t="str">
            <v>NG</v>
          </cell>
          <cell r="D6747" t="str">
            <v>200402</v>
          </cell>
          <cell r="E6747">
            <v>5.2839999999999998</v>
          </cell>
        </row>
        <row r="6748">
          <cell r="A6748" t="str">
            <v/>
          </cell>
          <cell r="B6748">
            <v>37828</v>
          </cell>
          <cell r="C6748" t="str">
            <v>NG</v>
          </cell>
          <cell r="D6748" t="str">
            <v>200403</v>
          </cell>
          <cell r="E6748">
            <v>5.1849999999999996</v>
          </cell>
        </row>
        <row r="6749">
          <cell r="A6749" t="str">
            <v/>
          </cell>
          <cell r="B6749">
            <v>37828</v>
          </cell>
          <cell r="C6749" t="str">
            <v>NG</v>
          </cell>
          <cell r="D6749" t="str">
            <v>200404</v>
          </cell>
          <cell r="E6749">
            <v>4.6849999999999996</v>
          </cell>
        </row>
        <row r="6750">
          <cell r="A6750" t="str">
            <v/>
          </cell>
          <cell r="B6750">
            <v>37828</v>
          </cell>
          <cell r="C6750" t="str">
            <v>NG</v>
          </cell>
          <cell r="D6750" t="str">
            <v>200405</v>
          </cell>
          <cell r="E6750">
            <v>4.5750000000000002</v>
          </cell>
        </row>
        <row r="6751">
          <cell r="A6751" t="str">
            <v/>
          </cell>
          <cell r="B6751">
            <v>37828</v>
          </cell>
          <cell r="C6751" t="str">
            <v>NG</v>
          </cell>
          <cell r="D6751" t="str">
            <v>200406</v>
          </cell>
          <cell r="E6751">
            <v>4.57</v>
          </cell>
        </row>
        <row r="6752">
          <cell r="A6752" t="str">
            <v/>
          </cell>
          <cell r="B6752">
            <v>37828</v>
          </cell>
          <cell r="C6752" t="str">
            <v>NG</v>
          </cell>
          <cell r="D6752" t="str">
            <v>200407</v>
          </cell>
          <cell r="E6752">
            <v>4.57</v>
          </cell>
        </row>
        <row r="6753">
          <cell r="A6753" t="str">
            <v/>
          </cell>
          <cell r="B6753">
            <v>37828</v>
          </cell>
          <cell r="C6753" t="str">
            <v>NG</v>
          </cell>
          <cell r="D6753" t="str">
            <v>200408</v>
          </cell>
          <cell r="E6753">
            <v>4.5750000000000002</v>
          </cell>
        </row>
        <row r="6754">
          <cell r="A6754" t="str">
            <v/>
          </cell>
          <cell r="B6754">
            <v>37828</v>
          </cell>
          <cell r="C6754" t="str">
            <v>NG</v>
          </cell>
          <cell r="D6754" t="str">
            <v>200409</v>
          </cell>
          <cell r="E6754">
            <v>4.5549999999999997</v>
          </cell>
        </row>
        <row r="6755">
          <cell r="A6755" t="str">
            <v/>
          </cell>
          <cell r="B6755">
            <v>37828</v>
          </cell>
          <cell r="C6755" t="str">
            <v>NG</v>
          </cell>
          <cell r="D6755" t="str">
            <v>200410</v>
          </cell>
          <cell r="E6755">
            <v>4.585</v>
          </cell>
        </row>
        <row r="6756">
          <cell r="A6756" t="str">
            <v/>
          </cell>
          <cell r="B6756">
            <v>37828</v>
          </cell>
          <cell r="C6756" t="str">
            <v>NG</v>
          </cell>
          <cell r="D6756" t="str">
            <v>200411</v>
          </cell>
          <cell r="E6756">
            <v>4.7549999999999999</v>
          </cell>
        </row>
        <row r="6757">
          <cell r="A6757" t="str">
            <v/>
          </cell>
          <cell r="B6757">
            <v>37828</v>
          </cell>
          <cell r="C6757" t="str">
            <v>NG</v>
          </cell>
          <cell r="D6757" t="str">
            <v>200412</v>
          </cell>
          <cell r="E6757">
            <v>4.9249999999999998</v>
          </cell>
        </row>
        <row r="6758">
          <cell r="A6758" t="str">
            <v/>
          </cell>
          <cell r="B6758">
            <v>37829</v>
          </cell>
          <cell r="C6758" t="str">
            <v>NG</v>
          </cell>
          <cell r="D6758" t="str">
            <v>200401</v>
          </cell>
          <cell r="E6758">
            <v>5.3239999999999998</v>
          </cell>
        </row>
        <row r="6759">
          <cell r="A6759" t="str">
            <v/>
          </cell>
          <cell r="B6759">
            <v>37829</v>
          </cell>
          <cell r="C6759" t="str">
            <v>NG</v>
          </cell>
          <cell r="D6759" t="str">
            <v>200402</v>
          </cell>
          <cell r="E6759">
            <v>5.2839999999999998</v>
          </cell>
        </row>
        <row r="6760">
          <cell r="A6760" t="str">
            <v/>
          </cell>
          <cell r="B6760">
            <v>37829</v>
          </cell>
          <cell r="C6760" t="str">
            <v>NG</v>
          </cell>
          <cell r="D6760" t="str">
            <v>200403</v>
          </cell>
          <cell r="E6760">
            <v>5.1849999999999996</v>
          </cell>
        </row>
        <row r="6761">
          <cell r="A6761" t="str">
            <v/>
          </cell>
          <cell r="B6761">
            <v>37829</v>
          </cell>
          <cell r="C6761" t="str">
            <v>NG</v>
          </cell>
          <cell r="D6761" t="str">
            <v>200404</v>
          </cell>
          <cell r="E6761">
            <v>4.6849999999999996</v>
          </cell>
        </row>
        <row r="6762">
          <cell r="A6762" t="str">
            <v/>
          </cell>
          <cell r="B6762">
            <v>37829</v>
          </cell>
          <cell r="C6762" t="str">
            <v>NG</v>
          </cell>
          <cell r="D6762" t="str">
            <v>200405</v>
          </cell>
          <cell r="E6762">
            <v>4.5750000000000002</v>
          </cell>
        </row>
        <row r="6763">
          <cell r="A6763" t="str">
            <v/>
          </cell>
          <cell r="B6763">
            <v>37829</v>
          </cell>
          <cell r="C6763" t="str">
            <v>NG</v>
          </cell>
          <cell r="D6763" t="str">
            <v>200406</v>
          </cell>
          <cell r="E6763">
            <v>4.57</v>
          </cell>
        </row>
        <row r="6764">
          <cell r="A6764" t="str">
            <v/>
          </cell>
          <cell r="B6764">
            <v>37829</v>
          </cell>
          <cell r="C6764" t="str">
            <v>NG</v>
          </cell>
          <cell r="D6764" t="str">
            <v>200407</v>
          </cell>
          <cell r="E6764">
            <v>4.57</v>
          </cell>
        </row>
        <row r="6765">
          <cell r="A6765" t="str">
            <v/>
          </cell>
          <cell r="B6765">
            <v>37829</v>
          </cell>
          <cell r="C6765" t="str">
            <v>NG</v>
          </cell>
          <cell r="D6765" t="str">
            <v>200408</v>
          </cell>
          <cell r="E6765">
            <v>4.5750000000000002</v>
          </cell>
        </row>
        <row r="6766">
          <cell r="A6766" t="str">
            <v/>
          </cell>
          <cell r="B6766">
            <v>37829</v>
          </cell>
          <cell r="C6766" t="str">
            <v>NG</v>
          </cell>
          <cell r="D6766" t="str">
            <v>200409</v>
          </cell>
          <cell r="E6766">
            <v>4.5549999999999997</v>
          </cell>
        </row>
        <row r="6767">
          <cell r="A6767" t="str">
            <v/>
          </cell>
          <cell r="B6767">
            <v>37829</v>
          </cell>
          <cell r="C6767" t="str">
            <v>NG</v>
          </cell>
          <cell r="D6767" t="str">
            <v>200410</v>
          </cell>
          <cell r="E6767">
            <v>4.585</v>
          </cell>
        </row>
        <row r="6768">
          <cell r="A6768" t="str">
            <v/>
          </cell>
          <cell r="B6768">
            <v>37829</v>
          </cell>
          <cell r="C6768" t="str">
            <v>NG</v>
          </cell>
          <cell r="D6768" t="str">
            <v>200411</v>
          </cell>
          <cell r="E6768">
            <v>4.7549999999999999</v>
          </cell>
        </row>
        <row r="6769">
          <cell r="A6769" t="str">
            <v/>
          </cell>
          <cell r="B6769">
            <v>37829</v>
          </cell>
          <cell r="C6769" t="str">
            <v>NG</v>
          </cell>
          <cell r="D6769" t="str">
            <v>200412</v>
          </cell>
          <cell r="E6769">
            <v>4.9249999999999998</v>
          </cell>
        </row>
        <row r="6770">
          <cell r="A6770" t="str">
            <v/>
          </cell>
          <cell r="B6770">
            <v>37830</v>
          </cell>
          <cell r="C6770" t="str">
            <v>NG</v>
          </cell>
          <cell r="D6770" t="str">
            <v>200401</v>
          </cell>
          <cell r="E6770">
            <v>5.2930000000000001</v>
          </cell>
        </row>
        <row r="6771">
          <cell r="A6771" t="str">
            <v/>
          </cell>
          <cell r="B6771">
            <v>37830</v>
          </cell>
          <cell r="C6771" t="str">
            <v>NG</v>
          </cell>
          <cell r="D6771" t="str">
            <v>200402</v>
          </cell>
          <cell r="E6771">
            <v>5.2530000000000001</v>
          </cell>
        </row>
        <row r="6772">
          <cell r="A6772" t="str">
            <v/>
          </cell>
          <cell r="B6772">
            <v>37830</v>
          </cell>
          <cell r="C6772" t="str">
            <v>NG</v>
          </cell>
          <cell r="D6772" t="str">
            <v>200403</v>
          </cell>
          <cell r="E6772">
            <v>5.1630000000000003</v>
          </cell>
        </row>
        <row r="6773">
          <cell r="A6773" t="str">
            <v/>
          </cell>
          <cell r="B6773">
            <v>37830</v>
          </cell>
          <cell r="C6773" t="str">
            <v>NG</v>
          </cell>
          <cell r="D6773" t="str">
            <v>200404</v>
          </cell>
          <cell r="E6773">
            <v>4.673</v>
          </cell>
        </row>
        <row r="6774">
          <cell r="A6774" t="str">
            <v/>
          </cell>
          <cell r="B6774">
            <v>37830</v>
          </cell>
          <cell r="C6774" t="str">
            <v>NG</v>
          </cell>
          <cell r="D6774" t="str">
            <v>200405</v>
          </cell>
          <cell r="E6774">
            <v>4.5629999999999997</v>
          </cell>
        </row>
        <row r="6775">
          <cell r="A6775" t="str">
            <v/>
          </cell>
          <cell r="B6775">
            <v>37830</v>
          </cell>
          <cell r="C6775" t="str">
            <v>NG</v>
          </cell>
          <cell r="D6775" t="str">
            <v>200406</v>
          </cell>
          <cell r="E6775">
            <v>4.5579999999999998</v>
          </cell>
        </row>
        <row r="6776">
          <cell r="A6776" t="str">
            <v/>
          </cell>
          <cell r="B6776">
            <v>37830</v>
          </cell>
          <cell r="C6776" t="str">
            <v>NG</v>
          </cell>
          <cell r="D6776" t="str">
            <v>200407</v>
          </cell>
          <cell r="E6776">
            <v>4.5549999999999997</v>
          </cell>
        </row>
        <row r="6777">
          <cell r="A6777" t="str">
            <v/>
          </cell>
          <cell r="B6777">
            <v>37830</v>
          </cell>
          <cell r="C6777" t="str">
            <v>NG</v>
          </cell>
          <cell r="D6777" t="str">
            <v>200408</v>
          </cell>
          <cell r="E6777">
            <v>4.57</v>
          </cell>
        </row>
        <row r="6778">
          <cell r="A6778" t="str">
            <v/>
          </cell>
          <cell r="B6778">
            <v>37830</v>
          </cell>
          <cell r="C6778" t="str">
            <v>NG</v>
          </cell>
          <cell r="D6778" t="str">
            <v>200409</v>
          </cell>
          <cell r="E6778">
            <v>4.5449999999999999</v>
          </cell>
        </row>
        <row r="6779">
          <cell r="A6779" t="str">
            <v/>
          </cell>
          <cell r="B6779">
            <v>37830</v>
          </cell>
          <cell r="C6779" t="str">
            <v>NG</v>
          </cell>
          <cell r="D6779" t="str">
            <v>200410</v>
          </cell>
          <cell r="E6779">
            <v>4.57</v>
          </cell>
        </row>
        <row r="6780">
          <cell r="A6780" t="str">
            <v/>
          </cell>
          <cell r="B6780">
            <v>37830</v>
          </cell>
          <cell r="C6780" t="str">
            <v>NG</v>
          </cell>
          <cell r="D6780" t="str">
            <v>200411</v>
          </cell>
          <cell r="E6780">
            <v>4.7450000000000001</v>
          </cell>
        </row>
        <row r="6781">
          <cell r="A6781" t="str">
            <v/>
          </cell>
          <cell r="B6781">
            <v>37830</v>
          </cell>
          <cell r="C6781" t="str">
            <v>NG</v>
          </cell>
          <cell r="D6781" t="str">
            <v>200412</v>
          </cell>
          <cell r="E6781">
            <v>4.92</v>
          </cell>
        </row>
        <row r="6782">
          <cell r="A6782" t="str">
            <v/>
          </cell>
          <cell r="B6782">
            <v>37831</v>
          </cell>
          <cell r="C6782" t="str">
            <v>NG</v>
          </cell>
          <cell r="D6782" t="str">
            <v>200401</v>
          </cell>
          <cell r="E6782">
            <v>5.2809999999999997</v>
          </cell>
        </row>
        <row r="6783">
          <cell r="A6783" t="str">
            <v/>
          </cell>
          <cell r="B6783">
            <v>37831</v>
          </cell>
          <cell r="C6783" t="str">
            <v>NG</v>
          </cell>
          <cell r="D6783" t="str">
            <v>200402</v>
          </cell>
          <cell r="E6783">
            <v>5.2460000000000004</v>
          </cell>
        </row>
        <row r="6784">
          <cell r="A6784" t="str">
            <v/>
          </cell>
          <cell r="B6784">
            <v>37831</v>
          </cell>
          <cell r="C6784" t="str">
            <v>NG</v>
          </cell>
          <cell r="D6784" t="str">
            <v>200403</v>
          </cell>
          <cell r="E6784">
            <v>5.1660000000000004</v>
          </cell>
        </row>
        <row r="6785">
          <cell r="A6785" t="str">
            <v/>
          </cell>
          <cell r="B6785">
            <v>37831</v>
          </cell>
          <cell r="C6785" t="str">
            <v>NG</v>
          </cell>
          <cell r="D6785" t="str">
            <v>200404</v>
          </cell>
          <cell r="E6785">
            <v>4.68</v>
          </cell>
        </row>
        <row r="6786">
          <cell r="A6786" t="str">
            <v/>
          </cell>
          <cell r="B6786">
            <v>37831</v>
          </cell>
          <cell r="C6786" t="str">
            <v>NG</v>
          </cell>
          <cell r="D6786" t="str">
            <v>200405</v>
          </cell>
          <cell r="E6786">
            <v>4.57</v>
          </cell>
        </row>
        <row r="6787">
          <cell r="A6787" t="str">
            <v/>
          </cell>
          <cell r="B6787">
            <v>37831</v>
          </cell>
          <cell r="C6787" t="str">
            <v>NG</v>
          </cell>
          <cell r="D6787" t="str">
            <v>200406</v>
          </cell>
          <cell r="E6787">
            <v>4.57</v>
          </cell>
        </row>
        <row r="6788">
          <cell r="A6788" t="str">
            <v/>
          </cell>
          <cell r="B6788">
            <v>37831</v>
          </cell>
          <cell r="C6788" t="str">
            <v>NG</v>
          </cell>
          <cell r="D6788" t="str">
            <v>200407</v>
          </cell>
          <cell r="E6788">
            <v>4.57</v>
          </cell>
        </row>
        <row r="6789">
          <cell r="A6789" t="str">
            <v/>
          </cell>
          <cell r="B6789">
            <v>37831</v>
          </cell>
          <cell r="C6789" t="str">
            <v>NG</v>
          </cell>
          <cell r="D6789" t="str">
            <v>200408</v>
          </cell>
          <cell r="E6789">
            <v>4.58</v>
          </cell>
        </row>
        <row r="6790">
          <cell r="A6790" t="str">
            <v/>
          </cell>
          <cell r="B6790">
            <v>37831</v>
          </cell>
          <cell r="C6790" t="str">
            <v>NG</v>
          </cell>
          <cell r="D6790" t="str">
            <v>200409</v>
          </cell>
          <cell r="E6790">
            <v>4.5540000000000003</v>
          </cell>
        </row>
        <row r="6791">
          <cell r="A6791" t="str">
            <v/>
          </cell>
          <cell r="B6791">
            <v>37831</v>
          </cell>
          <cell r="C6791" t="str">
            <v>NG</v>
          </cell>
          <cell r="D6791" t="str">
            <v>200410</v>
          </cell>
          <cell r="E6791">
            <v>4.5780000000000003</v>
          </cell>
        </row>
        <row r="6792">
          <cell r="A6792" t="str">
            <v/>
          </cell>
          <cell r="B6792">
            <v>37831</v>
          </cell>
          <cell r="C6792" t="str">
            <v>NG</v>
          </cell>
          <cell r="D6792" t="str">
            <v>200411</v>
          </cell>
          <cell r="E6792">
            <v>4.7519999999999998</v>
          </cell>
        </row>
        <row r="6793">
          <cell r="A6793" t="str">
            <v/>
          </cell>
          <cell r="B6793">
            <v>37831</v>
          </cell>
          <cell r="C6793" t="str">
            <v>NG</v>
          </cell>
          <cell r="D6793" t="str">
            <v>200412</v>
          </cell>
          <cell r="E6793">
            <v>4.9269999999999996</v>
          </cell>
        </row>
        <row r="6794">
          <cell r="A6794" t="str">
            <v/>
          </cell>
          <cell r="B6794">
            <v>37832</v>
          </cell>
          <cell r="C6794" t="str">
            <v>NG</v>
          </cell>
          <cell r="D6794" t="str">
            <v>200401</v>
          </cell>
          <cell r="E6794">
            <v>5.3029999999999999</v>
          </cell>
        </row>
        <row r="6795">
          <cell r="A6795" t="str">
            <v/>
          </cell>
          <cell r="B6795">
            <v>37832</v>
          </cell>
          <cell r="C6795" t="str">
            <v>NG</v>
          </cell>
          <cell r="D6795" t="str">
            <v>200402</v>
          </cell>
          <cell r="E6795">
            <v>5.266</v>
          </cell>
        </row>
        <row r="6796">
          <cell r="A6796" t="str">
            <v/>
          </cell>
          <cell r="B6796">
            <v>37832</v>
          </cell>
          <cell r="C6796" t="str">
            <v>NG</v>
          </cell>
          <cell r="D6796" t="str">
            <v>200403</v>
          </cell>
          <cell r="E6796">
            <v>5.1859999999999999</v>
          </cell>
        </row>
        <row r="6797">
          <cell r="A6797" t="str">
            <v/>
          </cell>
          <cell r="B6797">
            <v>37832</v>
          </cell>
          <cell r="C6797" t="str">
            <v>NG</v>
          </cell>
          <cell r="D6797" t="str">
            <v>200404</v>
          </cell>
          <cell r="E6797">
            <v>4.6909999999999998</v>
          </cell>
        </row>
        <row r="6798">
          <cell r="A6798" t="str">
            <v/>
          </cell>
          <cell r="B6798">
            <v>37832</v>
          </cell>
          <cell r="C6798" t="str">
            <v>NG</v>
          </cell>
          <cell r="D6798" t="str">
            <v>200405</v>
          </cell>
          <cell r="E6798">
            <v>4.5810000000000004</v>
          </cell>
        </row>
        <row r="6799">
          <cell r="A6799" t="str">
            <v/>
          </cell>
          <cell r="B6799">
            <v>37832</v>
          </cell>
          <cell r="C6799" t="str">
            <v>NG</v>
          </cell>
          <cell r="D6799" t="str">
            <v>200406</v>
          </cell>
          <cell r="E6799">
            <v>4.5709999999999997</v>
          </cell>
        </row>
        <row r="6800">
          <cell r="A6800" t="str">
            <v/>
          </cell>
          <cell r="B6800">
            <v>37832</v>
          </cell>
          <cell r="C6800" t="str">
            <v>NG</v>
          </cell>
          <cell r="D6800" t="str">
            <v>200407</v>
          </cell>
          <cell r="E6800">
            <v>4.5709999999999997</v>
          </cell>
        </row>
        <row r="6801">
          <cell r="A6801" t="str">
            <v/>
          </cell>
          <cell r="B6801">
            <v>37832</v>
          </cell>
          <cell r="C6801" t="str">
            <v>NG</v>
          </cell>
          <cell r="D6801" t="str">
            <v>200408</v>
          </cell>
          <cell r="E6801">
            <v>4.5810000000000004</v>
          </cell>
        </row>
        <row r="6802">
          <cell r="A6802" t="str">
            <v/>
          </cell>
          <cell r="B6802">
            <v>37832</v>
          </cell>
          <cell r="C6802" t="str">
            <v>NG</v>
          </cell>
          <cell r="D6802" t="str">
            <v>200409</v>
          </cell>
          <cell r="E6802">
            <v>4.5549999999999997</v>
          </cell>
        </row>
        <row r="6803">
          <cell r="A6803" t="str">
            <v/>
          </cell>
          <cell r="B6803">
            <v>37832</v>
          </cell>
          <cell r="C6803" t="str">
            <v>NG</v>
          </cell>
          <cell r="D6803" t="str">
            <v>200410</v>
          </cell>
          <cell r="E6803">
            <v>4.5789999999999997</v>
          </cell>
        </row>
        <row r="6804">
          <cell r="A6804" t="str">
            <v/>
          </cell>
          <cell r="B6804">
            <v>37832</v>
          </cell>
          <cell r="C6804" t="str">
            <v>NG</v>
          </cell>
          <cell r="D6804" t="str">
            <v>200411</v>
          </cell>
          <cell r="E6804">
            <v>4.7530000000000001</v>
          </cell>
        </row>
        <row r="6805">
          <cell r="A6805" t="str">
            <v/>
          </cell>
          <cell r="B6805">
            <v>37832</v>
          </cell>
          <cell r="C6805" t="str">
            <v>NG</v>
          </cell>
          <cell r="D6805" t="str">
            <v>200412</v>
          </cell>
          <cell r="E6805">
            <v>4.9279999999999999</v>
          </cell>
        </row>
        <row r="6806">
          <cell r="A6806" t="str">
            <v/>
          </cell>
          <cell r="B6806">
            <v>37833</v>
          </cell>
          <cell r="C6806" t="str">
            <v>NG</v>
          </cell>
          <cell r="D6806" t="str">
            <v>200401</v>
          </cell>
          <cell r="E6806">
            <v>5.3559999999999999</v>
          </cell>
        </row>
        <row r="6807">
          <cell r="A6807" t="str">
            <v/>
          </cell>
          <cell r="B6807">
            <v>37833</v>
          </cell>
          <cell r="C6807" t="str">
            <v>NG</v>
          </cell>
          <cell r="D6807" t="str">
            <v>200402</v>
          </cell>
          <cell r="E6807">
            <v>5.3090000000000002</v>
          </cell>
        </row>
        <row r="6808">
          <cell r="A6808" t="str">
            <v/>
          </cell>
          <cell r="B6808">
            <v>37833</v>
          </cell>
          <cell r="C6808" t="str">
            <v>NG</v>
          </cell>
          <cell r="D6808" t="str">
            <v>200403</v>
          </cell>
          <cell r="E6808">
            <v>5.2229999999999999</v>
          </cell>
        </row>
        <row r="6809">
          <cell r="A6809" t="str">
            <v/>
          </cell>
          <cell r="B6809">
            <v>37833</v>
          </cell>
          <cell r="C6809" t="str">
            <v>NG</v>
          </cell>
          <cell r="D6809" t="str">
            <v>200404</v>
          </cell>
          <cell r="E6809">
            <v>4.7309999999999999</v>
          </cell>
        </row>
        <row r="6810">
          <cell r="A6810" t="str">
            <v/>
          </cell>
          <cell r="B6810">
            <v>37833</v>
          </cell>
          <cell r="C6810" t="str">
            <v>NG</v>
          </cell>
          <cell r="D6810" t="str">
            <v>200405</v>
          </cell>
          <cell r="E6810">
            <v>4.6230000000000002</v>
          </cell>
        </row>
        <row r="6811">
          <cell r="A6811" t="str">
            <v/>
          </cell>
          <cell r="B6811">
            <v>37833</v>
          </cell>
          <cell r="C6811" t="str">
            <v>NG</v>
          </cell>
          <cell r="D6811" t="str">
            <v>200406</v>
          </cell>
          <cell r="E6811">
            <v>4.6130000000000004</v>
          </cell>
        </row>
        <row r="6812">
          <cell r="A6812" t="str">
            <v/>
          </cell>
          <cell r="B6812">
            <v>37833</v>
          </cell>
          <cell r="C6812" t="str">
            <v>NG</v>
          </cell>
          <cell r="D6812" t="str">
            <v>200407</v>
          </cell>
          <cell r="E6812">
            <v>4.6029999999999998</v>
          </cell>
        </row>
        <row r="6813">
          <cell r="A6813" t="str">
            <v/>
          </cell>
          <cell r="B6813">
            <v>37833</v>
          </cell>
          <cell r="C6813" t="str">
            <v>NG</v>
          </cell>
          <cell r="D6813" t="str">
            <v>200408</v>
          </cell>
          <cell r="E6813">
            <v>4.6130000000000004</v>
          </cell>
        </row>
        <row r="6814">
          <cell r="A6814" t="str">
            <v/>
          </cell>
          <cell r="B6814">
            <v>37833</v>
          </cell>
          <cell r="C6814" t="str">
            <v>NG</v>
          </cell>
          <cell r="D6814" t="str">
            <v>200409</v>
          </cell>
          <cell r="E6814">
            <v>4.5869999999999997</v>
          </cell>
        </row>
        <row r="6815">
          <cell r="A6815" t="str">
            <v/>
          </cell>
          <cell r="B6815">
            <v>37833</v>
          </cell>
          <cell r="C6815" t="str">
            <v>NG</v>
          </cell>
          <cell r="D6815" t="str">
            <v>200410</v>
          </cell>
          <cell r="E6815">
            <v>4.6109999999999998</v>
          </cell>
        </row>
        <row r="6816">
          <cell r="A6816" t="str">
            <v/>
          </cell>
          <cell r="B6816">
            <v>37833</v>
          </cell>
          <cell r="C6816" t="str">
            <v>NG</v>
          </cell>
          <cell r="D6816" t="str">
            <v>200411</v>
          </cell>
          <cell r="E6816">
            <v>4.7850000000000001</v>
          </cell>
        </row>
        <row r="6817">
          <cell r="A6817" t="str">
            <v/>
          </cell>
          <cell r="B6817">
            <v>37833</v>
          </cell>
          <cell r="C6817" t="str">
            <v>NG</v>
          </cell>
          <cell r="D6817" t="str">
            <v>200412</v>
          </cell>
          <cell r="E6817">
            <v>4.96</v>
          </cell>
        </row>
        <row r="6818">
          <cell r="A6818" t="str">
            <v/>
          </cell>
          <cell r="B6818">
            <v>37834</v>
          </cell>
          <cell r="C6818" t="str">
            <v>NG</v>
          </cell>
          <cell r="D6818" t="str">
            <v>200401</v>
          </cell>
          <cell r="E6818">
            <v>5.492</v>
          </cell>
        </row>
        <row r="6819">
          <cell r="A6819" t="str">
            <v/>
          </cell>
          <cell r="B6819">
            <v>37834</v>
          </cell>
          <cell r="C6819" t="str">
            <v>NG</v>
          </cell>
          <cell r="D6819" t="str">
            <v>200402</v>
          </cell>
          <cell r="E6819">
            <v>5.4370000000000003</v>
          </cell>
        </row>
        <row r="6820">
          <cell r="A6820" t="str">
            <v/>
          </cell>
          <cell r="B6820">
            <v>37834</v>
          </cell>
          <cell r="C6820" t="str">
            <v>NG</v>
          </cell>
          <cell r="D6820" t="str">
            <v>200403</v>
          </cell>
          <cell r="E6820">
            <v>5.3419999999999996</v>
          </cell>
        </row>
        <row r="6821">
          <cell r="A6821" t="str">
            <v/>
          </cell>
          <cell r="B6821">
            <v>37834</v>
          </cell>
          <cell r="C6821" t="str">
            <v>NG</v>
          </cell>
          <cell r="D6821" t="str">
            <v>200404</v>
          </cell>
          <cell r="E6821">
            <v>4.8499999999999996</v>
          </cell>
        </row>
        <row r="6822">
          <cell r="A6822" t="str">
            <v/>
          </cell>
          <cell r="B6822">
            <v>37834</v>
          </cell>
          <cell r="C6822" t="str">
            <v>NG</v>
          </cell>
          <cell r="D6822" t="str">
            <v>200405</v>
          </cell>
          <cell r="E6822">
            <v>4.74</v>
          </cell>
        </row>
        <row r="6823">
          <cell r="A6823" t="str">
            <v/>
          </cell>
          <cell r="B6823">
            <v>37834</v>
          </cell>
          <cell r="C6823" t="str">
            <v>NG</v>
          </cell>
          <cell r="D6823" t="str">
            <v>200406</v>
          </cell>
          <cell r="E6823">
            <v>4.7300000000000004</v>
          </cell>
        </row>
        <row r="6824">
          <cell r="A6824" t="str">
            <v/>
          </cell>
          <cell r="B6824">
            <v>37834</v>
          </cell>
          <cell r="C6824" t="str">
            <v>NG</v>
          </cell>
          <cell r="D6824" t="str">
            <v>200407</v>
          </cell>
          <cell r="E6824">
            <v>4.7249999999999996</v>
          </cell>
        </row>
        <row r="6825">
          <cell r="A6825" t="str">
            <v/>
          </cell>
          <cell r="B6825">
            <v>37834</v>
          </cell>
          <cell r="C6825" t="str">
            <v>NG</v>
          </cell>
          <cell r="D6825" t="str">
            <v>200408</v>
          </cell>
          <cell r="E6825">
            <v>4.7350000000000003</v>
          </cell>
        </row>
        <row r="6826">
          <cell r="A6826" t="str">
            <v/>
          </cell>
          <cell r="B6826">
            <v>37834</v>
          </cell>
          <cell r="C6826" t="str">
            <v>NG</v>
          </cell>
          <cell r="D6826" t="str">
            <v>200409</v>
          </cell>
          <cell r="E6826">
            <v>4.7089999999999996</v>
          </cell>
        </row>
        <row r="6827">
          <cell r="A6827" t="str">
            <v/>
          </cell>
          <cell r="B6827">
            <v>37834</v>
          </cell>
          <cell r="C6827" t="str">
            <v>NG</v>
          </cell>
          <cell r="D6827" t="str">
            <v>200410</v>
          </cell>
          <cell r="E6827">
            <v>4.7329999999999997</v>
          </cell>
        </row>
        <row r="6828">
          <cell r="A6828" t="str">
            <v/>
          </cell>
          <cell r="B6828">
            <v>37834</v>
          </cell>
          <cell r="C6828" t="str">
            <v>NG</v>
          </cell>
          <cell r="D6828" t="str">
            <v>200411</v>
          </cell>
          <cell r="E6828">
            <v>4.907</v>
          </cell>
        </row>
        <row r="6829">
          <cell r="A6829" t="str">
            <v/>
          </cell>
          <cell r="B6829">
            <v>37834</v>
          </cell>
          <cell r="C6829" t="str">
            <v>NG</v>
          </cell>
          <cell r="D6829" t="str">
            <v>200412</v>
          </cell>
          <cell r="E6829">
            <v>5.0819999999999999</v>
          </cell>
        </row>
        <row r="6830">
          <cell r="A6830" t="str">
            <v/>
          </cell>
          <cell r="B6830">
            <v>37835</v>
          </cell>
          <cell r="C6830" t="str">
            <v>NG</v>
          </cell>
          <cell r="D6830" t="str">
            <v>200401</v>
          </cell>
          <cell r="E6830">
            <v>5.492</v>
          </cell>
        </row>
        <row r="6831">
          <cell r="A6831" t="str">
            <v/>
          </cell>
          <cell r="B6831">
            <v>37835</v>
          </cell>
          <cell r="C6831" t="str">
            <v>NG</v>
          </cell>
          <cell r="D6831" t="str">
            <v>200402</v>
          </cell>
          <cell r="E6831">
            <v>5.4370000000000003</v>
          </cell>
        </row>
        <row r="6832">
          <cell r="A6832" t="str">
            <v/>
          </cell>
          <cell r="B6832">
            <v>37835</v>
          </cell>
          <cell r="C6832" t="str">
            <v>NG</v>
          </cell>
          <cell r="D6832" t="str">
            <v>200403</v>
          </cell>
          <cell r="E6832">
            <v>5.3419999999999996</v>
          </cell>
        </row>
        <row r="6833">
          <cell r="A6833" t="str">
            <v/>
          </cell>
          <cell r="B6833">
            <v>37835</v>
          </cell>
          <cell r="C6833" t="str">
            <v>NG</v>
          </cell>
          <cell r="D6833" t="str">
            <v>200404</v>
          </cell>
          <cell r="E6833">
            <v>4.8499999999999996</v>
          </cell>
        </row>
        <row r="6834">
          <cell r="A6834" t="str">
            <v/>
          </cell>
          <cell r="B6834">
            <v>37835</v>
          </cell>
          <cell r="C6834" t="str">
            <v>NG</v>
          </cell>
          <cell r="D6834" t="str">
            <v>200405</v>
          </cell>
          <cell r="E6834">
            <v>4.74</v>
          </cell>
        </row>
        <row r="6835">
          <cell r="A6835" t="str">
            <v/>
          </cell>
          <cell r="B6835">
            <v>37835</v>
          </cell>
          <cell r="C6835" t="str">
            <v>NG</v>
          </cell>
          <cell r="D6835" t="str">
            <v>200406</v>
          </cell>
          <cell r="E6835">
            <v>4.7300000000000004</v>
          </cell>
        </row>
        <row r="6836">
          <cell r="A6836" t="str">
            <v/>
          </cell>
          <cell r="B6836">
            <v>37835</v>
          </cell>
          <cell r="C6836" t="str">
            <v>NG</v>
          </cell>
          <cell r="D6836" t="str">
            <v>200407</v>
          </cell>
          <cell r="E6836">
            <v>4.7249999999999996</v>
          </cell>
        </row>
        <row r="6837">
          <cell r="A6837" t="str">
            <v/>
          </cell>
          <cell r="B6837">
            <v>37835</v>
          </cell>
          <cell r="C6837" t="str">
            <v>NG</v>
          </cell>
          <cell r="D6837" t="str">
            <v>200408</v>
          </cell>
          <cell r="E6837">
            <v>4.7350000000000003</v>
          </cell>
        </row>
        <row r="6838">
          <cell r="A6838" t="str">
            <v/>
          </cell>
          <cell r="B6838">
            <v>37835</v>
          </cell>
          <cell r="C6838" t="str">
            <v>NG</v>
          </cell>
          <cell r="D6838" t="str">
            <v>200409</v>
          </cell>
          <cell r="E6838">
            <v>4.7089999999999996</v>
          </cell>
        </row>
        <row r="6839">
          <cell r="A6839" t="str">
            <v/>
          </cell>
          <cell r="B6839">
            <v>37835</v>
          </cell>
          <cell r="C6839" t="str">
            <v>NG</v>
          </cell>
          <cell r="D6839" t="str">
            <v>200410</v>
          </cell>
          <cell r="E6839">
            <v>4.7329999999999997</v>
          </cell>
        </row>
        <row r="6840">
          <cell r="A6840" t="str">
            <v/>
          </cell>
          <cell r="B6840">
            <v>37835</v>
          </cell>
          <cell r="C6840" t="str">
            <v>NG</v>
          </cell>
          <cell r="D6840" t="str">
            <v>200411</v>
          </cell>
          <cell r="E6840">
            <v>4.907</v>
          </cell>
        </row>
        <row r="6841">
          <cell r="A6841" t="str">
            <v/>
          </cell>
          <cell r="B6841">
            <v>37835</v>
          </cell>
          <cell r="C6841" t="str">
            <v>NG</v>
          </cell>
          <cell r="D6841" t="str">
            <v>200412</v>
          </cell>
          <cell r="E6841">
            <v>5.0819999999999999</v>
          </cell>
        </row>
        <row r="6842">
          <cell r="A6842" t="str">
            <v/>
          </cell>
          <cell r="B6842">
            <v>37836</v>
          </cell>
          <cell r="C6842" t="str">
            <v>NG</v>
          </cell>
          <cell r="D6842" t="str">
            <v>200401</v>
          </cell>
          <cell r="E6842">
            <v>5.492</v>
          </cell>
        </row>
        <row r="6843">
          <cell r="A6843" t="str">
            <v/>
          </cell>
          <cell r="B6843">
            <v>37836</v>
          </cell>
          <cell r="C6843" t="str">
            <v>NG</v>
          </cell>
          <cell r="D6843" t="str">
            <v>200402</v>
          </cell>
          <cell r="E6843">
            <v>5.4370000000000003</v>
          </cell>
        </row>
        <row r="6844">
          <cell r="A6844" t="str">
            <v/>
          </cell>
          <cell r="B6844">
            <v>37836</v>
          </cell>
          <cell r="C6844" t="str">
            <v>NG</v>
          </cell>
          <cell r="D6844" t="str">
            <v>200403</v>
          </cell>
          <cell r="E6844">
            <v>5.3419999999999996</v>
          </cell>
        </row>
        <row r="6845">
          <cell r="A6845" t="str">
            <v/>
          </cell>
          <cell r="B6845">
            <v>37836</v>
          </cell>
          <cell r="C6845" t="str">
            <v>NG</v>
          </cell>
          <cell r="D6845" t="str">
            <v>200404</v>
          </cell>
          <cell r="E6845">
            <v>4.8499999999999996</v>
          </cell>
        </row>
        <row r="6846">
          <cell r="A6846" t="str">
            <v/>
          </cell>
          <cell r="B6846">
            <v>37836</v>
          </cell>
          <cell r="C6846" t="str">
            <v>NG</v>
          </cell>
          <cell r="D6846" t="str">
            <v>200405</v>
          </cell>
          <cell r="E6846">
            <v>4.74</v>
          </cell>
        </row>
        <row r="6847">
          <cell r="A6847" t="str">
            <v/>
          </cell>
          <cell r="B6847">
            <v>37836</v>
          </cell>
          <cell r="C6847" t="str">
            <v>NG</v>
          </cell>
          <cell r="D6847" t="str">
            <v>200406</v>
          </cell>
          <cell r="E6847">
            <v>4.7300000000000004</v>
          </cell>
        </row>
        <row r="6848">
          <cell r="A6848" t="str">
            <v/>
          </cell>
          <cell r="B6848">
            <v>37836</v>
          </cell>
          <cell r="C6848" t="str">
            <v>NG</v>
          </cell>
          <cell r="D6848" t="str">
            <v>200407</v>
          </cell>
          <cell r="E6848">
            <v>4.7249999999999996</v>
          </cell>
        </row>
        <row r="6849">
          <cell r="A6849" t="str">
            <v/>
          </cell>
          <cell r="B6849">
            <v>37836</v>
          </cell>
          <cell r="C6849" t="str">
            <v>NG</v>
          </cell>
          <cell r="D6849" t="str">
            <v>200408</v>
          </cell>
          <cell r="E6849">
            <v>4.7350000000000003</v>
          </cell>
        </row>
        <row r="6850">
          <cell r="A6850" t="str">
            <v/>
          </cell>
          <cell r="B6850">
            <v>37836</v>
          </cell>
          <cell r="C6850" t="str">
            <v>NG</v>
          </cell>
          <cell r="D6850" t="str">
            <v>200409</v>
          </cell>
          <cell r="E6850">
            <v>4.7089999999999996</v>
          </cell>
        </row>
        <row r="6851">
          <cell r="A6851" t="str">
            <v/>
          </cell>
          <cell r="B6851">
            <v>37836</v>
          </cell>
          <cell r="C6851" t="str">
            <v>NG</v>
          </cell>
          <cell r="D6851" t="str">
            <v>200410</v>
          </cell>
          <cell r="E6851">
            <v>4.7329999999999997</v>
          </cell>
        </row>
        <row r="6852">
          <cell r="A6852" t="str">
            <v/>
          </cell>
          <cell r="B6852">
            <v>37836</v>
          </cell>
          <cell r="C6852" t="str">
            <v>NG</v>
          </cell>
          <cell r="D6852" t="str">
            <v>200411</v>
          </cell>
          <cell r="E6852">
            <v>4.907</v>
          </cell>
        </row>
        <row r="6853">
          <cell r="A6853" t="str">
            <v/>
          </cell>
          <cell r="B6853">
            <v>37836</v>
          </cell>
          <cell r="C6853" t="str">
            <v>NG</v>
          </cell>
          <cell r="D6853" t="str">
            <v>200412</v>
          </cell>
          <cell r="E6853">
            <v>5.0819999999999999</v>
          </cell>
        </row>
        <row r="6854">
          <cell r="A6854" t="str">
            <v/>
          </cell>
          <cell r="B6854">
            <v>37837</v>
          </cell>
          <cell r="C6854" t="str">
            <v>NG</v>
          </cell>
          <cell r="D6854" t="str">
            <v>200401</v>
          </cell>
          <cell r="E6854">
            <v>5.2850000000000001</v>
          </cell>
        </row>
        <row r="6855">
          <cell r="A6855" t="str">
            <v/>
          </cell>
          <cell r="B6855">
            <v>37837</v>
          </cell>
          <cell r="C6855" t="str">
            <v>NG</v>
          </cell>
          <cell r="D6855" t="str">
            <v>200402</v>
          </cell>
          <cell r="E6855">
            <v>5.2350000000000003</v>
          </cell>
        </row>
        <row r="6856">
          <cell r="A6856" t="str">
            <v/>
          </cell>
          <cell r="B6856">
            <v>37837</v>
          </cell>
          <cell r="C6856" t="str">
            <v>NG</v>
          </cell>
          <cell r="D6856" t="str">
            <v>200403</v>
          </cell>
          <cell r="E6856">
            <v>5.1449999999999996</v>
          </cell>
        </row>
        <row r="6857">
          <cell r="A6857" t="str">
            <v/>
          </cell>
          <cell r="B6857">
            <v>37837</v>
          </cell>
          <cell r="C6857" t="str">
            <v>NG</v>
          </cell>
          <cell r="D6857" t="str">
            <v>200404</v>
          </cell>
          <cell r="E6857">
            <v>4.6929999999999996</v>
          </cell>
        </row>
        <row r="6858">
          <cell r="A6858" t="str">
            <v/>
          </cell>
          <cell r="B6858">
            <v>37837</v>
          </cell>
          <cell r="C6858" t="str">
            <v>NG</v>
          </cell>
          <cell r="D6858" t="str">
            <v>200405</v>
          </cell>
          <cell r="E6858">
            <v>4.5830000000000002</v>
          </cell>
        </row>
        <row r="6859">
          <cell r="A6859" t="str">
            <v/>
          </cell>
          <cell r="B6859">
            <v>37837</v>
          </cell>
          <cell r="C6859" t="str">
            <v>NG</v>
          </cell>
          <cell r="D6859" t="str">
            <v>200406</v>
          </cell>
          <cell r="E6859">
            <v>4.5830000000000002</v>
          </cell>
        </row>
        <row r="6860">
          <cell r="A6860" t="str">
            <v/>
          </cell>
          <cell r="B6860">
            <v>37837</v>
          </cell>
          <cell r="C6860" t="str">
            <v>NG</v>
          </cell>
          <cell r="D6860" t="str">
            <v>200407</v>
          </cell>
          <cell r="E6860">
            <v>4.5780000000000003</v>
          </cell>
        </row>
        <row r="6861">
          <cell r="A6861" t="str">
            <v/>
          </cell>
          <cell r="B6861">
            <v>37837</v>
          </cell>
          <cell r="C6861" t="str">
            <v>NG</v>
          </cell>
          <cell r="D6861" t="str">
            <v>200408</v>
          </cell>
          <cell r="E6861">
            <v>4.5880000000000001</v>
          </cell>
        </row>
        <row r="6862">
          <cell r="A6862" t="str">
            <v/>
          </cell>
          <cell r="B6862">
            <v>37837</v>
          </cell>
          <cell r="C6862" t="str">
            <v>NG</v>
          </cell>
          <cell r="D6862" t="str">
            <v>200409</v>
          </cell>
          <cell r="E6862">
            <v>4.5679999999999996</v>
          </cell>
        </row>
        <row r="6863">
          <cell r="A6863" t="str">
            <v/>
          </cell>
          <cell r="B6863">
            <v>37837</v>
          </cell>
          <cell r="C6863" t="str">
            <v>NG</v>
          </cell>
          <cell r="D6863" t="str">
            <v>200410</v>
          </cell>
          <cell r="E6863">
            <v>4.5979999999999999</v>
          </cell>
        </row>
        <row r="6864">
          <cell r="A6864" t="str">
            <v/>
          </cell>
          <cell r="B6864">
            <v>37837</v>
          </cell>
          <cell r="C6864" t="str">
            <v>NG</v>
          </cell>
          <cell r="D6864" t="str">
            <v>200411</v>
          </cell>
          <cell r="E6864">
            <v>4.782</v>
          </cell>
        </row>
        <row r="6865">
          <cell r="A6865" t="str">
            <v/>
          </cell>
          <cell r="B6865">
            <v>37837</v>
          </cell>
          <cell r="C6865" t="str">
            <v>NG</v>
          </cell>
          <cell r="D6865" t="str">
            <v>200412</v>
          </cell>
          <cell r="E6865">
            <v>4.9669999999999996</v>
          </cell>
        </row>
        <row r="6866">
          <cell r="A6866" t="str">
            <v/>
          </cell>
          <cell r="B6866">
            <v>37838</v>
          </cell>
          <cell r="C6866" t="str">
            <v>NG</v>
          </cell>
          <cell r="D6866" t="str">
            <v>200401</v>
          </cell>
          <cell r="E6866">
            <v>5.34</v>
          </cell>
        </row>
        <row r="6867">
          <cell r="A6867" t="str">
            <v/>
          </cell>
          <cell r="B6867">
            <v>37838</v>
          </cell>
          <cell r="C6867" t="str">
            <v>NG</v>
          </cell>
          <cell r="D6867" t="str">
            <v>200402</v>
          </cell>
          <cell r="E6867">
            <v>5.29</v>
          </cell>
        </row>
        <row r="6868">
          <cell r="A6868" t="str">
            <v/>
          </cell>
          <cell r="B6868">
            <v>37838</v>
          </cell>
          <cell r="C6868" t="str">
            <v>NG</v>
          </cell>
          <cell r="D6868" t="str">
            <v>200403</v>
          </cell>
          <cell r="E6868">
            <v>5.19</v>
          </cell>
        </row>
        <row r="6869">
          <cell r="A6869" t="str">
            <v/>
          </cell>
          <cell r="B6869">
            <v>37838</v>
          </cell>
          <cell r="C6869" t="str">
            <v>NG</v>
          </cell>
          <cell r="D6869" t="str">
            <v>200404</v>
          </cell>
          <cell r="E6869">
            <v>4.7750000000000004</v>
          </cell>
        </row>
        <row r="6870">
          <cell r="A6870" t="str">
            <v/>
          </cell>
          <cell r="B6870">
            <v>37838</v>
          </cell>
          <cell r="C6870" t="str">
            <v>NG</v>
          </cell>
          <cell r="D6870" t="str">
            <v>200405</v>
          </cell>
          <cell r="E6870">
            <v>4.67</v>
          </cell>
        </row>
        <row r="6871">
          <cell r="A6871" t="str">
            <v/>
          </cell>
          <cell r="B6871">
            <v>37838</v>
          </cell>
          <cell r="C6871" t="str">
            <v>NG</v>
          </cell>
          <cell r="D6871" t="str">
            <v>200406</v>
          </cell>
          <cell r="E6871">
            <v>4.6749999999999998</v>
          </cell>
        </row>
        <row r="6872">
          <cell r="A6872" t="str">
            <v/>
          </cell>
          <cell r="B6872">
            <v>37838</v>
          </cell>
          <cell r="C6872" t="str">
            <v>NG</v>
          </cell>
          <cell r="D6872" t="str">
            <v>200407</v>
          </cell>
          <cell r="E6872">
            <v>4.6749999999999998</v>
          </cell>
        </row>
        <row r="6873">
          <cell r="A6873" t="str">
            <v/>
          </cell>
          <cell r="B6873">
            <v>37838</v>
          </cell>
          <cell r="C6873" t="str">
            <v>NG</v>
          </cell>
          <cell r="D6873" t="str">
            <v>200408</v>
          </cell>
          <cell r="E6873">
            <v>4.6849999999999996</v>
          </cell>
        </row>
        <row r="6874">
          <cell r="A6874" t="str">
            <v/>
          </cell>
          <cell r="B6874">
            <v>37838</v>
          </cell>
          <cell r="C6874" t="str">
            <v>NG</v>
          </cell>
          <cell r="D6874" t="str">
            <v>200409</v>
          </cell>
          <cell r="E6874">
            <v>4.66</v>
          </cell>
        </row>
        <row r="6875">
          <cell r="A6875" t="str">
            <v/>
          </cell>
          <cell r="B6875">
            <v>37838</v>
          </cell>
          <cell r="C6875" t="str">
            <v>NG</v>
          </cell>
          <cell r="D6875" t="str">
            <v>200410</v>
          </cell>
          <cell r="E6875">
            <v>4.6849999999999996</v>
          </cell>
        </row>
        <row r="6876">
          <cell r="A6876" t="str">
            <v/>
          </cell>
          <cell r="B6876">
            <v>37838</v>
          </cell>
          <cell r="C6876" t="str">
            <v>NG</v>
          </cell>
          <cell r="D6876" t="str">
            <v>200411</v>
          </cell>
          <cell r="E6876">
            <v>4.875</v>
          </cell>
        </row>
        <row r="6877">
          <cell r="A6877" t="str">
            <v/>
          </cell>
          <cell r="B6877">
            <v>37838</v>
          </cell>
          <cell r="C6877" t="str">
            <v>NG</v>
          </cell>
          <cell r="D6877" t="str">
            <v>200412</v>
          </cell>
          <cell r="E6877">
            <v>5.05</v>
          </cell>
        </row>
        <row r="6878">
          <cell r="A6878" t="str">
            <v/>
          </cell>
          <cell r="B6878">
            <v>37839</v>
          </cell>
          <cell r="C6878" t="str">
            <v>NG</v>
          </cell>
          <cell r="D6878" t="str">
            <v>200401</v>
          </cell>
          <cell r="E6878">
            <v>5.3979999999999997</v>
          </cell>
        </row>
        <row r="6879">
          <cell r="A6879" t="str">
            <v/>
          </cell>
          <cell r="B6879">
            <v>37839</v>
          </cell>
          <cell r="C6879" t="str">
            <v>NG</v>
          </cell>
          <cell r="D6879" t="str">
            <v>200402</v>
          </cell>
          <cell r="E6879">
            <v>5.343</v>
          </cell>
        </row>
        <row r="6880">
          <cell r="A6880" t="str">
            <v/>
          </cell>
          <cell r="B6880">
            <v>37839</v>
          </cell>
          <cell r="C6880" t="str">
            <v>NG</v>
          </cell>
          <cell r="D6880" t="str">
            <v>200403</v>
          </cell>
          <cell r="E6880">
            <v>5.2380000000000004</v>
          </cell>
        </row>
        <row r="6881">
          <cell r="A6881" t="str">
            <v/>
          </cell>
          <cell r="B6881">
            <v>37839</v>
          </cell>
          <cell r="C6881" t="str">
            <v>NG</v>
          </cell>
          <cell r="D6881" t="str">
            <v>200404</v>
          </cell>
          <cell r="E6881">
            <v>4.8230000000000004</v>
          </cell>
        </row>
        <row r="6882">
          <cell r="A6882" t="str">
            <v/>
          </cell>
          <cell r="B6882">
            <v>37839</v>
          </cell>
          <cell r="C6882" t="str">
            <v>NG</v>
          </cell>
          <cell r="D6882" t="str">
            <v>200405</v>
          </cell>
          <cell r="E6882">
            <v>4.7229999999999999</v>
          </cell>
        </row>
        <row r="6883">
          <cell r="A6883" t="str">
            <v/>
          </cell>
          <cell r="B6883">
            <v>37839</v>
          </cell>
          <cell r="C6883" t="str">
            <v>NG</v>
          </cell>
          <cell r="D6883" t="str">
            <v>200406</v>
          </cell>
          <cell r="E6883">
            <v>4.7279999999999998</v>
          </cell>
        </row>
        <row r="6884">
          <cell r="A6884" t="str">
            <v/>
          </cell>
          <cell r="B6884">
            <v>37839</v>
          </cell>
          <cell r="C6884" t="str">
            <v>NG</v>
          </cell>
          <cell r="D6884" t="str">
            <v>200407</v>
          </cell>
          <cell r="E6884">
            <v>4.7279999999999998</v>
          </cell>
        </row>
        <row r="6885">
          <cell r="A6885" t="str">
            <v/>
          </cell>
          <cell r="B6885">
            <v>37839</v>
          </cell>
          <cell r="C6885" t="str">
            <v>NG</v>
          </cell>
          <cell r="D6885" t="str">
            <v>200408</v>
          </cell>
          <cell r="E6885">
            <v>4.7380000000000004</v>
          </cell>
        </row>
        <row r="6886">
          <cell r="A6886" t="str">
            <v/>
          </cell>
          <cell r="B6886">
            <v>37839</v>
          </cell>
          <cell r="C6886" t="str">
            <v>NG</v>
          </cell>
          <cell r="D6886" t="str">
            <v>200409</v>
          </cell>
          <cell r="E6886">
            <v>4.7130000000000001</v>
          </cell>
        </row>
        <row r="6887">
          <cell r="A6887" t="str">
            <v/>
          </cell>
          <cell r="B6887">
            <v>37839</v>
          </cell>
          <cell r="C6887" t="str">
            <v>NG</v>
          </cell>
          <cell r="D6887" t="str">
            <v>200410</v>
          </cell>
          <cell r="E6887">
            <v>4.7380000000000004</v>
          </cell>
        </row>
        <row r="6888">
          <cell r="A6888" t="str">
            <v/>
          </cell>
          <cell r="B6888">
            <v>37839</v>
          </cell>
          <cell r="C6888" t="str">
            <v>NG</v>
          </cell>
          <cell r="D6888" t="str">
            <v>200411</v>
          </cell>
          <cell r="E6888">
            <v>4.9080000000000004</v>
          </cell>
        </row>
        <row r="6889">
          <cell r="A6889" t="str">
            <v/>
          </cell>
          <cell r="B6889">
            <v>37839</v>
          </cell>
          <cell r="C6889" t="str">
            <v>NG</v>
          </cell>
          <cell r="D6889" t="str">
            <v>200412</v>
          </cell>
          <cell r="E6889">
            <v>5.093</v>
          </cell>
        </row>
        <row r="6890">
          <cell r="A6890" t="str">
            <v/>
          </cell>
          <cell r="B6890">
            <v>37840</v>
          </cell>
          <cell r="C6890" t="str">
            <v>NG</v>
          </cell>
          <cell r="D6890" t="str">
            <v>200401</v>
          </cell>
          <cell r="E6890">
            <v>5.6879999999999997</v>
          </cell>
        </row>
        <row r="6891">
          <cell r="A6891" t="str">
            <v/>
          </cell>
          <cell r="B6891">
            <v>37840</v>
          </cell>
          <cell r="C6891" t="str">
            <v>NG</v>
          </cell>
          <cell r="D6891" t="str">
            <v>200402</v>
          </cell>
          <cell r="E6891">
            <v>5.601</v>
          </cell>
        </row>
        <row r="6892">
          <cell r="A6892" t="str">
            <v/>
          </cell>
          <cell r="B6892">
            <v>37840</v>
          </cell>
          <cell r="C6892" t="str">
            <v>NG</v>
          </cell>
          <cell r="D6892" t="str">
            <v>200403</v>
          </cell>
          <cell r="E6892">
            <v>5.476</v>
          </cell>
        </row>
        <row r="6893">
          <cell r="A6893" t="str">
            <v/>
          </cell>
          <cell r="B6893">
            <v>37840</v>
          </cell>
          <cell r="C6893" t="str">
            <v>NG</v>
          </cell>
          <cell r="D6893" t="str">
            <v>200404</v>
          </cell>
          <cell r="E6893">
            <v>4.976</v>
          </cell>
        </row>
        <row r="6894">
          <cell r="A6894" t="str">
            <v/>
          </cell>
          <cell r="B6894">
            <v>37840</v>
          </cell>
          <cell r="C6894" t="str">
            <v>NG</v>
          </cell>
          <cell r="D6894" t="str">
            <v>200405</v>
          </cell>
          <cell r="E6894">
            <v>4.8689999999999998</v>
          </cell>
        </row>
        <row r="6895">
          <cell r="A6895" t="str">
            <v/>
          </cell>
          <cell r="B6895">
            <v>37840</v>
          </cell>
          <cell r="C6895" t="str">
            <v>NG</v>
          </cell>
          <cell r="D6895" t="str">
            <v>200406</v>
          </cell>
          <cell r="E6895">
            <v>4.8689999999999998</v>
          </cell>
        </row>
        <row r="6896">
          <cell r="A6896" t="str">
            <v/>
          </cell>
          <cell r="B6896">
            <v>37840</v>
          </cell>
          <cell r="C6896" t="str">
            <v>NG</v>
          </cell>
          <cell r="D6896" t="str">
            <v>200407</v>
          </cell>
          <cell r="E6896">
            <v>4.8639999999999999</v>
          </cell>
        </row>
        <row r="6897">
          <cell r="A6897" t="str">
            <v/>
          </cell>
          <cell r="B6897">
            <v>37840</v>
          </cell>
          <cell r="C6897" t="str">
            <v>NG</v>
          </cell>
          <cell r="D6897" t="str">
            <v>200408</v>
          </cell>
          <cell r="E6897">
            <v>4.8739999999999997</v>
          </cell>
        </row>
        <row r="6898">
          <cell r="A6898" t="str">
            <v/>
          </cell>
          <cell r="B6898">
            <v>37840</v>
          </cell>
          <cell r="C6898" t="str">
            <v>NG</v>
          </cell>
          <cell r="D6898" t="str">
            <v>200409</v>
          </cell>
          <cell r="E6898">
            <v>4.8490000000000002</v>
          </cell>
        </row>
        <row r="6899">
          <cell r="A6899" t="str">
            <v/>
          </cell>
          <cell r="B6899">
            <v>37840</v>
          </cell>
          <cell r="C6899" t="str">
            <v>NG</v>
          </cell>
          <cell r="D6899" t="str">
            <v>200410</v>
          </cell>
          <cell r="E6899">
            <v>4.8639999999999999</v>
          </cell>
        </row>
        <row r="6900">
          <cell r="A6900" t="str">
            <v/>
          </cell>
          <cell r="B6900">
            <v>37840</v>
          </cell>
          <cell r="C6900" t="str">
            <v>NG</v>
          </cell>
          <cell r="D6900" t="str">
            <v>200411</v>
          </cell>
          <cell r="E6900">
            <v>5.0339999999999998</v>
          </cell>
        </row>
        <row r="6901">
          <cell r="A6901" t="str">
            <v/>
          </cell>
          <cell r="B6901">
            <v>37840</v>
          </cell>
          <cell r="C6901" t="str">
            <v>NG</v>
          </cell>
          <cell r="D6901" t="str">
            <v>200412</v>
          </cell>
          <cell r="E6901">
            <v>5.2140000000000004</v>
          </cell>
        </row>
        <row r="6902">
          <cell r="A6902" t="str">
            <v/>
          </cell>
          <cell r="B6902">
            <v>37841</v>
          </cell>
          <cell r="C6902" t="str">
            <v>NG</v>
          </cell>
          <cell r="D6902" t="str">
            <v>200401</v>
          </cell>
          <cell r="E6902">
            <v>5.649</v>
          </cell>
        </row>
        <row r="6903">
          <cell r="A6903" t="str">
            <v/>
          </cell>
          <cell r="B6903">
            <v>37841</v>
          </cell>
          <cell r="C6903" t="str">
            <v>NG</v>
          </cell>
          <cell r="D6903" t="str">
            <v>200402</v>
          </cell>
          <cell r="E6903">
            <v>5.5640000000000001</v>
          </cell>
        </row>
        <row r="6904">
          <cell r="A6904" t="str">
            <v/>
          </cell>
          <cell r="B6904">
            <v>37841</v>
          </cell>
          <cell r="C6904" t="str">
            <v>NG</v>
          </cell>
          <cell r="D6904" t="str">
            <v>200403</v>
          </cell>
          <cell r="E6904">
            <v>5.4390000000000001</v>
          </cell>
        </row>
        <row r="6905">
          <cell r="A6905" t="str">
            <v/>
          </cell>
          <cell r="B6905">
            <v>37841</v>
          </cell>
          <cell r="C6905" t="str">
            <v>NG</v>
          </cell>
          <cell r="D6905" t="str">
            <v>200404</v>
          </cell>
          <cell r="E6905">
            <v>4.9539999999999997</v>
          </cell>
        </row>
        <row r="6906">
          <cell r="A6906" t="str">
            <v/>
          </cell>
          <cell r="B6906">
            <v>37841</v>
          </cell>
          <cell r="C6906" t="str">
            <v>NG</v>
          </cell>
          <cell r="D6906" t="str">
            <v>200405</v>
          </cell>
          <cell r="E6906">
            <v>4.8499999999999996</v>
          </cell>
        </row>
        <row r="6907">
          <cell r="A6907" t="str">
            <v/>
          </cell>
          <cell r="B6907">
            <v>37841</v>
          </cell>
          <cell r="C6907" t="str">
            <v>NG</v>
          </cell>
          <cell r="D6907" t="str">
            <v>200406</v>
          </cell>
          <cell r="E6907">
            <v>4.8499999999999996</v>
          </cell>
        </row>
        <row r="6908">
          <cell r="A6908" t="str">
            <v/>
          </cell>
          <cell r="B6908">
            <v>37841</v>
          </cell>
          <cell r="C6908" t="str">
            <v>NG</v>
          </cell>
          <cell r="D6908" t="str">
            <v>200407</v>
          </cell>
          <cell r="E6908">
            <v>4.8499999999999996</v>
          </cell>
        </row>
        <row r="6909">
          <cell r="A6909" t="str">
            <v/>
          </cell>
          <cell r="B6909">
            <v>37841</v>
          </cell>
          <cell r="C6909" t="str">
            <v>NG</v>
          </cell>
          <cell r="D6909" t="str">
            <v>200408</v>
          </cell>
          <cell r="E6909">
            <v>4.8600000000000003</v>
          </cell>
        </row>
        <row r="6910">
          <cell r="A6910" t="str">
            <v/>
          </cell>
          <cell r="B6910">
            <v>37841</v>
          </cell>
          <cell r="C6910" t="str">
            <v>NG</v>
          </cell>
          <cell r="D6910" t="str">
            <v>200409</v>
          </cell>
          <cell r="E6910">
            <v>4.835</v>
          </cell>
        </row>
        <row r="6911">
          <cell r="A6911" t="str">
            <v/>
          </cell>
          <cell r="B6911">
            <v>37841</v>
          </cell>
          <cell r="C6911" t="str">
            <v>NG</v>
          </cell>
          <cell r="D6911" t="str">
            <v>200410</v>
          </cell>
          <cell r="E6911">
            <v>4.8550000000000004</v>
          </cell>
        </row>
        <row r="6912">
          <cell r="A6912" t="str">
            <v/>
          </cell>
          <cell r="B6912">
            <v>37841</v>
          </cell>
          <cell r="C6912" t="str">
            <v>NG</v>
          </cell>
          <cell r="D6912" t="str">
            <v>200411</v>
          </cell>
          <cell r="E6912">
            <v>5.0250000000000004</v>
          </cell>
        </row>
        <row r="6913">
          <cell r="A6913" t="str">
            <v/>
          </cell>
          <cell r="B6913">
            <v>37841</v>
          </cell>
          <cell r="C6913" t="str">
            <v>NG</v>
          </cell>
          <cell r="D6913" t="str">
            <v>200412</v>
          </cell>
          <cell r="E6913">
            <v>5.2050000000000001</v>
          </cell>
        </row>
        <row r="6914">
          <cell r="A6914" t="str">
            <v/>
          </cell>
          <cell r="B6914">
            <v>37842</v>
          </cell>
          <cell r="C6914" t="str">
            <v>NG</v>
          </cell>
          <cell r="D6914" t="str">
            <v>200401</v>
          </cell>
          <cell r="E6914">
            <v>5.649</v>
          </cell>
        </row>
        <row r="6915">
          <cell r="A6915" t="str">
            <v/>
          </cell>
          <cell r="B6915">
            <v>37842</v>
          </cell>
          <cell r="C6915" t="str">
            <v>NG</v>
          </cell>
          <cell r="D6915" t="str">
            <v>200402</v>
          </cell>
          <cell r="E6915">
            <v>5.5640000000000001</v>
          </cell>
        </row>
        <row r="6916">
          <cell r="A6916" t="str">
            <v/>
          </cell>
          <cell r="B6916">
            <v>37842</v>
          </cell>
          <cell r="C6916" t="str">
            <v>NG</v>
          </cell>
          <cell r="D6916" t="str">
            <v>200403</v>
          </cell>
          <cell r="E6916">
            <v>5.4390000000000001</v>
          </cell>
        </row>
        <row r="6917">
          <cell r="A6917" t="str">
            <v/>
          </cell>
          <cell r="B6917">
            <v>37842</v>
          </cell>
          <cell r="C6917" t="str">
            <v>NG</v>
          </cell>
          <cell r="D6917" t="str">
            <v>200404</v>
          </cell>
          <cell r="E6917">
            <v>4.9539999999999997</v>
          </cell>
        </row>
        <row r="6918">
          <cell r="A6918" t="str">
            <v/>
          </cell>
          <cell r="B6918">
            <v>37842</v>
          </cell>
          <cell r="C6918" t="str">
            <v>NG</v>
          </cell>
          <cell r="D6918" t="str">
            <v>200405</v>
          </cell>
          <cell r="E6918">
            <v>4.8499999999999996</v>
          </cell>
        </row>
        <row r="6919">
          <cell r="A6919" t="str">
            <v/>
          </cell>
          <cell r="B6919">
            <v>37842</v>
          </cell>
          <cell r="C6919" t="str">
            <v>NG</v>
          </cell>
          <cell r="D6919" t="str">
            <v>200406</v>
          </cell>
          <cell r="E6919">
            <v>4.8499999999999996</v>
          </cell>
        </row>
        <row r="6920">
          <cell r="A6920" t="str">
            <v/>
          </cell>
          <cell r="B6920">
            <v>37842</v>
          </cell>
          <cell r="C6920" t="str">
            <v>NG</v>
          </cell>
          <cell r="D6920" t="str">
            <v>200407</v>
          </cell>
          <cell r="E6920">
            <v>4.8499999999999996</v>
          </cell>
        </row>
        <row r="6921">
          <cell r="A6921" t="str">
            <v/>
          </cell>
          <cell r="B6921">
            <v>37842</v>
          </cell>
          <cell r="C6921" t="str">
            <v>NG</v>
          </cell>
          <cell r="D6921" t="str">
            <v>200408</v>
          </cell>
          <cell r="E6921">
            <v>4.8600000000000003</v>
          </cell>
        </row>
        <row r="6922">
          <cell r="A6922" t="str">
            <v/>
          </cell>
          <cell r="B6922">
            <v>37842</v>
          </cell>
          <cell r="C6922" t="str">
            <v>NG</v>
          </cell>
          <cell r="D6922" t="str">
            <v>200409</v>
          </cell>
          <cell r="E6922">
            <v>4.835</v>
          </cell>
        </row>
        <row r="6923">
          <cell r="A6923" t="str">
            <v/>
          </cell>
          <cell r="B6923">
            <v>37842</v>
          </cell>
          <cell r="C6923" t="str">
            <v>NG</v>
          </cell>
          <cell r="D6923" t="str">
            <v>200410</v>
          </cell>
          <cell r="E6923">
            <v>4.8550000000000004</v>
          </cell>
        </row>
        <row r="6924">
          <cell r="A6924" t="str">
            <v/>
          </cell>
          <cell r="B6924">
            <v>37842</v>
          </cell>
          <cell r="C6924" t="str">
            <v>NG</v>
          </cell>
          <cell r="D6924" t="str">
            <v>200411</v>
          </cell>
          <cell r="E6924">
            <v>5.0250000000000004</v>
          </cell>
        </row>
        <row r="6925">
          <cell r="A6925" t="str">
            <v/>
          </cell>
          <cell r="B6925">
            <v>37842</v>
          </cell>
          <cell r="C6925" t="str">
            <v>NG</v>
          </cell>
          <cell r="D6925" t="str">
            <v>200412</v>
          </cell>
          <cell r="E6925">
            <v>5.2050000000000001</v>
          </cell>
        </row>
        <row r="6926">
          <cell r="A6926" t="str">
            <v/>
          </cell>
          <cell r="B6926">
            <v>37843</v>
          </cell>
          <cell r="C6926" t="str">
            <v>NG</v>
          </cell>
          <cell r="D6926" t="str">
            <v>200401</v>
          </cell>
          <cell r="E6926">
            <v>5.649</v>
          </cell>
        </row>
        <row r="6927">
          <cell r="A6927" t="str">
            <v/>
          </cell>
          <cell r="B6927">
            <v>37843</v>
          </cell>
          <cell r="C6927" t="str">
            <v>NG</v>
          </cell>
          <cell r="D6927" t="str">
            <v>200402</v>
          </cell>
          <cell r="E6927">
            <v>5.5640000000000001</v>
          </cell>
        </row>
        <row r="6928">
          <cell r="A6928" t="str">
            <v/>
          </cell>
          <cell r="B6928">
            <v>37843</v>
          </cell>
          <cell r="C6928" t="str">
            <v>NG</v>
          </cell>
          <cell r="D6928" t="str">
            <v>200403</v>
          </cell>
          <cell r="E6928">
            <v>5.4390000000000001</v>
          </cell>
        </row>
        <row r="6929">
          <cell r="A6929" t="str">
            <v/>
          </cell>
          <cell r="B6929">
            <v>37843</v>
          </cell>
          <cell r="C6929" t="str">
            <v>NG</v>
          </cell>
          <cell r="D6929" t="str">
            <v>200404</v>
          </cell>
          <cell r="E6929">
            <v>4.9539999999999997</v>
          </cell>
        </row>
        <row r="6930">
          <cell r="A6930" t="str">
            <v/>
          </cell>
          <cell r="B6930">
            <v>37843</v>
          </cell>
          <cell r="C6930" t="str">
            <v>NG</v>
          </cell>
          <cell r="D6930" t="str">
            <v>200405</v>
          </cell>
          <cell r="E6930">
            <v>4.8499999999999996</v>
          </cell>
        </row>
        <row r="6931">
          <cell r="A6931" t="str">
            <v/>
          </cell>
          <cell r="B6931">
            <v>37843</v>
          </cell>
          <cell r="C6931" t="str">
            <v>NG</v>
          </cell>
          <cell r="D6931" t="str">
            <v>200406</v>
          </cell>
          <cell r="E6931">
            <v>4.8499999999999996</v>
          </cell>
        </row>
        <row r="6932">
          <cell r="A6932" t="str">
            <v/>
          </cell>
          <cell r="B6932">
            <v>37843</v>
          </cell>
          <cell r="C6932" t="str">
            <v>NG</v>
          </cell>
          <cell r="D6932" t="str">
            <v>200407</v>
          </cell>
          <cell r="E6932">
            <v>4.8499999999999996</v>
          </cell>
        </row>
        <row r="6933">
          <cell r="A6933" t="str">
            <v/>
          </cell>
          <cell r="B6933">
            <v>37843</v>
          </cell>
          <cell r="C6933" t="str">
            <v>NG</v>
          </cell>
          <cell r="D6933" t="str">
            <v>200408</v>
          </cell>
          <cell r="E6933">
            <v>4.8600000000000003</v>
          </cell>
        </row>
        <row r="6934">
          <cell r="A6934" t="str">
            <v/>
          </cell>
          <cell r="B6934">
            <v>37843</v>
          </cell>
          <cell r="C6934" t="str">
            <v>NG</v>
          </cell>
          <cell r="D6934" t="str">
            <v>200409</v>
          </cell>
          <cell r="E6934">
            <v>4.835</v>
          </cell>
        </row>
        <row r="6935">
          <cell r="A6935" t="str">
            <v/>
          </cell>
          <cell r="B6935">
            <v>37843</v>
          </cell>
          <cell r="C6935" t="str">
            <v>NG</v>
          </cell>
          <cell r="D6935" t="str">
            <v>200410</v>
          </cell>
          <cell r="E6935">
            <v>4.8550000000000004</v>
          </cell>
        </row>
        <row r="6936">
          <cell r="A6936" t="str">
            <v/>
          </cell>
          <cell r="B6936">
            <v>37843</v>
          </cell>
          <cell r="C6936" t="str">
            <v>NG</v>
          </cell>
          <cell r="D6936" t="str">
            <v>200411</v>
          </cell>
          <cell r="E6936">
            <v>5.0250000000000004</v>
          </cell>
        </row>
        <row r="6937">
          <cell r="A6937" t="str">
            <v/>
          </cell>
          <cell r="B6937">
            <v>37843</v>
          </cell>
          <cell r="C6937" t="str">
            <v>NG</v>
          </cell>
          <cell r="D6937" t="str">
            <v>200412</v>
          </cell>
          <cell r="E6937">
            <v>5.2050000000000001</v>
          </cell>
        </row>
        <row r="6938">
          <cell r="A6938" t="str">
            <v/>
          </cell>
          <cell r="B6938">
            <v>37844</v>
          </cell>
          <cell r="C6938" t="str">
            <v>NG</v>
          </cell>
          <cell r="D6938" t="str">
            <v>200401</v>
          </cell>
          <cell r="E6938">
            <v>5.71</v>
          </cell>
        </row>
        <row r="6939">
          <cell r="A6939" t="str">
            <v/>
          </cell>
          <cell r="B6939">
            <v>37844</v>
          </cell>
          <cell r="C6939" t="str">
            <v>NG</v>
          </cell>
          <cell r="D6939" t="str">
            <v>200402</v>
          </cell>
          <cell r="E6939">
            <v>5.62</v>
          </cell>
        </row>
        <row r="6940">
          <cell r="A6940" t="str">
            <v/>
          </cell>
          <cell r="B6940">
            <v>37844</v>
          </cell>
          <cell r="C6940" t="str">
            <v>NG</v>
          </cell>
          <cell r="D6940" t="str">
            <v>200403</v>
          </cell>
          <cell r="E6940">
            <v>5.49</v>
          </cell>
        </row>
        <row r="6941">
          <cell r="A6941" t="str">
            <v/>
          </cell>
          <cell r="B6941">
            <v>37844</v>
          </cell>
          <cell r="C6941" t="str">
            <v>NG</v>
          </cell>
          <cell r="D6941" t="str">
            <v>200404</v>
          </cell>
          <cell r="E6941">
            <v>4.9669999999999996</v>
          </cell>
        </row>
        <row r="6942">
          <cell r="A6942" t="str">
            <v/>
          </cell>
          <cell r="B6942">
            <v>37844</v>
          </cell>
          <cell r="C6942" t="str">
            <v>NG</v>
          </cell>
          <cell r="D6942" t="str">
            <v>200405</v>
          </cell>
          <cell r="E6942">
            <v>4.8520000000000003</v>
          </cell>
        </row>
        <row r="6943">
          <cell r="A6943" t="str">
            <v/>
          </cell>
          <cell r="B6943">
            <v>37844</v>
          </cell>
          <cell r="C6943" t="str">
            <v>NG</v>
          </cell>
          <cell r="D6943" t="str">
            <v>200406</v>
          </cell>
          <cell r="E6943">
            <v>4.8520000000000003</v>
          </cell>
        </row>
        <row r="6944">
          <cell r="A6944" t="str">
            <v/>
          </cell>
          <cell r="B6944">
            <v>37844</v>
          </cell>
          <cell r="C6944" t="str">
            <v>NG</v>
          </cell>
          <cell r="D6944" t="str">
            <v>200407</v>
          </cell>
          <cell r="E6944">
            <v>4.8520000000000003</v>
          </cell>
        </row>
        <row r="6945">
          <cell r="A6945" t="str">
            <v/>
          </cell>
          <cell r="B6945">
            <v>37844</v>
          </cell>
          <cell r="C6945" t="str">
            <v>NG</v>
          </cell>
          <cell r="D6945" t="str">
            <v>200408</v>
          </cell>
          <cell r="E6945">
            <v>4.8600000000000003</v>
          </cell>
        </row>
        <row r="6946">
          <cell r="A6946" t="str">
            <v/>
          </cell>
          <cell r="B6946">
            <v>37844</v>
          </cell>
          <cell r="C6946" t="str">
            <v>NG</v>
          </cell>
          <cell r="D6946" t="str">
            <v>200409</v>
          </cell>
          <cell r="E6946">
            <v>4.835</v>
          </cell>
        </row>
        <row r="6947">
          <cell r="A6947" t="str">
            <v/>
          </cell>
          <cell r="B6947">
            <v>37844</v>
          </cell>
          <cell r="C6947" t="str">
            <v>NG</v>
          </cell>
          <cell r="D6947" t="str">
            <v>200410</v>
          </cell>
          <cell r="E6947">
            <v>4.8550000000000004</v>
          </cell>
        </row>
        <row r="6948">
          <cell r="A6948" t="str">
            <v/>
          </cell>
          <cell r="B6948">
            <v>37844</v>
          </cell>
          <cell r="C6948" t="str">
            <v>NG</v>
          </cell>
          <cell r="D6948" t="str">
            <v>200411</v>
          </cell>
          <cell r="E6948">
            <v>5.0250000000000004</v>
          </cell>
        </row>
        <row r="6949">
          <cell r="A6949" t="str">
            <v/>
          </cell>
          <cell r="B6949">
            <v>37844</v>
          </cell>
          <cell r="C6949" t="str">
            <v>NG</v>
          </cell>
          <cell r="D6949" t="str">
            <v>200412</v>
          </cell>
          <cell r="E6949">
            <v>5.2050000000000001</v>
          </cell>
        </row>
        <row r="6950">
          <cell r="A6950" t="str">
            <v/>
          </cell>
          <cell r="B6950">
            <v>37845</v>
          </cell>
          <cell r="C6950" t="str">
            <v>NG</v>
          </cell>
          <cell r="D6950" t="str">
            <v>200401</v>
          </cell>
          <cell r="E6950">
            <v>5.7809999999999997</v>
          </cell>
        </row>
        <row r="6951">
          <cell r="A6951" t="str">
            <v/>
          </cell>
          <cell r="B6951">
            <v>37845</v>
          </cell>
          <cell r="C6951" t="str">
            <v>NG</v>
          </cell>
          <cell r="D6951" t="str">
            <v>200402</v>
          </cell>
          <cell r="E6951">
            <v>5.6859999999999999</v>
          </cell>
        </row>
        <row r="6952">
          <cell r="A6952" t="str">
            <v/>
          </cell>
          <cell r="B6952">
            <v>37845</v>
          </cell>
          <cell r="C6952" t="str">
            <v>NG</v>
          </cell>
          <cell r="D6952" t="str">
            <v>200403</v>
          </cell>
          <cell r="E6952">
            <v>5.556</v>
          </cell>
        </row>
        <row r="6953">
          <cell r="A6953" t="str">
            <v/>
          </cell>
          <cell r="B6953">
            <v>37845</v>
          </cell>
          <cell r="C6953" t="str">
            <v>NG</v>
          </cell>
          <cell r="D6953" t="str">
            <v>200404</v>
          </cell>
          <cell r="E6953">
            <v>5.0110000000000001</v>
          </cell>
        </row>
        <row r="6954">
          <cell r="A6954" t="str">
            <v/>
          </cell>
          <cell r="B6954">
            <v>37845</v>
          </cell>
          <cell r="C6954" t="str">
            <v>NG</v>
          </cell>
          <cell r="D6954" t="str">
            <v>200405</v>
          </cell>
          <cell r="E6954">
            <v>4.891</v>
          </cell>
        </row>
        <row r="6955">
          <cell r="A6955" t="str">
            <v/>
          </cell>
          <cell r="B6955">
            <v>37845</v>
          </cell>
          <cell r="C6955" t="str">
            <v>NG</v>
          </cell>
          <cell r="D6955" t="str">
            <v>200406</v>
          </cell>
          <cell r="E6955">
            <v>4.8810000000000002</v>
          </cell>
        </row>
        <row r="6956">
          <cell r="A6956" t="str">
            <v/>
          </cell>
          <cell r="B6956">
            <v>37845</v>
          </cell>
          <cell r="C6956" t="str">
            <v>NG</v>
          </cell>
          <cell r="D6956" t="str">
            <v>200407</v>
          </cell>
          <cell r="E6956">
            <v>4.8710000000000004</v>
          </cell>
        </row>
        <row r="6957">
          <cell r="A6957" t="str">
            <v/>
          </cell>
          <cell r="B6957">
            <v>37845</v>
          </cell>
          <cell r="C6957" t="str">
            <v>NG</v>
          </cell>
          <cell r="D6957" t="str">
            <v>200408</v>
          </cell>
          <cell r="E6957">
            <v>4.8789999999999996</v>
          </cell>
        </row>
        <row r="6958">
          <cell r="A6958" t="str">
            <v/>
          </cell>
          <cell r="B6958">
            <v>37845</v>
          </cell>
          <cell r="C6958" t="str">
            <v>NG</v>
          </cell>
          <cell r="D6958" t="str">
            <v>200409</v>
          </cell>
          <cell r="E6958">
            <v>4.8540000000000001</v>
          </cell>
        </row>
        <row r="6959">
          <cell r="A6959" t="str">
            <v/>
          </cell>
          <cell r="B6959">
            <v>37845</v>
          </cell>
          <cell r="C6959" t="str">
            <v>NG</v>
          </cell>
          <cell r="D6959" t="str">
            <v>200410</v>
          </cell>
          <cell r="E6959">
            <v>4.8739999999999997</v>
          </cell>
        </row>
        <row r="6960">
          <cell r="A6960" t="str">
            <v/>
          </cell>
          <cell r="B6960">
            <v>37845</v>
          </cell>
          <cell r="C6960" t="str">
            <v>NG</v>
          </cell>
          <cell r="D6960" t="str">
            <v>200411</v>
          </cell>
          <cell r="E6960">
            <v>5.0439999999999996</v>
          </cell>
        </row>
        <row r="6961">
          <cell r="A6961" t="str">
            <v/>
          </cell>
          <cell r="B6961">
            <v>37845</v>
          </cell>
          <cell r="C6961" t="str">
            <v>NG</v>
          </cell>
          <cell r="D6961" t="str">
            <v>200412</v>
          </cell>
          <cell r="E6961">
            <v>5.2240000000000002</v>
          </cell>
        </row>
        <row r="6962">
          <cell r="A6962" t="str">
            <v/>
          </cell>
          <cell r="B6962">
            <v>37846</v>
          </cell>
          <cell r="C6962" t="str">
            <v>NG</v>
          </cell>
          <cell r="D6962" t="str">
            <v>200401</v>
          </cell>
          <cell r="E6962">
            <v>5.7569999999999997</v>
          </cell>
        </row>
        <row r="6963">
          <cell r="A6963" t="str">
            <v/>
          </cell>
          <cell r="B6963">
            <v>37846</v>
          </cell>
          <cell r="C6963" t="str">
            <v>NG</v>
          </cell>
          <cell r="D6963" t="str">
            <v>200402</v>
          </cell>
          <cell r="E6963">
            <v>5.67</v>
          </cell>
        </row>
        <row r="6964">
          <cell r="A6964" t="str">
            <v/>
          </cell>
          <cell r="B6964">
            <v>37846</v>
          </cell>
          <cell r="C6964" t="str">
            <v>NG</v>
          </cell>
          <cell r="D6964" t="str">
            <v>200403</v>
          </cell>
          <cell r="E6964">
            <v>5.5419999999999998</v>
          </cell>
        </row>
        <row r="6965">
          <cell r="A6965" t="str">
            <v/>
          </cell>
          <cell r="B6965">
            <v>37846</v>
          </cell>
          <cell r="C6965" t="str">
            <v>NG</v>
          </cell>
          <cell r="D6965" t="str">
            <v>200404</v>
          </cell>
          <cell r="E6965">
            <v>5.0039999999999996</v>
          </cell>
        </row>
        <row r="6966">
          <cell r="A6966" t="str">
            <v/>
          </cell>
          <cell r="B6966">
            <v>37846</v>
          </cell>
          <cell r="C6966" t="str">
            <v>NG</v>
          </cell>
          <cell r="D6966" t="str">
            <v>200405</v>
          </cell>
          <cell r="E6966">
            <v>4.8840000000000003</v>
          </cell>
        </row>
        <row r="6967">
          <cell r="A6967" t="str">
            <v/>
          </cell>
          <cell r="B6967">
            <v>37846</v>
          </cell>
          <cell r="C6967" t="str">
            <v>NG</v>
          </cell>
          <cell r="D6967" t="str">
            <v>200406</v>
          </cell>
          <cell r="E6967">
            <v>4.8890000000000002</v>
          </cell>
        </row>
        <row r="6968">
          <cell r="A6968" t="str">
            <v/>
          </cell>
          <cell r="B6968">
            <v>37846</v>
          </cell>
          <cell r="C6968" t="str">
            <v>NG</v>
          </cell>
          <cell r="D6968" t="str">
            <v>200407</v>
          </cell>
          <cell r="E6968">
            <v>4.8840000000000003</v>
          </cell>
        </row>
        <row r="6969">
          <cell r="A6969" t="str">
            <v/>
          </cell>
          <cell r="B6969">
            <v>37846</v>
          </cell>
          <cell r="C6969" t="str">
            <v>NG</v>
          </cell>
          <cell r="D6969" t="str">
            <v>200408</v>
          </cell>
          <cell r="E6969">
            <v>4.8860000000000001</v>
          </cell>
        </row>
        <row r="6970">
          <cell r="A6970" t="str">
            <v/>
          </cell>
          <cell r="B6970">
            <v>37846</v>
          </cell>
          <cell r="C6970" t="str">
            <v>NG</v>
          </cell>
          <cell r="D6970" t="str">
            <v>200409</v>
          </cell>
          <cell r="E6970">
            <v>4.8609999999999998</v>
          </cell>
        </row>
        <row r="6971">
          <cell r="A6971" t="str">
            <v/>
          </cell>
          <cell r="B6971">
            <v>37846</v>
          </cell>
          <cell r="C6971" t="str">
            <v>NG</v>
          </cell>
          <cell r="D6971" t="str">
            <v>200410</v>
          </cell>
          <cell r="E6971">
            <v>4.8810000000000002</v>
          </cell>
        </row>
        <row r="6972">
          <cell r="A6972" t="str">
            <v/>
          </cell>
          <cell r="B6972">
            <v>37846</v>
          </cell>
          <cell r="C6972" t="str">
            <v>NG</v>
          </cell>
          <cell r="D6972" t="str">
            <v>200411</v>
          </cell>
          <cell r="E6972">
            <v>5.0510000000000002</v>
          </cell>
        </row>
        <row r="6973">
          <cell r="A6973" t="str">
            <v/>
          </cell>
          <cell r="B6973">
            <v>37846</v>
          </cell>
          <cell r="C6973" t="str">
            <v>NG</v>
          </cell>
          <cell r="D6973" t="str">
            <v>200412</v>
          </cell>
          <cell r="E6973">
            <v>5.2309999999999999</v>
          </cell>
        </row>
        <row r="6974">
          <cell r="A6974" t="str">
            <v/>
          </cell>
          <cell r="B6974">
            <v>37847</v>
          </cell>
          <cell r="C6974" t="str">
            <v>NG</v>
          </cell>
          <cell r="D6974" t="str">
            <v>200401</v>
          </cell>
          <cell r="E6974">
            <v>5.5510000000000002</v>
          </cell>
        </row>
        <row r="6975">
          <cell r="A6975" t="str">
            <v/>
          </cell>
          <cell r="B6975">
            <v>37847</v>
          </cell>
          <cell r="C6975" t="str">
            <v>NG</v>
          </cell>
          <cell r="D6975" t="str">
            <v>200402</v>
          </cell>
          <cell r="E6975">
            <v>5.4859999999999998</v>
          </cell>
        </row>
        <row r="6976">
          <cell r="A6976" t="str">
            <v/>
          </cell>
          <cell r="B6976">
            <v>37847</v>
          </cell>
          <cell r="C6976" t="str">
            <v>NG</v>
          </cell>
          <cell r="D6976" t="str">
            <v>200403</v>
          </cell>
          <cell r="E6976">
            <v>5.3810000000000002</v>
          </cell>
        </row>
        <row r="6977">
          <cell r="A6977" t="str">
            <v/>
          </cell>
          <cell r="B6977">
            <v>37847</v>
          </cell>
          <cell r="C6977" t="str">
            <v>NG</v>
          </cell>
          <cell r="D6977" t="str">
            <v>200404</v>
          </cell>
          <cell r="E6977">
            <v>4.9210000000000003</v>
          </cell>
        </row>
        <row r="6978">
          <cell r="A6978" t="str">
            <v/>
          </cell>
          <cell r="B6978">
            <v>37847</v>
          </cell>
          <cell r="C6978" t="str">
            <v>NG</v>
          </cell>
          <cell r="D6978" t="str">
            <v>200405</v>
          </cell>
          <cell r="E6978">
            <v>4.8209999999999997</v>
          </cell>
        </row>
        <row r="6979">
          <cell r="A6979" t="str">
            <v/>
          </cell>
          <cell r="B6979">
            <v>37847</v>
          </cell>
          <cell r="C6979" t="str">
            <v>NG</v>
          </cell>
          <cell r="D6979" t="str">
            <v>200406</v>
          </cell>
          <cell r="E6979">
            <v>4.8259999999999996</v>
          </cell>
        </row>
        <row r="6980">
          <cell r="A6980" t="str">
            <v/>
          </cell>
          <cell r="B6980">
            <v>37847</v>
          </cell>
          <cell r="C6980" t="str">
            <v>NG</v>
          </cell>
          <cell r="D6980" t="str">
            <v>200407</v>
          </cell>
          <cell r="E6980">
            <v>4.8310000000000004</v>
          </cell>
        </row>
        <row r="6981">
          <cell r="A6981" t="str">
            <v/>
          </cell>
          <cell r="B6981">
            <v>37847</v>
          </cell>
          <cell r="C6981" t="str">
            <v>NG</v>
          </cell>
          <cell r="D6981" t="str">
            <v>200408</v>
          </cell>
          <cell r="E6981">
            <v>4.8390000000000004</v>
          </cell>
        </row>
        <row r="6982">
          <cell r="A6982" t="str">
            <v/>
          </cell>
          <cell r="B6982">
            <v>37847</v>
          </cell>
          <cell r="C6982" t="str">
            <v>NG</v>
          </cell>
          <cell r="D6982" t="str">
            <v>200409</v>
          </cell>
          <cell r="E6982">
            <v>4.819</v>
          </cell>
        </row>
        <row r="6983">
          <cell r="A6983" t="str">
            <v/>
          </cell>
          <cell r="B6983">
            <v>37847</v>
          </cell>
          <cell r="C6983" t="str">
            <v>NG</v>
          </cell>
          <cell r="D6983" t="str">
            <v>200410</v>
          </cell>
          <cell r="E6983">
            <v>4.8390000000000004</v>
          </cell>
        </row>
        <row r="6984">
          <cell r="A6984" t="str">
            <v/>
          </cell>
          <cell r="B6984">
            <v>37847</v>
          </cell>
          <cell r="C6984" t="str">
            <v>NG</v>
          </cell>
          <cell r="D6984" t="str">
            <v>200411</v>
          </cell>
          <cell r="E6984">
            <v>5.0140000000000002</v>
          </cell>
        </row>
        <row r="6985">
          <cell r="A6985" t="str">
            <v/>
          </cell>
          <cell r="B6985">
            <v>37847</v>
          </cell>
          <cell r="C6985" t="str">
            <v>NG</v>
          </cell>
          <cell r="D6985" t="str">
            <v>200412</v>
          </cell>
          <cell r="E6985">
            <v>5.1890000000000001</v>
          </cell>
        </row>
        <row r="6986">
          <cell r="A6986" t="str">
            <v/>
          </cell>
          <cell r="B6986">
            <v>37848</v>
          </cell>
          <cell r="C6986" t="str">
            <v>NG</v>
          </cell>
          <cell r="D6986" t="str">
            <v>200401</v>
          </cell>
          <cell r="E6986">
            <v>5.5330000000000004</v>
          </cell>
        </row>
        <row r="6987">
          <cell r="A6987" t="str">
            <v/>
          </cell>
          <cell r="B6987">
            <v>37848</v>
          </cell>
          <cell r="C6987" t="str">
            <v>NG</v>
          </cell>
          <cell r="D6987" t="str">
            <v>200402</v>
          </cell>
          <cell r="E6987">
            <v>5.468</v>
          </cell>
        </row>
        <row r="6988">
          <cell r="A6988" t="str">
            <v/>
          </cell>
          <cell r="B6988">
            <v>37848</v>
          </cell>
          <cell r="C6988" t="str">
            <v>NG</v>
          </cell>
          <cell r="D6988" t="str">
            <v>200403</v>
          </cell>
          <cell r="E6988">
            <v>5.3630000000000004</v>
          </cell>
        </row>
        <row r="6989">
          <cell r="A6989" t="str">
            <v/>
          </cell>
          <cell r="B6989">
            <v>37848</v>
          </cell>
          <cell r="C6989" t="str">
            <v>NG</v>
          </cell>
          <cell r="D6989" t="str">
            <v>200404</v>
          </cell>
          <cell r="E6989">
            <v>4.923</v>
          </cell>
        </row>
        <row r="6990">
          <cell r="A6990" t="str">
            <v/>
          </cell>
          <cell r="B6990">
            <v>37848</v>
          </cell>
          <cell r="C6990" t="str">
            <v>NG</v>
          </cell>
          <cell r="D6990" t="str">
            <v>200405</v>
          </cell>
          <cell r="E6990">
            <v>4.8380000000000001</v>
          </cell>
        </row>
        <row r="6991">
          <cell r="A6991" t="str">
            <v/>
          </cell>
          <cell r="B6991">
            <v>37848</v>
          </cell>
          <cell r="C6991" t="str">
            <v>NG</v>
          </cell>
          <cell r="D6991" t="str">
            <v>200406</v>
          </cell>
          <cell r="E6991">
            <v>4.8380000000000001</v>
          </cell>
        </row>
        <row r="6992">
          <cell r="A6992" t="str">
            <v/>
          </cell>
          <cell r="B6992">
            <v>37848</v>
          </cell>
          <cell r="C6992" t="str">
            <v>NG</v>
          </cell>
          <cell r="D6992" t="str">
            <v>200407</v>
          </cell>
          <cell r="E6992">
            <v>4.843</v>
          </cell>
        </row>
        <row r="6993">
          <cell r="A6993" t="str">
            <v/>
          </cell>
          <cell r="B6993">
            <v>37848</v>
          </cell>
          <cell r="C6993" t="str">
            <v>NG</v>
          </cell>
          <cell r="D6993" t="str">
            <v>200408</v>
          </cell>
          <cell r="E6993">
            <v>4.8529999999999998</v>
          </cell>
        </row>
        <row r="6994">
          <cell r="A6994" t="str">
            <v/>
          </cell>
          <cell r="B6994">
            <v>37848</v>
          </cell>
          <cell r="C6994" t="str">
            <v>NG</v>
          </cell>
          <cell r="D6994" t="str">
            <v>200409</v>
          </cell>
          <cell r="E6994">
            <v>4.8280000000000003</v>
          </cell>
        </row>
        <row r="6995">
          <cell r="A6995" t="str">
            <v/>
          </cell>
          <cell r="B6995">
            <v>37848</v>
          </cell>
          <cell r="C6995" t="str">
            <v>NG</v>
          </cell>
          <cell r="D6995" t="str">
            <v>200410</v>
          </cell>
          <cell r="E6995">
            <v>4.8479999999999999</v>
          </cell>
        </row>
        <row r="6996">
          <cell r="A6996" t="str">
            <v/>
          </cell>
          <cell r="B6996">
            <v>37848</v>
          </cell>
          <cell r="C6996" t="str">
            <v>NG</v>
          </cell>
          <cell r="D6996" t="str">
            <v>200411</v>
          </cell>
          <cell r="E6996">
            <v>5.016</v>
          </cell>
        </row>
        <row r="6997">
          <cell r="A6997" t="str">
            <v/>
          </cell>
          <cell r="B6997">
            <v>37848</v>
          </cell>
          <cell r="C6997" t="str">
            <v>NG</v>
          </cell>
          <cell r="D6997" t="str">
            <v>200412</v>
          </cell>
          <cell r="E6997">
            <v>5.1840000000000002</v>
          </cell>
        </row>
        <row r="6998">
          <cell r="A6998" t="str">
            <v/>
          </cell>
          <cell r="B6998">
            <v>37849</v>
          </cell>
          <cell r="C6998" t="str">
            <v>NG</v>
          </cell>
          <cell r="D6998" t="str">
            <v>200401</v>
          </cell>
          <cell r="E6998">
            <v>5.5330000000000004</v>
          </cell>
        </row>
        <row r="6999">
          <cell r="A6999" t="str">
            <v/>
          </cell>
          <cell r="B6999">
            <v>37849</v>
          </cell>
          <cell r="C6999" t="str">
            <v>NG</v>
          </cell>
          <cell r="D6999" t="str">
            <v>200402</v>
          </cell>
          <cell r="E6999">
            <v>5.468</v>
          </cell>
        </row>
        <row r="7000">
          <cell r="A7000" t="str">
            <v/>
          </cell>
          <cell r="B7000">
            <v>37849</v>
          </cell>
          <cell r="C7000" t="str">
            <v>NG</v>
          </cell>
          <cell r="D7000" t="str">
            <v>200403</v>
          </cell>
          <cell r="E7000">
            <v>5.3630000000000004</v>
          </cell>
        </row>
        <row r="7001">
          <cell r="A7001" t="str">
            <v/>
          </cell>
          <cell r="B7001">
            <v>37849</v>
          </cell>
          <cell r="C7001" t="str">
            <v>NG</v>
          </cell>
          <cell r="D7001" t="str">
            <v>200404</v>
          </cell>
          <cell r="E7001">
            <v>4.923</v>
          </cell>
        </row>
        <row r="7002">
          <cell r="A7002" t="str">
            <v/>
          </cell>
          <cell r="B7002">
            <v>37849</v>
          </cell>
          <cell r="C7002" t="str">
            <v>NG</v>
          </cell>
          <cell r="D7002" t="str">
            <v>200405</v>
          </cell>
          <cell r="E7002">
            <v>4.8380000000000001</v>
          </cell>
        </row>
        <row r="7003">
          <cell r="A7003" t="str">
            <v/>
          </cell>
          <cell r="B7003">
            <v>37849</v>
          </cell>
          <cell r="C7003" t="str">
            <v>NG</v>
          </cell>
          <cell r="D7003" t="str">
            <v>200406</v>
          </cell>
          <cell r="E7003">
            <v>4.8380000000000001</v>
          </cell>
        </row>
        <row r="7004">
          <cell r="A7004" t="str">
            <v/>
          </cell>
          <cell r="B7004">
            <v>37849</v>
          </cell>
          <cell r="C7004" t="str">
            <v>NG</v>
          </cell>
          <cell r="D7004" t="str">
            <v>200407</v>
          </cell>
          <cell r="E7004">
            <v>4.843</v>
          </cell>
        </row>
        <row r="7005">
          <cell r="A7005" t="str">
            <v/>
          </cell>
          <cell r="B7005">
            <v>37849</v>
          </cell>
          <cell r="C7005" t="str">
            <v>NG</v>
          </cell>
          <cell r="D7005" t="str">
            <v>200408</v>
          </cell>
          <cell r="E7005">
            <v>4.8529999999999998</v>
          </cell>
        </row>
        <row r="7006">
          <cell r="A7006" t="str">
            <v/>
          </cell>
          <cell r="B7006">
            <v>37849</v>
          </cell>
          <cell r="C7006" t="str">
            <v>NG</v>
          </cell>
          <cell r="D7006" t="str">
            <v>200409</v>
          </cell>
          <cell r="E7006">
            <v>4.8280000000000003</v>
          </cell>
        </row>
        <row r="7007">
          <cell r="A7007" t="str">
            <v/>
          </cell>
          <cell r="B7007">
            <v>37849</v>
          </cell>
          <cell r="C7007" t="str">
            <v>NG</v>
          </cell>
          <cell r="D7007" t="str">
            <v>200410</v>
          </cell>
          <cell r="E7007">
            <v>4.8479999999999999</v>
          </cell>
        </row>
        <row r="7008">
          <cell r="A7008" t="str">
            <v/>
          </cell>
          <cell r="B7008">
            <v>37849</v>
          </cell>
          <cell r="C7008" t="str">
            <v>NG</v>
          </cell>
          <cell r="D7008" t="str">
            <v>200411</v>
          </cell>
          <cell r="E7008">
            <v>5.016</v>
          </cell>
        </row>
        <row r="7009">
          <cell r="A7009" t="str">
            <v/>
          </cell>
          <cell r="B7009">
            <v>37849</v>
          </cell>
          <cell r="C7009" t="str">
            <v>NG</v>
          </cell>
          <cell r="D7009" t="str">
            <v>200412</v>
          </cell>
          <cell r="E7009">
            <v>5.1840000000000002</v>
          </cell>
        </row>
        <row r="7010">
          <cell r="A7010" t="str">
            <v/>
          </cell>
          <cell r="B7010">
            <v>37850</v>
          </cell>
          <cell r="C7010" t="str">
            <v>NG</v>
          </cell>
          <cell r="D7010" t="str">
            <v>200401</v>
          </cell>
          <cell r="E7010">
            <v>5.5330000000000004</v>
          </cell>
        </row>
        <row r="7011">
          <cell r="A7011" t="str">
            <v/>
          </cell>
          <cell r="B7011">
            <v>37850</v>
          </cell>
          <cell r="C7011" t="str">
            <v>NG</v>
          </cell>
          <cell r="D7011" t="str">
            <v>200402</v>
          </cell>
          <cell r="E7011">
            <v>5.468</v>
          </cell>
        </row>
        <row r="7012">
          <cell r="A7012" t="str">
            <v/>
          </cell>
          <cell r="B7012">
            <v>37850</v>
          </cell>
          <cell r="C7012" t="str">
            <v>NG</v>
          </cell>
          <cell r="D7012" t="str">
            <v>200403</v>
          </cell>
          <cell r="E7012">
            <v>5.3630000000000004</v>
          </cell>
        </row>
        <row r="7013">
          <cell r="A7013" t="str">
            <v/>
          </cell>
          <cell r="B7013">
            <v>37850</v>
          </cell>
          <cell r="C7013" t="str">
            <v>NG</v>
          </cell>
          <cell r="D7013" t="str">
            <v>200404</v>
          </cell>
          <cell r="E7013">
            <v>4.923</v>
          </cell>
        </row>
        <row r="7014">
          <cell r="A7014" t="str">
            <v/>
          </cell>
          <cell r="B7014">
            <v>37850</v>
          </cell>
          <cell r="C7014" t="str">
            <v>NG</v>
          </cell>
          <cell r="D7014" t="str">
            <v>200405</v>
          </cell>
          <cell r="E7014">
            <v>4.8380000000000001</v>
          </cell>
        </row>
        <row r="7015">
          <cell r="A7015" t="str">
            <v/>
          </cell>
          <cell r="B7015">
            <v>37850</v>
          </cell>
          <cell r="C7015" t="str">
            <v>NG</v>
          </cell>
          <cell r="D7015" t="str">
            <v>200406</v>
          </cell>
          <cell r="E7015">
            <v>4.8380000000000001</v>
          </cell>
        </row>
        <row r="7016">
          <cell r="A7016" t="str">
            <v/>
          </cell>
          <cell r="B7016">
            <v>37850</v>
          </cell>
          <cell r="C7016" t="str">
            <v>NG</v>
          </cell>
          <cell r="D7016" t="str">
            <v>200407</v>
          </cell>
          <cell r="E7016">
            <v>4.843</v>
          </cell>
        </row>
        <row r="7017">
          <cell r="A7017" t="str">
            <v/>
          </cell>
          <cell r="B7017">
            <v>37850</v>
          </cell>
          <cell r="C7017" t="str">
            <v>NG</v>
          </cell>
          <cell r="D7017" t="str">
            <v>200408</v>
          </cell>
          <cell r="E7017">
            <v>4.8529999999999998</v>
          </cell>
        </row>
        <row r="7018">
          <cell r="A7018" t="str">
            <v/>
          </cell>
          <cell r="B7018">
            <v>37850</v>
          </cell>
          <cell r="C7018" t="str">
            <v>NG</v>
          </cell>
          <cell r="D7018" t="str">
            <v>200409</v>
          </cell>
          <cell r="E7018">
            <v>4.8280000000000003</v>
          </cell>
        </row>
        <row r="7019">
          <cell r="A7019" t="str">
            <v/>
          </cell>
          <cell r="B7019">
            <v>37850</v>
          </cell>
          <cell r="C7019" t="str">
            <v>NG</v>
          </cell>
          <cell r="D7019" t="str">
            <v>200410</v>
          </cell>
          <cell r="E7019">
            <v>4.8479999999999999</v>
          </cell>
        </row>
        <row r="7020">
          <cell r="A7020" t="str">
            <v/>
          </cell>
          <cell r="B7020">
            <v>37850</v>
          </cell>
          <cell r="C7020" t="str">
            <v>NG</v>
          </cell>
          <cell r="D7020" t="str">
            <v>200411</v>
          </cell>
          <cell r="E7020">
            <v>5.016</v>
          </cell>
        </row>
        <row r="7021">
          <cell r="A7021" t="str">
            <v/>
          </cell>
          <cell r="B7021">
            <v>37850</v>
          </cell>
          <cell r="C7021" t="str">
            <v>NG</v>
          </cell>
          <cell r="D7021" t="str">
            <v>200412</v>
          </cell>
          <cell r="E7021">
            <v>5.1840000000000002</v>
          </cell>
        </row>
        <row r="7022">
          <cell r="A7022" t="str">
            <v/>
          </cell>
          <cell r="B7022">
            <v>37851</v>
          </cell>
          <cell r="C7022" t="str">
            <v>NG</v>
          </cell>
          <cell r="D7022" t="str">
            <v>200401</v>
          </cell>
          <cell r="E7022">
            <v>5.5519999999999996</v>
          </cell>
        </row>
        <row r="7023">
          <cell r="A7023" t="str">
            <v/>
          </cell>
          <cell r="B7023">
            <v>37851</v>
          </cell>
          <cell r="C7023" t="str">
            <v>NG</v>
          </cell>
          <cell r="D7023" t="str">
            <v>200402</v>
          </cell>
          <cell r="E7023">
            <v>5.4870000000000001</v>
          </cell>
        </row>
        <row r="7024">
          <cell r="A7024" t="str">
            <v/>
          </cell>
          <cell r="B7024">
            <v>37851</v>
          </cell>
          <cell r="C7024" t="str">
            <v>NG</v>
          </cell>
          <cell r="D7024" t="str">
            <v>200403</v>
          </cell>
          <cell r="E7024">
            <v>5.3819999999999997</v>
          </cell>
        </row>
        <row r="7025">
          <cell r="A7025" t="str">
            <v/>
          </cell>
          <cell r="B7025">
            <v>37851</v>
          </cell>
          <cell r="C7025" t="str">
            <v>NG</v>
          </cell>
          <cell r="D7025" t="str">
            <v>200404</v>
          </cell>
          <cell r="E7025">
            <v>4.9420000000000002</v>
          </cell>
        </row>
        <row r="7026">
          <cell r="A7026" t="str">
            <v/>
          </cell>
          <cell r="B7026">
            <v>37851</v>
          </cell>
          <cell r="C7026" t="str">
            <v>NG</v>
          </cell>
          <cell r="D7026" t="str">
            <v>200405</v>
          </cell>
          <cell r="E7026">
            <v>4.8520000000000003</v>
          </cell>
        </row>
        <row r="7027">
          <cell r="A7027" t="str">
            <v/>
          </cell>
          <cell r="B7027">
            <v>37851</v>
          </cell>
          <cell r="C7027" t="str">
            <v>NG</v>
          </cell>
          <cell r="D7027" t="str">
            <v>200406</v>
          </cell>
          <cell r="E7027">
            <v>4.8570000000000002</v>
          </cell>
        </row>
        <row r="7028">
          <cell r="A7028" t="str">
            <v/>
          </cell>
          <cell r="B7028">
            <v>37851</v>
          </cell>
          <cell r="C7028" t="str">
            <v>NG</v>
          </cell>
          <cell r="D7028" t="str">
            <v>200407</v>
          </cell>
          <cell r="E7028">
            <v>4.8620000000000001</v>
          </cell>
        </row>
        <row r="7029">
          <cell r="A7029" t="str">
            <v/>
          </cell>
          <cell r="B7029">
            <v>37851</v>
          </cell>
          <cell r="C7029" t="str">
            <v>NG</v>
          </cell>
          <cell r="D7029" t="str">
            <v>200408</v>
          </cell>
          <cell r="E7029">
            <v>4.8689999999999998</v>
          </cell>
        </row>
        <row r="7030">
          <cell r="A7030" t="str">
            <v/>
          </cell>
          <cell r="B7030">
            <v>37851</v>
          </cell>
          <cell r="C7030" t="str">
            <v>NG</v>
          </cell>
          <cell r="D7030" t="str">
            <v>200409</v>
          </cell>
          <cell r="E7030">
            <v>4.8440000000000003</v>
          </cell>
        </row>
        <row r="7031">
          <cell r="A7031" t="str">
            <v/>
          </cell>
          <cell r="B7031">
            <v>37851</v>
          </cell>
          <cell r="C7031" t="str">
            <v>NG</v>
          </cell>
          <cell r="D7031" t="str">
            <v>200410</v>
          </cell>
          <cell r="E7031">
            <v>4.8639999999999999</v>
          </cell>
        </row>
        <row r="7032">
          <cell r="A7032" t="str">
            <v/>
          </cell>
          <cell r="B7032">
            <v>37851</v>
          </cell>
          <cell r="C7032" t="str">
            <v>NG</v>
          </cell>
          <cell r="D7032" t="str">
            <v>200411</v>
          </cell>
          <cell r="E7032">
            <v>5.032</v>
          </cell>
        </row>
        <row r="7033">
          <cell r="A7033" t="str">
            <v/>
          </cell>
          <cell r="B7033">
            <v>37851</v>
          </cell>
          <cell r="C7033" t="str">
            <v>NG</v>
          </cell>
          <cell r="D7033" t="str">
            <v>200412</v>
          </cell>
          <cell r="E7033">
            <v>5.202</v>
          </cell>
        </row>
        <row r="7034">
          <cell r="A7034" t="str">
            <v/>
          </cell>
          <cell r="B7034">
            <v>37852</v>
          </cell>
          <cell r="C7034" t="str">
            <v>NG</v>
          </cell>
          <cell r="D7034" t="str">
            <v>200401</v>
          </cell>
          <cell r="E7034">
            <v>5.5990000000000002</v>
          </cell>
        </row>
        <row r="7035">
          <cell r="A7035" t="str">
            <v/>
          </cell>
          <cell r="B7035">
            <v>37852</v>
          </cell>
          <cell r="C7035" t="str">
            <v>NG</v>
          </cell>
          <cell r="D7035" t="str">
            <v>200402</v>
          </cell>
          <cell r="E7035">
            <v>5.5289999999999999</v>
          </cell>
        </row>
        <row r="7036">
          <cell r="A7036" t="str">
            <v/>
          </cell>
          <cell r="B7036">
            <v>37852</v>
          </cell>
          <cell r="C7036" t="str">
            <v>NG</v>
          </cell>
          <cell r="D7036" t="str">
            <v>200403</v>
          </cell>
          <cell r="E7036">
            <v>5.4189999999999996</v>
          </cell>
        </row>
        <row r="7037">
          <cell r="A7037" t="str">
            <v/>
          </cell>
          <cell r="B7037">
            <v>37852</v>
          </cell>
          <cell r="C7037" t="str">
            <v>NG</v>
          </cell>
          <cell r="D7037" t="str">
            <v>200404</v>
          </cell>
          <cell r="E7037">
            <v>4.9690000000000003</v>
          </cell>
        </row>
        <row r="7038">
          <cell r="A7038" t="str">
            <v/>
          </cell>
          <cell r="B7038">
            <v>37852</v>
          </cell>
          <cell r="C7038" t="str">
            <v>NG</v>
          </cell>
          <cell r="D7038" t="str">
            <v>200405</v>
          </cell>
          <cell r="E7038">
            <v>4.8840000000000003</v>
          </cell>
        </row>
        <row r="7039">
          <cell r="A7039" t="str">
            <v/>
          </cell>
          <cell r="B7039">
            <v>37852</v>
          </cell>
          <cell r="C7039" t="str">
            <v>NG</v>
          </cell>
          <cell r="D7039" t="str">
            <v>200406</v>
          </cell>
          <cell r="E7039">
            <v>4.8789999999999996</v>
          </cell>
        </row>
        <row r="7040">
          <cell r="A7040" t="str">
            <v/>
          </cell>
          <cell r="B7040">
            <v>37852</v>
          </cell>
          <cell r="C7040" t="str">
            <v>NG</v>
          </cell>
          <cell r="D7040" t="str">
            <v>200407</v>
          </cell>
          <cell r="E7040">
            <v>4.8760000000000003</v>
          </cell>
        </row>
        <row r="7041">
          <cell r="A7041" t="str">
            <v/>
          </cell>
          <cell r="B7041">
            <v>37852</v>
          </cell>
          <cell r="C7041" t="str">
            <v>NG</v>
          </cell>
          <cell r="D7041" t="str">
            <v>200408</v>
          </cell>
          <cell r="E7041">
            <v>4.883</v>
          </cell>
        </row>
        <row r="7042">
          <cell r="A7042" t="str">
            <v/>
          </cell>
          <cell r="B7042">
            <v>37852</v>
          </cell>
          <cell r="C7042" t="str">
            <v>NG</v>
          </cell>
          <cell r="D7042" t="str">
            <v>200409</v>
          </cell>
          <cell r="E7042">
            <v>4.8579999999999997</v>
          </cell>
        </row>
        <row r="7043">
          <cell r="A7043" t="str">
            <v/>
          </cell>
          <cell r="B7043">
            <v>37852</v>
          </cell>
          <cell r="C7043" t="str">
            <v>NG</v>
          </cell>
          <cell r="D7043" t="str">
            <v>200410</v>
          </cell>
          <cell r="E7043">
            <v>4.8780000000000001</v>
          </cell>
        </row>
        <row r="7044">
          <cell r="A7044" t="str">
            <v/>
          </cell>
          <cell r="B7044">
            <v>37852</v>
          </cell>
          <cell r="C7044" t="str">
            <v>NG</v>
          </cell>
          <cell r="D7044" t="str">
            <v>200411</v>
          </cell>
          <cell r="E7044">
            <v>5.0460000000000003</v>
          </cell>
        </row>
        <row r="7045">
          <cell r="A7045" t="str">
            <v/>
          </cell>
          <cell r="B7045">
            <v>37852</v>
          </cell>
          <cell r="C7045" t="str">
            <v>NG</v>
          </cell>
          <cell r="D7045" t="str">
            <v>200412</v>
          </cell>
          <cell r="E7045">
            <v>5.2160000000000002</v>
          </cell>
        </row>
        <row r="7046">
          <cell r="A7046" t="str">
            <v/>
          </cell>
          <cell r="B7046">
            <v>37853</v>
          </cell>
          <cell r="C7046" t="str">
            <v>NG</v>
          </cell>
          <cell r="D7046" t="str">
            <v>200401</v>
          </cell>
          <cell r="E7046">
            <v>5.726</v>
          </cell>
        </row>
        <row r="7047">
          <cell r="A7047" t="str">
            <v/>
          </cell>
          <cell r="B7047">
            <v>37853</v>
          </cell>
          <cell r="C7047" t="str">
            <v>NG</v>
          </cell>
          <cell r="D7047" t="str">
            <v>200402</v>
          </cell>
          <cell r="E7047">
            <v>5.6529999999999996</v>
          </cell>
        </row>
        <row r="7048">
          <cell r="A7048" t="str">
            <v/>
          </cell>
          <cell r="B7048">
            <v>37853</v>
          </cell>
          <cell r="C7048" t="str">
            <v>NG</v>
          </cell>
          <cell r="D7048" t="str">
            <v>200403</v>
          </cell>
          <cell r="E7048">
            <v>5.5430000000000001</v>
          </cell>
        </row>
        <row r="7049">
          <cell r="A7049" t="str">
            <v/>
          </cell>
          <cell r="B7049">
            <v>37853</v>
          </cell>
          <cell r="C7049" t="str">
            <v>NG</v>
          </cell>
          <cell r="D7049" t="str">
            <v>200404</v>
          </cell>
          <cell r="E7049">
            <v>5.0529999999999999</v>
          </cell>
        </row>
        <row r="7050">
          <cell r="A7050" t="str">
            <v/>
          </cell>
          <cell r="B7050">
            <v>37853</v>
          </cell>
          <cell r="C7050" t="str">
            <v>NG</v>
          </cell>
          <cell r="D7050" t="str">
            <v>200405</v>
          </cell>
          <cell r="E7050">
            <v>4.96</v>
          </cell>
        </row>
        <row r="7051">
          <cell r="A7051" t="str">
            <v/>
          </cell>
          <cell r="B7051">
            <v>37853</v>
          </cell>
          <cell r="C7051" t="str">
            <v>NG</v>
          </cell>
          <cell r="D7051" t="str">
            <v>200406</v>
          </cell>
          <cell r="E7051">
            <v>4.95</v>
          </cell>
        </row>
        <row r="7052">
          <cell r="A7052" t="str">
            <v/>
          </cell>
          <cell r="B7052">
            <v>37853</v>
          </cell>
          <cell r="C7052" t="str">
            <v>NG</v>
          </cell>
          <cell r="D7052" t="str">
            <v>200407</v>
          </cell>
          <cell r="E7052">
            <v>4.9400000000000004</v>
          </cell>
        </row>
        <row r="7053">
          <cell r="A7053" t="str">
            <v/>
          </cell>
          <cell r="B7053">
            <v>37853</v>
          </cell>
          <cell r="C7053" t="str">
            <v>NG</v>
          </cell>
          <cell r="D7053" t="str">
            <v>200408</v>
          </cell>
          <cell r="E7053">
            <v>4.9400000000000004</v>
          </cell>
        </row>
        <row r="7054">
          <cell r="A7054" t="str">
            <v/>
          </cell>
          <cell r="B7054">
            <v>37853</v>
          </cell>
          <cell r="C7054" t="str">
            <v>NG</v>
          </cell>
          <cell r="D7054" t="str">
            <v>200409</v>
          </cell>
          <cell r="E7054">
            <v>4.915</v>
          </cell>
        </row>
        <row r="7055">
          <cell r="A7055" t="str">
            <v/>
          </cell>
          <cell r="B7055">
            <v>37853</v>
          </cell>
          <cell r="C7055" t="str">
            <v>NG</v>
          </cell>
          <cell r="D7055" t="str">
            <v>200410</v>
          </cell>
          <cell r="E7055">
            <v>4.9349999999999996</v>
          </cell>
        </row>
        <row r="7056">
          <cell r="A7056" t="str">
            <v/>
          </cell>
          <cell r="B7056">
            <v>37853</v>
          </cell>
          <cell r="C7056" t="str">
            <v>NG</v>
          </cell>
          <cell r="D7056" t="str">
            <v>200411</v>
          </cell>
          <cell r="E7056">
            <v>5.1029999999999998</v>
          </cell>
        </row>
        <row r="7057">
          <cell r="A7057" t="str">
            <v/>
          </cell>
          <cell r="B7057">
            <v>37853</v>
          </cell>
          <cell r="C7057" t="str">
            <v>NG</v>
          </cell>
          <cell r="D7057" t="str">
            <v>200412</v>
          </cell>
          <cell r="E7057">
            <v>5.2729999999999997</v>
          </cell>
        </row>
        <row r="7058">
          <cell r="A7058" t="str">
            <v/>
          </cell>
          <cell r="B7058">
            <v>37854</v>
          </cell>
          <cell r="C7058" t="str">
            <v>NG</v>
          </cell>
          <cell r="D7058" t="str">
            <v>200401</v>
          </cell>
          <cell r="E7058">
            <v>5.81</v>
          </cell>
        </row>
        <row r="7059">
          <cell r="A7059" t="str">
            <v/>
          </cell>
          <cell r="B7059">
            <v>37854</v>
          </cell>
          <cell r="C7059" t="str">
            <v>NG</v>
          </cell>
          <cell r="D7059" t="str">
            <v>200402</v>
          </cell>
          <cell r="E7059">
            <v>5.72</v>
          </cell>
        </row>
        <row r="7060">
          <cell r="A7060" t="str">
            <v/>
          </cell>
          <cell r="B7060">
            <v>37854</v>
          </cell>
          <cell r="C7060" t="str">
            <v>NG</v>
          </cell>
          <cell r="D7060" t="str">
            <v>200403</v>
          </cell>
          <cell r="E7060">
            <v>5.5949999999999998</v>
          </cell>
        </row>
        <row r="7061">
          <cell r="A7061" t="str">
            <v/>
          </cell>
          <cell r="B7061">
            <v>37854</v>
          </cell>
          <cell r="C7061" t="str">
            <v>NG</v>
          </cell>
          <cell r="D7061" t="str">
            <v>200404</v>
          </cell>
          <cell r="E7061">
            <v>5.0650000000000004</v>
          </cell>
        </row>
        <row r="7062">
          <cell r="A7062" t="str">
            <v/>
          </cell>
          <cell r="B7062">
            <v>37854</v>
          </cell>
          <cell r="C7062" t="str">
            <v>NG</v>
          </cell>
          <cell r="D7062" t="str">
            <v>200405</v>
          </cell>
          <cell r="E7062">
            <v>4.9749999999999996</v>
          </cell>
        </row>
        <row r="7063">
          <cell r="A7063" t="str">
            <v/>
          </cell>
          <cell r="B7063">
            <v>37854</v>
          </cell>
          <cell r="C7063" t="str">
            <v>NG</v>
          </cell>
          <cell r="D7063" t="str">
            <v>200406</v>
          </cell>
          <cell r="E7063">
            <v>4.9749999999999996</v>
          </cell>
        </row>
        <row r="7064">
          <cell r="A7064" t="str">
            <v/>
          </cell>
          <cell r="B7064">
            <v>37854</v>
          </cell>
          <cell r="C7064" t="str">
            <v>NG</v>
          </cell>
          <cell r="D7064" t="str">
            <v>200407</v>
          </cell>
          <cell r="E7064">
            <v>4.9649999999999999</v>
          </cell>
        </row>
        <row r="7065">
          <cell r="A7065" t="str">
            <v/>
          </cell>
          <cell r="B7065">
            <v>37854</v>
          </cell>
          <cell r="C7065" t="str">
            <v>NG</v>
          </cell>
          <cell r="D7065" t="str">
            <v>200408</v>
          </cell>
          <cell r="E7065">
            <v>4.9649999999999999</v>
          </cell>
        </row>
        <row r="7066">
          <cell r="A7066" t="str">
            <v/>
          </cell>
          <cell r="B7066">
            <v>37854</v>
          </cell>
          <cell r="C7066" t="str">
            <v>NG</v>
          </cell>
          <cell r="D7066" t="str">
            <v>200409</v>
          </cell>
          <cell r="E7066">
            <v>4.93</v>
          </cell>
        </row>
        <row r="7067">
          <cell r="A7067" t="str">
            <v/>
          </cell>
          <cell r="B7067">
            <v>37854</v>
          </cell>
          <cell r="C7067" t="str">
            <v>NG</v>
          </cell>
          <cell r="D7067" t="str">
            <v>200410</v>
          </cell>
          <cell r="E7067">
            <v>4.9470000000000001</v>
          </cell>
        </row>
        <row r="7068">
          <cell r="A7068" t="str">
            <v/>
          </cell>
          <cell r="B7068">
            <v>37854</v>
          </cell>
          <cell r="C7068" t="str">
            <v>NG</v>
          </cell>
          <cell r="D7068" t="str">
            <v>200411</v>
          </cell>
          <cell r="E7068">
            <v>5.1120000000000001</v>
          </cell>
        </row>
        <row r="7069">
          <cell r="A7069" t="str">
            <v/>
          </cell>
          <cell r="B7069">
            <v>37854</v>
          </cell>
          <cell r="C7069" t="str">
            <v>NG</v>
          </cell>
          <cell r="D7069" t="str">
            <v>200412</v>
          </cell>
          <cell r="E7069">
            <v>5.282</v>
          </cell>
        </row>
        <row r="7070">
          <cell r="A7070" t="str">
            <v/>
          </cell>
          <cell r="B7070">
            <v>37855</v>
          </cell>
          <cell r="C7070" t="str">
            <v>NG</v>
          </cell>
          <cell r="D7070" t="str">
            <v>200401</v>
          </cell>
          <cell r="E7070">
            <v>5.8259999999999996</v>
          </cell>
        </row>
        <row r="7071">
          <cell r="A7071" t="str">
            <v/>
          </cell>
          <cell r="B7071">
            <v>37855</v>
          </cell>
          <cell r="C7071" t="str">
            <v>NG</v>
          </cell>
          <cell r="D7071" t="str">
            <v>200402</v>
          </cell>
          <cell r="E7071">
            <v>5.7460000000000004</v>
          </cell>
        </row>
        <row r="7072">
          <cell r="A7072" t="str">
            <v/>
          </cell>
          <cell r="B7072">
            <v>37855</v>
          </cell>
          <cell r="C7072" t="str">
            <v>NG</v>
          </cell>
          <cell r="D7072" t="str">
            <v>200403</v>
          </cell>
          <cell r="E7072">
            <v>5.6139999999999999</v>
          </cell>
        </row>
        <row r="7073">
          <cell r="A7073" t="str">
            <v/>
          </cell>
          <cell r="B7073">
            <v>37855</v>
          </cell>
          <cell r="C7073" t="str">
            <v>NG</v>
          </cell>
          <cell r="D7073" t="str">
            <v>200404</v>
          </cell>
          <cell r="E7073">
            <v>5.0839999999999996</v>
          </cell>
        </row>
        <row r="7074">
          <cell r="A7074" t="str">
            <v/>
          </cell>
          <cell r="B7074">
            <v>37855</v>
          </cell>
          <cell r="C7074" t="str">
            <v>NG</v>
          </cell>
          <cell r="D7074" t="str">
            <v>200405</v>
          </cell>
          <cell r="E7074">
            <v>4.9859999999999998</v>
          </cell>
        </row>
        <row r="7075">
          <cell r="A7075" t="str">
            <v/>
          </cell>
          <cell r="B7075">
            <v>37855</v>
          </cell>
          <cell r="C7075" t="str">
            <v>NG</v>
          </cell>
          <cell r="D7075" t="str">
            <v>200406</v>
          </cell>
          <cell r="E7075">
            <v>4.9820000000000002</v>
          </cell>
        </row>
        <row r="7076">
          <cell r="A7076" t="str">
            <v/>
          </cell>
          <cell r="B7076">
            <v>37855</v>
          </cell>
          <cell r="C7076" t="str">
            <v>NG</v>
          </cell>
          <cell r="D7076" t="str">
            <v>200407</v>
          </cell>
          <cell r="E7076">
            <v>4.9770000000000003</v>
          </cell>
        </row>
        <row r="7077">
          <cell r="A7077" t="str">
            <v/>
          </cell>
          <cell r="B7077">
            <v>37855</v>
          </cell>
          <cell r="C7077" t="str">
            <v>NG</v>
          </cell>
          <cell r="D7077" t="str">
            <v>200408</v>
          </cell>
          <cell r="E7077">
            <v>4.9770000000000003</v>
          </cell>
        </row>
        <row r="7078">
          <cell r="A7078" t="str">
            <v/>
          </cell>
          <cell r="B7078">
            <v>37855</v>
          </cell>
          <cell r="C7078" t="str">
            <v>NG</v>
          </cell>
          <cell r="D7078" t="str">
            <v>200409</v>
          </cell>
          <cell r="E7078">
            <v>4.9420000000000002</v>
          </cell>
        </row>
        <row r="7079">
          <cell r="A7079" t="str">
            <v/>
          </cell>
          <cell r="B7079">
            <v>37855</v>
          </cell>
          <cell r="C7079" t="str">
            <v>NG</v>
          </cell>
          <cell r="D7079" t="str">
            <v>200410</v>
          </cell>
          <cell r="E7079">
            <v>4.9589999999999996</v>
          </cell>
        </row>
        <row r="7080">
          <cell r="A7080" t="str">
            <v/>
          </cell>
          <cell r="B7080">
            <v>37855</v>
          </cell>
          <cell r="C7080" t="str">
            <v>NG</v>
          </cell>
          <cell r="D7080" t="str">
            <v>200411</v>
          </cell>
          <cell r="E7080">
            <v>5.1219999999999999</v>
          </cell>
        </row>
        <row r="7081">
          <cell r="A7081" t="str">
            <v/>
          </cell>
          <cell r="B7081">
            <v>37855</v>
          </cell>
          <cell r="C7081" t="str">
            <v>NG</v>
          </cell>
          <cell r="D7081" t="str">
            <v>200412</v>
          </cell>
          <cell r="E7081">
            <v>5.2919999999999998</v>
          </cell>
        </row>
        <row r="7082">
          <cell r="A7082" t="str">
            <v/>
          </cell>
          <cell r="B7082">
            <v>37858</v>
          </cell>
          <cell r="C7082" t="str">
            <v>NG</v>
          </cell>
          <cell r="D7082" t="str">
            <v>200401</v>
          </cell>
          <cell r="E7082">
            <v>5.6959999999999997</v>
          </cell>
        </row>
        <row r="7083">
          <cell r="A7083" t="str">
            <v/>
          </cell>
          <cell r="B7083">
            <v>37858</v>
          </cell>
          <cell r="C7083" t="str">
            <v>NG</v>
          </cell>
          <cell r="D7083" t="str">
            <v>200402</v>
          </cell>
          <cell r="E7083">
            <v>5.6310000000000002</v>
          </cell>
        </row>
        <row r="7084">
          <cell r="A7084" t="str">
            <v/>
          </cell>
          <cell r="B7084">
            <v>37858</v>
          </cell>
          <cell r="C7084" t="str">
            <v>NG</v>
          </cell>
          <cell r="D7084" t="str">
            <v>200403</v>
          </cell>
          <cell r="E7084">
            <v>5.5110000000000001</v>
          </cell>
        </row>
        <row r="7085">
          <cell r="A7085" t="str">
            <v/>
          </cell>
          <cell r="B7085">
            <v>37858</v>
          </cell>
          <cell r="C7085" t="str">
            <v>NG</v>
          </cell>
          <cell r="D7085" t="str">
            <v>200404</v>
          </cell>
          <cell r="E7085">
            <v>5.016</v>
          </cell>
        </row>
        <row r="7086">
          <cell r="A7086" t="str">
            <v/>
          </cell>
          <cell r="B7086">
            <v>37858</v>
          </cell>
          <cell r="C7086" t="str">
            <v>NG</v>
          </cell>
          <cell r="D7086" t="str">
            <v>200405</v>
          </cell>
          <cell r="E7086">
            <v>4.9279999999999999</v>
          </cell>
        </row>
        <row r="7087">
          <cell r="A7087" t="str">
            <v/>
          </cell>
          <cell r="B7087">
            <v>37858</v>
          </cell>
          <cell r="C7087" t="str">
            <v>NG</v>
          </cell>
          <cell r="D7087" t="str">
            <v>200406</v>
          </cell>
          <cell r="E7087">
            <v>4.9329999999999998</v>
          </cell>
        </row>
        <row r="7088">
          <cell r="A7088" t="str">
            <v/>
          </cell>
          <cell r="B7088">
            <v>37858</v>
          </cell>
          <cell r="C7088" t="str">
            <v>NG</v>
          </cell>
          <cell r="D7088" t="str">
            <v>200407</v>
          </cell>
          <cell r="E7088">
            <v>4.931</v>
          </cell>
        </row>
        <row r="7089">
          <cell r="A7089" t="str">
            <v/>
          </cell>
          <cell r="B7089">
            <v>37858</v>
          </cell>
          <cell r="C7089" t="str">
            <v>NG</v>
          </cell>
          <cell r="D7089" t="str">
            <v>200408</v>
          </cell>
          <cell r="E7089">
            <v>4.9329999999999998</v>
          </cell>
        </row>
        <row r="7090">
          <cell r="A7090" t="str">
            <v/>
          </cell>
          <cell r="B7090">
            <v>37858</v>
          </cell>
          <cell r="C7090" t="str">
            <v>NG</v>
          </cell>
          <cell r="D7090" t="str">
            <v>200409</v>
          </cell>
          <cell r="E7090">
            <v>4.8979999999999997</v>
          </cell>
        </row>
        <row r="7091">
          <cell r="A7091" t="str">
            <v/>
          </cell>
          <cell r="B7091">
            <v>37858</v>
          </cell>
          <cell r="C7091" t="str">
            <v>NG</v>
          </cell>
          <cell r="D7091" t="str">
            <v>200410</v>
          </cell>
          <cell r="E7091">
            <v>4.9210000000000003</v>
          </cell>
        </row>
        <row r="7092">
          <cell r="A7092" t="str">
            <v/>
          </cell>
          <cell r="B7092">
            <v>37858</v>
          </cell>
          <cell r="C7092" t="str">
            <v>NG</v>
          </cell>
          <cell r="D7092" t="str">
            <v>200411</v>
          </cell>
          <cell r="E7092">
            <v>5.0839999999999996</v>
          </cell>
        </row>
        <row r="7093">
          <cell r="A7093" t="str">
            <v/>
          </cell>
          <cell r="B7093">
            <v>37858</v>
          </cell>
          <cell r="C7093" t="str">
            <v>NG</v>
          </cell>
          <cell r="D7093" t="str">
            <v>200412</v>
          </cell>
          <cell r="E7093">
            <v>5.2480000000000002</v>
          </cell>
        </row>
        <row r="7094">
          <cell r="A7094" t="str">
            <v/>
          </cell>
          <cell r="B7094">
            <v>37856</v>
          </cell>
          <cell r="C7094" t="str">
            <v>NG</v>
          </cell>
          <cell r="D7094" t="str">
            <v>200401</v>
          </cell>
          <cell r="E7094">
            <v>5.8259999999999996</v>
          </cell>
        </row>
        <row r="7095">
          <cell r="A7095" t="str">
            <v/>
          </cell>
          <cell r="B7095">
            <v>37856</v>
          </cell>
          <cell r="C7095" t="str">
            <v>NG</v>
          </cell>
          <cell r="D7095" t="str">
            <v>200402</v>
          </cell>
          <cell r="E7095">
            <v>5.7460000000000004</v>
          </cell>
        </row>
        <row r="7096">
          <cell r="A7096" t="str">
            <v/>
          </cell>
          <cell r="B7096">
            <v>37856</v>
          </cell>
          <cell r="C7096" t="str">
            <v>NG</v>
          </cell>
          <cell r="D7096" t="str">
            <v>200403</v>
          </cell>
          <cell r="E7096">
            <v>5.6139999999999999</v>
          </cell>
        </row>
        <row r="7097">
          <cell r="A7097" t="str">
            <v/>
          </cell>
          <cell r="B7097">
            <v>37856</v>
          </cell>
          <cell r="C7097" t="str">
            <v>NG</v>
          </cell>
          <cell r="D7097" t="str">
            <v>200404</v>
          </cell>
          <cell r="E7097">
            <v>5.0839999999999996</v>
          </cell>
        </row>
        <row r="7098">
          <cell r="A7098" t="str">
            <v/>
          </cell>
          <cell r="B7098">
            <v>37856</v>
          </cell>
          <cell r="C7098" t="str">
            <v>NG</v>
          </cell>
          <cell r="D7098" t="str">
            <v>200405</v>
          </cell>
          <cell r="E7098">
            <v>4.9859999999999998</v>
          </cell>
        </row>
        <row r="7099">
          <cell r="A7099" t="str">
            <v/>
          </cell>
          <cell r="B7099">
            <v>37856</v>
          </cell>
          <cell r="C7099" t="str">
            <v>NG</v>
          </cell>
          <cell r="D7099" t="str">
            <v>200406</v>
          </cell>
          <cell r="E7099">
            <v>4.9820000000000002</v>
          </cell>
        </row>
        <row r="7100">
          <cell r="A7100" t="str">
            <v/>
          </cell>
          <cell r="B7100">
            <v>37856</v>
          </cell>
          <cell r="C7100" t="str">
            <v>NG</v>
          </cell>
          <cell r="D7100" t="str">
            <v>200407</v>
          </cell>
          <cell r="E7100">
            <v>4.9770000000000003</v>
          </cell>
        </row>
        <row r="7101">
          <cell r="A7101" t="str">
            <v/>
          </cell>
          <cell r="B7101">
            <v>37856</v>
          </cell>
          <cell r="C7101" t="str">
            <v>NG</v>
          </cell>
          <cell r="D7101" t="str">
            <v>200408</v>
          </cell>
          <cell r="E7101">
            <v>4.9770000000000003</v>
          </cell>
        </row>
        <row r="7102">
          <cell r="A7102" t="str">
            <v/>
          </cell>
          <cell r="B7102">
            <v>37856</v>
          </cell>
          <cell r="C7102" t="str">
            <v>NG</v>
          </cell>
          <cell r="D7102" t="str">
            <v>200409</v>
          </cell>
          <cell r="E7102">
            <v>4.9420000000000002</v>
          </cell>
        </row>
        <row r="7103">
          <cell r="A7103" t="str">
            <v/>
          </cell>
          <cell r="B7103">
            <v>37856</v>
          </cell>
          <cell r="C7103" t="str">
            <v>NG</v>
          </cell>
          <cell r="D7103" t="str">
            <v>200410</v>
          </cell>
          <cell r="E7103">
            <v>4.9589999999999996</v>
          </cell>
        </row>
        <row r="7104">
          <cell r="A7104" t="str">
            <v/>
          </cell>
          <cell r="B7104">
            <v>37856</v>
          </cell>
          <cell r="C7104" t="str">
            <v>NG</v>
          </cell>
          <cell r="D7104" t="str">
            <v>200411</v>
          </cell>
          <cell r="E7104">
            <v>5.1219999999999999</v>
          </cell>
        </row>
        <row r="7105">
          <cell r="A7105" t="str">
            <v/>
          </cell>
          <cell r="B7105">
            <v>37856</v>
          </cell>
          <cell r="C7105" t="str">
            <v>NG</v>
          </cell>
          <cell r="D7105" t="str">
            <v>200412</v>
          </cell>
          <cell r="E7105">
            <v>5.2919999999999998</v>
          </cell>
        </row>
        <row r="7106">
          <cell r="A7106" t="str">
            <v/>
          </cell>
          <cell r="B7106">
            <v>37857</v>
          </cell>
          <cell r="C7106" t="str">
            <v>NG</v>
          </cell>
          <cell r="D7106" t="str">
            <v>200401</v>
          </cell>
          <cell r="E7106">
            <v>5.8259999999999996</v>
          </cell>
        </row>
        <row r="7107">
          <cell r="A7107" t="str">
            <v/>
          </cell>
          <cell r="B7107">
            <v>37857</v>
          </cell>
          <cell r="C7107" t="str">
            <v>NG</v>
          </cell>
          <cell r="D7107" t="str">
            <v>200402</v>
          </cell>
          <cell r="E7107">
            <v>5.7460000000000004</v>
          </cell>
        </row>
        <row r="7108">
          <cell r="A7108" t="str">
            <v/>
          </cell>
          <cell r="B7108">
            <v>37857</v>
          </cell>
          <cell r="C7108" t="str">
            <v>NG</v>
          </cell>
          <cell r="D7108" t="str">
            <v>200403</v>
          </cell>
          <cell r="E7108">
            <v>5.6139999999999999</v>
          </cell>
        </row>
        <row r="7109">
          <cell r="A7109" t="str">
            <v/>
          </cell>
          <cell r="B7109">
            <v>37857</v>
          </cell>
          <cell r="C7109" t="str">
            <v>NG</v>
          </cell>
          <cell r="D7109" t="str">
            <v>200404</v>
          </cell>
          <cell r="E7109">
            <v>5.0839999999999996</v>
          </cell>
        </row>
        <row r="7110">
          <cell r="A7110" t="str">
            <v/>
          </cell>
          <cell r="B7110">
            <v>37857</v>
          </cell>
          <cell r="C7110" t="str">
            <v>NG</v>
          </cell>
          <cell r="D7110" t="str">
            <v>200405</v>
          </cell>
          <cell r="E7110">
            <v>4.9859999999999998</v>
          </cell>
        </row>
        <row r="7111">
          <cell r="A7111" t="str">
            <v/>
          </cell>
          <cell r="B7111">
            <v>37857</v>
          </cell>
          <cell r="C7111" t="str">
            <v>NG</v>
          </cell>
          <cell r="D7111" t="str">
            <v>200406</v>
          </cell>
          <cell r="E7111">
            <v>4.9820000000000002</v>
          </cell>
        </row>
        <row r="7112">
          <cell r="A7112" t="str">
            <v/>
          </cell>
          <cell r="B7112">
            <v>37857</v>
          </cell>
          <cell r="C7112" t="str">
            <v>NG</v>
          </cell>
          <cell r="D7112" t="str">
            <v>200407</v>
          </cell>
          <cell r="E7112">
            <v>4.9770000000000003</v>
          </cell>
        </row>
        <row r="7113">
          <cell r="A7113" t="str">
            <v/>
          </cell>
          <cell r="B7113">
            <v>37857</v>
          </cell>
          <cell r="C7113" t="str">
            <v>NG</v>
          </cell>
          <cell r="D7113" t="str">
            <v>200408</v>
          </cell>
          <cell r="E7113">
            <v>4.9770000000000003</v>
          </cell>
        </row>
        <row r="7114">
          <cell r="A7114" t="str">
            <v/>
          </cell>
          <cell r="B7114">
            <v>37857</v>
          </cell>
          <cell r="C7114" t="str">
            <v>NG</v>
          </cell>
          <cell r="D7114" t="str">
            <v>200409</v>
          </cell>
          <cell r="E7114">
            <v>4.9420000000000002</v>
          </cell>
        </row>
        <row r="7115">
          <cell r="A7115" t="str">
            <v/>
          </cell>
          <cell r="B7115">
            <v>37857</v>
          </cell>
          <cell r="C7115" t="str">
            <v>NG</v>
          </cell>
          <cell r="D7115" t="str">
            <v>200410</v>
          </cell>
          <cell r="E7115">
            <v>4.9589999999999996</v>
          </cell>
        </row>
        <row r="7116">
          <cell r="A7116" t="str">
            <v/>
          </cell>
          <cell r="B7116">
            <v>37857</v>
          </cell>
          <cell r="C7116" t="str">
            <v>NG</v>
          </cell>
          <cell r="D7116" t="str">
            <v>200411</v>
          </cell>
          <cell r="E7116">
            <v>5.1219999999999999</v>
          </cell>
        </row>
        <row r="7117">
          <cell r="A7117" t="str">
            <v/>
          </cell>
          <cell r="B7117">
            <v>37857</v>
          </cell>
          <cell r="C7117" t="str">
            <v>NG</v>
          </cell>
          <cell r="D7117" t="str">
            <v>200412</v>
          </cell>
          <cell r="E7117">
            <v>5.2919999999999998</v>
          </cell>
        </row>
        <row r="7118">
          <cell r="A7118" t="str">
            <v/>
          </cell>
          <cell r="B7118">
            <v>37859</v>
          </cell>
          <cell r="C7118" t="str">
            <v>NG</v>
          </cell>
          <cell r="D7118" t="str">
            <v>200401</v>
          </cell>
          <cell r="E7118">
            <v>5.6459999999999999</v>
          </cell>
        </row>
        <row r="7119">
          <cell r="A7119" t="str">
            <v/>
          </cell>
          <cell r="B7119">
            <v>37859</v>
          </cell>
          <cell r="C7119" t="str">
            <v>NG</v>
          </cell>
          <cell r="D7119" t="str">
            <v>200402</v>
          </cell>
          <cell r="E7119">
            <v>5.5730000000000004</v>
          </cell>
        </row>
        <row r="7120">
          <cell r="A7120" t="str">
            <v/>
          </cell>
          <cell r="B7120">
            <v>37859</v>
          </cell>
          <cell r="C7120" t="str">
            <v>NG</v>
          </cell>
          <cell r="D7120" t="str">
            <v>200403</v>
          </cell>
          <cell r="E7120">
            <v>5.4480000000000004</v>
          </cell>
        </row>
        <row r="7121">
          <cell r="A7121" t="str">
            <v/>
          </cell>
          <cell r="B7121">
            <v>37859</v>
          </cell>
          <cell r="C7121" t="str">
            <v>NG</v>
          </cell>
          <cell r="D7121" t="str">
            <v>200404</v>
          </cell>
          <cell r="E7121">
            <v>4.9610000000000003</v>
          </cell>
        </row>
        <row r="7122">
          <cell r="A7122" t="str">
            <v/>
          </cell>
          <cell r="B7122">
            <v>37859</v>
          </cell>
          <cell r="C7122" t="str">
            <v>NG</v>
          </cell>
          <cell r="D7122" t="str">
            <v>200405</v>
          </cell>
          <cell r="E7122">
            <v>4.8710000000000004</v>
          </cell>
        </row>
        <row r="7123">
          <cell r="A7123" t="str">
            <v/>
          </cell>
          <cell r="B7123">
            <v>37859</v>
          </cell>
          <cell r="C7123" t="str">
            <v>NG</v>
          </cell>
          <cell r="D7123" t="str">
            <v>200406</v>
          </cell>
          <cell r="E7123">
            <v>4.8710000000000004</v>
          </cell>
        </row>
        <row r="7124">
          <cell r="A7124" t="str">
            <v/>
          </cell>
          <cell r="B7124">
            <v>37859</v>
          </cell>
          <cell r="C7124" t="str">
            <v>NG</v>
          </cell>
          <cell r="D7124" t="str">
            <v>200407</v>
          </cell>
          <cell r="E7124">
            <v>4.8730000000000002</v>
          </cell>
        </row>
        <row r="7125">
          <cell r="A7125" t="str">
            <v/>
          </cell>
          <cell r="B7125">
            <v>37859</v>
          </cell>
          <cell r="C7125" t="str">
            <v>NG</v>
          </cell>
          <cell r="D7125" t="str">
            <v>200408</v>
          </cell>
          <cell r="E7125">
            <v>4.875</v>
          </cell>
        </row>
        <row r="7126">
          <cell r="A7126" t="str">
            <v/>
          </cell>
          <cell r="B7126">
            <v>37859</v>
          </cell>
          <cell r="C7126" t="str">
            <v>NG</v>
          </cell>
          <cell r="D7126" t="str">
            <v>200409</v>
          </cell>
          <cell r="E7126">
            <v>4.8550000000000004</v>
          </cell>
        </row>
        <row r="7127">
          <cell r="A7127" t="str">
            <v/>
          </cell>
          <cell r="B7127">
            <v>37859</v>
          </cell>
          <cell r="C7127" t="str">
            <v>NG</v>
          </cell>
          <cell r="D7127" t="str">
            <v>200410</v>
          </cell>
          <cell r="E7127">
            <v>4.87</v>
          </cell>
        </row>
        <row r="7128">
          <cell r="A7128" t="str">
            <v/>
          </cell>
          <cell r="B7128">
            <v>37859</v>
          </cell>
          <cell r="C7128" t="str">
            <v>NG</v>
          </cell>
          <cell r="D7128" t="str">
            <v>200411</v>
          </cell>
          <cell r="E7128">
            <v>5.0330000000000004</v>
          </cell>
        </row>
        <row r="7129">
          <cell r="A7129" t="str">
            <v/>
          </cell>
          <cell r="B7129">
            <v>37859</v>
          </cell>
          <cell r="C7129" t="str">
            <v>NG</v>
          </cell>
          <cell r="D7129" t="str">
            <v>200412</v>
          </cell>
          <cell r="E7129">
            <v>5.1950000000000003</v>
          </cell>
        </row>
        <row r="7130">
          <cell r="A7130" t="str">
            <v/>
          </cell>
          <cell r="B7130">
            <v>37860</v>
          </cell>
          <cell r="C7130" t="str">
            <v>NG</v>
          </cell>
          <cell r="D7130" t="str">
            <v>200401</v>
          </cell>
          <cell r="E7130">
            <v>5.4880000000000004</v>
          </cell>
        </row>
        <row r="7131">
          <cell r="A7131" t="str">
            <v/>
          </cell>
          <cell r="B7131">
            <v>37860</v>
          </cell>
          <cell r="C7131" t="str">
            <v>NG</v>
          </cell>
          <cell r="D7131" t="str">
            <v>200402</v>
          </cell>
          <cell r="E7131">
            <v>5.4279999999999999</v>
          </cell>
        </row>
        <row r="7132">
          <cell r="A7132" t="str">
            <v/>
          </cell>
          <cell r="B7132">
            <v>37860</v>
          </cell>
          <cell r="C7132" t="str">
            <v>NG</v>
          </cell>
          <cell r="D7132" t="str">
            <v>200403</v>
          </cell>
          <cell r="E7132">
            <v>5.3129999999999997</v>
          </cell>
        </row>
        <row r="7133">
          <cell r="A7133" t="str">
            <v/>
          </cell>
          <cell r="B7133">
            <v>37860</v>
          </cell>
          <cell r="C7133" t="str">
            <v>NG</v>
          </cell>
          <cell r="D7133" t="str">
            <v>200404</v>
          </cell>
          <cell r="E7133">
            <v>4.8579999999999997</v>
          </cell>
        </row>
        <row r="7134">
          <cell r="A7134" t="str">
            <v/>
          </cell>
          <cell r="B7134">
            <v>37860</v>
          </cell>
          <cell r="C7134" t="str">
            <v>NG</v>
          </cell>
          <cell r="D7134" t="str">
            <v>200405</v>
          </cell>
          <cell r="E7134">
            <v>4.7699999999999996</v>
          </cell>
        </row>
        <row r="7135">
          <cell r="A7135" t="str">
            <v/>
          </cell>
          <cell r="B7135">
            <v>37860</v>
          </cell>
          <cell r="C7135" t="str">
            <v>NG</v>
          </cell>
          <cell r="D7135" t="str">
            <v>200406</v>
          </cell>
          <cell r="E7135">
            <v>4.774</v>
          </cell>
        </row>
        <row r="7136">
          <cell r="A7136" t="str">
            <v/>
          </cell>
          <cell r="B7136">
            <v>37860</v>
          </cell>
          <cell r="C7136" t="str">
            <v>NG</v>
          </cell>
          <cell r="D7136" t="str">
            <v>200407</v>
          </cell>
          <cell r="E7136">
            <v>4.7779999999999996</v>
          </cell>
        </row>
        <row r="7137">
          <cell r="A7137" t="str">
            <v/>
          </cell>
          <cell r="B7137">
            <v>37860</v>
          </cell>
          <cell r="C7137" t="str">
            <v>NG</v>
          </cell>
          <cell r="D7137" t="str">
            <v>200408</v>
          </cell>
          <cell r="E7137">
            <v>4.7850000000000001</v>
          </cell>
        </row>
        <row r="7138">
          <cell r="A7138" t="str">
            <v/>
          </cell>
          <cell r="B7138">
            <v>37860</v>
          </cell>
          <cell r="C7138" t="str">
            <v>NG</v>
          </cell>
          <cell r="D7138" t="str">
            <v>200409</v>
          </cell>
          <cell r="E7138">
            <v>4.7649999999999997</v>
          </cell>
        </row>
        <row r="7139">
          <cell r="A7139" t="str">
            <v/>
          </cell>
          <cell r="B7139">
            <v>37860</v>
          </cell>
          <cell r="C7139" t="str">
            <v>NG</v>
          </cell>
          <cell r="D7139" t="str">
            <v>200410</v>
          </cell>
          <cell r="E7139">
            <v>4.7830000000000004</v>
          </cell>
        </row>
        <row r="7140">
          <cell r="A7140" t="str">
            <v/>
          </cell>
          <cell r="B7140">
            <v>37860</v>
          </cell>
          <cell r="C7140" t="str">
            <v>NG</v>
          </cell>
          <cell r="D7140" t="str">
            <v>200411</v>
          </cell>
          <cell r="E7140">
            <v>4.9459999999999997</v>
          </cell>
        </row>
        <row r="7141">
          <cell r="A7141" t="str">
            <v/>
          </cell>
          <cell r="B7141">
            <v>37860</v>
          </cell>
          <cell r="C7141" t="str">
            <v>NG</v>
          </cell>
          <cell r="D7141" t="str">
            <v>200412</v>
          </cell>
          <cell r="E7141">
            <v>5.1079999999999997</v>
          </cell>
        </row>
        <row r="7142">
          <cell r="A7142" t="str">
            <v/>
          </cell>
          <cell r="B7142">
            <v>37861</v>
          </cell>
          <cell r="C7142" t="str">
            <v>NG</v>
          </cell>
          <cell r="D7142" t="str">
            <v>200401</v>
          </cell>
          <cell r="E7142">
            <v>5.5439999999999996</v>
          </cell>
        </row>
        <row r="7143">
          <cell r="A7143" t="str">
            <v/>
          </cell>
          <cell r="B7143">
            <v>37861</v>
          </cell>
          <cell r="C7143" t="str">
            <v>NG</v>
          </cell>
          <cell r="D7143" t="str">
            <v>200402</v>
          </cell>
          <cell r="E7143">
            <v>5.484</v>
          </cell>
        </row>
        <row r="7144">
          <cell r="A7144" t="str">
            <v/>
          </cell>
          <cell r="B7144">
            <v>37861</v>
          </cell>
          <cell r="C7144" t="str">
            <v>NG</v>
          </cell>
          <cell r="D7144" t="str">
            <v>200403</v>
          </cell>
          <cell r="E7144">
            <v>5.3689999999999998</v>
          </cell>
        </row>
        <row r="7145">
          <cell r="A7145" t="str">
            <v/>
          </cell>
          <cell r="B7145">
            <v>37861</v>
          </cell>
          <cell r="C7145" t="str">
            <v>NG</v>
          </cell>
          <cell r="D7145" t="str">
            <v>200404</v>
          </cell>
          <cell r="E7145">
            <v>4.899</v>
          </cell>
        </row>
        <row r="7146">
          <cell r="A7146" t="str">
            <v/>
          </cell>
          <cell r="B7146">
            <v>37861</v>
          </cell>
          <cell r="C7146" t="str">
            <v>NG</v>
          </cell>
          <cell r="D7146" t="str">
            <v>200405</v>
          </cell>
          <cell r="E7146">
            <v>4.8109999999999999</v>
          </cell>
        </row>
        <row r="7147">
          <cell r="A7147" t="str">
            <v/>
          </cell>
          <cell r="B7147">
            <v>37861</v>
          </cell>
          <cell r="C7147" t="str">
            <v>NG</v>
          </cell>
          <cell r="D7147" t="str">
            <v>200406</v>
          </cell>
          <cell r="E7147">
            <v>4.8150000000000004</v>
          </cell>
        </row>
        <row r="7148">
          <cell r="A7148" t="str">
            <v/>
          </cell>
          <cell r="B7148">
            <v>37861</v>
          </cell>
          <cell r="C7148" t="str">
            <v>NG</v>
          </cell>
          <cell r="D7148" t="str">
            <v>200407</v>
          </cell>
          <cell r="E7148">
            <v>4.819</v>
          </cell>
        </row>
        <row r="7149">
          <cell r="A7149" t="str">
            <v/>
          </cell>
          <cell r="B7149">
            <v>37861</v>
          </cell>
          <cell r="C7149" t="str">
            <v>NG</v>
          </cell>
          <cell r="D7149" t="str">
            <v>200408</v>
          </cell>
          <cell r="E7149">
            <v>4.8259999999999996</v>
          </cell>
        </row>
        <row r="7150">
          <cell r="A7150" t="str">
            <v/>
          </cell>
          <cell r="B7150">
            <v>37861</v>
          </cell>
          <cell r="C7150" t="str">
            <v>NG</v>
          </cell>
          <cell r="D7150" t="str">
            <v>200409</v>
          </cell>
          <cell r="E7150">
            <v>4.8159999999999998</v>
          </cell>
        </row>
        <row r="7151">
          <cell r="A7151" t="str">
            <v/>
          </cell>
          <cell r="B7151">
            <v>37861</v>
          </cell>
          <cell r="C7151" t="str">
            <v>NG</v>
          </cell>
          <cell r="D7151" t="str">
            <v>200410</v>
          </cell>
          <cell r="E7151">
            <v>4.8259999999999996</v>
          </cell>
        </row>
        <row r="7152">
          <cell r="A7152" t="str">
            <v/>
          </cell>
          <cell r="B7152">
            <v>37861</v>
          </cell>
          <cell r="C7152" t="str">
            <v>NG</v>
          </cell>
          <cell r="D7152" t="str">
            <v>200411</v>
          </cell>
          <cell r="E7152">
            <v>4.9850000000000003</v>
          </cell>
        </row>
        <row r="7153">
          <cell r="A7153" t="str">
            <v/>
          </cell>
          <cell r="B7153">
            <v>37861</v>
          </cell>
          <cell r="C7153" t="str">
            <v>NG</v>
          </cell>
          <cell r="D7153" t="str">
            <v>200412</v>
          </cell>
          <cell r="E7153">
            <v>5.1440000000000001</v>
          </cell>
        </row>
        <row r="7154">
          <cell r="A7154" t="str">
            <v/>
          </cell>
          <cell r="B7154">
            <v>37862</v>
          </cell>
          <cell r="C7154" t="str">
            <v>NG</v>
          </cell>
          <cell r="D7154" t="str">
            <v>200401</v>
          </cell>
          <cell r="E7154">
            <v>5.4009999999999998</v>
          </cell>
        </row>
        <row r="7155">
          <cell r="A7155" t="str">
            <v/>
          </cell>
          <cell r="B7155">
            <v>37862</v>
          </cell>
          <cell r="C7155" t="str">
            <v>NG</v>
          </cell>
          <cell r="D7155" t="str">
            <v>200402</v>
          </cell>
          <cell r="E7155">
            <v>5.3460000000000001</v>
          </cell>
        </row>
        <row r="7156">
          <cell r="A7156" t="str">
            <v/>
          </cell>
          <cell r="B7156">
            <v>37862</v>
          </cell>
          <cell r="C7156" t="str">
            <v>NG</v>
          </cell>
          <cell r="D7156" t="str">
            <v>200403</v>
          </cell>
          <cell r="E7156">
            <v>5.2409999999999997</v>
          </cell>
        </row>
        <row r="7157">
          <cell r="A7157" t="str">
            <v/>
          </cell>
          <cell r="B7157">
            <v>37862</v>
          </cell>
          <cell r="C7157" t="str">
            <v>NG</v>
          </cell>
          <cell r="D7157" t="str">
            <v>200404</v>
          </cell>
          <cell r="E7157">
            <v>4.8010000000000002</v>
          </cell>
        </row>
        <row r="7158">
          <cell r="A7158" t="str">
            <v/>
          </cell>
          <cell r="B7158">
            <v>37862</v>
          </cell>
          <cell r="C7158" t="str">
            <v>NG</v>
          </cell>
          <cell r="D7158" t="str">
            <v>200405</v>
          </cell>
          <cell r="E7158">
            <v>4.72</v>
          </cell>
        </row>
        <row r="7159">
          <cell r="A7159" t="str">
            <v/>
          </cell>
          <cell r="B7159">
            <v>37862</v>
          </cell>
          <cell r="C7159" t="str">
            <v>NG</v>
          </cell>
          <cell r="D7159" t="str">
            <v>200406</v>
          </cell>
          <cell r="E7159">
            <v>4.7240000000000002</v>
          </cell>
        </row>
        <row r="7160">
          <cell r="A7160" t="str">
            <v/>
          </cell>
          <cell r="B7160">
            <v>37862</v>
          </cell>
          <cell r="C7160" t="str">
            <v>NG</v>
          </cell>
          <cell r="D7160" t="str">
            <v>200407</v>
          </cell>
          <cell r="E7160">
            <v>4.7279999999999998</v>
          </cell>
        </row>
        <row r="7161">
          <cell r="A7161" t="str">
            <v/>
          </cell>
          <cell r="B7161">
            <v>37862</v>
          </cell>
          <cell r="C7161" t="str">
            <v>NG</v>
          </cell>
          <cell r="D7161" t="str">
            <v>200408</v>
          </cell>
          <cell r="E7161">
            <v>4.7350000000000003</v>
          </cell>
        </row>
        <row r="7162">
          <cell r="A7162" t="str">
            <v/>
          </cell>
          <cell r="B7162">
            <v>37862</v>
          </cell>
          <cell r="C7162" t="str">
            <v>NG</v>
          </cell>
          <cell r="D7162" t="str">
            <v>200409</v>
          </cell>
          <cell r="E7162">
            <v>4.7249999999999996</v>
          </cell>
        </row>
        <row r="7163">
          <cell r="A7163" t="str">
            <v/>
          </cell>
          <cell r="B7163">
            <v>37862</v>
          </cell>
          <cell r="C7163" t="str">
            <v>NG</v>
          </cell>
          <cell r="D7163" t="str">
            <v>200410</v>
          </cell>
          <cell r="E7163">
            <v>4.75</v>
          </cell>
        </row>
        <row r="7164">
          <cell r="A7164" t="str">
            <v/>
          </cell>
          <cell r="B7164">
            <v>37862</v>
          </cell>
          <cell r="C7164" t="str">
            <v>NG</v>
          </cell>
          <cell r="D7164" t="str">
            <v>200411</v>
          </cell>
          <cell r="E7164">
            <v>4.9249999999999998</v>
          </cell>
        </row>
        <row r="7165">
          <cell r="A7165" t="str">
            <v/>
          </cell>
          <cell r="B7165">
            <v>37862</v>
          </cell>
          <cell r="C7165" t="str">
            <v>NG</v>
          </cell>
          <cell r="D7165" t="str">
            <v>200412</v>
          </cell>
          <cell r="E7165">
            <v>5.0960000000000001</v>
          </cell>
        </row>
        <row r="7166">
          <cell r="A7166" t="str">
            <v/>
          </cell>
          <cell r="B7166">
            <v>37863</v>
          </cell>
          <cell r="C7166" t="str">
            <v>NG</v>
          </cell>
          <cell r="D7166" t="str">
            <v>200401</v>
          </cell>
          <cell r="E7166">
            <v>5.4009999999999998</v>
          </cell>
        </row>
        <row r="7167">
          <cell r="A7167" t="str">
            <v/>
          </cell>
          <cell r="B7167">
            <v>37863</v>
          </cell>
          <cell r="C7167" t="str">
            <v>NG</v>
          </cell>
          <cell r="D7167" t="str">
            <v>200402</v>
          </cell>
          <cell r="E7167">
            <v>5.3460000000000001</v>
          </cell>
        </row>
        <row r="7168">
          <cell r="A7168" t="str">
            <v/>
          </cell>
          <cell r="B7168">
            <v>37863</v>
          </cell>
          <cell r="C7168" t="str">
            <v>NG</v>
          </cell>
          <cell r="D7168" t="str">
            <v>200403</v>
          </cell>
          <cell r="E7168">
            <v>5.2409999999999997</v>
          </cell>
        </row>
        <row r="7169">
          <cell r="A7169" t="str">
            <v/>
          </cell>
          <cell r="B7169">
            <v>37863</v>
          </cell>
          <cell r="C7169" t="str">
            <v>NG</v>
          </cell>
          <cell r="D7169" t="str">
            <v>200404</v>
          </cell>
          <cell r="E7169">
            <v>4.8010000000000002</v>
          </cell>
        </row>
        <row r="7170">
          <cell r="A7170" t="str">
            <v/>
          </cell>
          <cell r="B7170">
            <v>37863</v>
          </cell>
          <cell r="C7170" t="str">
            <v>NG</v>
          </cell>
          <cell r="D7170" t="str">
            <v>200405</v>
          </cell>
          <cell r="E7170">
            <v>4.72</v>
          </cell>
        </row>
        <row r="7171">
          <cell r="A7171" t="str">
            <v/>
          </cell>
          <cell r="B7171">
            <v>37863</v>
          </cell>
          <cell r="C7171" t="str">
            <v>NG</v>
          </cell>
          <cell r="D7171" t="str">
            <v>200406</v>
          </cell>
          <cell r="E7171">
            <v>4.7240000000000002</v>
          </cell>
        </row>
        <row r="7172">
          <cell r="A7172" t="str">
            <v/>
          </cell>
          <cell r="B7172">
            <v>37863</v>
          </cell>
          <cell r="C7172" t="str">
            <v>NG</v>
          </cell>
          <cell r="D7172" t="str">
            <v>200407</v>
          </cell>
          <cell r="E7172">
            <v>4.7279999999999998</v>
          </cell>
        </row>
        <row r="7173">
          <cell r="A7173" t="str">
            <v/>
          </cell>
          <cell r="B7173">
            <v>37863</v>
          </cell>
          <cell r="C7173" t="str">
            <v>NG</v>
          </cell>
          <cell r="D7173" t="str">
            <v>200408</v>
          </cell>
          <cell r="E7173">
            <v>4.7350000000000003</v>
          </cell>
        </row>
        <row r="7174">
          <cell r="A7174" t="str">
            <v/>
          </cell>
          <cell r="B7174">
            <v>37863</v>
          </cell>
          <cell r="C7174" t="str">
            <v>NG</v>
          </cell>
          <cell r="D7174" t="str">
            <v>200409</v>
          </cell>
          <cell r="E7174">
            <v>4.7249999999999996</v>
          </cell>
        </row>
        <row r="7175">
          <cell r="A7175" t="str">
            <v/>
          </cell>
          <cell r="B7175">
            <v>37863</v>
          </cell>
          <cell r="C7175" t="str">
            <v>NG</v>
          </cell>
          <cell r="D7175" t="str">
            <v>200410</v>
          </cell>
          <cell r="E7175">
            <v>4.75</v>
          </cell>
        </row>
        <row r="7176">
          <cell r="A7176" t="str">
            <v/>
          </cell>
          <cell r="B7176">
            <v>37863</v>
          </cell>
          <cell r="C7176" t="str">
            <v>NG</v>
          </cell>
          <cell r="D7176" t="str">
            <v>200411</v>
          </cell>
          <cell r="E7176">
            <v>4.9249999999999998</v>
          </cell>
        </row>
        <row r="7177">
          <cell r="A7177" t="str">
            <v/>
          </cell>
          <cell r="B7177">
            <v>37863</v>
          </cell>
          <cell r="C7177" t="str">
            <v>NG</v>
          </cell>
          <cell r="D7177" t="str">
            <v>200412</v>
          </cell>
          <cell r="E7177">
            <v>5.0960000000000001</v>
          </cell>
        </row>
        <row r="7178">
          <cell r="A7178" t="str">
            <v/>
          </cell>
          <cell r="B7178">
            <v>37864</v>
          </cell>
          <cell r="C7178" t="str">
            <v>NG</v>
          </cell>
          <cell r="D7178" t="str">
            <v>200401</v>
          </cell>
          <cell r="E7178">
            <v>5.4009999999999998</v>
          </cell>
        </row>
        <row r="7179">
          <cell r="A7179" t="str">
            <v/>
          </cell>
          <cell r="B7179">
            <v>37864</v>
          </cell>
          <cell r="C7179" t="str">
            <v>NG</v>
          </cell>
          <cell r="D7179" t="str">
            <v>200402</v>
          </cell>
          <cell r="E7179">
            <v>5.3460000000000001</v>
          </cell>
        </row>
        <row r="7180">
          <cell r="A7180" t="str">
            <v/>
          </cell>
          <cell r="B7180">
            <v>37864</v>
          </cell>
          <cell r="C7180" t="str">
            <v>NG</v>
          </cell>
          <cell r="D7180" t="str">
            <v>200403</v>
          </cell>
          <cell r="E7180">
            <v>5.2409999999999997</v>
          </cell>
        </row>
        <row r="7181">
          <cell r="A7181" t="str">
            <v/>
          </cell>
          <cell r="B7181">
            <v>37864</v>
          </cell>
          <cell r="C7181" t="str">
            <v>NG</v>
          </cell>
          <cell r="D7181" t="str">
            <v>200404</v>
          </cell>
          <cell r="E7181">
            <v>4.8010000000000002</v>
          </cell>
        </row>
        <row r="7182">
          <cell r="A7182" t="str">
            <v/>
          </cell>
          <cell r="B7182">
            <v>37864</v>
          </cell>
          <cell r="C7182" t="str">
            <v>NG</v>
          </cell>
          <cell r="D7182" t="str">
            <v>200405</v>
          </cell>
          <cell r="E7182">
            <v>4.72</v>
          </cell>
        </row>
        <row r="7183">
          <cell r="A7183" t="str">
            <v/>
          </cell>
          <cell r="B7183">
            <v>37864</v>
          </cell>
          <cell r="C7183" t="str">
            <v>NG</v>
          </cell>
          <cell r="D7183" t="str">
            <v>200406</v>
          </cell>
          <cell r="E7183">
            <v>4.7240000000000002</v>
          </cell>
        </row>
        <row r="7184">
          <cell r="A7184" t="str">
            <v/>
          </cell>
          <cell r="B7184">
            <v>37864</v>
          </cell>
          <cell r="C7184" t="str">
            <v>NG</v>
          </cell>
          <cell r="D7184" t="str">
            <v>200407</v>
          </cell>
          <cell r="E7184">
            <v>4.7279999999999998</v>
          </cell>
        </row>
        <row r="7185">
          <cell r="A7185" t="str">
            <v/>
          </cell>
          <cell r="B7185">
            <v>37864</v>
          </cell>
          <cell r="C7185" t="str">
            <v>NG</v>
          </cell>
          <cell r="D7185" t="str">
            <v>200408</v>
          </cell>
          <cell r="E7185">
            <v>4.7350000000000003</v>
          </cell>
        </row>
        <row r="7186">
          <cell r="A7186" t="str">
            <v/>
          </cell>
          <cell r="B7186">
            <v>37864</v>
          </cell>
          <cell r="C7186" t="str">
            <v>NG</v>
          </cell>
          <cell r="D7186" t="str">
            <v>200409</v>
          </cell>
          <cell r="E7186">
            <v>4.7249999999999996</v>
          </cell>
        </row>
        <row r="7187">
          <cell r="A7187" t="str">
            <v/>
          </cell>
          <cell r="B7187">
            <v>37864</v>
          </cell>
          <cell r="C7187" t="str">
            <v>NG</v>
          </cell>
          <cell r="D7187" t="str">
            <v>200410</v>
          </cell>
          <cell r="E7187">
            <v>4.75</v>
          </cell>
        </row>
        <row r="7188">
          <cell r="A7188" t="str">
            <v/>
          </cell>
          <cell r="B7188">
            <v>37864</v>
          </cell>
          <cell r="C7188" t="str">
            <v>NG</v>
          </cell>
          <cell r="D7188" t="str">
            <v>200411</v>
          </cell>
          <cell r="E7188">
            <v>4.9249999999999998</v>
          </cell>
        </row>
        <row r="7189">
          <cell r="A7189" t="str">
            <v/>
          </cell>
          <cell r="B7189">
            <v>37864</v>
          </cell>
          <cell r="C7189" t="str">
            <v>NG</v>
          </cell>
          <cell r="D7189" t="str">
            <v>200412</v>
          </cell>
          <cell r="E7189">
            <v>5.0960000000000001</v>
          </cell>
        </row>
        <row r="7190">
          <cell r="A7190" t="str">
            <v/>
          </cell>
          <cell r="B7190">
            <v>37865</v>
          </cell>
          <cell r="C7190" t="str">
            <v>NG</v>
          </cell>
          <cell r="D7190" t="str">
            <v>200401</v>
          </cell>
          <cell r="E7190">
            <v>5.4009999999999998</v>
          </cell>
        </row>
        <row r="7191">
          <cell r="A7191" t="str">
            <v/>
          </cell>
          <cell r="B7191">
            <v>37865</v>
          </cell>
          <cell r="C7191" t="str">
            <v>NG</v>
          </cell>
          <cell r="D7191" t="str">
            <v>200402</v>
          </cell>
          <cell r="E7191">
            <v>5.3460000000000001</v>
          </cell>
        </row>
        <row r="7192">
          <cell r="A7192" t="str">
            <v/>
          </cell>
          <cell r="B7192">
            <v>37865</v>
          </cell>
          <cell r="C7192" t="str">
            <v>NG</v>
          </cell>
          <cell r="D7192" t="str">
            <v>200403</v>
          </cell>
          <cell r="E7192">
            <v>5.2409999999999997</v>
          </cell>
        </row>
        <row r="7193">
          <cell r="A7193" t="str">
            <v/>
          </cell>
          <cell r="B7193">
            <v>37865</v>
          </cell>
          <cell r="C7193" t="str">
            <v>NG</v>
          </cell>
          <cell r="D7193" t="str">
            <v>200404</v>
          </cell>
          <cell r="E7193">
            <v>4.8010000000000002</v>
          </cell>
        </row>
        <row r="7194">
          <cell r="A7194" t="str">
            <v/>
          </cell>
          <cell r="B7194">
            <v>37865</v>
          </cell>
          <cell r="C7194" t="str">
            <v>NG</v>
          </cell>
          <cell r="D7194" t="str">
            <v>200405</v>
          </cell>
          <cell r="E7194">
            <v>4.72</v>
          </cell>
        </row>
        <row r="7195">
          <cell r="A7195" t="str">
            <v/>
          </cell>
          <cell r="B7195">
            <v>37865</v>
          </cell>
          <cell r="C7195" t="str">
            <v>NG</v>
          </cell>
          <cell r="D7195" t="str">
            <v>200406</v>
          </cell>
          <cell r="E7195">
            <v>4.7240000000000002</v>
          </cell>
        </row>
        <row r="7196">
          <cell r="A7196" t="str">
            <v/>
          </cell>
          <cell r="B7196">
            <v>37865</v>
          </cell>
          <cell r="C7196" t="str">
            <v>NG</v>
          </cell>
          <cell r="D7196" t="str">
            <v>200407</v>
          </cell>
          <cell r="E7196">
            <v>4.7279999999999998</v>
          </cell>
        </row>
        <row r="7197">
          <cell r="A7197" t="str">
            <v/>
          </cell>
          <cell r="B7197">
            <v>37865</v>
          </cell>
          <cell r="C7197" t="str">
            <v>NG</v>
          </cell>
          <cell r="D7197" t="str">
            <v>200408</v>
          </cell>
          <cell r="E7197">
            <v>4.7350000000000003</v>
          </cell>
        </row>
        <row r="7198">
          <cell r="A7198" t="str">
            <v/>
          </cell>
          <cell r="B7198">
            <v>37865</v>
          </cell>
          <cell r="C7198" t="str">
            <v>NG</v>
          </cell>
          <cell r="D7198" t="str">
            <v>200409</v>
          </cell>
          <cell r="E7198">
            <v>4.7249999999999996</v>
          </cell>
        </row>
        <row r="7199">
          <cell r="A7199" t="str">
            <v/>
          </cell>
          <cell r="B7199">
            <v>37865</v>
          </cell>
          <cell r="C7199" t="str">
            <v>NG</v>
          </cell>
          <cell r="D7199" t="str">
            <v>200410</v>
          </cell>
          <cell r="E7199">
            <v>4.75</v>
          </cell>
        </row>
        <row r="7200">
          <cell r="A7200" t="str">
            <v/>
          </cell>
          <cell r="B7200">
            <v>37865</v>
          </cell>
          <cell r="C7200" t="str">
            <v>NG</v>
          </cell>
          <cell r="D7200" t="str">
            <v>200411</v>
          </cell>
          <cell r="E7200">
            <v>4.9249999999999998</v>
          </cell>
        </row>
        <row r="7201">
          <cell r="A7201" t="str">
            <v/>
          </cell>
          <cell r="B7201">
            <v>37865</v>
          </cell>
          <cell r="C7201" t="str">
            <v>NG</v>
          </cell>
          <cell r="D7201" t="str">
            <v>200412</v>
          </cell>
          <cell r="E7201">
            <v>5.0960000000000001</v>
          </cell>
        </row>
        <row r="7202">
          <cell r="A7202" t="str">
            <v/>
          </cell>
          <cell r="B7202">
            <v>37866</v>
          </cell>
          <cell r="C7202" t="str">
            <v>NG</v>
          </cell>
          <cell r="D7202" t="str">
            <v>200401</v>
          </cell>
          <cell r="E7202">
            <v>4.984</v>
          </cell>
        </row>
        <row r="7203">
          <cell r="A7203" t="str">
            <v/>
          </cell>
          <cell r="B7203">
            <v>37866</v>
          </cell>
          <cell r="C7203" t="str">
            <v>NG</v>
          </cell>
          <cell r="D7203" t="str">
            <v>200402</v>
          </cell>
          <cell r="E7203">
            <v>5.3029999999999999</v>
          </cell>
        </row>
        <row r="7204">
          <cell r="A7204" t="str">
            <v/>
          </cell>
          <cell r="B7204">
            <v>37866</v>
          </cell>
          <cell r="C7204" t="str">
            <v>NG</v>
          </cell>
          <cell r="D7204" t="str">
            <v>200403</v>
          </cell>
          <cell r="E7204">
            <v>5.2030000000000003</v>
          </cell>
        </row>
        <row r="7205">
          <cell r="A7205" t="str">
            <v/>
          </cell>
          <cell r="B7205">
            <v>37866</v>
          </cell>
          <cell r="C7205" t="str">
            <v>NG</v>
          </cell>
          <cell r="D7205" t="str">
            <v>200404</v>
          </cell>
          <cell r="E7205">
            <v>4.7839999999999998</v>
          </cell>
        </row>
        <row r="7206">
          <cell r="A7206" t="str">
            <v/>
          </cell>
          <cell r="B7206">
            <v>37866</v>
          </cell>
          <cell r="C7206" t="str">
            <v>NG</v>
          </cell>
          <cell r="D7206" t="str">
            <v>200405</v>
          </cell>
          <cell r="E7206">
            <v>4.7030000000000003</v>
          </cell>
        </row>
        <row r="7207">
          <cell r="A7207" t="str">
            <v/>
          </cell>
          <cell r="B7207">
            <v>37866</v>
          </cell>
          <cell r="C7207" t="str">
            <v>NG</v>
          </cell>
          <cell r="D7207" t="str">
            <v>200406</v>
          </cell>
          <cell r="E7207">
            <v>4.7130000000000001</v>
          </cell>
        </row>
        <row r="7208">
          <cell r="A7208" t="str">
            <v/>
          </cell>
          <cell r="B7208">
            <v>37866</v>
          </cell>
          <cell r="C7208" t="str">
            <v>NG</v>
          </cell>
          <cell r="D7208" t="str">
            <v>200407</v>
          </cell>
          <cell r="E7208">
            <v>4.7229999999999999</v>
          </cell>
        </row>
        <row r="7209">
          <cell r="A7209" t="str">
            <v/>
          </cell>
          <cell r="B7209">
            <v>37866</v>
          </cell>
          <cell r="C7209" t="str">
            <v>NG</v>
          </cell>
          <cell r="D7209" t="str">
            <v>200408</v>
          </cell>
          <cell r="E7209">
            <v>4.7229999999999999</v>
          </cell>
        </row>
        <row r="7210">
          <cell r="A7210" t="str">
            <v/>
          </cell>
          <cell r="B7210">
            <v>37866</v>
          </cell>
          <cell r="C7210" t="str">
            <v>NG</v>
          </cell>
          <cell r="D7210" t="str">
            <v>200409</v>
          </cell>
          <cell r="E7210">
            <v>4.7130000000000001</v>
          </cell>
        </row>
        <row r="7211">
          <cell r="A7211" t="str">
            <v/>
          </cell>
          <cell r="B7211">
            <v>37866</v>
          </cell>
          <cell r="C7211" t="str">
            <v>NG</v>
          </cell>
          <cell r="D7211" t="str">
            <v>200410</v>
          </cell>
          <cell r="E7211">
            <v>4.7380000000000004</v>
          </cell>
        </row>
        <row r="7212">
          <cell r="A7212" t="str">
            <v/>
          </cell>
          <cell r="B7212">
            <v>37866</v>
          </cell>
          <cell r="C7212" t="str">
            <v>NG</v>
          </cell>
          <cell r="D7212" t="str">
            <v>200411</v>
          </cell>
          <cell r="E7212">
            <v>4.9130000000000003</v>
          </cell>
        </row>
        <row r="7213">
          <cell r="A7213" t="str">
            <v/>
          </cell>
          <cell r="B7213">
            <v>37866</v>
          </cell>
          <cell r="C7213" t="str">
            <v>NG</v>
          </cell>
          <cell r="D7213" t="str">
            <v>200412</v>
          </cell>
          <cell r="E7213">
            <v>5.0839999999999996</v>
          </cell>
        </row>
        <row r="7214">
          <cell r="A7214" t="str">
            <v/>
          </cell>
          <cell r="B7214">
            <v>37867</v>
          </cell>
          <cell r="C7214" t="str">
            <v>NG</v>
          </cell>
          <cell r="D7214" t="str">
            <v>200401</v>
          </cell>
          <cell r="E7214">
            <v>5.4059999999999997</v>
          </cell>
        </row>
        <row r="7215">
          <cell r="A7215" t="str">
            <v/>
          </cell>
          <cell r="B7215">
            <v>37867</v>
          </cell>
          <cell r="C7215" t="str">
            <v>NG</v>
          </cell>
          <cell r="D7215" t="str">
            <v>200402</v>
          </cell>
          <cell r="E7215">
            <v>5.3559999999999999</v>
          </cell>
        </row>
        <row r="7216">
          <cell r="A7216" t="str">
            <v/>
          </cell>
          <cell r="B7216">
            <v>37867</v>
          </cell>
          <cell r="C7216" t="str">
            <v>NG</v>
          </cell>
          <cell r="D7216" t="str">
            <v>200403</v>
          </cell>
          <cell r="E7216">
            <v>5.2560000000000002</v>
          </cell>
        </row>
        <row r="7217">
          <cell r="A7217" t="str">
            <v/>
          </cell>
          <cell r="B7217">
            <v>37867</v>
          </cell>
          <cell r="C7217" t="str">
            <v>NG</v>
          </cell>
          <cell r="D7217" t="str">
            <v>200404</v>
          </cell>
          <cell r="E7217">
            <v>4.8170000000000002</v>
          </cell>
        </row>
        <row r="7218">
          <cell r="A7218" t="str">
            <v/>
          </cell>
          <cell r="B7218">
            <v>37867</v>
          </cell>
          <cell r="C7218" t="str">
            <v>NG</v>
          </cell>
          <cell r="D7218" t="str">
            <v>200405</v>
          </cell>
          <cell r="E7218">
            <v>4.7359999999999998</v>
          </cell>
        </row>
        <row r="7219">
          <cell r="A7219" t="str">
            <v/>
          </cell>
          <cell r="B7219">
            <v>37867</v>
          </cell>
          <cell r="C7219" t="str">
            <v>NG</v>
          </cell>
          <cell r="D7219" t="str">
            <v>200406</v>
          </cell>
          <cell r="E7219">
            <v>4.7409999999999997</v>
          </cell>
        </row>
        <row r="7220">
          <cell r="A7220" t="str">
            <v/>
          </cell>
          <cell r="B7220">
            <v>37867</v>
          </cell>
          <cell r="C7220" t="str">
            <v>NG</v>
          </cell>
          <cell r="D7220" t="str">
            <v>200407</v>
          </cell>
          <cell r="E7220">
            <v>4.7460000000000004</v>
          </cell>
        </row>
        <row r="7221">
          <cell r="A7221" t="str">
            <v/>
          </cell>
          <cell r="B7221">
            <v>37867</v>
          </cell>
          <cell r="C7221" t="str">
            <v>NG</v>
          </cell>
          <cell r="D7221" t="str">
            <v>200408</v>
          </cell>
          <cell r="E7221">
            <v>4.7510000000000003</v>
          </cell>
        </row>
        <row r="7222">
          <cell r="A7222" t="str">
            <v/>
          </cell>
          <cell r="B7222">
            <v>37867</v>
          </cell>
          <cell r="C7222" t="str">
            <v>NG</v>
          </cell>
          <cell r="D7222" t="str">
            <v>200409</v>
          </cell>
          <cell r="E7222">
            <v>4.7380000000000004</v>
          </cell>
        </row>
        <row r="7223">
          <cell r="A7223" t="str">
            <v/>
          </cell>
          <cell r="B7223">
            <v>37867</v>
          </cell>
          <cell r="C7223" t="str">
            <v>NG</v>
          </cell>
          <cell r="D7223" t="str">
            <v>200410</v>
          </cell>
          <cell r="E7223">
            <v>4.7629999999999999</v>
          </cell>
        </row>
        <row r="7224">
          <cell r="A7224" t="str">
            <v/>
          </cell>
          <cell r="B7224">
            <v>37867</v>
          </cell>
          <cell r="C7224" t="str">
            <v>NG</v>
          </cell>
          <cell r="D7224" t="str">
            <v>200411</v>
          </cell>
          <cell r="E7224">
            <v>4.9329999999999998</v>
          </cell>
        </row>
        <row r="7225">
          <cell r="A7225" t="str">
            <v/>
          </cell>
          <cell r="B7225">
            <v>37867</v>
          </cell>
          <cell r="C7225" t="str">
            <v>NG</v>
          </cell>
          <cell r="D7225" t="str">
            <v>200412</v>
          </cell>
          <cell r="E7225">
            <v>5.101</v>
          </cell>
        </row>
        <row r="7226">
          <cell r="A7226" t="str">
            <v/>
          </cell>
          <cell r="B7226">
            <v>37868</v>
          </cell>
          <cell r="C7226" t="str">
            <v>NG</v>
          </cell>
          <cell r="D7226" t="str">
            <v>200401</v>
          </cell>
          <cell r="E7226">
            <v>5.4619999999999997</v>
          </cell>
        </row>
        <row r="7227">
          <cell r="A7227" t="str">
            <v/>
          </cell>
          <cell r="B7227">
            <v>37868</v>
          </cell>
          <cell r="C7227" t="str">
            <v>NG</v>
          </cell>
          <cell r="D7227" t="str">
            <v>200402</v>
          </cell>
          <cell r="E7227">
            <v>5.4119999999999999</v>
          </cell>
        </row>
        <row r="7228">
          <cell r="A7228" t="str">
            <v/>
          </cell>
          <cell r="B7228">
            <v>37868</v>
          </cell>
          <cell r="C7228" t="str">
            <v>NG</v>
          </cell>
          <cell r="D7228" t="str">
            <v>200403</v>
          </cell>
          <cell r="E7228">
            <v>5.3120000000000003</v>
          </cell>
        </row>
        <row r="7229">
          <cell r="A7229" t="str">
            <v/>
          </cell>
          <cell r="B7229">
            <v>37868</v>
          </cell>
          <cell r="C7229" t="str">
            <v>NG</v>
          </cell>
          <cell r="D7229" t="str">
            <v>200404</v>
          </cell>
          <cell r="E7229">
            <v>4.8719999999999999</v>
          </cell>
        </row>
        <row r="7230">
          <cell r="A7230" t="str">
            <v/>
          </cell>
          <cell r="B7230">
            <v>37868</v>
          </cell>
          <cell r="C7230" t="str">
            <v>NG</v>
          </cell>
          <cell r="D7230" t="str">
            <v>200405</v>
          </cell>
          <cell r="E7230">
            <v>4.782</v>
          </cell>
        </row>
        <row r="7231">
          <cell r="A7231" t="str">
            <v/>
          </cell>
          <cell r="B7231">
            <v>37868</v>
          </cell>
          <cell r="C7231" t="str">
            <v>NG</v>
          </cell>
          <cell r="D7231" t="str">
            <v>200406</v>
          </cell>
          <cell r="E7231">
            <v>4.7869999999999999</v>
          </cell>
        </row>
        <row r="7232">
          <cell r="A7232" t="str">
            <v/>
          </cell>
          <cell r="B7232">
            <v>37868</v>
          </cell>
          <cell r="C7232" t="str">
            <v>NG</v>
          </cell>
          <cell r="D7232" t="str">
            <v>200407</v>
          </cell>
          <cell r="E7232">
            <v>4.7850000000000001</v>
          </cell>
        </row>
        <row r="7233">
          <cell r="A7233" t="str">
            <v/>
          </cell>
          <cell r="B7233">
            <v>37868</v>
          </cell>
          <cell r="C7233" t="str">
            <v>NG</v>
          </cell>
          <cell r="D7233" t="str">
            <v>200408</v>
          </cell>
          <cell r="E7233">
            <v>4.782</v>
          </cell>
        </row>
        <row r="7234">
          <cell r="A7234" t="str">
            <v/>
          </cell>
          <cell r="B7234">
            <v>37868</v>
          </cell>
          <cell r="C7234" t="str">
            <v>NG</v>
          </cell>
          <cell r="D7234" t="str">
            <v>200409</v>
          </cell>
          <cell r="E7234">
            <v>4.7519999999999998</v>
          </cell>
        </row>
        <row r="7235">
          <cell r="A7235" t="str">
            <v/>
          </cell>
          <cell r="B7235">
            <v>37868</v>
          </cell>
          <cell r="C7235" t="str">
            <v>NG</v>
          </cell>
          <cell r="D7235" t="str">
            <v>200410</v>
          </cell>
          <cell r="E7235">
            <v>4.7720000000000002</v>
          </cell>
        </row>
        <row r="7236">
          <cell r="A7236" t="str">
            <v/>
          </cell>
          <cell r="B7236">
            <v>37868</v>
          </cell>
          <cell r="C7236" t="str">
            <v>NG</v>
          </cell>
          <cell r="D7236" t="str">
            <v>200411</v>
          </cell>
          <cell r="E7236">
            <v>4.9349999999999996</v>
          </cell>
        </row>
        <row r="7237">
          <cell r="A7237" t="str">
            <v/>
          </cell>
          <cell r="B7237">
            <v>37868</v>
          </cell>
          <cell r="C7237" t="str">
            <v>NG</v>
          </cell>
          <cell r="D7237" t="str">
            <v>200412</v>
          </cell>
          <cell r="E7237">
            <v>5.0970000000000004</v>
          </cell>
        </row>
        <row r="7238">
          <cell r="A7238" t="str">
            <v/>
          </cell>
          <cell r="B7238">
            <v>37869</v>
          </cell>
          <cell r="C7238" t="str">
            <v>NG</v>
          </cell>
          <cell r="D7238" t="str">
            <v>200401</v>
          </cell>
          <cell r="E7238">
            <v>5.4470000000000001</v>
          </cell>
        </row>
        <row r="7239">
          <cell r="A7239" t="str">
            <v/>
          </cell>
          <cell r="B7239">
            <v>37869</v>
          </cell>
          <cell r="C7239" t="str">
            <v>NG</v>
          </cell>
          <cell r="D7239" t="str">
            <v>200402</v>
          </cell>
          <cell r="E7239">
            <v>5.3949999999999996</v>
          </cell>
        </row>
        <row r="7240">
          <cell r="A7240" t="str">
            <v/>
          </cell>
          <cell r="B7240">
            <v>37869</v>
          </cell>
          <cell r="C7240" t="str">
            <v>NG</v>
          </cell>
          <cell r="D7240" t="str">
            <v>200403</v>
          </cell>
          <cell r="E7240">
            <v>5.2949999999999999</v>
          </cell>
        </row>
        <row r="7241">
          <cell r="A7241" t="str">
            <v/>
          </cell>
          <cell r="B7241">
            <v>37869</v>
          </cell>
          <cell r="C7241" t="str">
            <v>NG</v>
          </cell>
          <cell r="D7241" t="str">
            <v>200404</v>
          </cell>
          <cell r="E7241">
            <v>4.8630000000000004</v>
          </cell>
        </row>
        <row r="7242">
          <cell r="A7242" t="str">
            <v/>
          </cell>
          <cell r="B7242">
            <v>37869</v>
          </cell>
          <cell r="C7242" t="str">
            <v>NG</v>
          </cell>
          <cell r="D7242" t="str">
            <v>200405</v>
          </cell>
          <cell r="E7242">
            <v>4.7750000000000004</v>
          </cell>
        </row>
        <row r="7243">
          <cell r="A7243" t="str">
            <v/>
          </cell>
          <cell r="B7243">
            <v>37869</v>
          </cell>
          <cell r="C7243" t="str">
            <v>NG</v>
          </cell>
          <cell r="D7243" t="str">
            <v>200406</v>
          </cell>
          <cell r="E7243">
            <v>4.78</v>
          </cell>
        </row>
        <row r="7244">
          <cell r="A7244" t="str">
            <v/>
          </cell>
          <cell r="B7244">
            <v>37869</v>
          </cell>
          <cell r="C7244" t="str">
            <v>NG</v>
          </cell>
          <cell r="D7244" t="str">
            <v>200407</v>
          </cell>
          <cell r="E7244">
            <v>4.78</v>
          </cell>
        </row>
        <row r="7245">
          <cell r="A7245" t="str">
            <v/>
          </cell>
          <cell r="B7245">
            <v>37869</v>
          </cell>
          <cell r="C7245" t="str">
            <v>NG</v>
          </cell>
          <cell r="D7245" t="str">
            <v>200408</v>
          </cell>
          <cell r="E7245">
            <v>4.7850000000000001</v>
          </cell>
        </row>
        <row r="7246">
          <cell r="A7246" t="str">
            <v/>
          </cell>
          <cell r="B7246">
            <v>37869</v>
          </cell>
          <cell r="C7246" t="str">
            <v>NG</v>
          </cell>
          <cell r="D7246" t="str">
            <v>200409</v>
          </cell>
          <cell r="E7246">
            <v>4.76</v>
          </cell>
        </row>
        <row r="7247">
          <cell r="A7247" t="str">
            <v/>
          </cell>
          <cell r="B7247">
            <v>37869</v>
          </cell>
          <cell r="C7247" t="str">
            <v>NG</v>
          </cell>
          <cell r="D7247" t="str">
            <v>200410</v>
          </cell>
          <cell r="E7247">
            <v>4.78</v>
          </cell>
        </row>
        <row r="7248">
          <cell r="A7248" t="str">
            <v/>
          </cell>
          <cell r="B7248">
            <v>37869</v>
          </cell>
          <cell r="C7248" t="str">
            <v>NG</v>
          </cell>
          <cell r="D7248" t="str">
            <v>200411</v>
          </cell>
          <cell r="E7248">
            <v>4.9349999999999996</v>
          </cell>
        </row>
        <row r="7249">
          <cell r="A7249" t="str">
            <v/>
          </cell>
          <cell r="B7249">
            <v>37869</v>
          </cell>
          <cell r="C7249" t="str">
            <v>NG</v>
          </cell>
          <cell r="D7249" t="str">
            <v>200412</v>
          </cell>
          <cell r="E7249">
            <v>5.0890000000000004</v>
          </cell>
        </row>
        <row r="7250">
          <cell r="A7250" t="str">
            <v/>
          </cell>
          <cell r="B7250">
            <v>37870</v>
          </cell>
          <cell r="C7250" t="str">
            <v>NG</v>
          </cell>
          <cell r="D7250" t="str">
            <v>200401</v>
          </cell>
          <cell r="E7250">
            <v>5.4470000000000001</v>
          </cell>
        </row>
        <row r="7251">
          <cell r="A7251" t="str">
            <v/>
          </cell>
          <cell r="B7251">
            <v>37870</v>
          </cell>
          <cell r="C7251" t="str">
            <v>NG</v>
          </cell>
          <cell r="D7251" t="str">
            <v>200402</v>
          </cell>
          <cell r="E7251">
            <v>5.3949999999999996</v>
          </cell>
        </row>
        <row r="7252">
          <cell r="A7252" t="str">
            <v/>
          </cell>
          <cell r="B7252">
            <v>37870</v>
          </cell>
          <cell r="C7252" t="str">
            <v>NG</v>
          </cell>
          <cell r="D7252" t="str">
            <v>200403</v>
          </cell>
          <cell r="E7252">
            <v>5.2949999999999999</v>
          </cell>
        </row>
        <row r="7253">
          <cell r="A7253" t="str">
            <v/>
          </cell>
          <cell r="B7253">
            <v>37870</v>
          </cell>
          <cell r="C7253" t="str">
            <v>NG</v>
          </cell>
          <cell r="D7253" t="str">
            <v>200404</v>
          </cell>
          <cell r="E7253">
            <v>4.8630000000000004</v>
          </cell>
        </row>
        <row r="7254">
          <cell r="A7254" t="str">
            <v/>
          </cell>
          <cell r="B7254">
            <v>37870</v>
          </cell>
          <cell r="C7254" t="str">
            <v>NG</v>
          </cell>
          <cell r="D7254" t="str">
            <v>200405</v>
          </cell>
          <cell r="E7254">
            <v>4.7750000000000004</v>
          </cell>
        </row>
        <row r="7255">
          <cell r="A7255" t="str">
            <v/>
          </cell>
          <cell r="B7255">
            <v>37870</v>
          </cell>
          <cell r="C7255" t="str">
            <v>NG</v>
          </cell>
          <cell r="D7255" t="str">
            <v>200406</v>
          </cell>
          <cell r="E7255">
            <v>4.78</v>
          </cell>
        </row>
        <row r="7256">
          <cell r="A7256" t="str">
            <v/>
          </cell>
          <cell r="B7256">
            <v>37870</v>
          </cell>
          <cell r="C7256" t="str">
            <v>NG</v>
          </cell>
          <cell r="D7256" t="str">
            <v>200407</v>
          </cell>
          <cell r="E7256">
            <v>4.78</v>
          </cell>
        </row>
        <row r="7257">
          <cell r="A7257" t="str">
            <v/>
          </cell>
          <cell r="B7257">
            <v>37870</v>
          </cell>
          <cell r="C7257" t="str">
            <v>NG</v>
          </cell>
          <cell r="D7257" t="str">
            <v>200408</v>
          </cell>
          <cell r="E7257">
            <v>4.7850000000000001</v>
          </cell>
        </row>
        <row r="7258">
          <cell r="A7258" t="str">
            <v/>
          </cell>
          <cell r="B7258">
            <v>37870</v>
          </cell>
          <cell r="C7258" t="str">
            <v>NG</v>
          </cell>
          <cell r="D7258" t="str">
            <v>200409</v>
          </cell>
          <cell r="E7258">
            <v>4.76</v>
          </cell>
        </row>
        <row r="7259">
          <cell r="A7259" t="str">
            <v/>
          </cell>
          <cell r="B7259">
            <v>37870</v>
          </cell>
          <cell r="C7259" t="str">
            <v>NG</v>
          </cell>
          <cell r="D7259" t="str">
            <v>200410</v>
          </cell>
          <cell r="E7259">
            <v>4.78</v>
          </cell>
        </row>
        <row r="7260">
          <cell r="A7260" t="str">
            <v/>
          </cell>
          <cell r="B7260">
            <v>37870</v>
          </cell>
          <cell r="C7260" t="str">
            <v>NG</v>
          </cell>
          <cell r="D7260" t="str">
            <v>200411</v>
          </cell>
          <cell r="E7260">
            <v>4.9349999999999996</v>
          </cell>
        </row>
        <row r="7261">
          <cell r="A7261" t="str">
            <v/>
          </cell>
          <cell r="B7261">
            <v>37870</v>
          </cell>
          <cell r="C7261" t="str">
            <v>NG</v>
          </cell>
          <cell r="D7261" t="str">
            <v>200412</v>
          </cell>
          <cell r="E7261">
            <v>5.0890000000000004</v>
          </cell>
        </row>
        <row r="7262">
          <cell r="A7262" t="str">
            <v/>
          </cell>
          <cell r="B7262">
            <v>37871</v>
          </cell>
          <cell r="C7262" t="str">
            <v>NG</v>
          </cell>
          <cell r="D7262" t="str">
            <v>200401</v>
          </cell>
          <cell r="E7262">
            <v>5.4470000000000001</v>
          </cell>
        </row>
        <row r="7263">
          <cell r="A7263" t="str">
            <v/>
          </cell>
          <cell r="B7263">
            <v>37871</v>
          </cell>
          <cell r="C7263" t="str">
            <v>NG</v>
          </cell>
          <cell r="D7263" t="str">
            <v>200402</v>
          </cell>
          <cell r="E7263">
            <v>5.3949999999999996</v>
          </cell>
        </row>
        <row r="7264">
          <cell r="A7264" t="str">
            <v/>
          </cell>
          <cell r="B7264">
            <v>37871</v>
          </cell>
          <cell r="C7264" t="str">
            <v>NG</v>
          </cell>
          <cell r="D7264" t="str">
            <v>200403</v>
          </cell>
          <cell r="E7264">
            <v>5.2949999999999999</v>
          </cell>
        </row>
        <row r="7265">
          <cell r="A7265" t="str">
            <v/>
          </cell>
          <cell r="B7265">
            <v>37871</v>
          </cell>
          <cell r="C7265" t="str">
            <v>NG</v>
          </cell>
          <cell r="D7265" t="str">
            <v>200404</v>
          </cell>
          <cell r="E7265">
            <v>4.8630000000000004</v>
          </cell>
        </row>
        <row r="7266">
          <cell r="A7266" t="str">
            <v/>
          </cell>
          <cell r="B7266">
            <v>37871</v>
          </cell>
          <cell r="C7266" t="str">
            <v>NG</v>
          </cell>
          <cell r="D7266" t="str">
            <v>200405</v>
          </cell>
          <cell r="E7266">
            <v>4.7750000000000004</v>
          </cell>
        </row>
        <row r="7267">
          <cell r="A7267" t="str">
            <v/>
          </cell>
          <cell r="B7267">
            <v>37871</v>
          </cell>
          <cell r="C7267" t="str">
            <v>NG</v>
          </cell>
          <cell r="D7267" t="str">
            <v>200406</v>
          </cell>
          <cell r="E7267">
            <v>4.78</v>
          </cell>
        </row>
        <row r="7268">
          <cell r="A7268" t="str">
            <v/>
          </cell>
          <cell r="B7268">
            <v>37871</v>
          </cell>
          <cell r="C7268" t="str">
            <v>NG</v>
          </cell>
          <cell r="D7268" t="str">
            <v>200407</v>
          </cell>
          <cell r="E7268">
            <v>4.78</v>
          </cell>
        </row>
        <row r="7269">
          <cell r="A7269" t="str">
            <v/>
          </cell>
          <cell r="B7269">
            <v>37871</v>
          </cell>
          <cell r="C7269" t="str">
            <v>NG</v>
          </cell>
          <cell r="D7269" t="str">
            <v>200408</v>
          </cell>
          <cell r="E7269">
            <v>4.7850000000000001</v>
          </cell>
        </row>
        <row r="7270">
          <cell r="A7270" t="str">
            <v/>
          </cell>
          <cell r="B7270">
            <v>37871</v>
          </cell>
          <cell r="C7270" t="str">
            <v>NG</v>
          </cell>
          <cell r="D7270" t="str">
            <v>200409</v>
          </cell>
          <cell r="E7270">
            <v>4.76</v>
          </cell>
        </row>
        <row r="7271">
          <cell r="A7271" t="str">
            <v/>
          </cell>
          <cell r="B7271">
            <v>37871</v>
          </cell>
          <cell r="C7271" t="str">
            <v>NG</v>
          </cell>
          <cell r="D7271" t="str">
            <v>200410</v>
          </cell>
          <cell r="E7271">
            <v>4.78</v>
          </cell>
        </row>
        <row r="7272">
          <cell r="A7272" t="str">
            <v/>
          </cell>
          <cell r="B7272">
            <v>37871</v>
          </cell>
          <cell r="C7272" t="str">
            <v>NG</v>
          </cell>
          <cell r="D7272" t="str">
            <v>200411</v>
          </cell>
          <cell r="E7272">
            <v>4.9349999999999996</v>
          </cell>
        </row>
        <row r="7273">
          <cell r="A7273" t="str">
            <v/>
          </cell>
          <cell r="B7273">
            <v>37871</v>
          </cell>
          <cell r="C7273" t="str">
            <v>NG</v>
          </cell>
          <cell r="D7273" t="str">
            <v>200412</v>
          </cell>
          <cell r="E7273">
            <v>5.0890000000000004</v>
          </cell>
        </row>
        <row r="7274">
          <cell r="A7274" t="str">
            <v/>
          </cell>
          <cell r="B7274">
            <v>37872</v>
          </cell>
          <cell r="C7274" t="str">
            <v>NG</v>
          </cell>
          <cell r="D7274" t="str">
            <v>200401</v>
          </cell>
          <cell r="E7274">
            <v>5.3540000000000001</v>
          </cell>
        </row>
        <row r="7275">
          <cell r="A7275" t="str">
            <v/>
          </cell>
          <cell r="B7275">
            <v>37872</v>
          </cell>
          <cell r="C7275" t="str">
            <v>NG</v>
          </cell>
          <cell r="D7275" t="str">
            <v>200402</v>
          </cell>
          <cell r="E7275">
            <v>5.3040000000000003</v>
          </cell>
        </row>
        <row r="7276">
          <cell r="A7276" t="str">
            <v/>
          </cell>
          <cell r="B7276">
            <v>37872</v>
          </cell>
          <cell r="C7276" t="str">
            <v>NG</v>
          </cell>
          <cell r="D7276" t="str">
            <v>200403</v>
          </cell>
          <cell r="E7276">
            <v>5.2089999999999996</v>
          </cell>
        </row>
        <row r="7277">
          <cell r="A7277" t="str">
            <v/>
          </cell>
          <cell r="B7277">
            <v>37872</v>
          </cell>
          <cell r="C7277" t="str">
            <v>NG</v>
          </cell>
          <cell r="D7277" t="str">
            <v>200404</v>
          </cell>
          <cell r="E7277">
            <v>4.7889999999999997</v>
          </cell>
        </row>
        <row r="7278">
          <cell r="A7278" t="str">
            <v/>
          </cell>
          <cell r="B7278">
            <v>37872</v>
          </cell>
          <cell r="C7278" t="str">
            <v>NG</v>
          </cell>
          <cell r="D7278" t="str">
            <v>200405</v>
          </cell>
          <cell r="E7278">
            <v>4.7039999999999997</v>
          </cell>
        </row>
        <row r="7279">
          <cell r="A7279" t="str">
            <v/>
          </cell>
          <cell r="B7279">
            <v>37872</v>
          </cell>
          <cell r="C7279" t="str">
            <v>NG</v>
          </cell>
          <cell r="D7279" t="str">
            <v>200406</v>
          </cell>
          <cell r="E7279">
            <v>4.7110000000000003</v>
          </cell>
        </row>
        <row r="7280">
          <cell r="A7280" t="str">
            <v/>
          </cell>
          <cell r="B7280">
            <v>37872</v>
          </cell>
          <cell r="C7280" t="str">
            <v>NG</v>
          </cell>
          <cell r="D7280" t="str">
            <v>200407</v>
          </cell>
          <cell r="E7280">
            <v>4.7130000000000001</v>
          </cell>
        </row>
        <row r="7281">
          <cell r="A7281" t="str">
            <v/>
          </cell>
          <cell r="B7281">
            <v>37872</v>
          </cell>
          <cell r="C7281" t="str">
            <v>NG</v>
          </cell>
          <cell r="D7281" t="str">
            <v>200408</v>
          </cell>
          <cell r="E7281">
            <v>4.7210000000000001</v>
          </cell>
        </row>
        <row r="7282">
          <cell r="A7282" t="str">
            <v/>
          </cell>
          <cell r="B7282">
            <v>37872</v>
          </cell>
          <cell r="C7282" t="str">
            <v>NG</v>
          </cell>
          <cell r="D7282" t="str">
            <v>200409</v>
          </cell>
          <cell r="E7282">
            <v>4.7060000000000004</v>
          </cell>
        </row>
        <row r="7283">
          <cell r="A7283" t="str">
            <v/>
          </cell>
          <cell r="B7283">
            <v>37872</v>
          </cell>
          <cell r="C7283" t="str">
            <v>NG</v>
          </cell>
          <cell r="D7283" t="str">
            <v>200410</v>
          </cell>
          <cell r="E7283">
            <v>4.7210000000000001</v>
          </cell>
        </row>
        <row r="7284">
          <cell r="A7284" t="str">
            <v/>
          </cell>
          <cell r="B7284">
            <v>37872</v>
          </cell>
          <cell r="C7284" t="str">
            <v>NG</v>
          </cell>
          <cell r="D7284" t="str">
            <v>200411</v>
          </cell>
          <cell r="E7284">
            <v>4.8760000000000003</v>
          </cell>
        </row>
        <row r="7285">
          <cell r="A7285" t="str">
            <v/>
          </cell>
          <cell r="B7285">
            <v>37872</v>
          </cell>
          <cell r="C7285" t="str">
            <v>NG</v>
          </cell>
          <cell r="D7285" t="str">
            <v>200412</v>
          </cell>
          <cell r="E7285">
            <v>5.03</v>
          </cell>
        </row>
        <row r="7286">
          <cell r="A7286" t="str">
            <v/>
          </cell>
          <cell r="B7286">
            <v>37873</v>
          </cell>
          <cell r="C7286" t="str">
            <v>NG</v>
          </cell>
          <cell r="D7286" t="str">
            <v>200401</v>
          </cell>
          <cell r="E7286">
            <v>5.3920000000000003</v>
          </cell>
        </row>
        <row r="7287">
          <cell r="A7287" t="str">
            <v/>
          </cell>
          <cell r="B7287">
            <v>37873</v>
          </cell>
          <cell r="C7287" t="str">
            <v>NG</v>
          </cell>
          <cell r="D7287" t="str">
            <v>200402</v>
          </cell>
          <cell r="E7287">
            <v>5.335</v>
          </cell>
        </row>
        <row r="7288">
          <cell r="A7288" t="str">
            <v/>
          </cell>
          <cell r="B7288">
            <v>37873</v>
          </cell>
          <cell r="C7288" t="str">
            <v>NG</v>
          </cell>
          <cell r="D7288" t="str">
            <v>200403</v>
          </cell>
          <cell r="E7288">
            <v>5.2370000000000001</v>
          </cell>
        </row>
        <row r="7289">
          <cell r="A7289" t="str">
            <v/>
          </cell>
          <cell r="B7289">
            <v>37873</v>
          </cell>
          <cell r="C7289" t="str">
            <v>NG</v>
          </cell>
          <cell r="D7289" t="str">
            <v>200404</v>
          </cell>
          <cell r="E7289">
            <v>4.827</v>
          </cell>
        </row>
        <row r="7290">
          <cell r="A7290" t="str">
            <v/>
          </cell>
          <cell r="B7290">
            <v>37873</v>
          </cell>
          <cell r="C7290" t="str">
            <v>NG</v>
          </cell>
          <cell r="D7290" t="str">
            <v>200405</v>
          </cell>
          <cell r="E7290">
            <v>4.74</v>
          </cell>
        </row>
        <row r="7291">
          <cell r="A7291" t="str">
            <v/>
          </cell>
          <cell r="B7291">
            <v>37873</v>
          </cell>
          <cell r="C7291" t="str">
            <v>NG</v>
          </cell>
          <cell r="D7291" t="str">
            <v>200406</v>
          </cell>
          <cell r="E7291">
            <v>4.7450000000000001</v>
          </cell>
        </row>
        <row r="7292">
          <cell r="A7292" t="str">
            <v/>
          </cell>
          <cell r="B7292">
            <v>37873</v>
          </cell>
          <cell r="C7292" t="str">
            <v>NG</v>
          </cell>
          <cell r="D7292" t="str">
            <v>200407</v>
          </cell>
          <cell r="E7292">
            <v>4.7469999999999999</v>
          </cell>
        </row>
        <row r="7293">
          <cell r="A7293" t="str">
            <v/>
          </cell>
          <cell r="B7293">
            <v>37873</v>
          </cell>
          <cell r="C7293" t="str">
            <v>NG</v>
          </cell>
          <cell r="D7293" t="str">
            <v>200408</v>
          </cell>
          <cell r="E7293">
            <v>4.7549999999999999</v>
          </cell>
        </row>
        <row r="7294">
          <cell r="A7294" t="str">
            <v/>
          </cell>
          <cell r="B7294">
            <v>37873</v>
          </cell>
          <cell r="C7294" t="str">
            <v>NG</v>
          </cell>
          <cell r="D7294" t="str">
            <v>200409</v>
          </cell>
          <cell r="E7294">
            <v>4.75</v>
          </cell>
        </row>
        <row r="7295">
          <cell r="A7295" t="str">
            <v/>
          </cell>
          <cell r="B7295">
            <v>37873</v>
          </cell>
          <cell r="C7295" t="str">
            <v>NG</v>
          </cell>
          <cell r="D7295" t="str">
            <v>200410</v>
          </cell>
          <cell r="E7295">
            <v>4.7549999999999999</v>
          </cell>
        </row>
        <row r="7296">
          <cell r="A7296" t="str">
            <v/>
          </cell>
          <cell r="B7296">
            <v>37873</v>
          </cell>
          <cell r="C7296" t="str">
            <v>NG</v>
          </cell>
          <cell r="D7296" t="str">
            <v>200411</v>
          </cell>
          <cell r="E7296">
            <v>4.9080000000000004</v>
          </cell>
        </row>
        <row r="7297">
          <cell r="A7297" t="str">
            <v/>
          </cell>
          <cell r="B7297">
            <v>37873</v>
          </cell>
          <cell r="C7297" t="str">
            <v>NG</v>
          </cell>
          <cell r="D7297" t="str">
            <v>200412</v>
          </cell>
          <cell r="E7297">
            <v>5.0590000000000002</v>
          </cell>
        </row>
        <row r="7298">
          <cell r="A7298" t="str">
            <v/>
          </cell>
          <cell r="B7298">
            <v>37874</v>
          </cell>
          <cell r="C7298" t="str">
            <v>NG</v>
          </cell>
          <cell r="D7298" t="str">
            <v>200401</v>
          </cell>
          <cell r="E7298">
            <v>5.5759999999999996</v>
          </cell>
        </row>
        <row r="7299">
          <cell r="A7299" t="str">
            <v/>
          </cell>
          <cell r="B7299">
            <v>37874</v>
          </cell>
          <cell r="C7299" t="str">
            <v>NG</v>
          </cell>
          <cell r="D7299" t="str">
            <v>200402</v>
          </cell>
          <cell r="E7299">
            <v>5.508</v>
          </cell>
        </row>
        <row r="7300">
          <cell r="A7300" t="str">
            <v/>
          </cell>
          <cell r="B7300">
            <v>37874</v>
          </cell>
          <cell r="C7300" t="str">
            <v>NG</v>
          </cell>
          <cell r="D7300" t="str">
            <v>200403</v>
          </cell>
          <cell r="E7300">
            <v>5.3979999999999997</v>
          </cell>
        </row>
        <row r="7301">
          <cell r="A7301" t="str">
            <v/>
          </cell>
          <cell r="B7301">
            <v>37874</v>
          </cell>
          <cell r="C7301" t="str">
            <v>NG</v>
          </cell>
          <cell r="D7301" t="str">
            <v>200404</v>
          </cell>
          <cell r="E7301">
            <v>4.9279999999999999</v>
          </cell>
        </row>
        <row r="7302">
          <cell r="A7302" t="str">
            <v/>
          </cell>
          <cell r="B7302">
            <v>37874</v>
          </cell>
          <cell r="C7302" t="str">
            <v>NG</v>
          </cell>
          <cell r="D7302" t="str">
            <v>200405</v>
          </cell>
          <cell r="E7302">
            <v>4.835</v>
          </cell>
        </row>
        <row r="7303">
          <cell r="A7303" t="str">
            <v/>
          </cell>
          <cell r="B7303">
            <v>37874</v>
          </cell>
          <cell r="C7303" t="str">
            <v>NG</v>
          </cell>
          <cell r="D7303" t="str">
            <v>200406</v>
          </cell>
          <cell r="E7303">
            <v>4.835</v>
          </cell>
        </row>
        <row r="7304">
          <cell r="A7304" t="str">
            <v/>
          </cell>
          <cell r="B7304">
            <v>37874</v>
          </cell>
          <cell r="C7304" t="str">
            <v>NG</v>
          </cell>
          <cell r="D7304" t="str">
            <v>200407</v>
          </cell>
          <cell r="E7304">
            <v>4.8250000000000002</v>
          </cell>
        </row>
        <row r="7305">
          <cell r="A7305" t="str">
            <v/>
          </cell>
          <cell r="B7305">
            <v>37874</v>
          </cell>
          <cell r="C7305" t="str">
            <v>NG</v>
          </cell>
          <cell r="D7305" t="str">
            <v>200408</v>
          </cell>
          <cell r="E7305">
            <v>4.8250000000000002</v>
          </cell>
        </row>
        <row r="7306">
          <cell r="A7306" t="str">
            <v/>
          </cell>
          <cell r="B7306">
            <v>37874</v>
          </cell>
          <cell r="C7306" t="str">
            <v>NG</v>
          </cell>
          <cell r="D7306" t="str">
            <v>200409</v>
          </cell>
          <cell r="E7306">
            <v>4.8150000000000004</v>
          </cell>
        </row>
        <row r="7307">
          <cell r="A7307" t="str">
            <v/>
          </cell>
          <cell r="B7307">
            <v>37874</v>
          </cell>
          <cell r="C7307" t="str">
            <v>NG</v>
          </cell>
          <cell r="D7307" t="str">
            <v>200410</v>
          </cell>
          <cell r="E7307">
            <v>4.8150000000000004</v>
          </cell>
        </row>
        <row r="7308">
          <cell r="A7308" t="str">
            <v/>
          </cell>
          <cell r="B7308">
            <v>37874</v>
          </cell>
          <cell r="C7308" t="str">
            <v>NG</v>
          </cell>
          <cell r="D7308" t="str">
            <v>200411</v>
          </cell>
          <cell r="E7308">
            <v>4.9649999999999999</v>
          </cell>
        </row>
        <row r="7309">
          <cell r="A7309" t="str">
            <v/>
          </cell>
          <cell r="B7309">
            <v>37874</v>
          </cell>
          <cell r="C7309" t="str">
            <v>NG</v>
          </cell>
          <cell r="D7309" t="str">
            <v>200412</v>
          </cell>
          <cell r="E7309">
            <v>5.1150000000000002</v>
          </cell>
        </row>
        <row r="7310">
          <cell r="A7310" t="str">
            <v/>
          </cell>
          <cell r="B7310">
            <v>37875</v>
          </cell>
          <cell r="C7310" t="str">
            <v>NG</v>
          </cell>
          <cell r="D7310" t="str">
            <v>200401</v>
          </cell>
          <cell r="E7310">
            <v>5.4320000000000004</v>
          </cell>
        </row>
        <row r="7311">
          <cell r="A7311" t="str">
            <v/>
          </cell>
          <cell r="B7311">
            <v>37875</v>
          </cell>
          <cell r="C7311" t="str">
            <v>NG</v>
          </cell>
          <cell r="D7311" t="str">
            <v>200402</v>
          </cell>
          <cell r="E7311">
            <v>5.3719999999999999</v>
          </cell>
        </row>
        <row r="7312">
          <cell r="A7312" t="str">
            <v/>
          </cell>
          <cell r="B7312">
            <v>37875</v>
          </cell>
          <cell r="C7312" t="str">
            <v>NG</v>
          </cell>
          <cell r="D7312" t="str">
            <v>200403</v>
          </cell>
          <cell r="E7312">
            <v>5.2679999999999998</v>
          </cell>
        </row>
        <row r="7313">
          <cell r="A7313" t="str">
            <v/>
          </cell>
          <cell r="B7313">
            <v>37875</v>
          </cell>
          <cell r="C7313" t="str">
            <v>NG</v>
          </cell>
          <cell r="D7313" t="str">
            <v>200404</v>
          </cell>
          <cell r="E7313">
            <v>4.843</v>
          </cell>
        </row>
        <row r="7314">
          <cell r="A7314" t="str">
            <v/>
          </cell>
          <cell r="B7314">
            <v>37875</v>
          </cell>
          <cell r="C7314" t="str">
            <v>NG</v>
          </cell>
          <cell r="D7314" t="str">
            <v>200405</v>
          </cell>
          <cell r="E7314">
            <v>4.7539999999999996</v>
          </cell>
        </row>
        <row r="7315">
          <cell r="A7315" t="str">
            <v/>
          </cell>
          <cell r="B7315">
            <v>37875</v>
          </cell>
          <cell r="C7315" t="str">
            <v>NG</v>
          </cell>
          <cell r="D7315" t="str">
            <v>200406</v>
          </cell>
          <cell r="E7315">
            <v>4.7610000000000001</v>
          </cell>
        </row>
        <row r="7316">
          <cell r="A7316" t="str">
            <v/>
          </cell>
          <cell r="B7316">
            <v>37875</v>
          </cell>
          <cell r="C7316" t="str">
            <v>NG</v>
          </cell>
          <cell r="D7316" t="str">
            <v>200407</v>
          </cell>
          <cell r="E7316">
            <v>4.7560000000000002</v>
          </cell>
        </row>
        <row r="7317">
          <cell r="A7317" t="str">
            <v/>
          </cell>
          <cell r="B7317">
            <v>37875</v>
          </cell>
          <cell r="C7317" t="str">
            <v>NG</v>
          </cell>
          <cell r="D7317" t="str">
            <v>200408</v>
          </cell>
          <cell r="E7317">
            <v>4.7610000000000001</v>
          </cell>
        </row>
        <row r="7318">
          <cell r="A7318" t="str">
            <v/>
          </cell>
          <cell r="B7318">
            <v>37875</v>
          </cell>
          <cell r="C7318" t="str">
            <v>NG</v>
          </cell>
          <cell r="D7318" t="str">
            <v>200409</v>
          </cell>
          <cell r="E7318">
            <v>4.7510000000000003</v>
          </cell>
        </row>
        <row r="7319">
          <cell r="A7319" t="str">
            <v/>
          </cell>
          <cell r="B7319">
            <v>37875</v>
          </cell>
          <cell r="C7319" t="str">
            <v>NG</v>
          </cell>
          <cell r="D7319" t="str">
            <v>200410</v>
          </cell>
          <cell r="E7319">
            <v>4.7610000000000001</v>
          </cell>
        </row>
        <row r="7320">
          <cell r="A7320" t="str">
            <v/>
          </cell>
          <cell r="B7320">
            <v>37875</v>
          </cell>
          <cell r="C7320" t="str">
            <v>NG</v>
          </cell>
          <cell r="D7320" t="str">
            <v>200411</v>
          </cell>
          <cell r="E7320">
            <v>4.9160000000000004</v>
          </cell>
        </row>
        <row r="7321">
          <cell r="A7321" t="str">
            <v/>
          </cell>
          <cell r="B7321">
            <v>37875</v>
          </cell>
          <cell r="C7321" t="str">
            <v>NG</v>
          </cell>
          <cell r="D7321" t="str">
            <v>200412</v>
          </cell>
          <cell r="E7321">
            <v>5.0709999999999997</v>
          </cell>
        </row>
        <row r="7322">
          <cell r="A7322" t="str">
            <v/>
          </cell>
          <cell r="B7322">
            <v>37876</v>
          </cell>
          <cell r="C7322" t="str">
            <v>NG</v>
          </cell>
          <cell r="D7322" t="str">
            <v>200401</v>
          </cell>
          <cell r="E7322">
            <v>5.4749999999999996</v>
          </cell>
        </row>
        <row r="7323">
          <cell r="A7323" t="str">
            <v/>
          </cell>
          <cell r="B7323">
            <v>37876</v>
          </cell>
          <cell r="C7323" t="str">
            <v>NG</v>
          </cell>
          <cell r="D7323" t="str">
            <v>200402</v>
          </cell>
          <cell r="E7323">
            <v>5.4119999999999999</v>
          </cell>
        </row>
        <row r="7324">
          <cell r="A7324" t="str">
            <v/>
          </cell>
          <cell r="B7324">
            <v>37876</v>
          </cell>
          <cell r="C7324" t="str">
            <v>NG</v>
          </cell>
          <cell r="D7324" t="str">
            <v>200403</v>
          </cell>
          <cell r="E7324">
            <v>5.3079999999999998</v>
          </cell>
        </row>
        <row r="7325">
          <cell r="A7325" t="str">
            <v/>
          </cell>
          <cell r="B7325">
            <v>37876</v>
          </cell>
          <cell r="C7325" t="str">
            <v>NG</v>
          </cell>
          <cell r="D7325" t="str">
            <v>200404</v>
          </cell>
          <cell r="E7325">
            <v>4.8730000000000002</v>
          </cell>
        </row>
        <row r="7326">
          <cell r="A7326" t="str">
            <v/>
          </cell>
          <cell r="B7326">
            <v>37876</v>
          </cell>
          <cell r="C7326" t="str">
            <v>NG</v>
          </cell>
          <cell r="D7326" t="str">
            <v>200405</v>
          </cell>
          <cell r="E7326">
            <v>4.7830000000000004</v>
          </cell>
        </row>
        <row r="7327">
          <cell r="A7327" t="str">
            <v/>
          </cell>
          <cell r="B7327">
            <v>37876</v>
          </cell>
          <cell r="C7327" t="str">
            <v>NG</v>
          </cell>
          <cell r="D7327" t="str">
            <v>200406</v>
          </cell>
          <cell r="E7327">
            <v>4.79</v>
          </cell>
        </row>
        <row r="7328">
          <cell r="A7328" t="str">
            <v/>
          </cell>
          <cell r="B7328">
            <v>37876</v>
          </cell>
          <cell r="C7328" t="str">
            <v>NG</v>
          </cell>
          <cell r="D7328" t="str">
            <v>200407</v>
          </cell>
          <cell r="E7328">
            <v>4.7850000000000001</v>
          </cell>
        </row>
        <row r="7329">
          <cell r="A7329" t="str">
            <v/>
          </cell>
          <cell r="B7329">
            <v>37876</v>
          </cell>
          <cell r="C7329" t="str">
            <v>NG</v>
          </cell>
          <cell r="D7329" t="str">
            <v>200408</v>
          </cell>
          <cell r="E7329">
            <v>4.79</v>
          </cell>
        </row>
        <row r="7330">
          <cell r="A7330" t="str">
            <v/>
          </cell>
          <cell r="B7330">
            <v>37876</v>
          </cell>
          <cell r="C7330" t="str">
            <v>NG</v>
          </cell>
          <cell r="D7330" t="str">
            <v>200409</v>
          </cell>
          <cell r="E7330">
            <v>4.78</v>
          </cell>
        </row>
        <row r="7331">
          <cell r="A7331" t="str">
            <v/>
          </cell>
          <cell r="B7331">
            <v>37876</v>
          </cell>
          <cell r="C7331" t="str">
            <v>NG</v>
          </cell>
          <cell r="D7331" t="str">
            <v>200410</v>
          </cell>
          <cell r="E7331">
            <v>4.79</v>
          </cell>
        </row>
        <row r="7332">
          <cell r="A7332" t="str">
            <v/>
          </cell>
          <cell r="B7332">
            <v>37876</v>
          </cell>
          <cell r="C7332" t="str">
            <v>NG</v>
          </cell>
          <cell r="D7332" t="str">
            <v>200411</v>
          </cell>
          <cell r="E7332">
            <v>4.9450000000000003</v>
          </cell>
        </row>
        <row r="7333">
          <cell r="A7333" t="str">
            <v/>
          </cell>
          <cell r="B7333">
            <v>37876</v>
          </cell>
          <cell r="C7333" t="str">
            <v>NG</v>
          </cell>
          <cell r="D7333" t="str">
            <v>200412</v>
          </cell>
          <cell r="E7333">
            <v>5.1050000000000004</v>
          </cell>
        </row>
        <row r="7334">
          <cell r="A7334" t="str">
            <v/>
          </cell>
          <cell r="B7334">
            <v>37877</v>
          </cell>
          <cell r="C7334" t="str">
            <v>NG</v>
          </cell>
          <cell r="D7334" t="str">
            <v>200401</v>
          </cell>
          <cell r="E7334">
            <v>5.4749999999999996</v>
          </cell>
        </row>
        <row r="7335">
          <cell r="A7335" t="str">
            <v/>
          </cell>
          <cell r="B7335">
            <v>37877</v>
          </cell>
          <cell r="C7335" t="str">
            <v>NG</v>
          </cell>
          <cell r="D7335" t="str">
            <v>200402</v>
          </cell>
          <cell r="E7335">
            <v>5.4119999999999999</v>
          </cell>
        </row>
        <row r="7336">
          <cell r="A7336" t="str">
            <v/>
          </cell>
          <cell r="B7336">
            <v>37877</v>
          </cell>
          <cell r="C7336" t="str">
            <v>NG</v>
          </cell>
          <cell r="D7336" t="str">
            <v>200403</v>
          </cell>
          <cell r="E7336">
            <v>5.3079999999999998</v>
          </cell>
        </row>
        <row r="7337">
          <cell r="A7337" t="str">
            <v/>
          </cell>
          <cell r="B7337">
            <v>37877</v>
          </cell>
          <cell r="C7337" t="str">
            <v>NG</v>
          </cell>
          <cell r="D7337" t="str">
            <v>200404</v>
          </cell>
          <cell r="E7337">
            <v>4.8730000000000002</v>
          </cell>
        </row>
        <row r="7338">
          <cell r="A7338" t="str">
            <v/>
          </cell>
          <cell r="B7338">
            <v>37877</v>
          </cell>
          <cell r="C7338" t="str">
            <v>NG</v>
          </cell>
          <cell r="D7338" t="str">
            <v>200405</v>
          </cell>
          <cell r="E7338">
            <v>4.7830000000000004</v>
          </cell>
        </row>
        <row r="7339">
          <cell r="A7339" t="str">
            <v/>
          </cell>
          <cell r="B7339">
            <v>37877</v>
          </cell>
          <cell r="C7339" t="str">
            <v>NG</v>
          </cell>
          <cell r="D7339" t="str">
            <v>200406</v>
          </cell>
          <cell r="E7339">
            <v>4.79</v>
          </cell>
        </row>
        <row r="7340">
          <cell r="A7340" t="str">
            <v/>
          </cell>
          <cell r="B7340">
            <v>37877</v>
          </cell>
          <cell r="C7340" t="str">
            <v>NG</v>
          </cell>
          <cell r="D7340" t="str">
            <v>200407</v>
          </cell>
          <cell r="E7340">
            <v>4.7850000000000001</v>
          </cell>
        </row>
        <row r="7341">
          <cell r="A7341" t="str">
            <v/>
          </cell>
          <cell r="B7341">
            <v>37877</v>
          </cell>
          <cell r="C7341" t="str">
            <v>NG</v>
          </cell>
          <cell r="D7341" t="str">
            <v>200408</v>
          </cell>
          <cell r="E7341">
            <v>4.79</v>
          </cell>
        </row>
        <row r="7342">
          <cell r="A7342" t="str">
            <v/>
          </cell>
          <cell r="B7342">
            <v>37877</v>
          </cell>
          <cell r="C7342" t="str">
            <v>NG</v>
          </cell>
          <cell r="D7342" t="str">
            <v>200409</v>
          </cell>
          <cell r="E7342">
            <v>4.78</v>
          </cell>
        </row>
        <row r="7343">
          <cell r="A7343" t="str">
            <v/>
          </cell>
          <cell r="B7343">
            <v>37877</v>
          </cell>
          <cell r="C7343" t="str">
            <v>NG</v>
          </cell>
          <cell r="D7343" t="str">
            <v>200410</v>
          </cell>
          <cell r="E7343">
            <v>4.79</v>
          </cell>
        </row>
        <row r="7344">
          <cell r="A7344" t="str">
            <v/>
          </cell>
          <cell r="B7344">
            <v>37877</v>
          </cell>
          <cell r="C7344" t="str">
            <v>NG</v>
          </cell>
          <cell r="D7344" t="str">
            <v>200411</v>
          </cell>
          <cell r="E7344">
            <v>4.9450000000000003</v>
          </cell>
        </row>
        <row r="7345">
          <cell r="A7345" t="str">
            <v/>
          </cell>
          <cell r="B7345">
            <v>37877</v>
          </cell>
          <cell r="C7345" t="str">
            <v>NG</v>
          </cell>
          <cell r="D7345" t="str">
            <v>200412</v>
          </cell>
          <cell r="E7345">
            <v>5.1050000000000004</v>
          </cell>
        </row>
        <row r="7346">
          <cell r="A7346" t="str">
            <v/>
          </cell>
          <cell r="B7346">
            <v>37878</v>
          </cell>
          <cell r="C7346" t="str">
            <v>NG</v>
          </cell>
          <cell r="D7346" t="str">
            <v>200401</v>
          </cell>
          <cell r="E7346">
            <v>5.4749999999999996</v>
          </cell>
        </row>
        <row r="7347">
          <cell r="A7347" t="str">
            <v/>
          </cell>
          <cell r="B7347">
            <v>37878</v>
          </cell>
          <cell r="C7347" t="str">
            <v>NG</v>
          </cell>
          <cell r="D7347" t="str">
            <v>200402</v>
          </cell>
          <cell r="E7347">
            <v>5.4119999999999999</v>
          </cell>
        </row>
        <row r="7348">
          <cell r="A7348" t="str">
            <v/>
          </cell>
          <cell r="B7348">
            <v>37878</v>
          </cell>
          <cell r="C7348" t="str">
            <v>NG</v>
          </cell>
          <cell r="D7348" t="str">
            <v>200403</v>
          </cell>
          <cell r="E7348">
            <v>5.3079999999999998</v>
          </cell>
        </row>
        <row r="7349">
          <cell r="A7349" t="str">
            <v/>
          </cell>
          <cell r="B7349">
            <v>37878</v>
          </cell>
          <cell r="C7349" t="str">
            <v>NG</v>
          </cell>
          <cell r="D7349" t="str">
            <v>200404</v>
          </cell>
          <cell r="E7349">
            <v>4.8730000000000002</v>
          </cell>
        </row>
        <row r="7350">
          <cell r="A7350" t="str">
            <v/>
          </cell>
          <cell r="B7350">
            <v>37878</v>
          </cell>
          <cell r="C7350" t="str">
            <v>NG</v>
          </cell>
          <cell r="D7350" t="str">
            <v>200405</v>
          </cell>
          <cell r="E7350">
            <v>4.7830000000000004</v>
          </cell>
        </row>
        <row r="7351">
          <cell r="A7351" t="str">
            <v/>
          </cell>
          <cell r="B7351">
            <v>37878</v>
          </cell>
          <cell r="C7351" t="str">
            <v>NG</v>
          </cell>
          <cell r="D7351" t="str">
            <v>200406</v>
          </cell>
          <cell r="E7351">
            <v>4.79</v>
          </cell>
        </row>
        <row r="7352">
          <cell r="A7352" t="str">
            <v/>
          </cell>
          <cell r="B7352">
            <v>37878</v>
          </cell>
          <cell r="C7352" t="str">
            <v>NG</v>
          </cell>
          <cell r="D7352" t="str">
            <v>200407</v>
          </cell>
          <cell r="E7352">
            <v>4.7850000000000001</v>
          </cell>
        </row>
        <row r="7353">
          <cell r="A7353" t="str">
            <v/>
          </cell>
          <cell r="B7353">
            <v>37878</v>
          </cell>
          <cell r="C7353" t="str">
            <v>NG</v>
          </cell>
          <cell r="D7353" t="str">
            <v>200408</v>
          </cell>
          <cell r="E7353">
            <v>4.79</v>
          </cell>
        </row>
        <row r="7354">
          <cell r="A7354" t="str">
            <v/>
          </cell>
          <cell r="B7354">
            <v>37878</v>
          </cell>
          <cell r="C7354" t="str">
            <v>NG</v>
          </cell>
          <cell r="D7354" t="str">
            <v>200409</v>
          </cell>
          <cell r="E7354">
            <v>4.78</v>
          </cell>
        </row>
        <row r="7355">
          <cell r="A7355" t="str">
            <v/>
          </cell>
          <cell r="B7355">
            <v>37878</v>
          </cell>
          <cell r="C7355" t="str">
            <v>NG</v>
          </cell>
          <cell r="D7355" t="str">
            <v>200410</v>
          </cell>
          <cell r="E7355">
            <v>4.79</v>
          </cell>
        </row>
        <row r="7356">
          <cell r="A7356" t="str">
            <v/>
          </cell>
          <cell r="B7356">
            <v>37878</v>
          </cell>
          <cell r="C7356" t="str">
            <v>NG</v>
          </cell>
          <cell r="D7356" t="str">
            <v>200411</v>
          </cell>
          <cell r="E7356">
            <v>4.9450000000000003</v>
          </cell>
        </row>
        <row r="7357">
          <cell r="A7357" t="str">
            <v/>
          </cell>
          <cell r="B7357">
            <v>37878</v>
          </cell>
          <cell r="C7357" t="str">
            <v>NG</v>
          </cell>
          <cell r="D7357" t="str">
            <v>200412</v>
          </cell>
          <cell r="E7357">
            <v>5.1050000000000004</v>
          </cell>
        </row>
        <row r="7358">
          <cell r="A7358" t="str">
            <v/>
          </cell>
          <cell r="B7358">
            <v>37879</v>
          </cell>
          <cell r="C7358" t="str">
            <v>NG</v>
          </cell>
          <cell r="D7358" t="str">
            <v>200401</v>
          </cell>
          <cell r="E7358">
            <v>5.41</v>
          </cell>
        </row>
        <row r="7359">
          <cell r="A7359" t="str">
            <v/>
          </cell>
          <cell r="B7359">
            <v>37879</v>
          </cell>
          <cell r="C7359" t="str">
            <v>NG</v>
          </cell>
          <cell r="D7359" t="str">
            <v>200402</v>
          </cell>
          <cell r="E7359">
            <v>5.3529999999999998</v>
          </cell>
        </row>
        <row r="7360">
          <cell r="A7360" t="str">
            <v/>
          </cell>
          <cell r="B7360">
            <v>37879</v>
          </cell>
          <cell r="C7360" t="str">
            <v>NG</v>
          </cell>
          <cell r="D7360" t="str">
            <v>200403</v>
          </cell>
          <cell r="E7360">
            <v>5.258</v>
          </cell>
        </row>
        <row r="7361">
          <cell r="A7361" t="str">
            <v/>
          </cell>
          <cell r="B7361">
            <v>37879</v>
          </cell>
          <cell r="C7361" t="str">
            <v>NG</v>
          </cell>
          <cell r="D7361" t="str">
            <v>200404</v>
          </cell>
          <cell r="E7361">
            <v>4.84</v>
          </cell>
        </row>
        <row r="7362">
          <cell r="A7362" t="str">
            <v/>
          </cell>
          <cell r="B7362">
            <v>37879</v>
          </cell>
          <cell r="C7362" t="str">
            <v>NG</v>
          </cell>
          <cell r="D7362" t="str">
            <v>200405</v>
          </cell>
          <cell r="E7362">
            <v>4.75</v>
          </cell>
        </row>
        <row r="7363">
          <cell r="A7363" t="str">
            <v/>
          </cell>
          <cell r="B7363">
            <v>37879</v>
          </cell>
          <cell r="C7363" t="str">
            <v>NG</v>
          </cell>
          <cell r="D7363" t="str">
            <v>200406</v>
          </cell>
          <cell r="E7363">
            <v>4.76</v>
          </cell>
        </row>
        <row r="7364">
          <cell r="A7364" t="str">
            <v/>
          </cell>
          <cell r="B7364">
            <v>37879</v>
          </cell>
          <cell r="C7364" t="str">
            <v>NG</v>
          </cell>
          <cell r="D7364" t="str">
            <v>200407</v>
          </cell>
          <cell r="E7364">
            <v>4.7610000000000001</v>
          </cell>
        </row>
        <row r="7365">
          <cell r="A7365" t="str">
            <v/>
          </cell>
          <cell r="B7365">
            <v>37879</v>
          </cell>
          <cell r="C7365" t="str">
            <v>NG</v>
          </cell>
          <cell r="D7365" t="str">
            <v>200408</v>
          </cell>
          <cell r="E7365">
            <v>4.7610000000000001</v>
          </cell>
        </row>
        <row r="7366">
          <cell r="A7366" t="str">
            <v/>
          </cell>
          <cell r="B7366">
            <v>37879</v>
          </cell>
          <cell r="C7366" t="str">
            <v>NG</v>
          </cell>
          <cell r="D7366" t="str">
            <v>200409</v>
          </cell>
          <cell r="E7366">
            <v>4.7510000000000003</v>
          </cell>
        </row>
        <row r="7367">
          <cell r="A7367" t="str">
            <v/>
          </cell>
          <cell r="B7367">
            <v>37879</v>
          </cell>
          <cell r="C7367" t="str">
            <v>NG</v>
          </cell>
          <cell r="D7367" t="str">
            <v>200410</v>
          </cell>
          <cell r="E7367">
            <v>4.7610000000000001</v>
          </cell>
        </row>
        <row r="7368">
          <cell r="A7368" t="str">
            <v/>
          </cell>
          <cell r="B7368">
            <v>37879</v>
          </cell>
          <cell r="C7368" t="str">
            <v>NG</v>
          </cell>
          <cell r="D7368" t="str">
            <v>200411</v>
          </cell>
          <cell r="E7368">
            <v>4.9210000000000003</v>
          </cell>
        </row>
        <row r="7369">
          <cell r="A7369" t="str">
            <v/>
          </cell>
          <cell r="B7369">
            <v>37879</v>
          </cell>
          <cell r="C7369" t="str">
            <v>NG</v>
          </cell>
          <cell r="D7369" t="str">
            <v>200412</v>
          </cell>
          <cell r="E7369">
            <v>5.0860000000000003</v>
          </cell>
        </row>
        <row r="7370">
          <cell r="A7370" t="str">
            <v/>
          </cell>
          <cell r="B7370">
            <v>37880</v>
          </cell>
          <cell r="C7370" t="str">
            <v>NG</v>
          </cell>
          <cell r="D7370" t="str">
            <v>200401</v>
          </cell>
          <cell r="E7370">
            <v>5.367</v>
          </cell>
        </row>
        <row r="7371">
          <cell r="A7371" t="str">
            <v/>
          </cell>
          <cell r="B7371">
            <v>37880</v>
          </cell>
          <cell r="C7371" t="str">
            <v>NG</v>
          </cell>
          <cell r="D7371" t="str">
            <v>200402</v>
          </cell>
          <cell r="E7371">
            <v>5.31</v>
          </cell>
        </row>
        <row r="7372">
          <cell r="A7372" t="str">
            <v/>
          </cell>
          <cell r="B7372">
            <v>37880</v>
          </cell>
          <cell r="C7372" t="str">
            <v>NG</v>
          </cell>
          <cell r="D7372" t="str">
            <v>200403</v>
          </cell>
          <cell r="E7372">
            <v>5.2149999999999999</v>
          </cell>
        </row>
        <row r="7373">
          <cell r="A7373" t="str">
            <v/>
          </cell>
          <cell r="B7373">
            <v>37880</v>
          </cell>
          <cell r="C7373" t="str">
            <v>NG</v>
          </cell>
          <cell r="D7373" t="str">
            <v>200404</v>
          </cell>
          <cell r="E7373">
            <v>4.7949999999999999</v>
          </cell>
        </row>
        <row r="7374">
          <cell r="A7374" t="str">
            <v/>
          </cell>
          <cell r="B7374">
            <v>37880</v>
          </cell>
          <cell r="C7374" t="str">
            <v>NG</v>
          </cell>
          <cell r="D7374" t="str">
            <v>200405</v>
          </cell>
          <cell r="E7374">
            <v>4.7050000000000001</v>
          </cell>
        </row>
        <row r="7375">
          <cell r="A7375" t="str">
            <v/>
          </cell>
          <cell r="B7375">
            <v>37880</v>
          </cell>
          <cell r="C7375" t="str">
            <v>NG</v>
          </cell>
          <cell r="D7375" t="str">
            <v>200406</v>
          </cell>
          <cell r="E7375">
            <v>4.7149999999999999</v>
          </cell>
        </row>
        <row r="7376">
          <cell r="A7376" t="str">
            <v/>
          </cell>
          <cell r="B7376">
            <v>37880</v>
          </cell>
          <cell r="C7376" t="str">
            <v>NG</v>
          </cell>
          <cell r="D7376" t="str">
            <v>200407</v>
          </cell>
          <cell r="E7376">
            <v>4.7119999999999997</v>
          </cell>
        </row>
        <row r="7377">
          <cell r="A7377" t="str">
            <v/>
          </cell>
          <cell r="B7377">
            <v>37880</v>
          </cell>
          <cell r="C7377" t="str">
            <v>NG</v>
          </cell>
          <cell r="D7377" t="str">
            <v>200408</v>
          </cell>
          <cell r="E7377">
            <v>4.7149999999999999</v>
          </cell>
        </row>
        <row r="7378">
          <cell r="A7378" t="str">
            <v/>
          </cell>
          <cell r="B7378">
            <v>37880</v>
          </cell>
          <cell r="C7378" t="str">
            <v>NG</v>
          </cell>
          <cell r="D7378" t="str">
            <v>200409</v>
          </cell>
          <cell r="E7378">
            <v>4.7</v>
          </cell>
        </row>
        <row r="7379">
          <cell r="A7379" t="str">
            <v/>
          </cell>
          <cell r="B7379">
            <v>37880</v>
          </cell>
          <cell r="C7379" t="str">
            <v>NG</v>
          </cell>
          <cell r="D7379" t="str">
            <v>200410</v>
          </cell>
          <cell r="E7379">
            <v>4.71</v>
          </cell>
        </row>
        <row r="7380">
          <cell r="A7380" t="str">
            <v/>
          </cell>
          <cell r="B7380">
            <v>37880</v>
          </cell>
          <cell r="C7380" t="str">
            <v>NG</v>
          </cell>
          <cell r="D7380" t="str">
            <v>200411</v>
          </cell>
          <cell r="E7380">
            <v>4.867</v>
          </cell>
        </row>
        <row r="7381">
          <cell r="A7381" t="str">
            <v/>
          </cell>
          <cell r="B7381">
            <v>37880</v>
          </cell>
          <cell r="C7381" t="str">
            <v>NG</v>
          </cell>
          <cell r="D7381" t="str">
            <v>200412</v>
          </cell>
          <cell r="E7381">
            <v>5.03</v>
          </cell>
        </row>
        <row r="7382">
          <cell r="A7382" t="str">
            <v/>
          </cell>
          <cell r="B7382">
            <v>37881</v>
          </cell>
          <cell r="C7382" t="str">
            <v>NG</v>
          </cell>
          <cell r="D7382" t="str">
            <v>200401</v>
          </cell>
          <cell r="E7382">
            <v>5.3280000000000003</v>
          </cell>
        </row>
        <row r="7383">
          <cell r="A7383" t="str">
            <v/>
          </cell>
          <cell r="B7383">
            <v>37881</v>
          </cell>
          <cell r="C7383" t="str">
            <v>NG</v>
          </cell>
          <cell r="D7383" t="str">
            <v>200402</v>
          </cell>
          <cell r="E7383">
            <v>5.2779999999999996</v>
          </cell>
        </row>
        <row r="7384">
          <cell r="A7384" t="str">
            <v/>
          </cell>
          <cell r="B7384">
            <v>37881</v>
          </cell>
          <cell r="C7384" t="str">
            <v>NG</v>
          </cell>
          <cell r="D7384" t="str">
            <v>200403</v>
          </cell>
          <cell r="E7384">
            <v>5.1829999999999998</v>
          </cell>
        </row>
        <row r="7385">
          <cell r="A7385" t="str">
            <v/>
          </cell>
          <cell r="B7385">
            <v>37881</v>
          </cell>
          <cell r="C7385" t="str">
            <v>NG</v>
          </cell>
          <cell r="D7385" t="str">
            <v>200404</v>
          </cell>
          <cell r="E7385">
            <v>4.7779999999999996</v>
          </cell>
        </row>
        <row r="7386">
          <cell r="A7386" t="str">
            <v/>
          </cell>
          <cell r="B7386">
            <v>37881</v>
          </cell>
          <cell r="C7386" t="str">
            <v>NG</v>
          </cell>
          <cell r="D7386" t="str">
            <v>200405</v>
          </cell>
          <cell r="E7386">
            <v>4.6879999999999997</v>
          </cell>
        </row>
        <row r="7387">
          <cell r="A7387" t="str">
            <v/>
          </cell>
          <cell r="B7387">
            <v>37881</v>
          </cell>
          <cell r="C7387" t="str">
            <v>NG</v>
          </cell>
          <cell r="D7387" t="str">
            <v>200406</v>
          </cell>
          <cell r="E7387">
            <v>4.7030000000000003</v>
          </cell>
        </row>
        <row r="7388">
          <cell r="A7388" t="str">
            <v/>
          </cell>
          <cell r="B7388">
            <v>37881</v>
          </cell>
          <cell r="C7388" t="str">
            <v>NG</v>
          </cell>
          <cell r="D7388" t="str">
            <v>200407</v>
          </cell>
          <cell r="E7388">
            <v>4.7080000000000002</v>
          </cell>
        </row>
        <row r="7389">
          <cell r="A7389" t="str">
            <v/>
          </cell>
          <cell r="B7389">
            <v>37881</v>
          </cell>
          <cell r="C7389" t="str">
            <v>NG</v>
          </cell>
          <cell r="D7389" t="str">
            <v>200408</v>
          </cell>
          <cell r="E7389">
            <v>4.7110000000000003</v>
          </cell>
        </row>
        <row r="7390">
          <cell r="A7390" t="str">
            <v/>
          </cell>
          <cell r="B7390">
            <v>37881</v>
          </cell>
          <cell r="C7390" t="str">
            <v>NG</v>
          </cell>
          <cell r="D7390" t="str">
            <v>200409</v>
          </cell>
          <cell r="E7390">
            <v>4.7050000000000001</v>
          </cell>
        </row>
        <row r="7391">
          <cell r="A7391" t="str">
            <v/>
          </cell>
          <cell r="B7391">
            <v>37881</v>
          </cell>
          <cell r="C7391" t="str">
            <v>NG</v>
          </cell>
          <cell r="D7391" t="str">
            <v>200410</v>
          </cell>
          <cell r="E7391">
            <v>4.71</v>
          </cell>
        </row>
        <row r="7392">
          <cell r="A7392" t="str">
            <v/>
          </cell>
          <cell r="B7392">
            <v>37881</v>
          </cell>
          <cell r="C7392" t="str">
            <v>NG</v>
          </cell>
          <cell r="D7392" t="str">
            <v>200411</v>
          </cell>
          <cell r="E7392">
            <v>4.8620000000000001</v>
          </cell>
        </row>
        <row r="7393">
          <cell r="A7393" t="str">
            <v/>
          </cell>
          <cell r="B7393">
            <v>37881</v>
          </cell>
          <cell r="C7393" t="str">
            <v>NG</v>
          </cell>
          <cell r="D7393" t="str">
            <v>200412</v>
          </cell>
          <cell r="E7393">
            <v>5.0199999999999996</v>
          </cell>
        </row>
        <row r="7394">
          <cell r="A7394" t="str">
            <v/>
          </cell>
          <cell r="B7394">
            <v>37882</v>
          </cell>
          <cell r="C7394" t="str">
            <v>NG</v>
          </cell>
          <cell r="D7394" t="str">
            <v>200401</v>
          </cell>
          <cell r="E7394">
            <v>5.2140000000000004</v>
          </cell>
        </row>
        <row r="7395">
          <cell r="A7395" t="str">
            <v/>
          </cell>
          <cell r="B7395">
            <v>37882</v>
          </cell>
          <cell r="C7395" t="str">
            <v>NG</v>
          </cell>
          <cell r="D7395" t="str">
            <v>200402</v>
          </cell>
          <cell r="E7395">
            <v>5.1689999999999996</v>
          </cell>
        </row>
        <row r="7396">
          <cell r="A7396" t="str">
            <v/>
          </cell>
          <cell r="B7396">
            <v>37882</v>
          </cell>
          <cell r="C7396" t="str">
            <v>NG</v>
          </cell>
          <cell r="D7396" t="str">
            <v>200403</v>
          </cell>
          <cell r="E7396">
            <v>5.0759999999999996</v>
          </cell>
        </row>
        <row r="7397">
          <cell r="A7397" t="str">
            <v/>
          </cell>
          <cell r="B7397">
            <v>37882</v>
          </cell>
          <cell r="C7397" t="str">
            <v>NG</v>
          </cell>
          <cell r="D7397" t="str">
            <v>200404</v>
          </cell>
          <cell r="E7397">
            <v>4.7009999999999996</v>
          </cell>
        </row>
        <row r="7398">
          <cell r="A7398" t="str">
            <v/>
          </cell>
          <cell r="B7398">
            <v>37882</v>
          </cell>
          <cell r="C7398" t="str">
            <v>NG</v>
          </cell>
          <cell r="D7398" t="str">
            <v>200405</v>
          </cell>
          <cell r="E7398">
            <v>4.6130000000000004</v>
          </cell>
        </row>
        <row r="7399">
          <cell r="A7399" t="str">
            <v/>
          </cell>
          <cell r="B7399">
            <v>37882</v>
          </cell>
          <cell r="C7399" t="str">
            <v>NG</v>
          </cell>
          <cell r="D7399" t="str">
            <v>200406</v>
          </cell>
          <cell r="E7399">
            <v>4.633</v>
          </cell>
        </row>
        <row r="7400">
          <cell r="A7400" t="str">
            <v/>
          </cell>
          <cell r="B7400">
            <v>37882</v>
          </cell>
          <cell r="C7400" t="str">
            <v>NG</v>
          </cell>
          <cell r="D7400" t="str">
            <v>200407</v>
          </cell>
          <cell r="E7400">
            <v>4.6379999999999999</v>
          </cell>
        </row>
        <row r="7401">
          <cell r="A7401" t="str">
            <v/>
          </cell>
          <cell r="B7401">
            <v>37882</v>
          </cell>
          <cell r="C7401" t="str">
            <v>NG</v>
          </cell>
          <cell r="D7401" t="str">
            <v>200408</v>
          </cell>
          <cell r="E7401">
            <v>4.641</v>
          </cell>
        </row>
        <row r="7402">
          <cell r="A7402" t="str">
            <v/>
          </cell>
          <cell r="B7402">
            <v>37882</v>
          </cell>
          <cell r="C7402" t="str">
            <v>NG</v>
          </cell>
          <cell r="D7402" t="str">
            <v>200409</v>
          </cell>
          <cell r="E7402">
            <v>4.6390000000000002</v>
          </cell>
        </row>
        <row r="7403">
          <cell r="A7403" t="str">
            <v/>
          </cell>
          <cell r="B7403">
            <v>37882</v>
          </cell>
          <cell r="C7403" t="str">
            <v>NG</v>
          </cell>
          <cell r="D7403" t="str">
            <v>200410</v>
          </cell>
          <cell r="E7403">
            <v>4.6539999999999999</v>
          </cell>
        </row>
        <row r="7404">
          <cell r="A7404" t="str">
            <v/>
          </cell>
          <cell r="B7404">
            <v>37882</v>
          </cell>
          <cell r="C7404" t="str">
            <v>NG</v>
          </cell>
          <cell r="D7404" t="str">
            <v>200411</v>
          </cell>
          <cell r="E7404">
            <v>4.8159999999999998</v>
          </cell>
        </row>
        <row r="7405">
          <cell r="A7405" t="str">
            <v/>
          </cell>
          <cell r="B7405">
            <v>37882</v>
          </cell>
          <cell r="C7405" t="str">
            <v>NG</v>
          </cell>
          <cell r="D7405" t="str">
            <v>200412</v>
          </cell>
          <cell r="E7405">
            <v>4.984</v>
          </cell>
        </row>
        <row r="7406">
          <cell r="A7406" t="str">
            <v/>
          </cell>
          <cell r="B7406">
            <v>37883</v>
          </cell>
          <cell r="C7406" t="str">
            <v>NG</v>
          </cell>
          <cell r="D7406" t="str">
            <v>200401</v>
          </cell>
          <cell r="E7406">
            <v>5.2169999999999996</v>
          </cell>
        </row>
        <row r="7407">
          <cell r="A7407" t="str">
            <v/>
          </cell>
          <cell r="B7407">
            <v>37883</v>
          </cell>
          <cell r="C7407" t="str">
            <v>NG</v>
          </cell>
          <cell r="D7407" t="str">
            <v>200402</v>
          </cell>
          <cell r="E7407">
            <v>5.1740000000000004</v>
          </cell>
        </row>
        <row r="7408">
          <cell r="A7408" t="str">
            <v/>
          </cell>
          <cell r="B7408">
            <v>37883</v>
          </cell>
          <cell r="C7408" t="str">
            <v>NG</v>
          </cell>
          <cell r="D7408" t="str">
            <v>200403</v>
          </cell>
          <cell r="E7408">
            <v>5.0839999999999996</v>
          </cell>
        </row>
        <row r="7409">
          <cell r="A7409" t="str">
            <v/>
          </cell>
          <cell r="B7409">
            <v>37883</v>
          </cell>
          <cell r="C7409" t="str">
            <v>NG</v>
          </cell>
          <cell r="D7409" t="str">
            <v>200404</v>
          </cell>
          <cell r="E7409">
            <v>4.7290000000000001</v>
          </cell>
        </row>
        <row r="7410">
          <cell r="A7410" t="str">
            <v/>
          </cell>
          <cell r="B7410">
            <v>37883</v>
          </cell>
          <cell r="C7410" t="str">
            <v>NG</v>
          </cell>
          <cell r="D7410" t="str">
            <v>200405</v>
          </cell>
          <cell r="E7410">
            <v>4.641</v>
          </cell>
        </row>
        <row r="7411">
          <cell r="A7411" t="str">
            <v/>
          </cell>
          <cell r="B7411">
            <v>37883</v>
          </cell>
          <cell r="C7411" t="str">
            <v>NG</v>
          </cell>
          <cell r="D7411" t="str">
            <v>200406</v>
          </cell>
          <cell r="E7411">
            <v>4.6630000000000003</v>
          </cell>
        </row>
        <row r="7412">
          <cell r="A7412" t="str">
            <v/>
          </cell>
          <cell r="B7412">
            <v>37883</v>
          </cell>
          <cell r="C7412" t="str">
            <v>NG</v>
          </cell>
          <cell r="D7412" t="str">
            <v>200407</v>
          </cell>
          <cell r="E7412">
            <v>4.6680000000000001</v>
          </cell>
        </row>
        <row r="7413">
          <cell r="A7413" t="str">
            <v/>
          </cell>
          <cell r="B7413">
            <v>37883</v>
          </cell>
          <cell r="C7413" t="str">
            <v>NG</v>
          </cell>
          <cell r="D7413" t="str">
            <v>200408</v>
          </cell>
          <cell r="E7413">
            <v>4.673</v>
          </cell>
        </row>
        <row r="7414">
          <cell r="A7414" t="str">
            <v/>
          </cell>
          <cell r="B7414">
            <v>37883</v>
          </cell>
          <cell r="C7414" t="str">
            <v>NG</v>
          </cell>
          <cell r="D7414" t="str">
            <v>200409</v>
          </cell>
          <cell r="E7414">
            <v>4.673</v>
          </cell>
        </row>
        <row r="7415">
          <cell r="A7415" t="str">
            <v/>
          </cell>
          <cell r="B7415">
            <v>37883</v>
          </cell>
          <cell r="C7415" t="str">
            <v>NG</v>
          </cell>
          <cell r="D7415" t="str">
            <v>200410</v>
          </cell>
          <cell r="E7415">
            <v>4.6879999999999997</v>
          </cell>
        </row>
        <row r="7416">
          <cell r="A7416" t="str">
            <v/>
          </cell>
          <cell r="B7416">
            <v>37883</v>
          </cell>
          <cell r="C7416" t="str">
            <v>NG</v>
          </cell>
          <cell r="D7416" t="str">
            <v>200411</v>
          </cell>
          <cell r="E7416">
            <v>4.8380000000000001</v>
          </cell>
        </row>
        <row r="7417">
          <cell r="A7417" t="str">
            <v/>
          </cell>
          <cell r="B7417">
            <v>37883</v>
          </cell>
          <cell r="C7417" t="str">
            <v>NG</v>
          </cell>
          <cell r="D7417" t="str">
            <v>200412</v>
          </cell>
          <cell r="E7417">
            <v>4.9980000000000002</v>
          </cell>
        </row>
        <row r="7418">
          <cell r="A7418" t="str">
            <v/>
          </cell>
          <cell r="B7418">
            <v>37887</v>
          </cell>
          <cell r="C7418" t="str">
            <v>NG</v>
          </cell>
          <cell r="D7418" t="str">
            <v>200401</v>
          </cell>
          <cell r="E7418">
            <v>5.1879999999999997</v>
          </cell>
        </row>
        <row r="7419">
          <cell r="A7419" t="str">
            <v/>
          </cell>
          <cell r="B7419">
            <v>37887</v>
          </cell>
          <cell r="C7419" t="str">
            <v>NG</v>
          </cell>
          <cell r="D7419" t="str">
            <v>200402</v>
          </cell>
          <cell r="E7419">
            <v>5.1429999999999998</v>
          </cell>
        </row>
        <row r="7420">
          <cell r="A7420" t="str">
            <v/>
          </cell>
          <cell r="B7420">
            <v>37887</v>
          </cell>
          <cell r="C7420" t="str">
            <v>NG</v>
          </cell>
          <cell r="D7420" t="str">
            <v>200403</v>
          </cell>
          <cell r="E7420">
            <v>5.0469999999999997</v>
          </cell>
        </row>
        <row r="7421">
          <cell r="A7421" t="str">
            <v/>
          </cell>
          <cell r="B7421">
            <v>37887</v>
          </cell>
          <cell r="C7421" t="str">
            <v>NG</v>
          </cell>
          <cell r="D7421" t="str">
            <v>200404</v>
          </cell>
          <cell r="E7421">
            <v>4.7030000000000003</v>
          </cell>
        </row>
        <row r="7422">
          <cell r="A7422" t="str">
            <v/>
          </cell>
          <cell r="B7422">
            <v>37887</v>
          </cell>
          <cell r="C7422" t="str">
            <v>NG</v>
          </cell>
          <cell r="D7422" t="str">
            <v>200405</v>
          </cell>
          <cell r="E7422">
            <v>4.6130000000000004</v>
          </cell>
        </row>
        <row r="7423">
          <cell r="A7423" t="str">
            <v/>
          </cell>
          <cell r="B7423">
            <v>37887</v>
          </cell>
          <cell r="C7423" t="str">
            <v>NG</v>
          </cell>
          <cell r="D7423" t="str">
            <v>200406</v>
          </cell>
          <cell r="E7423">
            <v>4.6280000000000001</v>
          </cell>
        </row>
        <row r="7424">
          <cell r="A7424" t="str">
            <v/>
          </cell>
          <cell r="B7424">
            <v>37887</v>
          </cell>
          <cell r="C7424" t="str">
            <v>NG</v>
          </cell>
          <cell r="D7424" t="str">
            <v>200407</v>
          </cell>
          <cell r="E7424">
            <v>4.633</v>
          </cell>
        </row>
        <row r="7425">
          <cell r="A7425" t="str">
            <v/>
          </cell>
          <cell r="B7425">
            <v>37887</v>
          </cell>
          <cell r="C7425" t="str">
            <v>NG</v>
          </cell>
          <cell r="D7425" t="str">
            <v>200408</v>
          </cell>
          <cell r="E7425">
            <v>4.6280000000000001</v>
          </cell>
        </row>
        <row r="7426">
          <cell r="A7426" t="str">
            <v/>
          </cell>
          <cell r="B7426">
            <v>37887</v>
          </cell>
          <cell r="C7426" t="str">
            <v>NG</v>
          </cell>
          <cell r="D7426" t="str">
            <v>200409</v>
          </cell>
          <cell r="E7426">
            <v>4.6280000000000001</v>
          </cell>
        </row>
        <row r="7427">
          <cell r="A7427" t="str">
            <v/>
          </cell>
          <cell r="B7427">
            <v>37887</v>
          </cell>
          <cell r="C7427" t="str">
            <v>NG</v>
          </cell>
          <cell r="D7427" t="str">
            <v>200410</v>
          </cell>
          <cell r="E7427">
            <v>4.6429999999999998</v>
          </cell>
        </row>
        <row r="7428">
          <cell r="A7428" t="str">
            <v/>
          </cell>
          <cell r="B7428">
            <v>37887</v>
          </cell>
          <cell r="C7428" t="str">
            <v>NG</v>
          </cell>
          <cell r="D7428" t="str">
            <v>200411</v>
          </cell>
          <cell r="E7428">
            <v>4.7889999999999997</v>
          </cell>
        </row>
        <row r="7429">
          <cell r="A7429" t="str">
            <v/>
          </cell>
          <cell r="B7429">
            <v>37887</v>
          </cell>
          <cell r="C7429" t="str">
            <v>NG</v>
          </cell>
          <cell r="D7429" t="str">
            <v>200412</v>
          </cell>
          <cell r="E7429">
            <v>4.9480000000000004</v>
          </cell>
        </row>
        <row r="7430">
          <cell r="A7430" t="str">
            <v/>
          </cell>
          <cell r="B7430">
            <v>37884</v>
          </cell>
          <cell r="C7430" t="str">
            <v>NG</v>
          </cell>
          <cell r="D7430" t="str">
            <v>200401</v>
          </cell>
          <cell r="E7430">
            <v>5.2169999999999996</v>
          </cell>
        </row>
        <row r="7431">
          <cell r="A7431" t="str">
            <v/>
          </cell>
          <cell r="B7431">
            <v>37884</v>
          </cell>
          <cell r="C7431" t="str">
            <v>NG</v>
          </cell>
          <cell r="D7431" t="str">
            <v>200402</v>
          </cell>
          <cell r="E7431">
            <v>5.1740000000000004</v>
          </cell>
        </row>
        <row r="7432">
          <cell r="A7432" t="str">
            <v/>
          </cell>
          <cell r="B7432">
            <v>37884</v>
          </cell>
          <cell r="C7432" t="str">
            <v>NG</v>
          </cell>
          <cell r="D7432" t="str">
            <v>200403</v>
          </cell>
          <cell r="E7432">
            <v>5.0839999999999996</v>
          </cell>
        </row>
        <row r="7433">
          <cell r="A7433" t="str">
            <v/>
          </cell>
          <cell r="B7433">
            <v>37884</v>
          </cell>
          <cell r="C7433" t="str">
            <v>NG</v>
          </cell>
          <cell r="D7433" t="str">
            <v>200404</v>
          </cell>
          <cell r="E7433">
            <v>4.7290000000000001</v>
          </cell>
        </row>
        <row r="7434">
          <cell r="A7434" t="str">
            <v/>
          </cell>
          <cell r="B7434">
            <v>37884</v>
          </cell>
          <cell r="C7434" t="str">
            <v>NG</v>
          </cell>
          <cell r="D7434" t="str">
            <v>200405</v>
          </cell>
          <cell r="E7434">
            <v>4.641</v>
          </cell>
        </row>
        <row r="7435">
          <cell r="A7435" t="str">
            <v/>
          </cell>
          <cell r="B7435">
            <v>37884</v>
          </cell>
          <cell r="C7435" t="str">
            <v>NG</v>
          </cell>
          <cell r="D7435" t="str">
            <v>200406</v>
          </cell>
          <cell r="E7435">
            <v>4.6630000000000003</v>
          </cell>
        </row>
        <row r="7436">
          <cell r="A7436" t="str">
            <v/>
          </cell>
          <cell r="B7436">
            <v>37884</v>
          </cell>
          <cell r="C7436" t="str">
            <v>NG</v>
          </cell>
          <cell r="D7436" t="str">
            <v>200407</v>
          </cell>
          <cell r="E7436">
            <v>4.6680000000000001</v>
          </cell>
        </row>
        <row r="7437">
          <cell r="A7437" t="str">
            <v/>
          </cell>
          <cell r="B7437">
            <v>37884</v>
          </cell>
          <cell r="C7437" t="str">
            <v>NG</v>
          </cell>
          <cell r="D7437" t="str">
            <v>200408</v>
          </cell>
          <cell r="E7437">
            <v>4.673</v>
          </cell>
        </row>
        <row r="7438">
          <cell r="A7438" t="str">
            <v/>
          </cell>
          <cell r="B7438">
            <v>37884</v>
          </cell>
          <cell r="C7438" t="str">
            <v>NG</v>
          </cell>
          <cell r="D7438" t="str">
            <v>200409</v>
          </cell>
          <cell r="E7438">
            <v>4.673</v>
          </cell>
        </row>
        <row r="7439">
          <cell r="A7439" t="str">
            <v/>
          </cell>
          <cell r="B7439">
            <v>37884</v>
          </cell>
          <cell r="C7439" t="str">
            <v>NG</v>
          </cell>
          <cell r="D7439" t="str">
            <v>200410</v>
          </cell>
          <cell r="E7439">
            <v>4.6879999999999997</v>
          </cell>
        </row>
        <row r="7440">
          <cell r="A7440" t="str">
            <v/>
          </cell>
          <cell r="B7440">
            <v>37884</v>
          </cell>
          <cell r="C7440" t="str">
            <v>NG</v>
          </cell>
          <cell r="D7440" t="str">
            <v>200411</v>
          </cell>
          <cell r="E7440">
            <v>4.8380000000000001</v>
          </cell>
        </row>
        <row r="7441">
          <cell r="A7441" t="str">
            <v/>
          </cell>
          <cell r="B7441">
            <v>37884</v>
          </cell>
          <cell r="C7441" t="str">
            <v>NG</v>
          </cell>
          <cell r="D7441" t="str">
            <v>200412</v>
          </cell>
          <cell r="E7441">
            <v>4.9980000000000002</v>
          </cell>
        </row>
        <row r="7442">
          <cell r="A7442" t="str">
            <v/>
          </cell>
          <cell r="B7442">
            <v>37885</v>
          </cell>
          <cell r="C7442" t="str">
            <v>NG</v>
          </cell>
          <cell r="D7442" t="str">
            <v>200401</v>
          </cell>
          <cell r="E7442">
            <v>5.2169999999999996</v>
          </cell>
        </row>
        <row r="7443">
          <cell r="A7443" t="str">
            <v/>
          </cell>
          <cell r="B7443">
            <v>37885</v>
          </cell>
          <cell r="C7443" t="str">
            <v>NG</v>
          </cell>
          <cell r="D7443" t="str">
            <v>200402</v>
          </cell>
          <cell r="E7443">
            <v>5.1740000000000004</v>
          </cell>
        </row>
        <row r="7444">
          <cell r="A7444" t="str">
            <v/>
          </cell>
          <cell r="B7444">
            <v>37885</v>
          </cell>
          <cell r="C7444" t="str">
            <v>NG</v>
          </cell>
          <cell r="D7444" t="str">
            <v>200403</v>
          </cell>
          <cell r="E7444">
            <v>5.0839999999999996</v>
          </cell>
        </row>
        <row r="7445">
          <cell r="A7445" t="str">
            <v/>
          </cell>
          <cell r="B7445">
            <v>37885</v>
          </cell>
          <cell r="C7445" t="str">
            <v>NG</v>
          </cell>
          <cell r="D7445" t="str">
            <v>200404</v>
          </cell>
          <cell r="E7445">
            <v>4.7290000000000001</v>
          </cell>
        </row>
        <row r="7446">
          <cell r="A7446" t="str">
            <v/>
          </cell>
          <cell r="B7446">
            <v>37885</v>
          </cell>
          <cell r="C7446" t="str">
            <v>NG</v>
          </cell>
          <cell r="D7446" t="str">
            <v>200405</v>
          </cell>
          <cell r="E7446">
            <v>4.641</v>
          </cell>
        </row>
        <row r="7447">
          <cell r="A7447" t="str">
            <v/>
          </cell>
          <cell r="B7447">
            <v>37885</v>
          </cell>
          <cell r="C7447" t="str">
            <v>NG</v>
          </cell>
          <cell r="D7447" t="str">
            <v>200406</v>
          </cell>
          <cell r="E7447">
            <v>4.6630000000000003</v>
          </cell>
        </row>
        <row r="7448">
          <cell r="A7448" t="str">
            <v/>
          </cell>
          <cell r="B7448">
            <v>37885</v>
          </cell>
          <cell r="C7448" t="str">
            <v>NG</v>
          </cell>
          <cell r="D7448" t="str">
            <v>200407</v>
          </cell>
          <cell r="E7448">
            <v>4.6680000000000001</v>
          </cell>
        </row>
        <row r="7449">
          <cell r="A7449" t="str">
            <v/>
          </cell>
          <cell r="B7449">
            <v>37885</v>
          </cell>
          <cell r="C7449" t="str">
            <v>NG</v>
          </cell>
          <cell r="D7449" t="str">
            <v>200408</v>
          </cell>
          <cell r="E7449">
            <v>4.673</v>
          </cell>
        </row>
        <row r="7450">
          <cell r="A7450" t="str">
            <v/>
          </cell>
          <cell r="B7450">
            <v>37885</v>
          </cell>
          <cell r="C7450" t="str">
            <v>NG</v>
          </cell>
          <cell r="D7450" t="str">
            <v>200409</v>
          </cell>
          <cell r="E7450">
            <v>4.673</v>
          </cell>
        </row>
        <row r="7451">
          <cell r="A7451" t="str">
            <v/>
          </cell>
          <cell r="B7451">
            <v>37885</v>
          </cell>
          <cell r="C7451" t="str">
            <v>NG</v>
          </cell>
          <cell r="D7451" t="str">
            <v>200410</v>
          </cell>
          <cell r="E7451">
            <v>4.6879999999999997</v>
          </cell>
        </row>
        <row r="7452">
          <cell r="A7452" t="str">
            <v/>
          </cell>
          <cell r="B7452">
            <v>37885</v>
          </cell>
          <cell r="C7452" t="str">
            <v>NG</v>
          </cell>
          <cell r="D7452" t="str">
            <v>200411</v>
          </cell>
          <cell r="E7452">
            <v>4.8380000000000001</v>
          </cell>
        </row>
        <row r="7453">
          <cell r="A7453" t="str">
            <v/>
          </cell>
          <cell r="B7453">
            <v>37885</v>
          </cell>
          <cell r="C7453" t="str">
            <v>NG</v>
          </cell>
          <cell r="D7453" t="str">
            <v>200412</v>
          </cell>
          <cell r="E7453">
            <v>4.9980000000000002</v>
          </cell>
        </row>
        <row r="7454">
          <cell r="A7454" t="str">
            <v/>
          </cell>
          <cell r="B7454">
            <v>37886</v>
          </cell>
          <cell r="C7454" t="str">
            <v>NG</v>
          </cell>
          <cell r="D7454" t="str">
            <v>200401</v>
          </cell>
          <cell r="E7454">
            <v>5.2210000000000001</v>
          </cell>
        </row>
        <row r="7455">
          <cell r="A7455" t="str">
            <v/>
          </cell>
          <cell r="B7455">
            <v>37886</v>
          </cell>
          <cell r="C7455" t="str">
            <v>NG</v>
          </cell>
          <cell r="D7455" t="str">
            <v>200402</v>
          </cell>
          <cell r="E7455">
            <v>5.1779999999999999</v>
          </cell>
        </row>
        <row r="7456">
          <cell r="A7456" t="str">
            <v/>
          </cell>
          <cell r="B7456">
            <v>37886</v>
          </cell>
          <cell r="C7456" t="str">
            <v>NG</v>
          </cell>
          <cell r="D7456" t="str">
            <v>200403</v>
          </cell>
          <cell r="E7456">
            <v>5.0880000000000001</v>
          </cell>
        </row>
        <row r="7457">
          <cell r="A7457" t="str">
            <v/>
          </cell>
          <cell r="B7457">
            <v>37886</v>
          </cell>
          <cell r="C7457" t="str">
            <v>NG</v>
          </cell>
          <cell r="D7457" t="str">
            <v>200404</v>
          </cell>
          <cell r="E7457">
            <v>4.7380000000000004</v>
          </cell>
        </row>
        <row r="7458">
          <cell r="A7458" t="str">
            <v/>
          </cell>
          <cell r="B7458">
            <v>37886</v>
          </cell>
          <cell r="C7458" t="str">
            <v>NG</v>
          </cell>
          <cell r="D7458" t="str">
            <v>200405</v>
          </cell>
          <cell r="E7458">
            <v>4.6500000000000004</v>
          </cell>
        </row>
        <row r="7459">
          <cell r="A7459" t="str">
            <v/>
          </cell>
          <cell r="B7459">
            <v>37886</v>
          </cell>
          <cell r="C7459" t="str">
            <v>NG</v>
          </cell>
          <cell r="D7459" t="str">
            <v>200406</v>
          </cell>
          <cell r="E7459">
            <v>4.665</v>
          </cell>
        </row>
        <row r="7460">
          <cell r="A7460" t="str">
            <v/>
          </cell>
          <cell r="B7460">
            <v>37886</v>
          </cell>
          <cell r="C7460" t="str">
            <v>NG</v>
          </cell>
          <cell r="D7460" t="str">
            <v>200407</v>
          </cell>
          <cell r="E7460">
            <v>4.67</v>
          </cell>
        </row>
        <row r="7461">
          <cell r="A7461" t="str">
            <v/>
          </cell>
          <cell r="B7461">
            <v>37886</v>
          </cell>
          <cell r="C7461" t="str">
            <v>NG</v>
          </cell>
          <cell r="D7461" t="str">
            <v>200408</v>
          </cell>
          <cell r="E7461">
            <v>4.6749999999999998</v>
          </cell>
        </row>
        <row r="7462">
          <cell r="A7462" t="str">
            <v/>
          </cell>
          <cell r="B7462">
            <v>37886</v>
          </cell>
          <cell r="C7462" t="str">
            <v>NG</v>
          </cell>
          <cell r="D7462" t="str">
            <v>200409</v>
          </cell>
          <cell r="E7462">
            <v>4.6749999999999998</v>
          </cell>
        </row>
        <row r="7463">
          <cell r="A7463" t="str">
            <v/>
          </cell>
          <cell r="B7463">
            <v>37886</v>
          </cell>
          <cell r="C7463" t="str">
            <v>NG</v>
          </cell>
          <cell r="D7463" t="str">
            <v>200410</v>
          </cell>
          <cell r="E7463">
            <v>4.6900000000000004</v>
          </cell>
        </row>
        <row r="7464">
          <cell r="A7464" t="str">
            <v/>
          </cell>
          <cell r="B7464">
            <v>37886</v>
          </cell>
          <cell r="C7464" t="str">
            <v>NG</v>
          </cell>
          <cell r="D7464" t="str">
            <v>200411</v>
          </cell>
          <cell r="E7464">
            <v>4.8390000000000004</v>
          </cell>
        </row>
        <row r="7465">
          <cell r="A7465" t="str">
            <v/>
          </cell>
          <cell r="B7465">
            <v>37886</v>
          </cell>
          <cell r="C7465" t="str">
            <v>NG</v>
          </cell>
          <cell r="D7465" t="str">
            <v>200412</v>
          </cell>
          <cell r="E7465">
            <v>4.9989999999999997</v>
          </cell>
        </row>
        <row r="7466">
          <cell r="A7466" t="str">
            <v/>
          </cell>
          <cell r="B7466">
            <v>37888</v>
          </cell>
          <cell r="C7466" t="str">
            <v>NG</v>
          </cell>
          <cell r="D7466" t="str">
            <v>200401</v>
          </cell>
          <cell r="E7466">
            <v>5.2119999999999997</v>
          </cell>
        </row>
        <row r="7467">
          <cell r="A7467" t="str">
            <v/>
          </cell>
          <cell r="B7467">
            <v>37888</v>
          </cell>
          <cell r="C7467" t="str">
            <v>NG</v>
          </cell>
          <cell r="D7467" t="str">
            <v>200402</v>
          </cell>
          <cell r="E7467">
            <v>5.1609999999999996</v>
          </cell>
        </row>
        <row r="7468">
          <cell r="A7468" t="str">
            <v/>
          </cell>
          <cell r="B7468">
            <v>37888</v>
          </cell>
          <cell r="C7468" t="str">
            <v>NG</v>
          </cell>
          <cell r="D7468" t="str">
            <v>200403</v>
          </cell>
          <cell r="E7468">
            <v>5.0659999999999998</v>
          </cell>
        </row>
        <row r="7469">
          <cell r="A7469" t="str">
            <v/>
          </cell>
          <cell r="B7469">
            <v>37888</v>
          </cell>
          <cell r="C7469" t="str">
            <v>NG</v>
          </cell>
          <cell r="D7469" t="str">
            <v>200404</v>
          </cell>
          <cell r="E7469">
            <v>4.726</v>
          </cell>
        </row>
        <row r="7470">
          <cell r="A7470" t="str">
            <v/>
          </cell>
          <cell r="B7470">
            <v>37888</v>
          </cell>
          <cell r="C7470" t="str">
            <v>NG</v>
          </cell>
          <cell r="D7470" t="str">
            <v>200405</v>
          </cell>
          <cell r="E7470">
            <v>4.6310000000000002</v>
          </cell>
        </row>
        <row r="7471">
          <cell r="A7471" t="str">
            <v/>
          </cell>
          <cell r="B7471">
            <v>37888</v>
          </cell>
          <cell r="C7471" t="str">
            <v>NG</v>
          </cell>
          <cell r="D7471" t="str">
            <v>200406</v>
          </cell>
          <cell r="E7471">
            <v>4.6459999999999999</v>
          </cell>
        </row>
        <row r="7472">
          <cell r="A7472" t="str">
            <v/>
          </cell>
          <cell r="B7472">
            <v>37888</v>
          </cell>
          <cell r="C7472" t="str">
            <v>NG</v>
          </cell>
          <cell r="D7472" t="str">
            <v>200407</v>
          </cell>
          <cell r="E7472">
            <v>4.6479999999999997</v>
          </cell>
        </row>
        <row r="7473">
          <cell r="A7473" t="str">
            <v/>
          </cell>
          <cell r="B7473">
            <v>37888</v>
          </cell>
          <cell r="C7473" t="str">
            <v>NG</v>
          </cell>
          <cell r="D7473" t="str">
            <v>200408</v>
          </cell>
          <cell r="E7473">
            <v>4.6500000000000004</v>
          </cell>
        </row>
        <row r="7474">
          <cell r="A7474" t="str">
            <v/>
          </cell>
          <cell r="B7474">
            <v>37888</v>
          </cell>
          <cell r="C7474" t="str">
            <v>NG</v>
          </cell>
          <cell r="D7474" t="str">
            <v>200409</v>
          </cell>
          <cell r="E7474">
            <v>4.6399999999999997</v>
          </cell>
        </row>
        <row r="7475">
          <cell r="A7475" t="str">
            <v/>
          </cell>
          <cell r="B7475">
            <v>37888</v>
          </cell>
          <cell r="C7475" t="str">
            <v>NG</v>
          </cell>
          <cell r="D7475" t="str">
            <v>200410</v>
          </cell>
          <cell r="E7475">
            <v>4.6459999999999999</v>
          </cell>
        </row>
        <row r="7476">
          <cell r="A7476" t="str">
            <v/>
          </cell>
          <cell r="B7476">
            <v>37888</v>
          </cell>
          <cell r="C7476" t="str">
            <v>NG</v>
          </cell>
          <cell r="D7476" t="str">
            <v>200411</v>
          </cell>
          <cell r="E7476">
            <v>4.782</v>
          </cell>
        </row>
        <row r="7477">
          <cell r="A7477" t="str">
            <v/>
          </cell>
          <cell r="B7477">
            <v>37888</v>
          </cell>
          <cell r="C7477" t="str">
            <v>NG</v>
          </cell>
          <cell r="D7477" t="str">
            <v>200412</v>
          </cell>
          <cell r="E7477">
            <v>4.9349999999999996</v>
          </cell>
        </row>
        <row r="7478">
          <cell r="A7478" t="str">
            <v/>
          </cell>
          <cell r="B7478">
            <v>37889</v>
          </cell>
          <cell r="C7478" t="str">
            <v>NG</v>
          </cell>
          <cell r="D7478" t="str">
            <v>200401</v>
          </cell>
          <cell r="E7478">
            <v>5.1340000000000003</v>
          </cell>
        </row>
        <row r="7479">
          <cell r="A7479" t="str">
            <v/>
          </cell>
          <cell r="B7479">
            <v>37889</v>
          </cell>
          <cell r="C7479" t="str">
            <v>NG</v>
          </cell>
          <cell r="D7479" t="str">
            <v>200402</v>
          </cell>
          <cell r="E7479">
            <v>5.0860000000000003</v>
          </cell>
        </row>
        <row r="7480">
          <cell r="A7480" t="str">
            <v/>
          </cell>
          <cell r="B7480">
            <v>37889</v>
          </cell>
          <cell r="C7480" t="str">
            <v>NG</v>
          </cell>
          <cell r="D7480" t="str">
            <v>200403</v>
          </cell>
          <cell r="E7480">
            <v>4.9880000000000004</v>
          </cell>
        </row>
        <row r="7481">
          <cell r="A7481" t="str">
            <v/>
          </cell>
          <cell r="B7481">
            <v>37889</v>
          </cell>
          <cell r="C7481" t="str">
            <v>NG</v>
          </cell>
          <cell r="D7481" t="str">
            <v>200404</v>
          </cell>
          <cell r="E7481">
            <v>4.6779999999999999</v>
          </cell>
        </row>
        <row r="7482">
          <cell r="A7482" t="str">
            <v/>
          </cell>
          <cell r="B7482">
            <v>37889</v>
          </cell>
          <cell r="C7482" t="str">
            <v>NG</v>
          </cell>
          <cell r="D7482" t="str">
            <v>200405</v>
          </cell>
          <cell r="E7482">
            <v>4.5830000000000002</v>
          </cell>
        </row>
        <row r="7483">
          <cell r="A7483" t="str">
            <v/>
          </cell>
          <cell r="B7483">
            <v>37889</v>
          </cell>
          <cell r="C7483" t="str">
            <v>NG</v>
          </cell>
          <cell r="D7483" t="str">
            <v>200406</v>
          </cell>
          <cell r="E7483">
            <v>4.5979999999999999</v>
          </cell>
        </row>
        <row r="7484">
          <cell r="A7484" t="str">
            <v/>
          </cell>
          <cell r="B7484">
            <v>37889</v>
          </cell>
          <cell r="C7484" t="str">
            <v>NG</v>
          </cell>
          <cell r="D7484" t="str">
            <v>200407</v>
          </cell>
          <cell r="E7484">
            <v>4.601</v>
          </cell>
        </row>
        <row r="7485">
          <cell r="A7485" t="str">
            <v/>
          </cell>
          <cell r="B7485">
            <v>37889</v>
          </cell>
          <cell r="C7485" t="str">
            <v>NG</v>
          </cell>
          <cell r="D7485" t="str">
            <v>200408</v>
          </cell>
          <cell r="E7485">
            <v>4.6079999999999997</v>
          </cell>
        </row>
        <row r="7486">
          <cell r="A7486" t="str">
            <v/>
          </cell>
          <cell r="B7486">
            <v>37889</v>
          </cell>
          <cell r="C7486" t="str">
            <v>NG</v>
          </cell>
          <cell r="D7486" t="str">
            <v>200409</v>
          </cell>
          <cell r="E7486">
            <v>4.5979999999999999</v>
          </cell>
        </row>
        <row r="7487">
          <cell r="A7487" t="str">
            <v/>
          </cell>
          <cell r="B7487">
            <v>37889</v>
          </cell>
          <cell r="C7487" t="str">
            <v>NG</v>
          </cell>
          <cell r="D7487" t="str">
            <v>200410</v>
          </cell>
          <cell r="E7487">
            <v>4.6180000000000003</v>
          </cell>
        </row>
        <row r="7488">
          <cell r="A7488" t="str">
            <v/>
          </cell>
          <cell r="B7488">
            <v>37889</v>
          </cell>
          <cell r="C7488" t="str">
            <v>NG</v>
          </cell>
          <cell r="D7488" t="str">
            <v>200411</v>
          </cell>
          <cell r="E7488">
            <v>4.7679999999999998</v>
          </cell>
        </row>
        <row r="7489">
          <cell r="A7489" t="str">
            <v/>
          </cell>
          <cell r="B7489">
            <v>37889</v>
          </cell>
          <cell r="C7489" t="str">
            <v>NG</v>
          </cell>
          <cell r="D7489" t="str">
            <v>200412</v>
          </cell>
          <cell r="E7489">
            <v>4.9329999999999998</v>
          </cell>
        </row>
        <row r="7490">
          <cell r="A7490" t="str">
            <v/>
          </cell>
          <cell r="B7490">
            <v>37890</v>
          </cell>
          <cell r="C7490" t="str">
            <v>NG</v>
          </cell>
          <cell r="D7490" t="str">
            <v>200401</v>
          </cell>
          <cell r="E7490">
            <v>5.0709999999999997</v>
          </cell>
        </row>
        <row r="7491">
          <cell r="A7491" t="str">
            <v/>
          </cell>
          <cell r="B7491">
            <v>37890</v>
          </cell>
          <cell r="C7491" t="str">
            <v>NG</v>
          </cell>
          <cell r="D7491" t="str">
            <v>200402</v>
          </cell>
          <cell r="E7491">
            <v>5.0330000000000004</v>
          </cell>
        </row>
        <row r="7492">
          <cell r="A7492" t="str">
            <v/>
          </cell>
          <cell r="B7492">
            <v>37890</v>
          </cell>
          <cell r="C7492" t="str">
            <v>NG</v>
          </cell>
          <cell r="D7492" t="str">
            <v>200403</v>
          </cell>
          <cell r="E7492">
            <v>4.9459999999999997</v>
          </cell>
        </row>
        <row r="7493">
          <cell r="A7493" t="str">
            <v/>
          </cell>
          <cell r="B7493">
            <v>37890</v>
          </cell>
          <cell r="C7493" t="str">
            <v>NG</v>
          </cell>
          <cell r="D7493" t="str">
            <v>200404</v>
          </cell>
          <cell r="E7493">
            <v>4.681</v>
          </cell>
        </row>
        <row r="7494">
          <cell r="A7494" t="str">
            <v/>
          </cell>
          <cell r="B7494">
            <v>37890</v>
          </cell>
          <cell r="C7494" t="str">
            <v>NG</v>
          </cell>
          <cell r="D7494" t="str">
            <v>200405</v>
          </cell>
          <cell r="E7494">
            <v>4.593</v>
          </cell>
        </row>
        <row r="7495">
          <cell r="A7495" t="str">
            <v/>
          </cell>
          <cell r="B7495">
            <v>37890</v>
          </cell>
          <cell r="C7495" t="str">
            <v>NG</v>
          </cell>
          <cell r="D7495" t="str">
            <v>200406</v>
          </cell>
          <cell r="E7495">
            <v>4.6130000000000004</v>
          </cell>
        </row>
        <row r="7496">
          <cell r="A7496" t="str">
            <v/>
          </cell>
          <cell r="B7496">
            <v>37890</v>
          </cell>
          <cell r="C7496" t="str">
            <v>NG</v>
          </cell>
          <cell r="D7496" t="str">
            <v>200407</v>
          </cell>
          <cell r="E7496">
            <v>4.6230000000000002</v>
          </cell>
        </row>
        <row r="7497">
          <cell r="A7497" t="str">
            <v/>
          </cell>
          <cell r="B7497">
            <v>37890</v>
          </cell>
          <cell r="C7497" t="str">
            <v>NG</v>
          </cell>
          <cell r="D7497" t="str">
            <v>200408</v>
          </cell>
          <cell r="E7497">
            <v>4.63</v>
          </cell>
        </row>
        <row r="7498">
          <cell r="A7498" t="str">
            <v/>
          </cell>
          <cell r="B7498">
            <v>37890</v>
          </cell>
          <cell r="C7498" t="str">
            <v>NG</v>
          </cell>
          <cell r="D7498" t="str">
            <v>200409</v>
          </cell>
          <cell r="E7498">
            <v>4.617</v>
          </cell>
        </row>
        <row r="7499">
          <cell r="A7499" t="str">
            <v/>
          </cell>
          <cell r="B7499">
            <v>37890</v>
          </cell>
          <cell r="C7499" t="str">
            <v>NG</v>
          </cell>
          <cell r="D7499" t="str">
            <v>200410</v>
          </cell>
          <cell r="E7499">
            <v>4.63</v>
          </cell>
        </row>
        <row r="7500">
          <cell r="A7500" t="str">
            <v/>
          </cell>
          <cell r="B7500">
            <v>37890</v>
          </cell>
          <cell r="C7500" t="str">
            <v>NG</v>
          </cell>
          <cell r="D7500" t="str">
            <v>200411</v>
          </cell>
          <cell r="E7500">
            <v>4.7750000000000004</v>
          </cell>
        </row>
        <row r="7501">
          <cell r="A7501" t="str">
            <v/>
          </cell>
          <cell r="B7501">
            <v>37890</v>
          </cell>
          <cell r="C7501" t="str">
            <v>NG</v>
          </cell>
          <cell r="D7501" t="str">
            <v>200412</v>
          </cell>
          <cell r="E7501">
            <v>4.9349999999999996</v>
          </cell>
        </row>
        <row r="7502">
          <cell r="A7502" t="str">
            <v/>
          </cell>
          <cell r="B7502">
            <v>37891</v>
          </cell>
          <cell r="C7502" t="str">
            <v>NG</v>
          </cell>
          <cell r="D7502" t="str">
            <v>200401</v>
          </cell>
          <cell r="E7502">
            <v>5.0709999999999997</v>
          </cell>
        </row>
        <row r="7503">
          <cell r="A7503" t="str">
            <v/>
          </cell>
          <cell r="B7503">
            <v>37891</v>
          </cell>
          <cell r="C7503" t="str">
            <v>NG</v>
          </cell>
          <cell r="D7503" t="str">
            <v>200402</v>
          </cell>
          <cell r="E7503">
            <v>5.0330000000000004</v>
          </cell>
        </row>
        <row r="7504">
          <cell r="A7504" t="str">
            <v/>
          </cell>
          <cell r="B7504">
            <v>37891</v>
          </cell>
          <cell r="C7504" t="str">
            <v>NG</v>
          </cell>
          <cell r="D7504" t="str">
            <v>200403</v>
          </cell>
          <cell r="E7504">
            <v>4.9459999999999997</v>
          </cell>
        </row>
        <row r="7505">
          <cell r="A7505" t="str">
            <v/>
          </cell>
          <cell r="B7505">
            <v>37891</v>
          </cell>
          <cell r="C7505" t="str">
            <v>NG</v>
          </cell>
          <cell r="D7505" t="str">
            <v>200404</v>
          </cell>
          <cell r="E7505">
            <v>4.681</v>
          </cell>
        </row>
        <row r="7506">
          <cell r="A7506" t="str">
            <v/>
          </cell>
          <cell r="B7506">
            <v>37891</v>
          </cell>
          <cell r="C7506" t="str">
            <v>NG</v>
          </cell>
          <cell r="D7506" t="str">
            <v>200405</v>
          </cell>
          <cell r="E7506">
            <v>4.593</v>
          </cell>
        </row>
        <row r="7507">
          <cell r="A7507" t="str">
            <v/>
          </cell>
          <cell r="B7507">
            <v>37891</v>
          </cell>
          <cell r="C7507" t="str">
            <v>NG</v>
          </cell>
          <cell r="D7507" t="str">
            <v>200406</v>
          </cell>
          <cell r="E7507">
            <v>4.6130000000000004</v>
          </cell>
        </row>
        <row r="7508">
          <cell r="A7508" t="str">
            <v/>
          </cell>
          <cell r="B7508">
            <v>37891</v>
          </cell>
          <cell r="C7508" t="str">
            <v>NG</v>
          </cell>
          <cell r="D7508" t="str">
            <v>200407</v>
          </cell>
          <cell r="E7508">
            <v>4.6230000000000002</v>
          </cell>
        </row>
        <row r="7509">
          <cell r="A7509" t="str">
            <v/>
          </cell>
          <cell r="B7509">
            <v>37891</v>
          </cell>
          <cell r="C7509" t="str">
            <v>NG</v>
          </cell>
          <cell r="D7509" t="str">
            <v>200408</v>
          </cell>
          <cell r="E7509">
            <v>4.63</v>
          </cell>
        </row>
        <row r="7510">
          <cell r="A7510" t="str">
            <v/>
          </cell>
          <cell r="B7510">
            <v>37891</v>
          </cell>
          <cell r="C7510" t="str">
            <v>NG</v>
          </cell>
          <cell r="D7510" t="str">
            <v>200409</v>
          </cell>
          <cell r="E7510">
            <v>4.617</v>
          </cell>
        </row>
        <row r="7511">
          <cell r="A7511" t="str">
            <v/>
          </cell>
          <cell r="B7511">
            <v>37891</v>
          </cell>
          <cell r="C7511" t="str">
            <v>NG</v>
          </cell>
          <cell r="D7511" t="str">
            <v>200410</v>
          </cell>
          <cell r="E7511">
            <v>4.63</v>
          </cell>
        </row>
        <row r="7512">
          <cell r="A7512" t="str">
            <v/>
          </cell>
          <cell r="B7512">
            <v>37891</v>
          </cell>
          <cell r="C7512" t="str">
            <v>NG</v>
          </cell>
          <cell r="D7512" t="str">
            <v>200411</v>
          </cell>
          <cell r="E7512">
            <v>4.7750000000000004</v>
          </cell>
        </row>
        <row r="7513">
          <cell r="A7513" t="str">
            <v/>
          </cell>
          <cell r="B7513">
            <v>37891</v>
          </cell>
          <cell r="C7513" t="str">
            <v>NG</v>
          </cell>
          <cell r="D7513" t="str">
            <v>200412</v>
          </cell>
          <cell r="E7513">
            <v>4.9349999999999996</v>
          </cell>
        </row>
        <row r="7514">
          <cell r="A7514" t="str">
            <v/>
          </cell>
          <cell r="B7514">
            <v>37892</v>
          </cell>
          <cell r="C7514" t="str">
            <v>NG</v>
          </cell>
          <cell r="D7514" t="str">
            <v>200401</v>
          </cell>
          <cell r="E7514">
            <v>5.0709999999999997</v>
          </cell>
        </row>
        <row r="7515">
          <cell r="A7515" t="str">
            <v/>
          </cell>
          <cell r="B7515">
            <v>37892</v>
          </cell>
          <cell r="C7515" t="str">
            <v>NG</v>
          </cell>
          <cell r="D7515" t="str">
            <v>200402</v>
          </cell>
          <cell r="E7515">
            <v>5.0330000000000004</v>
          </cell>
        </row>
        <row r="7516">
          <cell r="A7516" t="str">
            <v/>
          </cell>
          <cell r="B7516">
            <v>37892</v>
          </cell>
          <cell r="C7516" t="str">
            <v>NG</v>
          </cell>
          <cell r="D7516" t="str">
            <v>200403</v>
          </cell>
          <cell r="E7516">
            <v>4.9459999999999997</v>
          </cell>
        </row>
        <row r="7517">
          <cell r="A7517" t="str">
            <v/>
          </cell>
          <cell r="B7517">
            <v>37892</v>
          </cell>
          <cell r="C7517" t="str">
            <v>NG</v>
          </cell>
          <cell r="D7517" t="str">
            <v>200404</v>
          </cell>
          <cell r="E7517">
            <v>4.681</v>
          </cell>
        </row>
        <row r="7518">
          <cell r="A7518" t="str">
            <v/>
          </cell>
          <cell r="B7518">
            <v>37892</v>
          </cell>
          <cell r="C7518" t="str">
            <v>NG</v>
          </cell>
          <cell r="D7518" t="str">
            <v>200405</v>
          </cell>
          <cell r="E7518">
            <v>4.593</v>
          </cell>
        </row>
        <row r="7519">
          <cell r="A7519" t="str">
            <v/>
          </cell>
          <cell r="B7519">
            <v>37892</v>
          </cell>
          <cell r="C7519" t="str">
            <v>NG</v>
          </cell>
          <cell r="D7519" t="str">
            <v>200406</v>
          </cell>
          <cell r="E7519">
            <v>4.6130000000000004</v>
          </cell>
        </row>
        <row r="7520">
          <cell r="A7520" t="str">
            <v/>
          </cell>
          <cell r="B7520">
            <v>37892</v>
          </cell>
          <cell r="C7520" t="str">
            <v>NG</v>
          </cell>
          <cell r="D7520" t="str">
            <v>200407</v>
          </cell>
          <cell r="E7520">
            <v>4.6230000000000002</v>
          </cell>
        </row>
        <row r="7521">
          <cell r="A7521" t="str">
            <v/>
          </cell>
          <cell r="B7521">
            <v>37892</v>
          </cell>
          <cell r="C7521" t="str">
            <v>NG</v>
          </cell>
          <cell r="D7521" t="str">
            <v>200408</v>
          </cell>
          <cell r="E7521">
            <v>4.63</v>
          </cell>
        </row>
        <row r="7522">
          <cell r="A7522" t="str">
            <v/>
          </cell>
          <cell r="B7522">
            <v>37892</v>
          </cell>
          <cell r="C7522" t="str">
            <v>NG</v>
          </cell>
          <cell r="D7522" t="str">
            <v>200409</v>
          </cell>
          <cell r="E7522">
            <v>4.617</v>
          </cell>
        </row>
        <row r="7523">
          <cell r="A7523" t="str">
            <v/>
          </cell>
          <cell r="B7523">
            <v>37892</v>
          </cell>
          <cell r="C7523" t="str">
            <v>NG</v>
          </cell>
          <cell r="D7523" t="str">
            <v>200410</v>
          </cell>
          <cell r="E7523">
            <v>4.63</v>
          </cell>
        </row>
        <row r="7524">
          <cell r="A7524" t="str">
            <v/>
          </cell>
          <cell r="B7524">
            <v>37892</v>
          </cell>
          <cell r="C7524" t="str">
            <v>NG</v>
          </cell>
          <cell r="D7524" t="str">
            <v>200411</v>
          </cell>
          <cell r="E7524">
            <v>4.7750000000000004</v>
          </cell>
        </row>
        <row r="7525">
          <cell r="A7525" t="str">
            <v/>
          </cell>
          <cell r="B7525">
            <v>37892</v>
          </cell>
          <cell r="C7525" t="str">
            <v>NG</v>
          </cell>
          <cell r="D7525" t="str">
            <v>200412</v>
          </cell>
          <cell r="E7525">
            <v>4.9349999999999996</v>
          </cell>
        </row>
        <row r="7526">
          <cell r="A7526" t="str">
            <v/>
          </cell>
          <cell r="B7526">
            <v>37893</v>
          </cell>
          <cell r="C7526" t="str">
            <v>NG</v>
          </cell>
          <cell r="D7526" t="str">
            <v>200401</v>
          </cell>
          <cell r="E7526">
            <v>5.3</v>
          </cell>
        </row>
        <row r="7527">
          <cell r="A7527" t="str">
            <v/>
          </cell>
          <cell r="B7527">
            <v>37893</v>
          </cell>
          <cell r="C7527" t="str">
            <v>NG</v>
          </cell>
          <cell r="D7527" t="str">
            <v>200402</v>
          </cell>
          <cell r="E7527">
            <v>5.2460000000000004</v>
          </cell>
        </row>
        <row r="7528">
          <cell r="A7528" t="str">
            <v/>
          </cell>
          <cell r="B7528">
            <v>37893</v>
          </cell>
          <cell r="C7528" t="str">
            <v>NG</v>
          </cell>
          <cell r="D7528" t="str">
            <v>200403</v>
          </cell>
          <cell r="E7528">
            <v>5.14</v>
          </cell>
        </row>
        <row r="7529">
          <cell r="A7529" t="str">
            <v/>
          </cell>
          <cell r="B7529">
            <v>37893</v>
          </cell>
          <cell r="C7529" t="str">
            <v>NG</v>
          </cell>
          <cell r="D7529" t="str">
            <v>200404</v>
          </cell>
          <cell r="E7529">
            <v>4.83</v>
          </cell>
        </row>
        <row r="7530">
          <cell r="A7530" t="str">
            <v/>
          </cell>
          <cell r="B7530">
            <v>37893</v>
          </cell>
          <cell r="C7530" t="str">
            <v>NG</v>
          </cell>
          <cell r="D7530" t="str">
            <v>200405</v>
          </cell>
          <cell r="E7530">
            <v>4.7270000000000003</v>
          </cell>
        </row>
        <row r="7531">
          <cell r="A7531" t="str">
            <v/>
          </cell>
          <cell r="B7531">
            <v>37893</v>
          </cell>
          <cell r="C7531" t="str">
            <v>NG</v>
          </cell>
          <cell r="D7531" t="str">
            <v>200406</v>
          </cell>
          <cell r="E7531">
            <v>4.7290000000000001</v>
          </cell>
        </row>
        <row r="7532">
          <cell r="A7532" t="str">
            <v/>
          </cell>
          <cell r="B7532">
            <v>37893</v>
          </cell>
          <cell r="C7532" t="str">
            <v>NG</v>
          </cell>
          <cell r="D7532" t="str">
            <v>200407</v>
          </cell>
          <cell r="E7532">
            <v>4.734</v>
          </cell>
        </row>
        <row r="7533">
          <cell r="A7533" t="str">
            <v/>
          </cell>
          <cell r="B7533">
            <v>37893</v>
          </cell>
          <cell r="C7533" t="str">
            <v>NG</v>
          </cell>
          <cell r="D7533" t="str">
            <v>200408</v>
          </cell>
          <cell r="E7533">
            <v>4.734</v>
          </cell>
        </row>
        <row r="7534">
          <cell r="A7534" t="str">
            <v/>
          </cell>
          <cell r="B7534">
            <v>37893</v>
          </cell>
          <cell r="C7534" t="str">
            <v>NG</v>
          </cell>
          <cell r="D7534" t="str">
            <v>200409</v>
          </cell>
          <cell r="E7534">
            <v>4.7210000000000001</v>
          </cell>
        </row>
        <row r="7535">
          <cell r="A7535" t="str">
            <v/>
          </cell>
          <cell r="B7535">
            <v>37893</v>
          </cell>
          <cell r="C7535" t="str">
            <v>NG</v>
          </cell>
          <cell r="D7535" t="str">
            <v>200410</v>
          </cell>
          <cell r="E7535">
            <v>4.7290000000000001</v>
          </cell>
        </row>
        <row r="7536">
          <cell r="A7536" t="str">
            <v/>
          </cell>
          <cell r="B7536">
            <v>37893</v>
          </cell>
          <cell r="C7536" t="str">
            <v>NG</v>
          </cell>
          <cell r="D7536" t="str">
            <v>200411</v>
          </cell>
          <cell r="E7536">
            <v>4.8609999999999998</v>
          </cell>
        </row>
        <row r="7537">
          <cell r="A7537" t="str">
            <v/>
          </cell>
          <cell r="B7537">
            <v>37893</v>
          </cell>
          <cell r="C7537" t="str">
            <v>NG</v>
          </cell>
          <cell r="D7537" t="str">
            <v>200412</v>
          </cell>
          <cell r="E7537">
            <v>5.0140000000000002</v>
          </cell>
        </row>
        <row r="7538">
          <cell r="A7538" t="str">
            <v/>
          </cell>
          <cell r="B7538">
            <v>37894</v>
          </cell>
          <cell r="C7538" t="str">
            <v>NG</v>
          </cell>
          <cell r="D7538" t="str">
            <v>200401</v>
          </cell>
          <cell r="E7538">
            <v>5.2619999999999996</v>
          </cell>
        </row>
        <row r="7539">
          <cell r="A7539" t="str">
            <v/>
          </cell>
          <cell r="B7539">
            <v>37894</v>
          </cell>
          <cell r="C7539" t="str">
            <v>NG</v>
          </cell>
          <cell r="D7539" t="str">
            <v>200402</v>
          </cell>
          <cell r="E7539">
            <v>5.2119999999999997</v>
          </cell>
        </row>
        <row r="7540">
          <cell r="A7540" t="str">
            <v/>
          </cell>
          <cell r="B7540">
            <v>37894</v>
          </cell>
          <cell r="C7540" t="str">
            <v>NG</v>
          </cell>
          <cell r="D7540" t="str">
            <v>200403</v>
          </cell>
          <cell r="E7540">
            <v>5.1070000000000002</v>
          </cell>
        </row>
        <row r="7541">
          <cell r="A7541" t="str">
            <v/>
          </cell>
          <cell r="B7541">
            <v>37894</v>
          </cell>
          <cell r="C7541" t="str">
            <v>NG</v>
          </cell>
          <cell r="D7541" t="str">
            <v>200404</v>
          </cell>
          <cell r="E7541">
            <v>4.8019999999999996</v>
          </cell>
        </row>
        <row r="7542">
          <cell r="A7542" t="str">
            <v/>
          </cell>
          <cell r="B7542">
            <v>37894</v>
          </cell>
          <cell r="C7542" t="str">
            <v>NG</v>
          </cell>
          <cell r="D7542" t="str">
            <v>200405</v>
          </cell>
          <cell r="E7542">
            <v>4.7089999999999996</v>
          </cell>
        </row>
        <row r="7543">
          <cell r="A7543" t="str">
            <v/>
          </cell>
          <cell r="B7543">
            <v>37894</v>
          </cell>
          <cell r="C7543" t="str">
            <v>NG</v>
          </cell>
          <cell r="D7543" t="str">
            <v>200406</v>
          </cell>
          <cell r="E7543">
            <v>4.7190000000000003</v>
          </cell>
        </row>
        <row r="7544">
          <cell r="A7544" t="str">
            <v/>
          </cell>
          <cell r="B7544">
            <v>37894</v>
          </cell>
          <cell r="C7544" t="str">
            <v>NG</v>
          </cell>
          <cell r="D7544" t="str">
            <v>200407</v>
          </cell>
          <cell r="E7544">
            <v>4.7240000000000002</v>
          </cell>
        </row>
        <row r="7545">
          <cell r="A7545" t="str">
            <v/>
          </cell>
          <cell r="B7545">
            <v>37894</v>
          </cell>
          <cell r="C7545" t="str">
            <v>NG</v>
          </cell>
          <cell r="D7545" t="str">
            <v>200408</v>
          </cell>
          <cell r="E7545">
            <v>4.7240000000000002</v>
          </cell>
        </row>
        <row r="7546">
          <cell r="A7546" t="str">
            <v/>
          </cell>
          <cell r="B7546">
            <v>37894</v>
          </cell>
          <cell r="C7546" t="str">
            <v>NG</v>
          </cell>
          <cell r="D7546" t="str">
            <v>200409</v>
          </cell>
          <cell r="E7546">
            <v>4.7210000000000001</v>
          </cell>
        </row>
        <row r="7547">
          <cell r="A7547" t="str">
            <v/>
          </cell>
          <cell r="B7547">
            <v>37894</v>
          </cell>
          <cell r="C7547" t="str">
            <v>NG</v>
          </cell>
          <cell r="D7547" t="str">
            <v>200410</v>
          </cell>
          <cell r="E7547">
            <v>4.7290000000000001</v>
          </cell>
        </row>
        <row r="7548">
          <cell r="A7548" t="str">
            <v/>
          </cell>
          <cell r="B7548">
            <v>37894</v>
          </cell>
          <cell r="C7548" t="str">
            <v>NG</v>
          </cell>
          <cell r="D7548" t="str">
            <v>200411</v>
          </cell>
          <cell r="E7548">
            <v>4.8609999999999998</v>
          </cell>
        </row>
        <row r="7549">
          <cell r="A7549" t="str">
            <v/>
          </cell>
          <cell r="B7549">
            <v>37894</v>
          </cell>
          <cell r="C7549" t="str">
            <v>NG</v>
          </cell>
          <cell r="D7549" t="str">
            <v>200412</v>
          </cell>
          <cell r="E7549">
            <v>5.0039999999999996</v>
          </cell>
        </row>
        <row r="7550">
          <cell r="A7550" t="str">
            <v/>
          </cell>
          <cell r="B7550">
            <v>37895</v>
          </cell>
          <cell r="C7550" t="str">
            <v>NG</v>
          </cell>
          <cell r="D7550" t="str">
            <v>200401</v>
          </cell>
          <cell r="E7550">
            <v>5.1420000000000003</v>
          </cell>
        </row>
        <row r="7551">
          <cell r="A7551" t="str">
            <v/>
          </cell>
          <cell r="B7551">
            <v>37895</v>
          </cell>
          <cell r="C7551" t="str">
            <v>NG</v>
          </cell>
          <cell r="D7551" t="str">
            <v>200402</v>
          </cell>
          <cell r="E7551">
            <v>5.1040000000000001</v>
          </cell>
        </row>
        <row r="7552">
          <cell r="A7552" t="str">
            <v/>
          </cell>
          <cell r="B7552">
            <v>37895</v>
          </cell>
          <cell r="C7552" t="str">
            <v>NG</v>
          </cell>
          <cell r="D7552" t="str">
            <v>200403</v>
          </cell>
          <cell r="E7552">
            <v>5.0090000000000003</v>
          </cell>
        </row>
        <row r="7553">
          <cell r="A7553" t="str">
            <v/>
          </cell>
          <cell r="B7553">
            <v>37895</v>
          </cell>
          <cell r="C7553" t="str">
            <v>NG</v>
          </cell>
          <cell r="D7553" t="str">
            <v>200404</v>
          </cell>
          <cell r="E7553">
            <v>4.7380000000000004</v>
          </cell>
        </row>
        <row r="7554">
          <cell r="A7554" t="str">
            <v/>
          </cell>
          <cell r="B7554">
            <v>37895</v>
          </cell>
          <cell r="C7554" t="str">
            <v>NG</v>
          </cell>
          <cell r="D7554" t="str">
            <v>200405</v>
          </cell>
          <cell r="E7554">
            <v>4.6479999999999997</v>
          </cell>
        </row>
        <row r="7555">
          <cell r="A7555" t="str">
            <v/>
          </cell>
          <cell r="B7555">
            <v>37895</v>
          </cell>
          <cell r="C7555" t="str">
            <v>NG</v>
          </cell>
          <cell r="D7555" t="str">
            <v>200406</v>
          </cell>
          <cell r="E7555">
            <v>4.6630000000000003</v>
          </cell>
        </row>
        <row r="7556">
          <cell r="A7556" t="str">
            <v/>
          </cell>
          <cell r="B7556">
            <v>37895</v>
          </cell>
          <cell r="C7556" t="str">
            <v>NG</v>
          </cell>
          <cell r="D7556" t="str">
            <v>200407</v>
          </cell>
          <cell r="E7556">
            <v>4.6680000000000001</v>
          </cell>
        </row>
        <row r="7557">
          <cell r="A7557" t="str">
            <v/>
          </cell>
          <cell r="B7557">
            <v>37895</v>
          </cell>
          <cell r="C7557" t="str">
            <v>NG</v>
          </cell>
          <cell r="D7557" t="str">
            <v>200408</v>
          </cell>
          <cell r="E7557">
            <v>4.673</v>
          </cell>
        </row>
        <row r="7558">
          <cell r="A7558" t="str">
            <v/>
          </cell>
          <cell r="B7558">
            <v>37895</v>
          </cell>
          <cell r="C7558" t="str">
            <v>NG</v>
          </cell>
          <cell r="D7558" t="str">
            <v>200409</v>
          </cell>
          <cell r="E7558">
            <v>4.67</v>
          </cell>
        </row>
        <row r="7559">
          <cell r="A7559" t="str">
            <v/>
          </cell>
          <cell r="B7559">
            <v>37895</v>
          </cell>
          <cell r="C7559" t="str">
            <v>NG</v>
          </cell>
          <cell r="D7559" t="str">
            <v>200410</v>
          </cell>
          <cell r="E7559">
            <v>4.6779999999999999</v>
          </cell>
        </row>
        <row r="7560">
          <cell r="A7560" t="str">
            <v/>
          </cell>
          <cell r="B7560">
            <v>37895</v>
          </cell>
          <cell r="C7560" t="str">
            <v>NG</v>
          </cell>
          <cell r="D7560" t="str">
            <v>200411</v>
          </cell>
          <cell r="E7560">
            <v>4.8129999999999997</v>
          </cell>
        </row>
        <row r="7561">
          <cell r="A7561" t="str">
            <v/>
          </cell>
          <cell r="B7561">
            <v>37895</v>
          </cell>
          <cell r="C7561" t="str">
            <v>NG</v>
          </cell>
          <cell r="D7561" t="str">
            <v>200412</v>
          </cell>
          <cell r="E7561">
            <v>4.968</v>
          </cell>
        </row>
        <row r="7562">
          <cell r="A7562" t="str">
            <v/>
          </cell>
          <cell r="B7562">
            <v>37896</v>
          </cell>
          <cell r="C7562" t="str">
            <v>NG</v>
          </cell>
          <cell r="D7562" t="str">
            <v>200401</v>
          </cell>
          <cell r="E7562">
            <v>5.1639999999999997</v>
          </cell>
        </row>
        <row r="7563">
          <cell r="A7563" t="str">
            <v/>
          </cell>
          <cell r="B7563">
            <v>37896</v>
          </cell>
          <cell r="C7563" t="str">
            <v>NG</v>
          </cell>
          <cell r="D7563" t="str">
            <v>200402</v>
          </cell>
          <cell r="E7563">
            <v>5.1260000000000003</v>
          </cell>
        </row>
        <row r="7564">
          <cell r="A7564" t="str">
            <v/>
          </cell>
          <cell r="B7564">
            <v>37896</v>
          </cell>
          <cell r="C7564" t="str">
            <v>NG</v>
          </cell>
          <cell r="D7564" t="str">
            <v>200403</v>
          </cell>
          <cell r="E7564">
            <v>5.0309999999999997</v>
          </cell>
        </row>
        <row r="7565">
          <cell r="A7565" t="str">
            <v/>
          </cell>
          <cell r="B7565">
            <v>37896</v>
          </cell>
          <cell r="C7565" t="str">
            <v>NG</v>
          </cell>
          <cell r="D7565" t="str">
            <v>200404</v>
          </cell>
          <cell r="E7565">
            <v>4.766</v>
          </cell>
        </row>
        <row r="7566">
          <cell r="A7566" t="str">
            <v/>
          </cell>
          <cell r="B7566">
            <v>37896</v>
          </cell>
          <cell r="C7566" t="str">
            <v>NG</v>
          </cell>
          <cell r="D7566" t="str">
            <v>200405</v>
          </cell>
          <cell r="E7566">
            <v>4.6760000000000002</v>
          </cell>
        </row>
        <row r="7567">
          <cell r="A7567" t="str">
            <v/>
          </cell>
          <cell r="B7567">
            <v>37896</v>
          </cell>
          <cell r="C7567" t="str">
            <v>NG</v>
          </cell>
          <cell r="D7567" t="str">
            <v>200406</v>
          </cell>
          <cell r="E7567">
            <v>4.6959999999999997</v>
          </cell>
        </row>
        <row r="7568">
          <cell r="A7568" t="str">
            <v/>
          </cell>
          <cell r="B7568">
            <v>37896</v>
          </cell>
          <cell r="C7568" t="str">
            <v>NG</v>
          </cell>
          <cell r="D7568" t="str">
            <v>200407</v>
          </cell>
          <cell r="E7568">
            <v>4.7009999999999996</v>
          </cell>
        </row>
        <row r="7569">
          <cell r="A7569" t="str">
            <v/>
          </cell>
          <cell r="B7569">
            <v>37896</v>
          </cell>
          <cell r="C7569" t="str">
            <v>NG</v>
          </cell>
          <cell r="D7569" t="str">
            <v>200408</v>
          </cell>
          <cell r="E7569">
            <v>4.7060000000000004</v>
          </cell>
        </row>
        <row r="7570">
          <cell r="A7570" t="str">
            <v/>
          </cell>
          <cell r="B7570">
            <v>37896</v>
          </cell>
          <cell r="C7570" t="str">
            <v>NG</v>
          </cell>
          <cell r="D7570" t="str">
            <v>200409</v>
          </cell>
          <cell r="E7570">
            <v>4.7009999999999996</v>
          </cell>
        </row>
        <row r="7571">
          <cell r="A7571" t="str">
            <v/>
          </cell>
          <cell r="B7571">
            <v>37896</v>
          </cell>
          <cell r="C7571" t="str">
            <v>NG</v>
          </cell>
          <cell r="D7571" t="str">
            <v>200410</v>
          </cell>
          <cell r="E7571">
            <v>4.7089999999999996</v>
          </cell>
        </row>
        <row r="7572">
          <cell r="A7572" t="str">
            <v/>
          </cell>
          <cell r="B7572">
            <v>37896</v>
          </cell>
          <cell r="C7572" t="str">
            <v>NG</v>
          </cell>
          <cell r="D7572" t="str">
            <v>200411</v>
          </cell>
          <cell r="E7572">
            <v>4.8490000000000002</v>
          </cell>
        </row>
        <row r="7573">
          <cell r="A7573" t="str">
            <v/>
          </cell>
          <cell r="B7573">
            <v>37896</v>
          </cell>
          <cell r="C7573" t="str">
            <v>NG</v>
          </cell>
          <cell r="D7573" t="str">
            <v>200412</v>
          </cell>
          <cell r="E7573">
            <v>4.9989999999999997</v>
          </cell>
        </row>
        <row r="7574">
          <cell r="A7574" t="str">
            <v/>
          </cell>
          <cell r="B7574">
            <v>37897</v>
          </cell>
          <cell r="C7574" t="str">
            <v>NG</v>
          </cell>
          <cell r="D7574" t="str">
            <v>200401</v>
          </cell>
          <cell r="E7574">
            <v>5.226</v>
          </cell>
        </row>
        <row r="7575">
          <cell r="A7575" t="str">
            <v/>
          </cell>
          <cell r="B7575">
            <v>37897</v>
          </cell>
          <cell r="C7575" t="str">
            <v>NG</v>
          </cell>
          <cell r="D7575" t="str">
            <v>200402</v>
          </cell>
          <cell r="E7575">
            <v>5.1849999999999996</v>
          </cell>
        </row>
        <row r="7576">
          <cell r="A7576" t="str">
            <v/>
          </cell>
          <cell r="B7576">
            <v>37897</v>
          </cell>
          <cell r="C7576" t="str">
            <v>NG</v>
          </cell>
          <cell r="D7576" t="str">
            <v>200403</v>
          </cell>
          <cell r="E7576">
            <v>5.0839999999999996</v>
          </cell>
        </row>
        <row r="7577">
          <cell r="A7577" t="str">
            <v/>
          </cell>
          <cell r="B7577">
            <v>37897</v>
          </cell>
          <cell r="C7577" t="str">
            <v>NG</v>
          </cell>
          <cell r="D7577" t="str">
            <v>200404</v>
          </cell>
          <cell r="E7577">
            <v>4.8040000000000003</v>
          </cell>
        </row>
        <row r="7578">
          <cell r="A7578" t="str">
            <v/>
          </cell>
          <cell r="B7578">
            <v>37897</v>
          </cell>
          <cell r="C7578" t="str">
            <v>NG</v>
          </cell>
          <cell r="D7578" t="str">
            <v>200405</v>
          </cell>
          <cell r="E7578">
            <v>4.7089999999999996</v>
          </cell>
        </row>
        <row r="7579">
          <cell r="A7579" t="str">
            <v/>
          </cell>
          <cell r="B7579">
            <v>37897</v>
          </cell>
          <cell r="C7579" t="str">
            <v>NG</v>
          </cell>
          <cell r="D7579" t="str">
            <v>200406</v>
          </cell>
          <cell r="E7579">
            <v>4.7240000000000002</v>
          </cell>
        </row>
        <row r="7580">
          <cell r="A7580" t="str">
            <v/>
          </cell>
          <cell r="B7580">
            <v>37897</v>
          </cell>
          <cell r="C7580" t="str">
            <v>NG</v>
          </cell>
          <cell r="D7580" t="str">
            <v>200407</v>
          </cell>
          <cell r="E7580">
            <v>4.734</v>
          </cell>
        </row>
        <row r="7581">
          <cell r="A7581" t="str">
            <v/>
          </cell>
          <cell r="B7581">
            <v>37897</v>
          </cell>
          <cell r="C7581" t="str">
            <v>NG</v>
          </cell>
          <cell r="D7581" t="str">
            <v>200408</v>
          </cell>
          <cell r="E7581">
            <v>4.7350000000000003</v>
          </cell>
        </row>
        <row r="7582">
          <cell r="A7582" t="str">
            <v/>
          </cell>
          <cell r="B7582">
            <v>37897</v>
          </cell>
          <cell r="C7582" t="str">
            <v>NG</v>
          </cell>
          <cell r="D7582" t="str">
            <v>200409</v>
          </cell>
          <cell r="E7582">
            <v>4.7300000000000004</v>
          </cell>
        </row>
        <row r="7583">
          <cell r="A7583" t="str">
            <v/>
          </cell>
          <cell r="B7583">
            <v>37897</v>
          </cell>
          <cell r="C7583" t="str">
            <v>NG</v>
          </cell>
          <cell r="D7583" t="str">
            <v>200410</v>
          </cell>
          <cell r="E7583">
            <v>4.7350000000000003</v>
          </cell>
        </row>
        <row r="7584">
          <cell r="A7584" t="str">
            <v/>
          </cell>
          <cell r="B7584">
            <v>37897</v>
          </cell>
          <cell r="C7584" t="str">
            <v>NG</v>
          </cell>
          <cell r="D7584" t="str">
            <v>200411</v>
          </cell>
          <cell r="E7584">
            <v>4.8719999999999999</v>
          </cell>
        </row>
        <row r="7585">
          <cell r="A7585" t="str">
            <v/>
          </cell>
          <cell r="B7585">
            <v>37897</v>
          </cell>
          <cell r="C7585" t="str">
            <v>NG</v>
          </cell>
          <cell r="D7585" t="str">
            <v>200412</v>
          </cell>
          <cell r="E7585">
            <v>5.0170000000000003</v>
          </cell>
        </row>
        <row r="7586">
          <cell r="A7586" t="str">
            <v/>
          </cell>
          <cell r="B7586">
            <v>37898</v>
          </cell>
          <cell r="C7586" t="str">
            <v>NG</v>
          </cell>
          <cell r="D7586" t="str">
            <v>200401</v>
          </cell>
          <cell r="E7586">
            <v>5.226</v>
          </cell>
        </row>
        <row r="7587">
          <cell r="A7587" t="str">
            <v/>
          </cell>
          <cell r="B7587">
            <v>37898</v>
          </cell>
          <cell r="C7587" t="str">
            <v>NG</v>
          </cell>
          <cell r="D7587" t="str">
            <v>200402</v>
          </cell>
          <cell r="E7587">
            <v>5.1849999999999996</v>
          </cell>
        </row>
        <row r="7588">
          <cell r="A7588" t="str">
            <v/>
          </cell>
          <cell r="B7588">
            <v>37898</v>
          </cell>
          <cell r="C7588" t="str">
            <v>NG</v>
          </cell>
          <cell r="D7588" t="str">
            <v>200403</v>
          </cell>
          <cell r="E7588">
            <v>5.0839999999999996</v>
          </cell>
        </row>
        <row r="7589">
          <cell r="A7589" t="str">
            <v/>
          </cell>
          <cell r="B7589">
            <v>37898</v>
          </cell>
          <cell r="C7589" t="str">
            <v>NG</v>
          </cell>
          <cell r="D7589" t="str">
            <v>200404</v>
          </cell>
          <cell r="E7589">
            <v>4.8040000000000003</v>
          </cell>
        </row>
        <row r="7590">
          <cell r="A7590" t="str">
            <v/>
          </cell>
          <cell r="B7590">
            <v>37898</v>
          </cell>
          <cell r="C7590" t="str">
            <v>NG</v>
          </cell>
          <cell r="D7590" t="str">
            <v>200405</v>
          </cell>
          <cell r="E7590">
            <v>4.7089999999999996</v>
          </cell>
        </row>
        <row r="7591">
          <cell r="A7591" t="str">
            <v/>
          </cell>
          <cell r="B7591">
            <v>37898</v>
          </cell>
          <cell r="C7591" t="str">
            <v>NG</v>
          </cell>
          <cell r="D7591" t="str">
            <v>200406</v>
          </cell>
          <cell r="E7591">
            <v>4.7240000000000002</v>
          </cell>
        </row>
        <row r="7592">
          <cell r="A7592" t="str">
            <v/>
          </cell>
          <cell r="B7592">
            <v>37898</v>
          </cell>
          <cell r="C7592" t="str">
            <v>NG</v>
          </cell>
          <cell r="D7592" t="str">
            <v>200407</v>
          </cell>
          <cell r="E7592">
            <v>4.734</v>
          </cell>
        </row>
        <row r="7593">
          <cell r="A7593" t="str">
            <v/>
          </cell>
          <cell r="B7593">
            <v>37898</v>
          </cell>
          <cell r="C7593" t="str">
            <v>NG</v>
          </cell>
          <cell r="D7593" t="str">
            <v>200408</v>
          </cell>
          <cell r="E7593">
            <v>4.7350000000000003</v>
          </cell>
        </row>
        <row r="7594">
          <cell r="A7594" t="str">
            <v/>
          </cell>
          <cell r="B7594">
            <v>37898</v>
          </cell>
          <cell r="C7594" t="str">
            <v>NG</v>
          </cell>
          <cell r="D7594" t="str">
            <v>200409</v>
          </cell>
          <cell r="E7594">
            <v>4.7300000000000004</v>
          </cell>
        </row>
        <row r="7595">
          <cell r="A7595" t="str">
            <v/>
          </cell>
          <cell r="B7595">
            <v>37898</v>
          </cell>
          <cell r="C7595" t="str">
            <v>NG</v>
          </cell>
          <cell r="D7595" t="str">
            <v>200410</v>
          </cell>
          <cell r="E7595">
            <v>4.7350000000000003</v>
          </cell>
        </row>
        <row r="7596">
          <cell r="A7596" t="str">
            <v/>
          </cell>
          <cell r="B7596">
            <v>37898</v>
          </cell>
          <cell r="C7596" t="str">
            <v>NG</v>
          </cell>
          <cell r="D7596" t="str">
            <v>200411</v>
          </cell>
          <cell r="E7596">
            <v>4.8719999999999999</v>
          </cell>
        </row>
        <row r="7597">
          <cell r="A7597" t="str">
            <v/>
          </cell>
          <cell r="B7597">
            <v>37898</v>
          </cell>
          <cell r="C7597" t="str">
            <v>NG</v>
          </cell>
          <cell r="D7597" t="str">
            <v>200412</v>
          </cell>
          <cell r="E7597">
            <v>5.0170000000000003</v>
          </cell>
        </row>
        <row r="7598">
          <cell r="A7598" t="str">
            <v/>
          </cell>
          <cell r="B7598">
            <v>37899</v>
          </cell>
          <cell r="C7598" t="str">
            <v>NG</v>
          </cell>
          <cell r="D7598" t="str">
            <v>200401</v>
          </cell>
          <cell r="E7598">
            <v>5.226</v>
          </cell>
        </row>
        <row r="7599">
          <cell r="A7599" t="str">
            <v/>
          </cell>
          <cell r="B7599">
            <v>37899</v>
          </cell>
          <cell r="C7599" t="str">
            <v>NG</v>
          </cell>
          <cell r="D7599" t="str">
            <v>200402</v>
          </cell>
          <cell r="E7599">
            <v>5.1849999999999996</v>
          </cell>
        </row>
        <row r="7600">
          <cell r="A7600" t="str">
            <v/>
          </cell>
          <cell r="B7600">
            <v>37899</v>
          </cell>
          <cell r="C7600" t="str">
            <v>NG</v>
          </cell>
          <cell r="D7600" t="str">
            <v>200403</v>
          </cell>
          <cell r="E7600">
            <v>5.0839999999999996</v>
          </cell>
        </row>
        <row r="7601">
          <cell r="A7601" t="str">
            <v/>
          </cell>
          <cell r="B7601">
            <v>37899</v>
          </cell>
          <cell r="C7601" t="str">
            <v>NG</v>
          </cell>
          <cell r="D7601" t="str">
            <v>200404</v>
          </cell>
          <cell r="E7601">
            <v>4.8040000000000003</v>
          </cell>
        </row>
        <row r="7602">
          <cell r="A7602" t="str">
            <v/>
          </cell>
          <cell r="B7602">
            <v>37899</v>
          </cell>
          <cell r="C7602" t="str">
            <v>NG</v>
          </cell>
          <cell r="D7602" t="str">
            <v>200405</v>
          </cell>
          <cell r="E7602">
            <v>4.7089999999999996</v>
          </cell>
        </row>
        <row r="7603">
          <cell r="A7603" t="str">
            <v/>
          </cell>
          <cell r="B7603">
            <v>37899</v>
          </cell>
          <cell r="C7603" t="str">
            <v>NG</v>
          </cell>
          <cell r="D7603" t="str">
            <v>200406</v>
          </cell>
          <cell r="E7603">
            <v>4.7240000000000002</v>
          </cell>
        </row>
        <row r="7604">
          <cell r="A7604" t="str">
            <v/>
          </cell>
          <cell r="B7604">
            <v>37899</v>
          </cell>
          <cell r="C7604" t="str">
            <v>NG</v>
          </cell>
          <cell r="D7604" t="str">
            <v>200407</v>
          </cell>
          <cell r="E7604">
            <v>4.734</v>
          </cell>
        </row>
        <row r="7605">
          <cell r="A7605" t="str">
            <v/>
          </cell>
          <cell r="B7605">
            <v>37899</v>
          </cell>
          <cell r="C7605" t="str">
            <v>NG</v>
          </cell>
          <cell r="D7605" t="str">
            <v>200408</v>
          </cell>
          <cell r="E7605">
            <v>4.7350000000000003</v>
          </cell>
        </row>
        <row r="7606">
          <cell r="A7606" t="str">
            <v/>
          </cell>
          <cell r="B7606">
            <v>37899</v>
          </cell>
          <cell r="C7606" t="str">
            <v>NG</v>
          </cell>
          <cell r="D7606" t="str">
            <v>200409</v>
          </cell>
          <cell r="E7606">
            <v>4.7300000000000004</v>
          </cell>
        </row>
        <row r="7607">
          <cell r="A7607" t="str">
            <v/>
          </cell>
          <cell r="B7607">
            <v>37899</v>
          </cell>
          <cell r="C7607" t="str">
            <v>NG</v>
          </cell>
          <cell r="D7607" t="str">
            <v>200410</v>
          </cell>
          <cell r="E7607">
            <v>4.7350000000000003</v>
          </cell>
        </row>
        <row r="7608">
          <cell r="A7608" t="str">
            <v/>
          </cell>
          <cell r="B7608">
            <v>37899</v>
          </cell>
          <cell r="C7608" t="str">
            <v>NG</v>
          </cell>
          <cell r="D7608" t="str">
            <v>200411</v>
          </cell>
          <cell r="E7608">
            <v>4.8719999999999999</v>
          </cell>
        </row>
        <row r="7609">
          <cell r="A7609" t="str">
            <v/>
          </cell>
          <cell r="B7609">
            <v>37899</v>
          </cell>
          <cell r="C7609" t="str">
            <v>NG</v>
          </cell>
          <cell r="D7609" t="str">
            <v>200412</v>
          </cell>
          <cell r="E7609">
            <v>5.0170000000000003</v>
          </cell>
        </row>
        <row r="7610">
          <cell r="A7610" t="str">
            <v/>
          </cell>
          <cell r="B7610">
            <v>37900</v>
          </cell>
          <cell r="C7610" t="str">
            <v>NG</v>
          </cell>
          <cell r="D7610" t="str">
            <v>200401</v>
          </cell>
          <cell r="E7610">
            <v>5.3570000000000002</v>
          </cell>
        </row>
        <row r="7611">
          <cell r="A7611" t="str">
            <v/>
          </cell>
          <cell r="B7611">
            <v>37900</v>
          </cell>
          <cell r="C7611" t="str">
            <v>NG</v>
          </cell>
          <cell r="D7611" t="str">
            <v>200402</v>
          </cell>
          <cell r="E7611">
            <v>5.3120000000000003</v>
          </cell>
        </row>
        <row r="7612">
          <cell r="A7612" t="str">
            <v/>
          </cell>
          <cell r="B7612">
            <v>37900</v>
          </cell>
          <cell r="C7612" t="str">
            <v>NG</v>
          </cell>
          <cell r="D7612" t="str">
            <v>200403</v>
          </cell>
          <cell r="E7612">
            <v>5.1959999999999997</v>
          </cell>
        </row>
        <row r="7613">
          <cell r="A7613" t="str">
            <v/>
          </cell>
          <cell r="B7613">
            <v>37900</v>
          </cell>
          <cell r="C7613" t="str">
            <v>NG</v>
          </cell>
          <cell r="D7613" t="str">
            <v>200404</v>
          </cell>
          <cell r="E7613">
            <v>4.8860000000000001</v>
          </cell>
        </row>
        <row r="7614">
          <cell r="A7614" t="str">
            <v/>
          </cell>
          <cell r="B7614">
            <v>37900</v>
          </cell>
          <cell r="C7614" t="str">
            <v>NG</v>
          </cell>
          <cell r="D7614" t="str">
            <v>200405</v>
          </cell>
          <cell r="E7614">
            <v>4.7919999999999998</v>
          </cell>
        </row>
        <row r="7615">
          <cell r="A7615" t="str">
            <v/>
          </cell>
          <cell r="B7615">
            <v>37900</v>
          </cell>
          <cell r="C7615" t="str">
            <v>NG</v>
          </cell>
          <cell r="D7615" t="str">
            <v>200406</v>
          </cell>
          <cell r="E7615">
            <v>4.7990000000000004</v>
          </cell>
        </row>
        <row r="7616">
          <cell r="A7616" t="str">
            <v/>
          </cell>
          <cell r="B7616">
            <v>37900</v>
          </cell>
          <cell r="C7616" t="str">
            <v>NG</v>
          </cell>
          <cell r="D7616" t="str">
            <v>200407</v>
          </cell>
          <cell r="E7616">
            <v>4.8090000000000002</v>
          </cell>
        </row>
        <row r="7617">
          <cell r="A7617" t="str">
            <v/>
          </cell>
          <cell r="B7617">
            <v>37900</v>
          </cell>
          <cell r="C7617" t="str">
            <v>NG</v>
          </cell>
          <cell r="D7617" t="str">
            <v>200408</v>
          </cell>
          <cell r="E7617">
            <v>4.8140000000000001</v>
          </cell>
        </row>
        <row r="7618">
          <cell r="A7618" t="str">
            <v/>
          </cell>
          <cell r="B7618">
            <v>37900</v>
          </cell>
          <cell r="C7618" t="str">
            <v>NG</v>
          </cell>
          <cell r="D7618" t="str">
            <v>200409</v>
          </cell>
          <cell r="E7618">
            <v>4.8040000000000003</v>
          </cell>
        </row>
        <row r="7619">
          <cell r="A7619" t="str">
            <v/>
          </cell>
          <cell r="B7619">
            <v>37900</v>
          </cell>
          <cell r="C7619" t="str">
            <v>NG</v>
          </cell>
          <cell r="D7619" t="str">
            <v>200410</v>
          </cell>
          <cell r="E7619">
            <v>4.8040000000000003</v>
          </cell>
        </row>
        <row r="7620">
          <cell r="A7620" t="str">
            <v/>
          </cell>
          <cell r="B7620">
            <v>37900</v>
          </cell>
          <cell r="C7620" t="str">
            <v>NG</v>
          </cell>
          <cell r="D7620" t="str">
            <v>200411</v>
          </cell>
          <cell r="E7620">
            <v>4.9340000000000002</v>
          </cell>
        </row>
        <row r="7621">
          <cell r="A7621" t="str">
            <v/>
          </cell>
          <cell r="B7621">
            <v>37900</v>
          </cell>
          <cell r="C7621" t="str">
            <v>NG</v>
          </cell>
          <cell r="D7621" t="str">
            <v>200412</v>
          </cell>
          <cell r="E7621">
            <v>5.0789999999999997</v>
          </cell>
        </row>
        <row r="7622">
          <cell r="A7622" t="str">
            <v/>
          </cell>
          <cell r="B7622">
            <v>37901</v>
          </cell>
          <cell r="C7622" t="str">
            <v>NG</v>
          </cell>
          <cell r="D7622" t="str">
            <v>200401</v>
          </cell>
          <cell r="E7622">
            <v>5.57</v>
          </cell>
        </row>
        <row r="7623">
          <cell r="A7623" t="str">
            <v/>
          </cell>
          <cell r="B7623">
            <v>37901</v>
          </cell>
          <cell r="C7623" t="str">
            <v>NG</v>
          </cell>
          <cell r="D7623" t="str">
            <v>200402</v>
          </cell>
          <cell r="E7623">
            <v>5.51</v>
          </cell>
        </row>
        <row r="7624">
          <cell r="A7624" t="str">
            <v/>
          </cell>
          <cell r="B7624">
            <v>37901</v>
          </cell>
          <cell r="C7624" t="str">
            <v>NG</v>
          </cell>
          <cell r="D7624" t="str">
            <v>200403</v>
          </cell>
          <cell r="E7624">
            <v>5.3609999999999998</v>
          </cell>
        </row>
        <row r="7625">
          <cell r="A7625" t="str">
            <v/>
          </cell>
          <cell r="B7625">
            <v>37901</v>
          </cell>
          <cell r="C7625" t="str">
            <v>NG</v>
          </cell>
          <cell r="D7625" t="str">
            <v>200404</v>
          </cell>
          <cell r="E7625">
            <v>4.9909999999999997</v>
          </cell>
        </row>
        <row r="7626">
          <cell r="A7626" t="str">
            <v/>
          </cell>
          <cell r="B7626">
            <v>37901</v>
          </cell>
          <cell r="C7626" t="str">
            <v>NG</v>
          </cell>
          <cell r="D7626" t="str">
            <v>200405</v>
          </cell>
          <cell r="E7626">
            <v>4.8810000000000002</v>
          </cell>
        </row>
        <row r="7627">
          <cell r="A7627" t="str">
            <v/>
          </cell>
          <cell r="B7627">
            <v>37901</v>
          </cell>
          <cell r="C7627" t="str">
            <v>NG</v>
          </cell>
          <cell r="D7627" t="str">
            <v>200406</v>
          </cell>
          <cell r="E7627">
            <v>4.8810000000000002</v>
          </cell>
        </row>
        <row r="7628">
          <cell r="A7628" t="str">
            <v/>
          </cell>
          <cell r="B7628">
            <v>37901</v>
          </cell>
          <cell r="C7628" t="str">
            <v>NG</v>
          </cell>
          <cell r="D7628" t="str">
            <v>200407</v>
          </cell>
          <cell r="E7628">
            <v>4.8810000000000002</v>
          </cell>
        </row>
        <row r="7629">
          <cell r="A7629" t="str">
            <v/>
          </cell>
          <cell r="B7629">
            <v>37901</v>
          </cell>
          <cell r="C7629" t="str">
            <v>NG</v>
          </cell>
          <cell r="D7629" t="str">
            <v>200408</v>
          </cell>
          <cell r="E7629">
            <v>4.8810000000000002</v>
          </cell>
        </row>
        <row r="7630">
          <cell r="A7630" t="str">
            <v/>
          </cell>
          <cell r="B7630">
            <v>37901</v>
          </cell>
          <cell r="C7630" t="str">
            <v>NG</v>
          </cell>
          <cell r="D7630" t="str">
            <v>200409</v>
          </cell>
          <cell r="E7630">
            <v>4.8710000000000004</v>
          </cell>
        </row>
        <row r="7631">
          <cell r="A7631" t="str">
            <v/>
          </cell>
          <cell r="B7631">
            <v>37901</v>
          </cell>
          <cell r="C7631" t="str">
            <v>NG</v>
          </cell>
          <cell r="D7631" t="str">
            <v>200410</v>
          </cell>
          <cell r="E7631">
            <v>4.87</v>
          </cell>
        </row>
        <row r="7632">
          <cell r="A7632" t="str">
            <v/>
          </cell>
          <cell r="B7632">
            <v>37901</v>
          </cell>
          <cell r="C7632" t="str">
            <v>NG</v>
          </cell>
          <cell r="D7632" t="str">
            <v>200411</v>
          </cell>
          <cell r="E7632">
            <v>5.0010000000000003</v>
          </cell>
        </row>
        <row r="7633">
          <cell r="A7633" t="str">
            <v/>
          </cell>
          <cell r="B7633">
            <v>37901</v>
          </cell>
          <cell r="C7633" t="str">
            <v>NG</v>
          </cell>
          <cell r="D7633" t="str">
            <v>200412</v>
          </cell>
          <cell r="E7633">
            <v>5.1479999999999997</v>
          </cell>
        </row>
        <row r="7634">
          <cell r="A7634" t="str">
            <v/>
          </cell>
          <cell r="B7634">
            <v>37902</v>
          </cell>
          <cell r="C7634" t="str">
            <v>NG</v>
          </cell>
          <cell r="D7634" t="str">
            <v>200401</v>
          </cell>
          <cell r="E7634">
            <v>5.5720000000000001</v>
          </cell>
        </row>
        <row r="7635">
          <cell r="A7635" t="str">
            <v/>
          </cell>
          <cell r="B7635">
            <v>37902</v>
          </cell>
          <cell r="C7635" t="str">
            <v>NG</v>
          </cell>
          <cell r="D7635" t="str">
            <v>200402</v>
          </cell>
          <cell r="E7635">
            <v>5.5039999999999996</v>
          </cell>
        </row>
        <row r="7636">
          <cell r="A7636" t="str">
            <v/>
          </cell>
          <cell r="B7636">
            <v>37902</v>
          </cell>
          <cell r="C7636" t="str">
            <v>NG</v>
          </cell>
          <cell r="D7636" t="str">
            <v>200403</v>
          </cell>
          <cell r="E7636">
            <v>5.3419999999999996</v>
          </cell>
        </row>
        <row r="7637">
          <cell r="A7637" t="str">
            <v/>
          </cell>
          <cell r="B7637">
            <v>37902</v>
          </cell>
          <cell r="C7637" t="str">
            <v>NG</v>
          </cell>
          <cell r="D7637" t="str">
            <v>200404</v>
          </cell>
          <cell r="E7637">
            <v>4.9450000000000003</v>
          </cell>
        </row>
        <row r="7638">
          <cell r="A7638" t="str">
            <v/>
          </cell>
          <cell r="B7638">
            <v>37902</v>
          </cell>
          <cell r="C7638" t="str">
            <v>NG</v>
          </cell>
          <cell r="D7638" t="str">
            <v>200405</v>
          </cell>
          <cell r="E7638">
            <v>4.8250000000000002</v>
          </cell>
        </row>
        <row r="7639">
          <cell r="A7639" t="str">
            <v/>
          </cell>
          <cell r="B7639">
            <v>37902</v>
          </cell>
          <cell r="C7639" t="str">
            <v>NG</v>
          </cell>
          <cell r="D7639" t="str">
            <v>200406</v>
          </cell>
          <cell r="E7639">
            <v>4.8150000000000004</v>
          </cell>
        </row>
        <row r="7640">
          <cell r="A7640" t="str">
            <v/>
          </cell>
          <cell r="B7640">
            <v>37902</v>
          </cell>
          <cell r="C7640" t="str">
            <v>NG</v>
          </cell>
          <cell r="D7640" t="str">
            <v>200407</v>
          </cell>
          <cell r="E7640">
            <v>4.8150000000000004</v>
          </cell>
        </row>
        <row r="7641">
          <cell r="A7641" t="str">
            <v/>
          </cell>
          <cell r="B7641">
            <v>37902</v>
          </cell>
          <cell r="C7641" t="str">
            <v>NG</v>
          </cell>
          <cell r="D7641" t="str">
            <v>200408</v>
          </cell>
          <cell r="E7641">
            <v>4.8150000000000004</v>
          </cell>
        </row>
        <row r="7642">
          <cell r="A7642" t="str">
            <v/>
          </cell>
          <cell r="B7642">
            <v>37902</v>
          </cell>
          <cell r="C7642" t="str">
            <v>NG</v>
          </cell>
          <cell r="D7642" t="str">
            <v>200409</v>
          </cell>
          <cell r="E7642">
            <v>4.8049999999999997</v>
          </cell>
        </row>
        <row r="7643">
          <cell r="A7643" t="str">
            <v/>
          </cell>
          <cell r="B7643">
            <v>37902</v>
          </cell>
          <cell r="C7643" t="str">
            <v>NG</v>
          </cell>
          <cell r="D7643" t="str">
            <v>200410</v>
          </cell>
          <cell r="E7643">
            <v>4.8019999999999996</v>
          </cell>
        </row>
        <row r="7644">
          <cell r="A7644" t="str">
            <v/>
          </cell>
          <cell r="B7644">
            <v>37902</v>
          </cell>
          <cell r="C7644" t="str">
            <v>NG</v>
          </cell>
          <cell r="D7644" t="str">
            <v>200411</v>
          </cell>
          <cell r="E7644">
            <v>4.9390000000000001</v>
          </cell>
        </row>
        <row r="7645">
          <cell r="A7645" t="str">
            <v/>
          </cell>
          <cell r="B7645">
            <v>37902</v>
          </cell>
          <cell r="C7645" t="str">
            <v>NG</v>
          </cell>
          <cell r="D7645" t="str">
            <v>200412</v>
          </cell>
          <cell r="E7645">
            <v>5.09</v>
          </cell>
        </row>
        <row r="7646">
          <cell r="A7646" t="str">
            <v/>
          </cell>
          <cell r="B7646">
            <v>37903</v>
          </cell>
          <cell r="C7646" t="str">
            <v>NG</v>
          </cell>
          <cell r="D7646" t="str">
            <v>200401</v>
          </cell>
          <cell r="E7646">
            <v>5.9260000000000002</v>
          </cell>
        </row>
        <row r="7647">
          <cell r="A7647" t="str">
            <v/>
          </cell>
          <cell r="B7647">
            <v>37903</v>
          </cell>
          <cell r="C7647" t="str">
            <v>NG</v>
          </cell>
          <cell r="D7647" t="str">
            <v>200402</v>
          </cell>
          <cell r="E7647">
            <v>5.8440000000000003</v>
          </cell>
        </row>
        <row r="7648">
          <cell r="A7648" t="str">
            <v/>
          </cell>
          <cell r="B7648">
            <v>37903</v>
          </cell>
          <cell r="C7648" t="str">
            <v>NG</v>
          </cell>
          <cell r="D7648" t="str">
            <v>200403</v>
          </cell>
          <cell r="E7648">
            <v>5.6440000000000001</v>
          </cell>
        </row>
        <row r="7649">
          <cell r="A7649" t="str">
            <v/>
          </cell>
          <cell r="B7649">
            <v>37903</v>
          </cell>
          <cell r="C7649" t="str">
            <v>NG</v>
          </cell>
          <cell r="D7649" t="str">
            <v>200404</v>
          </cell>
          <cell r="E7649">
            <v>5.1040000000000001</v>
          </cell>
        </row>
        <row r="7650">
          <cell r="A7650" t="str">
            <v/>
          </cell>
          <cell r="B7650">
            <v>37903</v>
          </cell>
          <cell r="C7650" t="str">
            <v>NG</v>
          </cell>
          <cell r="D7650" t="str">
            <v>200405</v>
          </cell>
          <cell r="E7650">
            <v>4.9740000000000002</v>
          </cell>
        </row>
        <row r="7651">
          <cell r="A7651" t="str">
            <v/>
          </cell>
          <cell r="B7651">
            <v>37903</v>
          </cell>
          <cell r="C7651" t="str">
            <v>NG</v>
          </cell>
          <cell r="D7651" t="str">
            <v>200406</v>
          </cell>
          <cell r="E7651">
            <v>4.9640000000000004</v>
          </cell>
        </row>
        <row r="7652">
          <cell r="A7652" t="str">
            <v/>
          </cell>
          <cell r="B7652">
            <v>37903</v>
          </cell>
          <cell r="C7652" t="str">
            <v>NG</v>
          </cell>
          <cell r="D7652" t="str">
            <v>200407</v>
          </cell>
          <cell r="E7652">
            <v>4.9589999999999996</v>
          </cell>
        </row>
        <row r="7653">
          <cell r="A7653" t="str">
            <v/>
          </cell>
          <cell r="B7653">
            <v>37903</v>
          </cell>
          <cell r="C7653" t="str">
            <v>NG</v>
          </cell>
          <cell r="D7653" t="str">
            <v>200408</v>
          </cell>
          <cell r="E7653">
            <v>4.9589999999999996</v>
          </cell>
        </row>
        <row r="7654">
          <cell r="A7654" t="str">
            <v/>
          </cell>
          <cell r="B7654">
            <v>37903</v>
          </cell>
          <cell r="C7654" t="str">
            <v>NG</v>
          </cell>
          <cell r="D7654" t="str">
            <v>200409</v>
          </cell>
          <cell r="E7654">
            <v>4.9489999999999998</v>
          </cell>
        </row>
        <row r="7655">
          <cell r="A7655" t="str">
            <v/>
          </cell>
          <cell r="B7655">
            <v>37903</v>
          </cell>
          <cell r="C7655" t="str">
            <v>NG</v>
          </cell>
          <cell r="D7655" t="str">
            <v>200410</v>
          </cell>
          <cell r="E7655">
            <v>4.9459999999999997</v>
          </cell>
        </row>
        <row r="7656">
          <cell r="A7656" t="str">
            <v/>
          </cell>
          <cell r="B7656">
            <v>37903</v>
          </cell>
          <cell r="C7656" t="str">
            <v>NG</v>
          </cell>
          <cell r="D7656" t="str">
            <v>200411</v>
          </cell>
          <cell r="E7656">
            <v>5.0830000000000002</v>
          </cell>
        </row>
        <row r="7657">
          <cell r="A7657" t="str">
            <v/>
          </cell>
          <cell r="B7657">
            <v>37903</v>
          </cell>
          <cell r="C7657" t="str">
            <v>NG</v>
          </cell>
          <cell r="D7657" t="str">
            <v>200412</v>
          </cell>
          <cell r="E7657">
            <v>5.234</v>
          </cell>
        </row>
        <row r="7658">
          <cell r="A7658" t="str">
            <v/>
          </cell>
          <cell r="B7658">
            <v>37904</v>
          </cell>
          <cell r="C7658" t="str">
            <v>NG</v>
          </cell>
          <cell r="D7658" t="str">
            <v>200401</v>
          </cell>
          <cell r="E7658">
            <v>6.1890000000000001</v>
          </cell>
        </row>
        <row r="7659">
          <cell r="A7659" t="str">
            <v/>
          </cell>
          <cell r="B7659">
            <v>37904</v>
          </cell>
          <cell r="C7659" t="str">
            <v>NG</v>
          </cell>
          <cell r="D7659" t="str">
            <v>200402</v>
          </cell>
          <cell r="E7659">
            <v>6.0970000000000004</v>
          </cell>
        </row>
        <row r="7660">
          <cell r="A7660" t="str">
            <v/>
          </cell>
          <cell r="B7660">
            <v>37904</v>
          </cell>
          <cell r="C7660" t="str">
            <v>NG</v>
          </cell>
          <cell r="D7660" t="str">
            <v>200403</v>
          </cell>
          <cell r="E7660">
            <v>5.8419999999999996</v>
          </cell>
        </row>
        <row r="7661">
          <cell r="A7661" t="str">
            <v/>
          </cell>
          <cell r="B7661">
            <v>37904</v>
          </cell>
          <cell r="C7661" t="str">
            <v>NG</v>
          </cell>
          <cell r="D7661" t="str">
            <v>200404</v>
          </cell>
          <cell r="E7661">
            <v>5.1120000000000001</v>
          </cell>
        </row>
        <row r="7662">
          <cell r="A7662" t="str">
            <v/>
          </cell>
          <cell r="B7662">
            <v>37904</v>
          </cell>
          <cell r="C7662" t="str">
            <v>NG</v>
          </cell>
          <cell r="D7662" t="str">
            <v>200405</v>
          </cell>
          <cell r="E7662">
            <v>4.9569999999999999</v>
          </cell>
        </row>
        <row r="7663">
          <cell r="A7663" t="str">
            <v/>
          </cell>
          <cell r="B7663">
            <v>37904</v>
          </cell>
          <cell r="C7663" t="str">
            <v>NG</v>
          </cell>
          <cell r="D7663" t="str">
            <v>200406</v>
          </cell>
          <cell r="E7663">
            <v>4.952</v>
          </cell>
        </row>
        <row r="7664">
          <cell r="A7664" t="str">
            <v/>
          </cell>
          <cell r="B7664">
            <v>37904</v>
          </cell>
          <cell r="C7664" t="str">
            <v>NG</v>
          </cell>
          <cell r="D7664" t="str">
            <v>200407</v>
          </cell>
          <cell r="E7664">
            <v>4.9569999999999999</v>
          </cell>
        </row>
        <row r="7665">
          <cell r="A7665" t="str">
            <v/>
          </cell>
          <cell r="B7665">
            <v>37904</v>
          </cell>
          <cell r="C7665" t="str">
            <v>NG</v>
          </cell>
          <cell r="D7665" t="str">
            <v>200408</v>
          </cell>
          <cell r="E7665">
            <v>4.9619999999999997</v>
          </cell>
        </row>
        <row r="7666">
          <cell r="A7666" t="str">
            <v/>
          </cell>
          <cell r="B7666">
            <v>37904</v>
          </cell>
          <cell r="C7666" t="str">
            <v>NG</v>
          </cell>
          <cell r="D7666" t="str">
            <v>200409</v>
          </cell>
          <cell r="E7666">
            <v>4.9450000000000003</v>
          </cell>
        </row>
        <row r="7667">
          <cell r="A7667" t="str">
            <v/>
          </cell>
          <cell r="B7667">
            <v>37904</v>
          </cell>
          <cell r="C7667" t="str">
            <v>NG</v>
          </cell>
          <cell r="D7667" t="str">
            <v>200410</v>
          </cell>
          <cell r="E7667">
            <v>4.9370000000000003</v>
          </cell>
        </row>
        <row r="7668">
          <cell r="A7668" t="str">
            <v/>
          </cell>
          <cell r="B7668">
            <v>37904</v>
          </cell>
          <cell r="C7668" t="str">
            <v>NG</v>
          </cell>
          <cell r="D7668" t="str">
            <v>200411</v>
          </cell>
          <cell r="E7668">
            <v>5.0869999999999997</v>
          </cell>
        </row>
        <row r="7669">
          <cell r="A7669" t="str">
            <v/>
          </cell>
          <cell r="B7669">
            <v>37904</v>
          </cell>
          <cell r="C7669" t="str">
            <v>NG</v>
          </cell>
          <cell r="D7669" t="str">
            <v>200412</v>
          </cell>
          <cell r="E7669">
            <v>5.242</v>
          </cell>
        </row>
        <row r="7670">
          <cell r="A7670" t="str">
            <v/>
          </cell>
          <cell r="B7670">
            <v>37905</v>
          </cell>
          <cell r="C7670" t="str">
            <v>NG</v>
          </cell>
          <cell r="D7670" t="str">
            <v>200401</v>
          </cell>
          <cell r="E7670">
            <v>6.1890000000000001</v>
          </cell>
        </row>
        <row r="7671">
          <cell r="A7671" t="str">
            <v/>
          </cell>
          <cell r="B7671">
            <v>37905</v>
          </cell>
          <cell r="C7671" t="str">
            <v>NG</v>
          </cell>
          <cell r="D7671" t="str">
            <v>200402</v>
          </cell>
          <cell r="E7671">
            <v>6.0970000000000004</v>
          </cell>
        </row>
        <row r="7672">
          <cell r="A7672" t="str">
            <v/>
          </cell>
          <cell r="B7672">
            <v>37905</v>
          </cell>
          <cell r="C7672" t="str">
            <v>NG</v>
          </cell>
          <cell r="D7672" t="str">
            <v>200403</v>
          </cell>
          <cell r="E7672">
            <v>5.8419999999999996</v>
          </cell>
        </row>
        <row r="7673">
          <cell r="A7673" t="str">
            <v/>
          </cell>
          <cell r="B7673">
            <v>37905</v>
          </cell>
          <cell r="C7673" t="str">
            <v>NG</v>
          </cell>
          <cell r="D7673" t="str">
            <v>200404</v>
          </cell>
          <cell r="E7673">
            <v>5.1120000000000001</v>
          </cell>
        </row>
        <row r="7674">
          <cell r="A7674" t="str">
            <v/>
          </cell>
          <cell r="B7674">
            <v>37905</v>
          </cell>
          <cell r="C7674" t="str">
            <v>NG</v>
          </cell>
          <cell r="D7674" t="str">
            <v>200405</v>
          </cell>
          <cell r="E7674">
            <v>4.9569999999999999</v>
          </cell>
        </row>
        <row r="7675">
          <cell r="A7675" t="str">
            <v/>
          </cell>
          <cell r="B7675">
            <v>37905</v>
          </cell>
          <cell r="C7675" t="str">
            <v>NG</v>
          </cell>
          <cell r="D7675" t="str">
            <v>200406</v>
          </cell>
          <cell r="E7675">
            <v>4.952</v>
          </cell>
        </row>
        <row r="7676">
          <cell r="A7676" t="str">
            <v/>
          </cell>
          <cell r="B7676">
            <v>37905</v>
          </cell>
          <cell r="C7676" t="str">
            <v>NG</v>
          </cell>
          <cell r="D7676" t="str">
            <v>200407</v>
          </cell>
          <cell r="E7676">
            <v>4.9569999999999999</v>
          </cell>
        </row>
        <row r="7677">
          <cell r="A7677" t="str">
            <v/>
          </cell>
          <cell r="B7677">
            <v>37905</v>
          </cell>
          <cell r="C7677" t="str">
            <v>NG</v>
          </cell>
          <cell r="D7677" t="str">
            <v>200408</v>
          </cell>
          <cell r="E7677">
            <v>4.9619999999999997</v>
          </cell>
        </row>
        <row r="7678">
          <cell r="A7678" t="str">
            <v/>
          </cell>
          <cell r="B7678">
            <v>37905</v>
          </cell>
          <cell r="C7678" t="str">
            <v>NG</v>
          </cell>
          <cell r="D7678" t="str">
            <v>200409</v>
          </cell>
          <cell r="E7678">
            <v>4.9450000000000003</v>
          </cell>
        </row>
        <row r="7679">
          <cell r="A7679" t="str">
            <v/>
          </cell>
          <cell r="B7679">
            <v>37905</v>
          </cell>
          <cell r="C7679" t="str">
            <v>NG</v>
          </cell>
          <cell r="D7679" t="str">
            <v>200410</v>
          </cell>
          <cell r="E7679">
            <v>4.9370000000000003</v>
          </cell>
        </row>
        <row r="7680">
          <cell r="A7680" t="str">
            <v/>
          </cell>
          <cell r="B7680">
            <v>37905</v>
          </cell>
          <cell r="C7680" t="str">
            <v>NG</v>
          </cell>
          <cell r="D7680" t="str">
            <v>200411</v>
          </cell>
          <cell r="E7680">
            <v>5.0869999999999997</v>
          </cell>
        </row>
        <row r="7681">
          <cell r="A7681" t="str">
            <v/>
          </cell>
          <cell r="B7681">
            <v>37905</v>
          </cell>
          <cell r="C7681" t="str">
            <v>NG</v>
          </cell>
          <cell r="D7681" t="str">
            <v>200412</v>
          </cell>
          <cell r="E7681">
            <v>5.242</v>
          </cell>
        </row>
        <row r="7682">
          <cell r="A7682" t="str">
            <v/>
          </cell>
          <cell r="B7682">
            <v>37906</v>
          </cell>
          <cell r="C7682" t="str">
            <v>NG</v>
          </cell>
          <cell r="D7682" t="str">
            <v>200401</v>
          </cell>
          <cell r="E7682">
            <v>6.1890000000000001</v>
          </cell>
        </row>
        <row r="7683">
          <cell r="A7683" t="str">
            <v/>
          </cell>
          <cell r="B7683">
            <v>37906</v>
          </cell>
          <cell r="C7683" t="str">
            <v>NG</v>
          </cell>
          <cell r="D7683" t="str">
            <v>200402</v>
          </cell>
          <cell r="E7683">
            <v>6.0970000000000004</v>
          </cell>
        </row>
        <row r="7684">
          <cell r="A7684" t="str">
            <v/>
          </cell>
          <cell r="B7684">
            <v>37906</v>
          </cell>
          <cell r="C7684" t="str">
            <v>NG</v>
          </cell>
          <cell r="D7684" t="str">
            <v>200403</v>
          </cell>
          <cell r="E7684">
            <v>5.8419999999999996</v>
          </cell>
        </row>
        <row r="7685">
          <cell r="A7685" t="str">
            <v/>
          </cell>
          <cell r="B7685">
            <v>37906</v>
          </cell>
          <cell r="C7685" t="str">
            <v>NG</v>
          </cell>
          <cell r="D7685" t="str">
            <v>200404</v>
          </cell>
          <cell r="E7685">
            <v>5.1120000000000001</v>
          </cell>
        </row>
        <row r="7686">
          <cell r="A7686" t="str">
            <v/>
          </cell>
          <cell r="B7686">
            <v>37906</v>
          </cell>
          <cell r="C7686" t="str">
            <v>NG</v>
          </cell>
          <cell r="D7686" t="str">
            <v>200405</v>
          </cell>
          <cell r="E7686">
            <v>4.9569999999999999</v>
          </cell>
        </row>
        <row r="7687">
          <cell r="A7687" t="str">
            <v/>
          </cell>
          <cell r="B7687">
            <v>37906</v>
          </cell>
          <cell r="C7687" t="str">
            <v>NG</v>
          </cell>
          <cell r="D7687" t="str">
            <v>200406</v>
          </cell>
          <cell r="E7687">
            <v>4.952</v>
          </cell>
        </row>
        <row r="7688">
          <cell r="A7688" t="str">
            <v/>
          </cell>
          <cell r="B7688">
            <v>37906</v>
          </cell>
          <cell r="C7688" t="str">
            <v>NG</v>
          </cell>
          <cell r="D7688" t="str">
            <v>200407</v>
          </cell>
          <cell r="E7688">
            <v>4.9569999999999999</v>
          </cell>
        </row>
        <row r="7689">
          <cell r="A7689" t="str">
            <v/>
          </cell>
          <cell r="B7689">
            <v>37906</v>
          </cell>
          <cell r="C7689" t="str">
            <v>NG</v>
          </cell>
          <cell r="D7689" t="str">
            <v>200408</v>
          </cell>
          <cell r="E7689">
            <v>4.9619999999999997</v>
          </cell>
        </row>
        <row r="7690">
          <cell r="A7690" t="str">
            <v/>
          </cell>
          <cell r="B7690">
            <v>37906</v>
          </cell>
          <cell r="C7690" t="str">
            <v>NG</v>
          </cell>
          <cell r="D7690" t="str">
            <v>200409</v>
          </cell>
          <cell r="E7690">
            <v>4.9450000000000003</v>
          </cell>
        </row>
        <row r="7691">
          <cell r="A7691" t="str">
            <v/>
          </cell>
          <cell r="B7691">
            <v>37906</v>
          </cell>
          <cell r="C7691" t="str">
            <v>NG</v>
          </cell>
          <cell r="D7691" t="str">
            <v>200410</v>
          </cell>
          <cell r="E7691">
            <v>4.9370000000000003</v>
          </cell>
        </row>
        <row r="7692">
          <cell r="A7692" t="str">
            <v/>
          </cell>
          <cell r="B7692">
            <v>37906</v>
          </cell>
          <cell r="C7692" t="str">
            <v>NG</v>
          </cell>
          <cell r="D7692" t="str">
            <v>200411</v>
          </cell>
          <cell r="E7692">
            <v>5.0869999999999997</v>
          </cell>
        </row>
        <row r="7693">
          <cell r="A7693" t="str">
            <v/>
          </cell>
          <cell r="B7693">
            <v>37906</v>
          </cell>
          <cell r="C7693" t="str">
            <v>NG</v>
          </cell>
          <cell r="D7693" t="str">
            <v>200412</v>
          </cell>
          <cell r="E7693">
            <v>5.242</v>
          </cell>
        </row>
        <row r="7694">
          <cell r="A7694" t="str">
            <v/>
          </cell>
          <cell r="B7694">
            <v>37907</v>
          </cell>
          <cell r="C7694" t="str">
            <v>NG</v>
          </cell>
          <cell r="D7694" t="str">
            <v>200401</v>
          </cell>
          <cell r="E7694">
            <v>6.1470000000000002</v>
          </cell>
        </row>
        <row r="7695">
          <cell r="A7695" t="str">
            <v/>
          </cell>
          <cell r="B7695">
            <v>37907</v>
          </cell>
          <cell r="C7695" t="str">
            <v>NG</v>
          </cell>
          <cell r="D7695" t="str">
            <v>200402</v>
          </cell>
          <cell r="E7695">
            <v>6.07</v>
          </cell>
        </row>
        <row r="7696">
          <cell r="A7696" t="str">
            <v/>
          </cell>
          <cell r="B7696">
            <v>37907</v>
          </cell>
          <cell r="C7696" t="str">
            <v>NG</v>
          </cell>
          <cell r="D7696" t="str">
            <v>200403</v>
          </cell>
          <cell r="E7696">
            <v>5.79</v>
          </cell>
        </row>
        <row r="7697">
          <cell r="A7697" t="str">
            <v/>
          </cell>
          <cell r="B7697">
            <v>37907</v>
          </cell>
          <cell r="C7697" t="str">
            <v>NG</v>
          </cell>
          <cell r="D7697" t="str">
            <v>200404</v>
          </cell>
          <cell r="E7697">
            <v>5.0750000000000002</v>
          </cell>
        </row>
        <row r="7698">
          <cell r="A7698" t="str">
            <v/>
          </cell>
          <cell r="B7698">
            <v>37907</v>
          </cell>
          <cell r="C7698" t="str">
            <v>NG</v>
          </cell>
          <cell r="D7698" t="str">
            <v>200405</v>
          </cell>
          <cell r="E7698">
            <v>4.9119999999999999</v>
          </cell>
        </row>
        <row r="7699">
          <cell r="A7699" t="str">
            <v/>
          </cell>
          <cell r="B7699">
            <v>37907</v>
          </cell>
          <cell r="C7699" t="str">
            <v>NG</v>
          </cell>
          <cell r="D7699" t="str">
            <v>200406</v>
          </cell>
          <cell r="E7699">
            <v>4.9219999999999997</v>
          </cell>
        </row>
        <row r="7700">
          <cell r="A7700" t="str">
            <v/>
          </cell>
          <cell r="B7700">
            <v>37907</v>
          </cell>
          <cell r="C7700" t="str">
            <v>NG</v>
          </cell>
          <cell r="D7700" t="str">
            <v>200407</v>
          </cell>
          <cell r="E7700">
            <v>4.9169999999999998</v>
          </cell>
        </row>
        <row r="7701">
          <cell r="A7701" t="str">
            <v/>
          </cell>
          <cell r="B7701">
            <v>37907</v>
          </cell>
          <cell r="C7701" t="str">
            <v>NG</v>
          </cell>
          <cell r="D7701" t="str">
            <v>200408</v>
          </cell>
          <cell r="E7701">
            <v>4.9219999999999997</v>
          </cell>
        </row>
        <row r="7702">
          <cell r="A7702" t="str">
            <v/>
          </cell>
          <cell r="B7702">
            <v>37907</v>
          </cell>
          <cell r="C7702" t="str">
            <v>NG</v>
          </cell>
          <cell r="D7702" t="str">
            <v>200409</v>
          </cell>
          <cell r="E7702">
            <v>4.9050000000000002</v>
          </cell>
        </row>
        <row r="7703">
          <cell r="A7703" t="str">
            <v/>
          </cell>
          <cell r="B7703">
            <v>37907</v>
          </cell>
          <cell r="C7703" t="str">
            <v>NG</v>
          </cell>
          <cell r="D7703" t="str">
            <v>200410</v>
          </cell>
          <cell r="E7703">
            <v>4.9050000000000002</v>
          </cell>
        </row>
        <row r="7704">
          <cell r="A7704" t="str">
            <v/>
          </cell>
          <cell r="B7704">
            <v>37907</v>
          </cell>
          <cell r="C7704" t="str">
            <v>NG</v>
          </cell>
          <cell r="D7704" t="str">
            <v>200411</v>
          </cell>
          <cell r="E7704">
            <v>5.0570000000000004</v>
          </cell>
        </row>
        <row r="7705">
          <cell r="A7705" t="str">
            <v/>
          </cell>
          <cell r="B7705">
            <v>37907</v>
          </cell>
          <cell r="C7705" t="str">
            <v>NG</v>
          </cell>
          <cell r="D7705" t="str">
            <v>200412</v>
          </cell>
          <cell r="E7705">
            <v>5.2169999999999996</v>
          </cell>
        </row>
        <row r="7706">
          <cell r="A7706" t="str">
            <v/>
          </cell>
          <cell r="B7706">
            <v>37908</v>
          </cell>
          <cell r="C7706" t="str">
            <v>NG</v>
          </cell>
          <cell r="D7706" t="str">
            <v>200401</v>
          </cell>
          <cell r="E7706">
            <v>6.0389999999999997</v>
          </cell>
        </row>
        <row r="7707">
          <cell r="A7707" t="str">
            <v/>
          </cell>
          <cell r="B7707">
            <v>37908</v>
          </cell>
          <cell r="C7707" t="str">
            <v>NG</v>
          </cell>
          <cell r="D7707" t="str">
            <v>200402</v>
          </cell>
          <cell r="E7707">
            <v>5.968</v>
          </cell>
        </row>
        <row r="7708">
          <cell r="A7708" t="str">
            <v/>
          </cell>
          <cell r="B7708">
            <v>37908</v>
          </cell>
          <cell r="C7708" t="str">
            <v>NG</v>
          </cell>
          <cell r="D7708" t="str">
            <v>200403</v>
          </cell>
          <cell r="E7708">
            <v>5.6929999999999996</v>
          </cell>
        </row>
        <row r="7709">
          <cell r="A7709" t="str">
            <v/>
          </cell>
          <cell r="B7709">
            <v>37908</v>
          </cell>
          <cell r="C7709" t="str">
            <v>NG</v>
          </cell>
          <cell r="D7709" t="str">
            <v>200404</v>
          </cell>
          <cell r="E7709">
            <v>5.0030000000000001</v>
          </cell>
        </row>
        <row r="7710">
          <cell r="A7710" t="str">
            <v/>
          </cell>
          <cell r="B7710">
            <v>37908</v>
          </cell>
          <cell r="C7710" t="str">
            <v>NG</v>
          </cell>
          <cell r="D7710" t="str">
            <v>200405</v>
          </cell>
          <cell r="E7710">
            <v>4.8529999999999998</v>
          </cell>
        </row>
        <row r="7711">
          <cell r="A7711" t="str">
            <v/>
          </cell>
          <cell r="B7711">
            <v>37908</v>
          </cell>
          <cell r="C7711" t="str">
            <v>NG</v>
          </cell>
          <cell r="D7711" t="str">
            <v>200406</v>
          </cell>
          <cell r="E7711">
            <v>4.8499999999999996</v>
          </cell>
        </row>
        <row r="7712">
          <cell r="A7712" t="str">
            <v/>
          </cell>
          <cell r="B7712">
            <v>37908</v>
          </cell>
          <cell r="C7712" t="str">
            <v>NG</v>
          </cell>
          <cell r="D7712" t="str">
            <v>200407</v>
          </cell>
          <cell r="E7712">
            <v>4.8550000000000004</v>
          </cell>
        </row>
        <row r="7713">
          <cell r="A7713" t="str">
            <v/>
          </cell>
          <cell r="B7713">
            <v>37908</v>
          </cell>
          <cell r="C7713" t="str">
            <v>NG</v>
          </cell>
          <cell r="D7713" t="str">
            <v>200408</v>
          </cell>
          <cell r="E7713">
            <v>4.8650000000000002</v>
          </cell>
        </row>
        <row r="7714">
          <cell r="A7714" t="str">
            <v/>
          </cell>
          <cell r="B7714">
            <v>37908</v>
          </cell>
          <cell r="C7714" t="str">
            <v>NG</v>
          </cell>
          <cell r="D7714" t="str">
            <v>200409</v>
          </cell>
          <cell r="E7714">
            <v>4.8479999999999999</v>
          </cell>
        </row>
        <row r="7715">
          <cell r="A7715" t="str">
            <v/>
          </cell>
          <cell r="B7715">
            <v>37908</v>
          </cell>
          <cell r="C7715" t="str">
            <v>NG</v>
          </cell>
          <cell r="D7715" t="str">
            <v>200410</v>
          </cell>
          <cell r="E7715">
            <v>4.8529999999999998</v>
          </cell>
        </row>
        <row r="7716">
          <cell r="A7716" t="str">
            <v/>
          </cell>
          <cell r="B7716">
            <v>37908</v>
          </cell>
          <cell r="C7716" t="str">
            <v>NG</v>
          </cell>
          <cell r="D7716" t="str">
            <v>200411</v>
          </cell>
          <cell r="E7716">
            <v>5.0049999999999999</v>
          </cell>
        </row>
        <row r="7717">
          <cell r="A7717" t="str">
            <v/>
          </cell>
          <cell r="B7717">
            <v>37908</v>
          </cell>
          <cell r="C7717" t="str">
            <v>NG</v>
          </cell>
          <cell r="D7717" t="str">
            <v>200412</v>
          </cell>
          <cell r="E7717">
            <v>5.16</v>
          </cell>
        </row>
        <row r="7718">
          <cell r="A7718" t="str">
            <v/>
          </cell>
          <cell r="B7718">
            <v>37909</v>
          </cell>
          <cell r="C7718" t="str">
            <v>NG</v>
          </cell>
          <cell r="D7718" t="str">
            <v>200401</v>
          </cell>
          <cell r="E7718">
            <v>5.9260000000000002</v>
          </cell>
        </row>
        <row r="7719">
          <cell r="A7719" t="str">
            <v/>
          </cell>
          <cell r="B7719">
            <v>37909</v>
          </cell>
          <cell r="C7719" t="str">
            <v>NG</v>
          </cell>
          <cell r="D7719" t="str">
            <v>200402</v>
          </cell>
          <cell r="E7719">
            <v>5.8680000000000003</v>
          </cell>
        </row>
        <row r="7720">
          <cell r="A7720" t="str">
            <v/>
          </cell>
          <cell r="B7720">
            <v>37909</v>
          </cell>
          <cell r="C7720" t="str">
            <v>NG</v>
          </cell>
          <cell r="D7720" t="str">
            <v>200403</v>
          </cell>
          <cell r="E7720">
            <v>5.5979999999999999</v>
          </cell>
        </row>
        <row r="7721">
          <cell r="A7721" t="str">
            <v/>
          </cell>
          <cell r="B7721">
            <v>37909</v>
          </cell>
          <cell r="C7721" t="str">
            <v>NG</v>
          </cell>
          <cell r="D7721" t="str">
            <v>200404</v>
          </cell>
          <cell r="E7721">
            <v>4.9329999999999998</v>
          </cell>
        </row>
        <row r="7722">
          <cell r="A7722" t="str">
            <v/>
          </cell>
          <cell r="B7722">
            <v>37909</v>
          </cell>
          <cell r="C7722" t="str">
            <v>NG</v>
          </cell>
          <cell r="D7722" t="str">
            <v>200405</v>
          </cell>
          <cell r="E7722">
            <v>4.7930000000000001</v>
          </cell>
        </row>
        <row r="7723">
          <cell r="A7723" t="str">
            <v/>
          </cell>
          <cell r="B7723">
            <v>37909</v>
          </cell>
          <cell r="C7723" t="str">
            <v>NG</v>
          </cell>
          <cell r="D7723" t="str">
            <v>200406</v>
          </cell>
          <cell r="E7723">
            <v>4.79</v>
          </cell>
        </row>
        <row r="7724">
          <cell r="A7724" t="str">
            <v/>
          </cell>
          <cell r="B7724">
            <v>37909</v>
          </cell>
          <cell r="C7724" t="str">
            <v>NG</v>
          </cell>
          <cell r="D7724" t="str">
            <v>200407</v>
          </cell>
          <cell r="E7724">
            <v>4.79</v>
          </cell>
        </row>
        <row r="7725">
          <cell r="A7725" t="str">
            <v/>
          </cell>
          <cell r="B7725">
            <v>37909</v>
          </cell>
          <cell r="C7725" t="str">
            <v>NG</v>
          </cell>
          <cell r="D7725" t="str">
            <v>200408</v>
          </cell>
          <cell r="E7725">
            <v>4.8</v>
          </cell>
        </row>
        <row r="7726">
          <cell r="A7726" t="str">
            <v/>
          </cell>
          <cell r="B7726">
            <v>37909</v>
          </cell>
          <cell r="C7726" t="str">
            <v>NG</v>
          </cell>
          <cell r="D7726" t="str">
            <v>200409</v>
          </cell>
          <cell r="E7726">
            <v>4.7830000000000004</v>
          </cell>
        </row>
        <row r="7727">
          <cell r="A7727" t="str">
            <v/>
          </cell>
          <cell r="B7727">
            <v>37909</v>
          </cell>
          <cell r="C7727" t="str">
            <v>NG</v>
          </cell>
          <cell r="D7727" t="str">
            <v>200410</v>
          </cell>
          <cell r="E7727">
            <v>4.7880000000000003</v>
          </cell>
        </row>
        <row r="7728">
          <cell r="A7728" t="str">
            <v/>
          </cell>
          <cell r="B7728">
            <v>37909</v>
          </cell>
          <cell r="C7728" t="str">
            <v>NG</v>
          </cell>
          <cell r="D7728" t="str">
            <v>200411</v>
          </cell>
          <cell r="E7728">
            <v>4.9429999999999996</v>
          </cell>
        </row>
        <row r="7729">
          <cell r="A7729" t="str">
            <v/>
          </cell>
          <cell r="B7729">
            <v>37909</v>
          </cell>
          <cell r="C7729" t="str">
            <v>NG</v>
          </cell>
          <cell r="D7729" t="str">
            <v>200412</v>
          </cell>
          <cell r="E7729">
            <v>5.0979999999999999</v>
          </cell>
        </row>
        <row r="7730">
          <cell r="A7730" t="str">
            <v/>
          </cell>
          <cell r="B7730">
            <v>37910</v>
          </cell>
          <cell r="C7730" t="str">
            <v>NG</v>
          </cell>
          <cell r="D7730" t="str">
            <v>200401</v>
          </cell>
          <cell r="E7730">
            <v>5.907</v>
          </cell>
        </row>
        <row r="7731">
          <cell r="A7731" t="str">
            <v/>
          </cell>
          <cell r="B7731">
            <v>37910</v>
          </cell>
          <cell r="C7731" t="str">
            <v>NG</v>
          </cell>
          <cell r="D7731" t="str">
            <v>200402</v>
          </cell>
          <cell r="E7731">
            <v>5.8470000000000004</v>
          </cell>
        </row>
        <row r="7732">
          <cell r="A7732" t="str">
            <v/>
          </cell>
          <cell r="B7732">
            <v>37910</v>
          </cell>
          <cell r="C7732" t="str">
            <v>NG</v>
          </cell>
          <cell r="D7732" t="str">
            <v>200403</v>
          </cell>
          <cell r="E7732">
            <v>5.5720000000000001</v>
          </cell>
        </row>
        <row r="7733">
          <cell r="A7733" t="str">
            <v/>
          </cell>
          <cell r="B7733">
            <v>37910</v>
          </cell>
          <cell r="C7733" t="str">
            <v>NG</v>
          </cell>
          <cell r="D7733" t="str">
            <v>200404</v>
          </cell>
          <cell r="E7733">
            <v>4.9020000000000001</v>
          </cell>
        </row>
        <row r="7734">
          <cell r="A7734" t="str">
            <v/>
          </cell>
          <cell r="B7734">
            <v>37910</v>
          </cell>
          <cell r="C7734" t="str">
            <v>NG</v>
          </cell>
          <cell r="D7734" t="str">
            <v>200405</v>
          </cell>
          <cell r="E7734">
            <v>4.7619999999999996</v>
          </cell>
        </row>
        <row r="7735">
          <cell r="A7735" t="str">
            <v/>
          </cell>
          <cell r="B7735">
            <v>37910</v>
          </cell>
          <cell r="C7735" t="str">
            <v>NG</v>
          </cell>
          <cell r="D7735" t="str">
            <v>200406</v>
          </cell>
          <cell r="E7735">
            <v>4.7590000000000003</v>
          </cell>
        </row>
        <row r="7736">
          <cell r="A7736" t="str">
            <v/>
          </cell>
          <cell r="B7736">
            <v>37910</v>
          </cell>
          <cell r="C7736" t="str">
            <v>NG</v>
          </cell>
          <cell r="D7736" t="str">
            <v>200407</v>
          </cell>
          <cell r="E7736">
            <v>4.7590000000000003</v>
          </cell>
        </row>
        <row r="7737">
          <cell r="A7737" t="str">
            <v/>
          </cell>
          <cell r="B7737">
            <v>37910</v>
          </cell>
          <cell r="C7737" t="str">
            <v>NG</v>
          </cell>
          <cell r="D7737" t="str">
            <v>200408</v>
          </cell>
          <cell r="E7737">
            <v>4.7690000000000001</v>
          </cell>
        </row>
        <row r="7738">
          <cell r="A7738" t="str">
            <v/>
          </cell>
          <cell r="B7738">
            <v>37910</v>
          </cell>
          <cell r="C7738" t="str">
            <v>NG</v>
          </cell>
          <cell r="D7738" t="str">
            <v>200409</v>
          </cell>
          <cell r="E7738">
            <v>4.7519999999999998</v>
          </cell>
        </row>
        <row r="7739">
          <cell r="A7739" t="str">
            <v/>
          </cell>
          <cell r="B7739">
            <v>37910</v>
          </cell>
          <cell r="C7739" t="str">
            <v>NG</v>
          </cell>
          <cell r="D7739" t="str">
            <v>200410</v>
          </cell>
          <cell r="E7739">
            <v>4.7569999999999997</v>
          </cell>
        </row>
        <row r="7740">
          <cell r="A7740" t="str">
            <v/>
          </cell>
          <cell r="B7740">
            <v>37910</v>
          </cell>
          <cell r="C7740" t="str">
            <v>NG</v>
          </cell>
          <cell r="D7740" t="str">
            <v>200411</v>
          </cell>
          <cell r="E7740">
            <v>4.9119999999999999</v>
          </cell>
        </row>
        <row r="7741">
          <cell r="A7741" t="str">
            <v/>
          </cell>
          <cell r="B7741">
            <v>37910</v>
          </cell>
          <cell r="C7741" t="str">
            <v>NG</v>
          </cell>
          <cell r="D7741" t="str">
            <v>200412</v>
          </cell>
          <cell r="E7741">
            <v>5.0670000000000002</v>
          </cell>
        </row>
        <row r="7742">
          <cell r="A7742" t="str">
            <v/>
          </cell>
          <cell r="B7742">
            <v>37911</v>
          </cell>
          <cell r="C7742" t="str">
            <v>NG</v>
          </cell>
          <cell r="D7742" t="str">
            <v>200401</v>
          </cell>
          <cell r="E7742">
            <v>5.6630000000000003</v>
          </cell>
        </row>
        <row r="7743">
          <cell r="A7743" t="str">
            <v/>
          </cell>
          <cell r="B7743">
            <v>37911</v>
          </cell>
          <cell r="C7743" t="str">
            <v>NG</v>
          </cell>
          <cell r="D7743" t="str">
            <v>200402</v>
          </cell>
          <cell r="E7743">
            <v>5.6180000000000003</v>
          </cell>
        </row>
        <row r="7744">
          <cell r="A7744" t="str">
            <v/>
          </cell>
          <cell r="B7744">
            <v>37911</v>
          </cell>
          <cell r="C7744" t="str">
            <v>NG</v>
          </cell>
          <cell r="D7744" t="str">
            <v>200403</v>
          </cell>
          <cell r="E7744">
            <v>5.3730000000000002</v>
          </cell>
        </row>
        <row r="7745">
          <cell r="A7745" t="str">
            <v/>
          </cell>
          <cell r="B7745">
            <v>37911</v>
          </cell>
          <cell r="C7745" t="str">
            <v>NG</v>
          </cell>
          <cell r="D7745" t="str">
            <v>200404</v>
          </cell>
          <cell r="E7745">
            <v>4.7930000000000001</v>
          </cell>
        </row>
        <row r="7746">
          <cell r="A7746" t="str">
            <v/>
          </cell>
          <cell r="B7746">
            <v>37911</v>
          </cell>
          <cell r="C7746" t="str">
            <v>NG</v>
          </cell>
          <cell r="D7746" t="str">
            <v>200405</v>
          </cell>
          <cell r="E7746">
            <v>4.6680000000000001</v>
          </cell>
        </row>
        <row r="7747">
          <cell r="A7747" t="str">
            <v/>
          </cell>
          <cell r="B7747">
            <v>37911</v>
          </cell>
          <cell r="C7747" t="str">
            <v>NG</v>
          </cell>
          <cell r="D7747" t="str">
            <v>200406</v>
          </cell>
          <cell r="E7747">
            <v>4.665</v>
          </cell>
        </row>
        <row r="7748">
          <cell r="A7748" t="str">
            <v/>
          </cell>
          <cell r="B7748">
            <v>37911</v>
          </cell>
          <cell r="C7748" t="str">
            <v>NG</v>
          </cell>
          <cell r="D7748" t="str">
            <v>200407</v>
          </cell>
          <cell r="E7748">
            <v>4.6719999999999997</v>
          </cell>
        </row>
        <row r="7749">
          <cell r="A7749" t="str">
            <v/>
          </cell>
          <cell r="B7749">
            <v>37911</v>
          </cell>
          <cell r="C7749" t="str">
            <v>NG</v>
          </cell>
          <cell r="D7749" t="str">
            <v>200408</v>
          </cell>
          <cell r="E7749">
            <v>4.6820000000000004</v>
          </cell>
        </row>
        <row r="7750">
          <cell r="A7750" t="str">
            <v/>
          </cell>
          <cell r="B7750">
            <v>37911</v>
          </cell>
          <cell r="C7750" t="str">
            <v>NG</v>
          </cell>
          <cell r="D7750" t="str">
            <v>200409</v>
          </cell>
          <cell r="E7750">
            <v>4.665</v>
          </cell>
        </row>
        <row r="7751">
          <cell r="A7751" t="str">
            <v/>
          </cell>
          <cell r="B7751">
            <v>37911</v>
          </cell>
          <cell r="C7751" t="str">
            <v>NG</v>
          </cell>
          <cell r="D7751" t="str">
            <v>200410</v>
          </cell>
          <cell r="E7751">
            <v>4.6749999999999998</v>
          </cell>
        </row>
        <row r="7752">
          <cell r="A7752" t="str">
            <v/>
          </cell>
          <cell r="B7752">
            <v>37911</v>
          </cell>
          <cell r="C7752" t="str">
            <v>NG</v>
          </cell>
          <cell r="D7752" t="str">
            <v>200411</v>
          </cell>
          <cell r="E7752">
            <v>4.84</v>
          </cell>
        </row>
        <row r="7753">
          <cell r="A7753" t="str">
            <v/>
          </cell>
          <cell r="B7753">
            <v>37911</v>
          </cell>
          <cell r="C7753" t="str">
            <v>NG</v>
          </cell>
          <cell r="D7753" t="str">
            <v>200412</v>
          </cell>
          <cell r="E7753">
            <v>4.9950000000000001</v>
          </cell>
        </row>
        <row r="7754">
          <cell r="A7754" t="str">
            <v/>
          </cell>
          <cell r="B7754">
            <v>37912</v>
          </cell>
          <cell r="C7754" t="str">
            <v>NG</v>
          </cell>
          <cell r="D7754" t="str">
            <v>200401</v>
          </cell>
          <cell r="E7754">
            <v>5.6630000000000003</v>
          </cell>
        </row>
        <row r="7755">
          <cell r="A7755" t="str">
            <v/>
          </cell>
          <cell r="B7755">
            <v>37912</v>
          </cell>
          <cell r="C7755" t="str">
            <v>NG</v>
          </cell>
          <cell r="D7755" t="str">
            <v>200402</v>
          </cell>
          <cell r="E7755">
            <v>5.6180000000000003</v>
          </cell>
        </row>
        <row r="7756">
          <cell r="A7756" t="str">
            <v/>
          </cell>
          <cell r="B7756">
            <v>37912</v>
          </cell>
          <cell r="C7756" t="str">
            <v>NG</v>
          </cell>
          <cell r="D7756" t="str">
            <v>200403</v>
          </cell>
          <cell r="E7756">
            <v>5.3730000000000002</v>
          </cell>
        </row>
        <row r="7757">
          <cell r="A7757" t="str">
            <v/>
          </cell>
          <cell r="B7757">
            <v>37912</v>
          </cell>
          <cell r="C7757" t="str">
            <v>NG</v>
          </cell>
          <cell r="D7757" t="str">
            <v>200404</v>
          </cell>
          <cell r="E7757">
            <v>4.7930000000000001</v>
          </cell>
        </row>
        <row r="7758">
          <cell r="A7758" t="str">
            <v/>
          </cell>
          <cell r="B7758">
            <v>37912</v>
          </cell>
          <cell r="C7758" t="str">
            <v>NG</v>
          </cell>
          <cell r="D7758" t="str">
            <v>200405</v>
          </cell>
          <cell r="E7758">
            <v>4.6680000000000001</v>
          </cell>
        </row>
        <row r="7759">
          <cell r="A7759" t="str">
            <v/>
          </cell>
          <cell r="B7759">
            <v>37912</v>
          </cell>
          <cell r="C7759" t="str">
            <v>NG</v>
          </cell>
          <cell r="D7759" t="str">
            <v>200406</v>
          </cell>
          <cell r="E7759">
            <v>4.665</v>
          </cell>
        </row>
        <row r="7760">
          <cell r="A7760" t="str">
            <v/>
          </cell>
          <cell r="B7760">
            <v>37912</v>
          </cell>
          <cell r="C7760" t="str">
            <v>NG</v>
          </cell>
          <cell r="D7760" t="str">
            <v>200407</v>
          </cell>
          <cell r="E7760">
            <v>4.6719999999999997</v>
          </cell>
        </row>
        <row r="7761">
          <cell r="A7761" t="str">
            <v/>
          </cell>
          <cell r="B7761">
            <v>37912</v>
          </cell>
          <cell r="C7761" t="str">
            <v>NG</v>
          </cell>
          <cell r="D7761" t="str">
            <v>200408</v>
          </cell>
          <cell r="E7761">
            <v>4.6820000000000004</v>
          </cell>
        </row>
        <row r="7762">
          <cell r="A7762" t="str">
            <v/>
          </cell>
          <cell r="B7762">
            <v>37912</v>
          </cell>
          <cell r="C7762" t="str">
            <v>NG</v>
          </cell>
          <cell r="D7762" t="str">
            <v>200409</v>
          </cell>
          <cell r="E7762">
            <v>4.665</v>
          </cell>
        </row>
        <row r="7763">
          <cell r="A7763" t="str">
            <v/>
          </cell>
          <cell r="B7763">
            <v>37912</v>
          </cell>
          <cell r="C7763" t="str">
            <v>NG</v>
          </cell>
          <cell r="D7763" t="str">
            <v>200410</v>
          </cell>
          <cell r="E7763">
            <v>4.6749999999999998</v>
          </cell>
        </row>
        <row r="7764">
          <cell r="A7764" t="str">
            <v/>
          </cell>
          <cell r="B7764">
            <v>37912</v>
          </cell>
          <cell r="C7764" t="str">
            <v>NG</v>
          </cell>
          <cell r="D7764" t="str">
            <v>200411</v>
          </cell>
          <cell r="E7764">
            <v>4.84</v>
          </cell>
        </row>
        <row r="7765">
          <cell r="A7765" t="str">
            <v/>
          </cell>
          <cell r="B7765">
            <v>37912</v>
          </cell>
          <cell r="C7765" t="str">
            <v>NG</v>
          </cell>
          <cell r="D7765" t="str">
            <v>200412</v>
          </cell>
          <cell r="E7765">
            <v>4.9950000000000001</v>
          </cell>
        </row>
        <row r="7766">
          <cell r="A7766" t="str">
            <v/>
          </cell>
          <cell r="B7766">
            <v>37913</v>
          </cell>
          <cell r="C7766" t="str">
            <v>NG</v>
          </cell>
          <cell r="D7766" t="str">
            <v>200401</v>
          </cell>
          <cell r="E7766">
            <v>5.6630000000000003</v>
          </cell>
        </row>
        <row r="7767">
          <cell r="A7767" t="str">
            <v/>
          </cell>
          <cell r="B7767">
            <v>37913</v>
          </cell>
          <cell r="C7767" t="str">
            <v>NG</v>
          </cell>
          <cell r="D7767" t="str">
            <v>200402</v>
          </cell>
          <cell r="E7767">
            <v>5.6180000000000003</v>
          </cell>
        </row>
        <row r="7768">
          <cell r="A7768" t="str">
            <v/>
          </cell>
          <cell r="B7768">
            <v>37913</v>
          </cell>
          <cell r="C7768" t="str">
            <v>NG</v>
          </cell>
          <cell r="D7768" t="str">
            <v>200403</v>
          </cell>
          <cell r="E7768">
            <v>5.3730000000000002</v>
          </cell>
        </row>
        <row r="7769">
          <cell r="A7769" t="str">
            <v/>
          </cell>
          <cell r="B7769">
            <v>37913</v>
          </cell>
          <cell r="C7769" t="str">
            <v>NG</v>
          </cell>
          <cell r="D7769" t="str">
            <v>200404</v>
          </cell>
          <cell r="E7769">
            <v>4.7930000000000001</v>
          </cell>
        </row>
        <row r="7770">
          <cell r="A7770" t="str">
            <v/>
          </cell>
          <cell r="B7770">
            <v>37913</v>
          </cell>
          <cell r="C7770" t="str">
            <v>NG</v>
          </cell>
          <cell r="D7770" t="str">
            <v>200405</v>
          </cell>
          <cell r="E7770">
            <v>4.6680000000000001</v>
          </cell>
        </row>
        <row r="7771">
          <cell r="A7771" t="str">
            <v/>
          </cell>
          <cell r="B7771">
            <v>37913</v>
          </cell>
          <cell r="C7771" t="str">
            <v>NG</v>
          </cell>
          <cell r="D7771" t="str">
            <v>200406</v>
          </cell>
          <cell r="E7771">
            <v>4.665</v>
          </cell>
        </row>
        <row r="7772">
          <cell r="A7772" t="str">
            <v/>
          </cell>
          <cell r="B7772">
            <v>37913</v>
          </cell>
          <cell r="C7772" t="str">
            <v>NG</v>
          </cell>
          <cell r="D7772" t="str">
            <v>200407</v>
          </cell>
          <cell r="E7772">
            <v>4.6719999999999997</v>
          </cell>
        </row>
        <row r="7773">
          <cell r="A7773" t="str">
            <v/>
          </cell>
          <cell r="B7773">
            <v>37913</v>
          </cell>
          <cell r="C7773" t="str">
            <v>NG</v>
          </cell>
          <cell r="D7773" t="str">
            <v>200408</v>
          </cell>
          <cell r="E7773">
            <v>4.6820000000000004</v>
          </cell>
        </row>
        <row r="7774">
          <cell r="A7774" t="str">
            <v/>
          </cell>
          <cell r="B7774">
            <v>37913</v>
          </cell>
          <cell r="C7774" t="str">
            <v>NG</v>
          </cell>
          <cell r="D7774" t="str">
            <v>200409</v>
          </cell>
          <cell r="E7774">
            <v>4.665</v>
          </cell>
        </row>
        <row r="7775">
          <cell r="A7775" t="str">
            <v/>
          </cell>
          <cell r="B7775">
            <v>37913</v>
          </cell>
          <cell r="C7775" t="str">
            <v>NG</v>
          </cell>
          <cell r="D7775" t="str">
            <v>200410</v>
          </cell>
          <cell r="E7775">
            <v>4.6749999999999998</v>
          </cell>
        </row>
        <row r="7776">
          <cell r="A7776" t="str">
            <v/>
          </cell>
          <cell r="B7776">
            <v>37913</v>
          </cell>
          <cell r="C7776" t="str">
            <v>NG</v>
          </cell>
          <cell r="D7776" t="str">
            <v>200411</v>
          </cell>
          <cell r="E7776">
            <v>4.84</v>
          </cell>
        </row>
        <row r="7777">
          <cell r="A7777" t="str">
            <v/>
          </cell>
          <cell r="B7777">
            <v>37913</v>
          </cell>
          <cell r="C7777" t="str">
            <v>NG</v>
          </cell>
          <cell r="D7777" t="str">
            <v>200412</v>
          </cell>
          <cell r="E7777">
            <v>4.9950000000000001</v>
          </cell>
        </row>
        <row r="7778">
          <cell r="A7778" t="str">
            <v/>
          </cell>
          <cell r="B7778">
            <v>37914</v>
          </cell>
          <cell r="C7778" t="str">
            <v>NG</v>
          </cell>
          <cell r="D7778" t="str">
            <v>200401</v>
          </cell>
          <cell r="E7778">
            <v>5.38</v>
          </cell>
        </row>
        <row r="7779">
          <cell r="A7779" t="str">
            <v/>
          </cell>
          <cell r="B7779">
            <v>37914</v>
          </cell>
          <cell r="C7779" t="str">
            <v>NG</v>
          </cell>
          <cell r="D7779" t="str">
            <v>200402</v>
          </cell>
          <cell r="E7779">
            <v>5.34</v>
          </cell>
        </row>
        <row r="7780">
          <cell r="A7780" t="str">
            <v/>
          </cell>
          <cell r="B7780">
            <v>37914</v>
          </cell>
          <cell r="C7780" t="str">
            <v>NG</v>
          </cell>
          <cell r="D7780" t="str">
            <v>200403</v>
          </cell>
          <cell r="E7780">
            <v>5.14</v>
          </cell>
        </row>
        <row r="7781">
          <cell r="A7781" t="str">
            <v/>
          </cell>
          <cell r="B7781">
            <v>37914</v>
          </cell>
          <cell r="C7781" t="str">
            <v>NG</v>
          </cell>
          <cell r="D7781" t="str">
            <v>200404</v>
          </cell>
          <cell r="E7781">
            <v>4.6749999999999998</v>
          </cell>
        </row>
        <row r="7782">
          <cell r="A7782" t="str">
            <v/>
          </cell>
          <cell r="B7782">
            <v>37914</v>
          </cell>
          <cell r="C7782" t="str">
            <v>NG</v>
          </cell>
          <cell r="D7782" t="str">
            <v>200405</v>
          </cell>
          <cell r="E7782">
            <v>4.58</v>
          </cell>
        </row>
        <row r="7783">
          <cell r="A7783" t="str">
            <v/>
          </cell>
          <cell r="B7783">
            <v>37914</v>
          </cell>
          <cell r="C7783" t="str">
            <v>NG</v>
          </cell>
          <cell r="D7783" t="str">
            <v>200406</v>
          </cell>
          <cell r="E7783">
            <v>4.58</v>
          </cell>
        </row>
        <row r="7784">
          <cell r="A7784" t="str">
            <v/>
          </cell>
          <cell r="B7784">
            <v>37914</v>
          </cell>
          <cell r="C7784" t="str">
            <v>NG</v>
          </cell>
          <cell r="D7784" t="str">
            <v>200407</v>
          </cell>
          <cell r="E7784">
            <v>4.5869999999999997</v>
          </cell>
        </row>
        <row r="7785">
          <cell r="A7785" t="str">
            <v/>
          </cell>
          <cell r="B7785">
            <v>37914</v>
          </cell>
          <cell r="C7785" t="str">
            <v>NG</v>
          </cell>
          <cell r="D7785" t="str">
            <v>200408</v>
          </cell>
          <cell r="E7785">
            <v>4.6020000000000003</v>
          </cell>
        </row>
        <row r="7786">
          <cell r="A7786" t="str">
            <v/>
          </cell>
          <cell r="B7786">
            <v>37914</v>
          </cell>
          <cell r="C7786" t="str">
            <v>NG</v>
          </cell>
          <cell r="D7786" t="str">
            <v>200409</v>
          </cell>
          <cell r="E7786">
            <v>4.5869999999999997</v>
          </cell>
        </row>
        <row r="7787">
          <cell r="A7787" t="str">
            <v/>
          </cell>
          <cell r="B7787">
            <v>37914</v>
          </cell>
          <cell r="C7787" t="str">
            <v>NG</v>
          </cell>
          <cell r="D7787" t="str">
            <v>200410</v>
          </cell>
          <cell r="E7787">
            <v>4.6020000000000003</v>
          </cell>
        </row>
        <row r="7788">
          <cell r="A7788" t="str">
            <v/>
          </cell>
          <cell r="B7788">
            <v>37914</v>
          </cell>
          <cell r="C7788" t="str">
            <v>NG</v>
          </cell>
          <cell r="D7788" t="str">
            <v>200411</v>
          </cell>
          <cell r="E7788">
            <v>4.7750000000000004</v>
          </cell>
        </row>
        <row r="7789">
          <cell r="A7789" t="str">
            <v/>
          </cell>
          <cell r="B7789">
            <v>37914</v>
          </cell>
          <cell r="C7789" t="str">
            <v>NG</v>
          </cell>
          <cell r="D7789" t="str">
            <v>200412</v>
          </cell>
          <cell r="E7789">
            <v>4.9340000000000002</v>
          </cell>
        </row>
        <row r="7790">
          <cell r="A7790" t="str">
            <v/>
          </cell>
          <cell r="B7790">
            <v>37915</v>
          </cell>
          <cell r="C7790" t="str">
            <v>NG</v>
          </cell>
          <cell r="D7790" t="str">
            <v>200401</v>
          </cell>
          <cell r="E7790">
            <v>5.4320000000000004</v>
          </cell>
        </row>
        <row r="7791">
          <cell r="A7791" t="str">
            <v/>
          </cell>
          <cell r="B7791">
            <v>37915</v>
          </cell>
          <cell r="C7791" t="str">
            <v>NG</v>
          </cell>
          <cell r="D7791" t="str">
            <v>200402</v>
          </cell>
          <cell r="E7791">
            <v>5.3869999999999996</v>
          </cell>
        </row>
        <row r="7792">
          <cell r="A7792" t="str">
            <v/>
          </cell>
          <cell r="B7792">
            <v>37915</v>
          </cell>
          <cell r="C7792" t="str">
            <v>NG</v>
          </cell>
          <cell r="D7792" t="str">
            <v>200403</v>
          </cell>
          <cell r="E7792">
            <v>5.1870000000000003</v>
          </cell>
        </row>
        <row r="7793">
          <cell r="A7793" t="str">
            <v/>
          </cell>
          <cell r="B7793">
            <v>37915</v>
          </cell>
          <cell r="C7793" t="str">
            <v>NG</v>
          </cell>
          <cell r="D7793" t="str">
            <v>200404</v>
          </cell>
          <cell r="E7793">
            <v>4.742</v>
          </cell>
        </row>
        <row r="7794">
          <cell r="A7794" t="str">
            <v/>
          </cell>
          <cell r="B7794">
            <v>37915</v>
          </cell>
          <cell r="C7794" t="str">
            <v>NG</v>
          </cell>
          <cell r="D7794" t="str">
            <v>200405</v>
          </cell>
          <cell r="E7794">
            <v>4.6470000000000002</v>
          </cell>
        </row>
        <row r="7795">
          <cell r="A7795" t="str">
            <v/>
          </cell>
          <cell r="B7795">
            <v>37915</v>
          </cell>
          <cell r="C7795" t="str">
            <v>NG</v>
          </cell>
          <cell r="D7795" t="str">
            <v>200406</v>
          </cell>
          <cell r="E7795">
            <v>4.6470000000000002</v>
          </cell>
        </row>
        <row r="7796">
          <cell r="A7796" t="str">
            <v/>
          </cell>
          <cell r="B7796">
            <v>37915</v>
          </cell>
          <cell r="C7796" t="str">
            <v>NG</v>
          </cell>
          <cell r="D7796" t="str">
            <v>200407</v>
          </cell>
          <cell r="E7796">
            <v>4.6520000000000001</v>
          </cell>
        </row>
        <row r="7797">
          <cell r="A7797" t="str">
            <v/>
          </cell>
          <cell r="B7797">
            <v>37915</v>
          </cell>
          <cell r="C7797" t="str">
            <v>NG</v>
          </cell>
          <cell r="D7797" t="str">
            <v>200408</v>
          </cell>
          <cell r="E7797">
            <v>4.6669999999999998</v>
          </cell>
        </row>
        <row r="7798">
          <cell r="A7798" t="str">
            <v/>
          </cell>
          <cell r="B7798">
            <v>37915</v>
          </cell>
          <cell r="C7798" t="str">
            <v>NG</v>
          </cell>
          <cell r="D7798" t="str">
            <v>200409</v>
          </cell>
          <cell r="E7798">
            <v>4.6520000000000001</v>
          </cell>
        </row>
        <row r="7799">
          <cell r="A7799" t="str">
            <v/>
          </cell>
          <cell r="B7799">
            <v>37915</v>
          </cell>
          <cell r="C7799" t="str">
            <v>NG</v>
          </cell>
          <cell r="D7799" t="str">
            <v>200410</v>
          </cell>
          <cell r="E7799">
            <v>4.6669999999999998</v>
          </cell>
        </row>
        <row r="7800">
          <cell r="A7800" t="str">
            <v/>
          </cell>
          <cell r="B7800">
            <v>37915</v>
          </cell>
          <cell r="C7800" t="str">
            <v>NG</v>
          </cell>
          <cell r="D7800" t="str">
            <v>200411</v>
          </cell>
          <cell r="E7800">
            <v>4.84</v>
          </cell>
        </row>
        <row r="7801">
          <cell r="A7801" t="str">
            <v/>
          </cell>
          <cell r="B7801">
            <v>37915</v>
          </cell>
          <cell r="C7801" t="str">
            <v>NG</v>
          </cell>
          <cell r="D7801" t="str">
            <v>200412</v>
          </cell>
          <cell r="E7801">
            <v>4.9950000000000001</v>
          </cell>
        </row>
        <row r="7802">
          <cell r="A7802" t="str">
            <v/>
          </cell>
          <cell r="B7802">
            <v>37916</v>
          </cell>
          <cell r="C7802" t="str">
            <v>NG</v>
          </cell>
          <cell r="D7802" t="str">
            <v>200401</v>
          </cell>
          <cell r="E7802">
            <v>5.4429999999999996</v>
          </cell>
        </row>
        <row r="7803">
          <cell r="A7803" t="str">
            <v/>
          </cell>
          <cell r="B7803">
            <v>37916</v>
          </cell>
          <cell r="C7803" t="str">
            <v>NG</v>
          </cell>
          <cell r="D7803" t="str">
            <v>200402</v>
          </cell>
          <cell r="E7803">
            <v>5.3979999999999997</v>
          </cell>
        </row>
        <row r="7804">
          <cell r="A7804" t="str">
            <v/>
          </cell>
          <cell r="B7804">
            <v>37916</v>
          </cell>
          <cell r="C7804" t="str">
            <v>NG</v>
          </cell>
          <cell r="D7804" t="str">
            <v>200403</v>
          </cell>
          <cell r="E7804">
            <v>5.2080000000000002</v>
          </cell>
        </row>
        <row r="7805">
          <cell r="A7805" t="str">
            <v/>
          </cell>
          <cell r="B7805">
            <v>37916</v>
          </cell>
          <cell r="C7805" t="str">
            <v>NG</v>
          </cell>
          <cell r="D7805" t="str">
            <v>200404</v>
          </cell>
          <cell r="E7805">
            <v>4.7880000000000003</v>
          </cell>
        </row>
        <row r="7806">
          <cell r="A7806" t="str">
            <v/>
          </cell>
          <cell r="B7806">
            <v>37916</v>
          </cell>
          <cell r="C7806" t="str">
            <v>NG</v>
          </cell>
          <cell r="D7806" t="str">
            <v>200405</v>
          </cell>
          <cell r="E7806">
            <v>4.6950000000000003</v>
          </cell>
        </row>
        <row r="7807">
          <cell r="A7807" t="str">
            <v/>
          </cell>
          <cell r="B7807">
            <v>37916</v>
          </cell>
          <cell r="C7807" t="str">
            <v>NG</v>
          </cell>
          <cell r="D7807" t="str">
            <v>200406</v>
          </cell>
          <cell r="E7807">
            <v>4.6950000000000003</v>
          </cell>
        </row>
        <row r="7808">
          <cell r="A7808" t="str">
            <v/>
          </cell>
          <cell r="B7808">
            <v>37916</v>
          </cell>
          <cell r="C7808" t="str">
            <v>NG</v>
          </cell>
          <cell r="D7808" t="str">
            <v>200407</v>
          </cell>
          <cell r="E7808">
            <v>4.6950000000000003</v>
          </cell>
        </row>
        <row r="7809">
          <cell r="A7809" t="str">
            <v/>
          </cell>
          <cell r="B7809">
            <v>37916</v>
          </cell>
          <cell r="C7809" t="str">
            <v>NG</v>
          </cell>
          <cell r="D7809" t="str">
            <v>200408</v>
          </cell>
          <cell r="E7809">
            <v>4.71</v>
          </cell>
        </row>
        <row r="7810">
          <cell r="A7810" t="str">
            <v/>
          </cell>
          <cell r="B7810">
            <v>37916</v>
          </cell>
          <cell r="C7810" t="str">
            <v>NG</v>
          </cell>
          <cell r="D7810" t="str">
            <v>200409</v>
          </cell>
          <cell r="E7810">
            <v>4.6950000000000003</v>
          </cell>
        </row>
        <row r="7811">
          <cell r="A7811" t="str">
            <v/>
          </cell>
          <cell r="B7811">
            <v>37916</v>
          </cell>
          <cell r="C7811" t="str">
            <v>NG</v>
          </cell>
          <cell r="D7811" t="str">
            <v>200410</v>
          </cell>
          <cell r="E7811">
            <v>4.71</v>
          </cell>
        </row>
        <row r="7812">
          <cell r="A7812" t="str">
            <v/>
          </cell>
          <cell r="B7812">
            <v>37916</v>
          </cell>
          <cell r="C7812" t="str">
            <v>NG</v>
          </cell>
          <cell r="D7812" t="str">
            <v>200411</v>
          </cell>
          <cell r="E7812">
            <v>4.883</v>
          </cell>
        </row>
        <row r="7813">
          <cell r="A7813" t="str">
            <v/>
          </cell>
          <cell r="B7813">
            <v>37916</v>
          </cell>
          <cell r="C7813" t="str">
            <v>NG</v>
          </cell>
          <cell r="D7813" t="str">
            <v>200412</v>
          </cell>
          <cell r="E7813">
            <v>5.0380000000000003</v>
          </cell>
        </row>
        <row r="7814">
          <cell r="A7814" t="str">
            <v/>
          </cell>
          <cell r="B7814">
            <v>37917</v>
          </cell>
          <cell r="C7814" t="str">
            <v>NG</v>
          </cell>
          <cell r="D7814" t="str">
            <v>200401</v>
          </cell>
          <cell r="E7814">
            <v>5.3890000000000002</v>
          </cell>
        </row>
        <row r="7815">
          <cell r="A7815" t="str">
            <v/>
          </cell>
          <cell r="B7815">
            <v>37917</v>
          </cell>
          <cell r="C7815" t="str">
            <v>NG</v>
          </cell>
          <cell r="D7815" t="str">
            <v>200402</v>
          </cell>
          <cell r="E7815">
            <v>5.3440000000000003</v>
          </cell>
        </row>
        <row r="7816">
          <cell r="A7816" t="str">
            <v/>
          </cell>
          <cell r="B7816">
            <v>37917</v>
          </cell>
          <cell r="C7816" t="str">
            <v>NG</v>
          </cell>
          <cell r="D7816" t="str">
            <v>200403</v>
          </cell>
          <cell r="E7816">
            <v>5.1790000000000003</v>
          </cell>
        </row>
        <row r="7817">
          <cell r="A7817" t="str">
            <v/>
          </cell>
          <cell r="B7817">
            <v>37917</v>
          </cell>
          <cell r="C7817" t="str">
            <v>NG</v>
          </cell>
          <cell r="D7817" t="str">
            <v>200404</v>
          </cell>
          <cell r="E7817">
            <v>4.8019999999999996</v>
          </cell>
        </row>
        <row r="7818">
          <cell r="A7818" t="str">
            <v/>
          </cell>
          <cell r="B7818">
            <v>37917</v>
          </cell>
          <cell r="C7818" t="str">
            <v>NG</v>
          </cell>
          <cell r="D7818" t="str">
            <v>200405</v>
          </cell>
          <cell r="E7818">
            <v>4.7220000000000004</v>
          </cell>
        </row>
        <row r="7819">
          <cell r="A7819" t="str">
            <v/>
          </cell>
          <cell r="B7819">
            <v>37917</v>
          </cell>
          <cell r="C7819" t="str">
            <v>NG</v>
          </cell>
          <cell r="D7819" t="str">
            <v>200406</v>
          </cell>
          <cell r="E7819">
            <v>4.7220000000000004</v>
          </cell>
        </row>
        <row r="7820">
          <cell r="A7820" t="str">
            <v/>
          </cell>
          <cell r="B7820">
            <v>37917</v>
          </cell>
          <cell r="C7820" t="str">
            <v>NG</v>
          </cell>
          <cell r="D7820" t="str">
            <v>200407</v>
          </cell>
          <cell r="E7820">
            <v>4.7320000000000002</v>
          </cell>
        </row>
        <row r="7821">
          <cell r="A7821" t="str">
            <v/>
          </cell>
          <cell r="B7821">
            <v>37917</v>
          </cell>
          <cell r="C7821" t="str">
            <v>NG</v>
          </cell>
          <cell r="D7821" t="str">
            <v>200408</v>
          </cell>
          <cell r="E7821">
            <v>4.7469999999999999</v>
          </cell>
        </row>
        <row r="7822">
          <cell r="A7822" t="str">
            <v/>
          </cell>
          <cell r="B7822">
            <v>37917</v>
          </cell>
          <cell r="C7822" t="str">
            <v>NG</v>
          </cell>
          <cell r="D7822" t="str">
            <v>200409</v>
          </cell>
          <cell r="E7822">
            <v>4.7320000000000002</v>
          </cell>
        </row>
        <row r="7823">
          <cell r="A7823" t="str">
            <v/>
          </cell>
          <cell r="B7823">
            <v>37917</v>
          </cell>
          <cell r="C7823" t="str">
            <v>NG</v>
          </cell>
          <cell r="D7823" t="str">
            <v>200410</v>
          </cell>
          <cell r="E7823">
            <v>4.7469999999999999</v>
          </cell>
        </row>
        <row r="7824">
          <cell r="A7824" t="str">
            <v/>
          </cell>
          <cell r="B7824">
            <v>37917</v>
          </cell>
          <cell r="C7824" t="str">
            <v>NG</v>
          </cell>
          <cell r="D7824" t="str">
            <v>200411</v>
          </cell>
          <cell r="E7824">
            <v>4.9269999999999996</v>
          </cell>
        </row>
        <row r="7825">
          <cell r="A7825" t="str">
            <v/>
          </cell>
          <cell r="B7825">
            <v>37917</v>
          </cell>
          <cell r="C7825" t="str">
            <v>NG</v>
          </cell>
          <cell r="D7825" t="str">
            <v>200412</v>
          </cell>
          <cell r="E7825">
            <v>5.0869999999999997</v>
          </cell>
        </row>
        <row r="7826">
          <cell r="A7826" t="str">
            <v/>
          </cell>
          <cell r="B7826">
            <v>37918</v>
          </cell>
          <cell r="C7826" t="str">
            <v>NG</v>
          </cell>
          <cell r="D7826" t="str">
            <v>200401</v>
          </cell>
          <cell r="E7826">
            <v>5.2779999999999996</v>
          </cell>
        </row>
        <row r="7827">
          <cell r="A7827" t="str">
            <v/>
          </cell>
          <cell r="B7827">
            <v>37918</v>
          </cell>
          <cell r="C7827" t="str">
            <v>NG</v>
          </cell>
          <cell r="D7827" t="str">
            <v>200402</v>
          </cell>
          <cell r="E7827">
            <v>5.2380000000000004</v>
          </cell>
        </row>
        <row r="7828">
          <cell r="A7828" t="str">
            <v/>
          </cell>
          <cell r="B7828">
            <v>37918</v>
          </cell>
          <cell r="C7828" t="str">
            <v>NG</v>
          </cell>
          <cell r="D7828" t="str">
            <v>200403</v>
          </cell>
          <cell r="E7828">
            <v>5.0979999999999999</v>
          </cell>
        </row>
        <row r="7829">
          <cell r="A7829" t="str">
            <v/>
          </cell>
          <cell r="B7829">
            <v>37918</v>
          </cell>
          <cell r="C7829" t="str">
            <v>NG</v>
          </cell>
          <cell r="D7829" t="str">
            <v>200404</v>
          </cell>
          <cell r="E7829">
            <v>4.7679999999999998</v>
          </cell>
        </row>
        <row r="7830">
          <cell r="A7830" t="str">
            <v/>
          </cell>
          <cell r="B7830">
            <v>37918</v>
          </cell>
          <cell r="C7830" t="str">
            <v>NG</v>
          </cell>
          <cell r="D7830" t="str">
            <v>200405</v>
          </cell>
          <cell r="E7830">
            <v>4.6909999999999998</v>
          </cell>
        </row>
        <row r="7831">
          <cell r="A7831" t="str">
            <v/>
          </cell>
          <cell r="B7831">
            <v>37918</v>
          </cell>
          <cell r="C7831" t="str">
            <v>NG</v>
          </cell>
          <cell r="D7831" t="str">
            <v>200406</v>
          </cell>
          <cell r="E7831">
            <v>4.6959999999999997</v>
          </cell>
        </row>
        <row r="7832">
          <cell r="A7832" t="str">
            <v/>
          </cell>
          <cell r="B7832">
            <v>37918</v>
          </cell>
          <cell r="C7832" t="str">
            <v>NG</v>
          </cell>
          <cell r="D7832" t="str">
            <v>200407</v>
          </cell>
          <cell r="E7832">
            <v>4.7060000000000004</v>
          </cell>
        </row>
        <row r="7833">
          <cell r="A7833" t="str">
            <v/>
          </cell>
          <cell r="B7833">
            <v>37918</v>
          </cell>
          <cell r="C7833" t="str">
            <v>NG</v>
          </cell>
          <cell r="D7833" t="str">
            <v>200408</v>
          </cell>
          <cell r="E7833">
            <v>4.7210000000000001</v>
          </cell>
        </row>
        <row r="7834">
          <cell r="A7834" t="str">
            <v/>
          </cell>
          <cell r="B7834">
            <v>37918</v>
          </cell>
          <cell r="C7834" t="str">
            <v>NG</v>
          </cell>
          <cell r="D7834" t="str">
            <v>200409</v>
          </cell>
          <cell r="E7834">
            <v>4.7060000000000004</v>
          </cell>
        </row>
        <row r="7835">
          <cell r="A7835" t="str">
            <v/>
          </cell>
          <cell r="B7835">
            <v>37918</v>
          </cell>
          <cell r="C7835" t="str">
            <v>NG</v>
          </cell>
          <cell r="D7835" t="str">
            <v>200410</v>
          </cell>
          <cell r="E7835">
            <v>4.7220000000000004</v>
          </cell>
        </row>
        <row r="7836">
          <cell r="A7836" t="str">
            <v/>
          </cell>
          <cell r="B7836">
            <v>37918</v>
          </cell>
          <cell r="C7836" t="str">
            <v>NG</v>
          </cell>
          <cell r="D7836" t="str">
            <v>200411</v>
          </cell>
          <cell r="E7836">
            <v>4.9020000000000001</v>
          </cell>
        </row>
        <row r="7837">
          <cell r="A7837" t="str">
            <v/>
          </cell>
          <cell r="B7837">
            <v>37918</v>
          </cell>
          <cell r="C7837" t="str">
            <v>NG</v>
          </cell>
          <cell r="D7837" t="str">
            <v>200412</v>
          </cell>
          <cell r="E7837">
            <v>5.0629999999999997</v>
          </cell>
        </row>
        <row r="7838">
          <cell r="A7838" t="str">
            <v/>
          </cell>
          <cell r="B7838">
            <v>37919</v>
          </cell>
          <cell r="C7838" t="str">
            <v>NG</v>
          </cell>
          <cell r="D7838" t="str">
            <v>200401</v>
          </cell>
          <cell r="E7838">
            <v>5.2779999999999996</v>
          </cell>
        </row>
        <row r="7839">
          <cell r="A7839" t="str">
            <v/>
          </cell>
          <cell r="B7839">
            <v>37919</v>
          </cell>
          <cell r="C7839" t="str">
            <v>NG</v>
          </cell>
          <cell r="D7839" t="str">
            <v>200402</v>
          </cell>
          <cell r="E7839">
            <v>5.2380000000000004</v>
          </cell>
        </row>
        <row r="7840">
          <cell r="A7840" t="str">
            <v/>
          </cell>
          <cell r="B7840">
            <v>37919</v>
          </cell>
          <cell r="C7840" t="str">
            <v>NG</v>
          </cell>
          <cell r="D7840" t="str">
            <v>200403</v>
          </cell>
          <cell r="E7840">
            <v>5.0979999999999999</v>
          </cell>
        </row>
        <row r="7841">
          <cell r="A7841" t="str">
            <v/>
          </cell>
          <cell r="B7841">
            <v>37919</v>
          </cell>
          <cell r="C7841" t="str">
            <v>NG</v>
          </cell>
          <cell r="D7841" t="str">
            <v>200404</v>
          </cell>
          <cell r="E7841">
            <v>4.7679999999999998</v>
          </cell>
        </row>
        <row r="7842">
          <cell r="A7842" t="str">
            <v/>
          </cell>
          <cell r="B7842">
            <v>37919</v>
          </cell>
          <cell r="C7842" t="str">
            <v>NG</v>
          </cell>
          <cell r="D7842" t="str">
            <v>200405</v>
          </cell>
          <cell r="E7842">
            <v>4.6909999999999998</v>
          </cell>
        </row>
        <row r="7843">
          <cell r="A7843" t="str">
            <v/>
          </cell>
          <cell r="B7843">
            <v>37919</v>
          </cell>
          <cell r="C7843" t="str">
            <v>NG</v>
          </cell>
          <cell r="D7843" t="str">
            <v>200406</v>
          </cell>
          <cell r="E7843">
            <v>4.6959999999999997</v>
          </cell>
        </row>
        <row r="7844">
          <cell r="A7844" t="str">
            <v/>
          </cell>
          <cell r="B7844">
            <v>37919</v>
          </cell>
          <cell r="C7844" t="str">
            <v>NG</v>
          </cell>
          <cell r="D7844" t="str">
            <v>200407</v>
          </cell>
          <cell r="E7844">
            <v>4.7060000000000004</v>
          </cell>
        </row>
        <row r="7845">
          <cell r="A7845" t="str">
            <v/>
          </cell>
          <cell r="B7845">
            <v>37919</v>
          </cell>
          <cell r="C7845" t="str">
            <v>NG</v>
          </cell>
          <cell r="D7845" t="str">
            <v>200408</v>
          </cell>
          <cell r="E7845">
            <v>4.7210000000000001</v>
          </cell>
        </row>
        <row r="7846">
          <cell r="A7846" t="str">
            <v/>
          </cell>
          <cell r="B7846">
            <v>37919</v>
          </cell>
          <cell r="C7846" t="str">
            <v>NG</v>
          </cell>
          <cell r="D7846" t="str">
            <v>200409</v>
          </cell>
          <cell r="E7846">
            <v>4.7060000000000004</v>
          </cell>
        </row>
        <row r="7847">
          <cell r="A7847" t="str">
            <v/>
          </cell>
          <cell r="B7847">
            <v>37919</v>
          </cell>
          <cell r="C7847" t="str">
            <v>NG</v>
          </cell>
          <cell r="D7847" t="str">
            <v>200410</v>
          </cell>
          <cell r="E7847">
            <v>4.7220000000000004</v>
          </cell>
        </row>
        <row r="7848">
          <cell r="A7848" t="str">
            <v/>
          </cell>
          <cell r="B7848">
            <v>37919</v>
          </cell>
          <cell r="C7848" t="str">
            <v>NG</v>
          </cell>
          <cell r="D7848" t="str">
            <v>200411</v>
          </cell>
          <cell r="E7848">
            <v>4.9020000000000001</v>
          </cell>
        </row>
        <row r="7849">
          <cell r="A7849" t="str">
            <v/>
          </cell>
          <cell r="B7849">
            <v>37919</v>
          </cell>
          <cell r="C7849" t="str">
            <v>NG</v>
          </cell>
          <cell r="D7849" t="str">
            <v>200412</v>
          </cell>
          <cell r="E7849">
            <v>5.0629999999999997</v>
          </cell>
        </row>
        <row r="7850">
          <cell r="A7850" t="str">
            <v/>
          </cell>
          <cell r="B7850">
            <v>37920</v>
          </cell>
          <cell r="C7850" t="str">
            <v>NG</v>
          </cell>
          <cell r="D7850" t="str">
            <v>200401</v>
          </cell>
          <cell r="E7850">
            <v>5.2779999999999996</v>
          </cell>
        </row>
        <row r="7851">
          <cell r="A7851" t="str">
            <v/>
          </cell>
          <cell r="B7851">
            <v>37920</v>
          </cell>
          <cell r="C7851" t="str">
            <v>NG</v>
          </cell>
          <cell r="D7851" t="str">
            <v>200402</v>
          </cell>
          <cell r="E7851">
            <v>5.2380000000000004</v>
          </cell>
        </row>
        <row r="7852">
          <cell r="A7852" t="str">
            <v/>
          </cell>
          <cell r="B7852">
            <v>37920</v>
          </cell>
          <cell r="C7852" t="str">
            <v>NG</v>
          </cell>
          <cell r="D7852" t="str">
            <v>200403</v>
          </cell>
          <cell r="E7852">
            <v>5.0979999999999999</v>
          </cell>
        </row>
        <row r="7853">
          <cell r="A7853" t="str">
            <v/>
          </cell>
          <cell r="B7853">
            <v>37920</v>
          </cell>
          <cell r="C7853" t="str">
            <v>NG</v>
          </cell>
          <cell r="D7853" t="str">
            <v>200404</v>
          </cell>
          <cell r="E7853">
            <v>4.7679999999999998</v>
          </cell>
        </row>
        <row r="7854">
          <cell r="A7854" t="str">
            <v/>
          </cell>
          <cell r="B7854">
            <v>37920</v>
          </cell>
          <cell r="C7854" t="str">
            <v>NG</v>
          </cell>
          <cell r="D7854" t="str">
            <v>200405</v>
          </cell>
          <cell r="E7854">
            <v>4.6909999999999998</v>
          </cell>
        </row>
        <row r="7855">
          <cell r="A7855" t="str">
            <v/>
          </cell>
          <cell r="B7855">
            <v>37920</v>
          </cell>
          <cell r="C7855" t="str">
            <v>NG</v>
          </cell>
          <cell r="D7855" t="str">
            <v>200406</v>
          </cell>
          <cell r="E7855">
            <v>4.6959999999999997</v>
          </cell>
        </row>
        <row r="7856">
          <cell r="A7856" t="str">
            <v/>
          </cell>
          <cell r="B7856">
            <v>37920</v>
          </cell>
          <cell r="C7856" t="str">
            <v>NG</v>
          </cell>
          <cell r="D7856" t="str">
            <v>200407</v>
          </cell>
          <cell r="E7856">
            <v>4.7060000000000004</v>
          </cell>
        </row>
        <row r="7857">
          <cell r="A7857" t="str">
            <v/>
          </cell>
          <cell r="B7857">
            <v>37920</v>
          </cell>
          <cell r="C7857" t="str">
            <v>NG</v>
          </cell>
          <cell r="D7857" t="str">
            <v>200408</v>
          </cell>
          <cell r="E7857">
            <v>4.7210000000000001</v>
          </cell>
        </row>
        <row r="7858">
          <cell r="A7858" t="str">
            <v/>
          </cell>
          <cell r="B7858">
            <v>37920</v>
          </cell>
          <cell r="C7858" t="str">
            <v>NG</v>
          </cell>
          <cell r="D7858" t="str">
            <v>200409</v>
          </cell>
          <cell r="E7858">
            <v>4.7060000000000004</v>
          </cell>
        </row>
        <row r="7859">
          <cell r="A7859" t="str">
            <v/>
          </cell>
          <cell r="B7859">
            <v>37920</v>
          </cell>
          <cell r="C7859" t="str">
            <v>NG</v>
          </cell>
          <cell r="D7859" t="str">
            <v>200410</v>
          </cell>
          <cell r="E7859">
            <v>4.7220000000000004</v>
          </cell>
        </row>
        <row r="7860">
          <cell r="A7860" t="str">
            <v/>
          </cell>
          <cell r="B7860">
            <v>37920</v>
          </cell>
          <cell r="C7860" t="str">
            <v>NG</v>
          </cell>
          <cell r="D7860" t="str">
            <v>200411</v>
          </cell>
          <cell r="E7860">
            <v>4.9020000000000001</v>
          </cell>
        </row>
        <row r="7861">
          <cell r="A7861" t="str">
            <v/>
          </cell>
          <cell r="B7861">
            <v>37920</v>
          </cell>
          <cell r="C7861" t="str">
            <v>NG</v>
          </cell>
          <cell r="D7861" t="str">
            <v>200412</v>
          </cell>
          <cell r="E7861">
            <v>5.0629999999999997</v>
          </cell>
        </row>
        <row r="7862">
          <cell r="A7862" t="str">
            <v/>
          </cell>
          <cell r="B7862">
            <v>37921</v>
          </cell>
          <cell r="C7862" t="str">
            <v>NG</v>
          </cell>
          <cell r="D7862" t="str">
            <v>200401</v>
          </cell>
          <cell r="E7862">
            <v>5.0510000000000002</v>
          </cell>
        </row>
        <row r="7863">
          <cell r="A7863" t="str">
            <v/>
          </cell>
          <cell r="B7863">
            <v>37921</v>
          </cell>
          <cell r="C7863" t="str">
            <v>NG</v>
          </cell>
          <cell r="D7863" t="str">
            <v>200402</v>
          </cell>
          <cell r="E7863">
            <v>5.0309999999999997</v>
          </cell>
        </row>
        <row r="7864">
          <cell r="A7864" t="str">
            <v/>
          </cell>
          <cell r="B7864">
            <v>37921</v>
          </cell>
          <cell r="C7864" t="str">
            <v>NG</v>
          </cell>
          <cell r="D7864" t="str">
            <v>200403</v>
          </cell>
          <cell r="E7864">
            <v>4.931</v>
          </cell>
        </row>
        <row r="7865">
          <cell r="A7865" t="str">
            <v/>
          </cell>
          <cell r="B7865">
            <v>37921</v>
          </cell>
          <cell r="C7865" t="str">
            <v>NG</v>
          </cell>
          <cell r="D7865" t="str">
            <v>200404</v>
          </cell>
          <cell r="E7865">
            <v>4.6760000000000002</v>
          </cell>
        </row>
        <row r="7866">
          <cell r="A7866" t="str">
            <v/>
          </cell>
          <cell r="B7866">
            <v>37921</v>
          </cell>
          <cell r="C7866" t="str">
            <v>NG</v>
          </cell>
          <cell r="D7866" t="str">
            <v>200405</v>
          </cell>
          <cell r="E7866">
            <v>4.6210000000000004</v>
          </cell>
        </row>
        <row r="7867">
          <cell r="A7867" t="str">
            <v/>
          </cell>
          <cell r="B7867">
            <v>37921</v>
          </cell>
          <cell r="C7867" t="str">
            <v>NG</v>
          </cell>
          <cell r="D7867" t="str">
            <v>200406</v>
          </cell>
          <cell r="E7867">
            <v>4.6260000000000003</v>
          </cell>
        </row>
        <row r="7868">
          <cell r="A7868" t="str">
            <v/>
          </cell>
          <cell r="B7868">
            <v>37921</v>
          </cell>
          <cell r="C7868" t="str">
            <v>NG</v>
          </cell>
          <cell r="D7868" t="str">
            <v>200407</v>
          </cell>
          <cell r="E7868">
            <v>4.6360000000000001</v>
          </cell>
        </row>
        <row r="7869">
          <cell r="A7869" t="str">
            <v/>
          </cell>
          <cell r="B7869">
            <v>37921</v>
          </cell>
          <cell r="C7869" t="str">
            <v>NG</v>
          </cell>
          <cell r="D7869" t="str">
            <v>200408</v>
          </cell>
          <cell r="E7869">
            <v>4.6539999999999999</v>
          </cell>
        </row>
        <row r="7870">
          <cell r="A7870" t="str">
            <v/>
          </cell>
          <cell r="B7870">
            <v>37921</v>
          </cell>
          <cell r="C7870" t="str">
            <v>NG</v>
          </cell>
          <cell r="D7870" t="str">
            <v>200409</v>
          </cell>
          <cell r="E7870">
            <v>4.641</v>
          </cell>
        </row>
        <row r="7871">
          <cell r="A7871" t="str">
            <v/>
          </cell>
          <cell r="B7871">
            <v>37921</v>
          </cell>
          <cell r="C7871" t="str">
            <v>NG</v>
          </cell>
          <cell r="D7871" t="str">
            <v>200410</v>
          </cell>
          <cell r="E7871">
            <v>4.6589999999999998</v>
          </cell>
        </row>
        <row r="7872">
          <cell r="A7872" t="str">
            <v/>
          </cell>
          <cell r="B7872">
            <v>37921</v>
          </cell>
          <cell r="C7872" t="str">
            <v>NG</v>
          </cell>
          <cell r="D7872" t="str">
            <v>200411</v>
          </cell>
          <cell r="E7872">
            <v>4.8390000000000004</v>
          </cell>
        </row>
        <row r="7873">
          <cell r="A7873" t="str">
            <v/>
          </cell>
          <cell r="B7873">
            <v>37921</v>
          </cell>
          <cell r="C7873" t="str">
            <v>NG</v>
          </cell>
          <cell r="D7873" t="str">
            <v>200412</v>
          </cell>
          <cell r="E7873">
            <v>5.0060000000000002</v>
          </cell>
        </row>
        <row r="7874">
          <cell r="A7874" t="str">
            <v/>
          </cell>
          <cell r="B7874">
            <v>37922</v>
          </cell>
          <cell r="C7874" t="str">
            <v>NG</v>
          </cell>
          <cell r="D7874" t="str">
            <v>200401</v>
          </cell>
          <cell r="E7874">
            <v>5.0730000000000004</v>
          </cell>
        </row>
        <row r="7875">
          <cell r="A7875" t="str">
            <v/>
          </cell>
          <cell r="B7875">
            <v>37922</v>
          </cell>
          <cell r="C7875" t="str">
            <v>NG</v>
          </cell>
          <cell r="D7875" t="str">
            <v>200402</v>
          </cell>
          <cell r="E7875">
            <v>5.0629999999999997</v>
          </cell>
        </row>
        <row r="7876">
          <cell r="A7876" t="str">
            <v/>
          </cell>
          <cell r="B7876">
            <v>37922</v>
          </cell>
          <cell r="C7876" t="str">
            <v>NG</v>
          </cell>
          <cell r="D7876" t="str">
            <v>200403</v>
          </cell>
          <cell r="E7876">
            <v>4.9660000000000002</v>
          </cell>
        </row>
        <row r="7877">
          <cell r="A7877" t="str">
            <v/>
          </cell>
          <cell r="B7877">
            <v>37922</v>
          </cell>
          <cell r="C7877" t="str">
            <v>NG</v>
          </cell>
          <cell r="D7877" t="str">
            <v>200404</v>
          </cell>
          <cell r="E7877">
            <v>4.6959999999999997</v>
          </cell>
        </row>
        <row r="7878">
          <cell r="A7878" t="str">
            <v/>
          </cell>
          <cell r="B7878">
            <v>37922</v>
          </cell>
          <cell r="C7878" t="str">
            <v>NG</v>
          </cell>
          <cell r="D7878" t="str">
            <v>200405</v>
          </cell>
          <cell r="E7878">
            <v>4.641</v>
          </cell>
        </row>
        <row r="7879">
          <cell r="A7879" t="str">
            <v/>
          </cell>
          <cell r="B7879">
            <v>37922</v>
          </cell>
          <cell r="C7879" t="str">
            <v>NG</v>
          </cell>
          <cell r="D7879" t="str">
            <v>200406</v>
          </cell>
          <cell r="E7879">
            <v>4.6509999999999998</v>
          </cell>
        </row>
        <row r="7880">
          <cell r="A7880" t="str">
            <v/>
          </cell>
          <cell r="B7880">
            <v>37922</v>
          </cell>
          <cell r="C7880" t="str">
            <v>NG</v>
          </cell>
          <cell r="D7880" t="str">
            <v>200407</v>
          </cell>
          <cell r="E7880">
            <v>4.6660000000000004</v>
          </cell>
        </row>
        <row r="7881">
          <cell r="A7881" t="str">
            <v/>
          </cell>
          <cell r="B7881">
            <v>37922</v>
          </cell>
          <cell r="C7881" t="str">
            <v>NG</v>
          </cell>
          <cell r="D7881" t="str">
            <v>200408</v>
          </cell>
          <cell r="E7881">
            <v>4.6840000000000002</v>
          </cell>
        </row>
        <row r="7882">
          <cell r="A7882" t="str">
            <v/>
          </cell>
          <cell r="B7882">
            <v>37922</v>
          </cell>
          <cell r="C7882" t="str">
            <v>NG</v>
          </cell>
          <cell r="D7882" t="str">
            <v>200409</v>
          </cell>
          <cell r="E7882">
            <v>4.6710000000000003</v>
          </cell>
        </row>
        <row r="7883">
          <cell r="A7883" t="str">
            <v/>
          </cell>
          <cell r="B7883">
            <v>37922</v>
          </cell>
          <cell r="C7883" t="str">
            <v>NG</v>
          </cell>
          <cell r="D7883" t="str">
            <v>200410</v>
          </cell>
          <cell r="E7883">
            <v>4.6890000000000001</v>
          </cell>
        </row>
        <row r="7884">
          <cell r="A7884" t="str">
            <v/>
          </cell>
          <cell r="B7884">
            <v>37922</v>
          </cell>
          <cell r="C7884" t="str">
            <v>NG</v>
          </cell>
          <cell r="D7884" t="str">
            <v>200411</v>
          </cell>
          <cell r="E7884">
            <v>4.859</v>
          </cell>
        </row>
        <row r="7885">
          <cell r="A7885" t="str">
            <v/>
          </cell>
          <cell r="B7885">
            <v>37922</v>
          </cell>
          <cell r="C7885" t="str">
            <v>NG</v>
          </cell>
          <cell r="D7885" t="str">
            <v>200412</v>
          </cell>
          <cell r="E7885">
            <v>5.0259999999999998</v>
          </cell>
        </row>
        <row r="7886">
          <cell r="A7886" t="str">
            <v/>
          </cell>
          <cell r="B7886">
            <v>37923</v>
          </cell>
          <cell r="C7886" t="str">
            <v>NG</v>
          </cell>
          <cell r="D7886" t="str">
            <v>200401</v>
          </cell>
          <cell r="E7886">
            <v>5.1029999999999998</v>
          </cell>
        </row>
        <row r="7887">
          <cell r="A7887" t="str">
            <v/>
          </cell>
          <cell r="B7887">
            <v>37923</v>
          </cell>
          <cell r="C7887" t="str">
            <v>NG</v>
          </cell>
          <cell r="D7887" t="str">
            <v>200402</v>
          </cell>
          <cell r="E7887">
            <v>5.1040000000000001</v>
          </cell>
        </row>
        <row r="7888">
          <cell r="A7888" t="str">
            <v/>
          </cell>
          <cell r="B7888">
            <v>37923</v>
          </cell>
          <cell r="C7888" t="str">
            <v>NG</v>
          </cell>
          <cell r="D7888" t="str">
            <v>200403</v>
          </cell>
          <cell r="E7888">
            <v>5.0069999999999997</v>
          </cell>
        </row>
        <row r="7889">
          <cell r="A7889" t="str">
            <v/>
          </cell>
          <cell r="B7889">
            <v>37923</v>
          </cell>
          <cell r="C7889" t="str">
            <v>NG</v>
          </cell>
          <cell r="D7889" t="str">
            <v>200404</v>
          </cell>
          <cell r="E7889">
            <v>4.734</v>
          </cell>
        </row>
        <row r="7890">
          <cell r="A7890" t="str">
            <v/>
          </cell>
          <cell r="B7890">
            <v>37923</v>
          </cell>
          <cell r="C7890" t="str">
            <v>NG</v>
          </cell>
          <cell r="D7890" t="str">
            <v>200405</v>
          </cell>
          <cell r="E7890">
            <v>4.6790000000000003</v>
          </cell>
        </row>
        <row r="7891">
          <cell r="A7891" t="str">
            <v/>
          </cell>
          <cell r="B7891">
            <v>37923</v>
          </cell>
          <cell r="C7891" t="str">
            <v>NG</v>
          </cell>
          <cell r="D7891" t="str">
            <v>200406</v>
          </cell>
          <cell r="E7891">
            <v>4.6890000000000001</v>
          </cell>
        </row>
        <row r="7892">
          <cell r="A7892" t="str">
            <v/>
          </cell>
          <cell r="B7892">
            <v>37923</v>
          </cell>
          <cell r="C7892" t="str">
            <v>NG</v>
          </cell>
          <cell r="D7892" t="str">
            <v>200407</v>
          </cell>
          <cell r="E7892">
            <v>4.6989999999999998</v>
          </cell>
        </row>
        <row r="7893">
          <cell r="A7893" t="str">
            <v/>
          </cell>
          <cell r="B7893">
            <v>37923</v>
          </cell>
          <cell r="C7893" t="str">
            <v>NG</v>
          </cell>
          <cell r="D7893" t="str">
            <v>200408</v>
          </cell>
          <cell r="E7893">
            <v>4.7140000000000004</v>
          </cell>
        </row>
        <row r="7894">
          <cell r="A7894" t="str">
            <v/>
          </cell>
          <cell r="B7894">
            <v>37923</v>
          </cell>
          <cell r="C7894" t="str">
            <v>NG</v>
          </cell>
          <cell r="D7894" t="str">
            <v>200409</v>
          </cell>
          <cell r="E7894">
            <v>4.6989999999999998</v>
          </cell>
        </row>
        <row r="7895">
          <cell r="A7895" t="str">
            <v/>
          </cell>
          <cell r="B7895">
            <v>37923</v>
          </cell>
          <cell r="C7895" t="str">
            <v>NG</v>
          </cell>
          <cell r="D7895" t="str">
            <v>200410</v>
          </cell>
          <cell r="E7895">
            <v>4.7130000000000001</v>
          </cell>
        </row>
        <row r="7896">
          <cell r="A7896" t="str">
            <v/>
          </cell>
          <cell r="B7896">
            <v>37923</v>
          </cell>
          <cell r="C7896" t="str">
            <v>NG</v>
          </cell>
          <cell r="D7896" t="str">
            <v>200411</v>
          </cell>
          <cell r="E7896">
            <v>4.883</v>
          </cell>
        </row>
        <row r="7897">
          <cell r="A7897" t="str">
            <v/>
          </cell>
          <cell r="B7897">
            <v>37923</v>
          </cell>
          <cell r="C7897" t="str">
            <v>NG</v>
          </cell>
          <cell r="D7897" t="str">
            <v>200412</v>
          </cell>
          <cell r="E7897">
            <v>5.05</v>
          </cell>
        </row>
        <row r="7898">
          <cell r="A7898" t="str">
            <v/>
          </cell>
          <cell r="B7898">
            <v>37924</v>
          </cell>
          <cell r="C7898" t="str">
            <v>NG</v>
          </cell>
          <cell r="D7898" t="str">
            <v>200401</v>
          </cell>
          <cell r="E7898">
            <v>4.9480000000000004</v>
          </cell>
        </row>
        <row r="7899">
          <cell r="A7899" t="str">
            <v/>
          </cell>
          <cell r="B7899">
            <v>37924</v>
          </cell>
          <cell r="C7899" t="str">
            <v>NG</v>
          </cell>
          <cell r="D7899" t="str">
            <v>200402</v>
          </cell>
          <cell r="E7899">
            <v>4.968</v>
          </cell>
        </row>
        <row r="7900">
          <cell r="A7900" t="str">
            <v/>
          </cell>
          <cell r="B7900">
            <v>37924</v>
          </cell>
          <cell r="C7900" t="str">
            <v>NG</v>
          </cell>
          <cell r="D7900" t="str">
            <v>200403</v>
          </cell>
          <cell r="E7900">
            <v>4.8810000000000002</v>
          </cell>
        </row>
        <row r="7901">
          <cell r="A7901" t="str">
            <v/>
          </cell>
          <cell r="B7901">
            <v>37924</v>
          </cell>
          <cell r="C7901" t="str">
            <v>NG</v>
          </cell>
          <cell r="D7901" t="str">
            <v>200404</v>
          </cell>
          <cell r="E7901">
            <v>4.6340000000000003</v>
          </cell>
        </row>
        <row r="7902">
          <cell r="A7902" t="str">
            <v/>
          </cell>
          <cell r="B7902">
            <v>37924</v>
          </cell>
          <cell r="C7902" t="str">
            <v>NG</v>
          </cell>
          <cell r="D7902" t="str">
            <v>200405</v>
          </cell>
          <cell r="E7902">
            <v>4.5999999999999996</v>
          </cell>
        </row>
        <row r="7903">
          <cell r="A7903" t="str">
            <v/>
          </cell>
          <cell r="B7903">
            <v>37924</v>
          </cell>
          <cell r="C7903" t="str">
            <v>NG</v>
          </cell>
          <cell r="D7903" t="str">
            <v>200406</v>
          </cell>
          <cell r="E7903">
            <v>4.6150000000000002</v>
          </cell>
        </row>
        <row r="7904">
          <cell r="A7904" t="str">
            <v/>
          </cell>
          <cell r="B7904">
            <v>37924</v>
          </cell>
          <cell r="C7904" t="str">
            <v>NG</v>
          </cell>
          <cell r="D7904" t="str">
            <v>200407</v>
          </cell>
          <cell r="E7904">
            <v>4.6310000000000002</v>
          </cell>
        </row>
        <row r="7905">
          <cell r="A7905" t="str">
            <v/>
          </cell>
          <cell r="B7905">
            <v>37924</v>
          </cell>
          <cell r="C7905" t="str">
            <v>NG</v>
          </cell>
          <cell r="D7905" t="str">
            <v>200408</v>
          </cell>
          <cell r="E7905">
            <v>4.6470000000000002</v>
          </cell>
        </row>
        <row r="7906">
          <cell r="A7906" t="str">
            <v/>
          </cell>
          <cell r="B7906">
            <v>37924</v>
          </cell>
          <cell r="C7906" t="str">
            <v>NG</v>
          </cell>
          <cell r="D7906" t="str">
            <v>200409</v>
          </cell>
          <cell r="E7906">
            <v>4.6319999999999997</v>
          </cell>
        </row>
        <row r="7907">
          <cell r="A7907" t="str">
            <v/>
          </cell>
          <cell r="B7907">
            <v>37924</v>
          </cell>
          <cell r="C7907" t="str">
            <v>NG</v>
          </cell>
          <cell r="D7907" t="str">
            <v>200410</v>
          </cell>
          <cell r="E7907">
            <v>4.6470000000000002</v>
          </cell>
        </row>
        <row r="7908">
          <cell r="A7908" t="str">
            <v/>
          </cell>
          <cell r="B7908">
            <v>37924</v>
          </cell>
          <cell r="C7908" t="str">
            <v>NG</v>
          </cell>
          <cell r="D7908" t="str">
            <v>200411</v>
          </cell>
          <cell r="E7908">
            <v>4.827</v>
          </cell>
        </row>
        <row r="7909">
          <cell r="A7909" t="str">
            <v/>
          </cell>
          <cell r="B7909">
            <v>37924</v>
          </cell>
          <cell r="C7909" t="str">
            <v>NG</v>
          </cell>
          <cell r="D7909" t="str">
            <v>200412</v>
          </cell>
          <cell r="E7909">
            <v>5.0069999999999997</v>
          </cell>
        </row>
        <row r="7910">
          <cell r="A7910" t="str">
            <v/>
          </cell>
          <cell r="B7910">
            <v>37925</v>
          </cell>
          <cell r="C7910" t="str">
            <v>NG</v>
          </cell>
          <cell r="D7910" t="str">
            <v>200401</v>
          </cell>
          <cell r="E7910">
            <v>5.1289999999999996</v>
          </cell>
        </row>
        <row r="7911">
          <cell r="A7911" t="str">
            <v/>
          </cell>
          <cell r="B7911">
            <v>37925</v>
          </cell>
          <cell r="C7911" t="str">
            <v>NG</v>
          </cell>
          <cell r="D7911" t="str">
            <v>200402</v>
          </cell>
          <cell r="E7911">
            <v>5.1189999999999998</v>
          </cell>
        </row>
        <row r="7912">
          <cell r="A7912" t="str">
            <v/>
          </cell>
          <cell r="B7912">
            <v>37925</v>
          </cell>
          <cell r="C7912" t="str">
            <v>NG</v>
          </cell>
          <cell r="D7912" t="str">
            <v>200403</v>
          </cell>
          <cell r="E7912">
            <v>5.0140000000000002</v>
          </cell>
        </row>
        <row r="7913">
          <cell r="A7913" t="str">
            <v/>
          </cell>
          <cell r="B7913">
            <v>37925</v>
          </cell>
          <cell r="C7913" t="str">
            <v>NG</v>
          </cell>
          <cell r="D7913" t="str">
            <v>200404</v>
          </cell>
          <cell r="E7913">
            <v>4.7240000000000002</v>
          </cell>
        </row>
        <row r="7914">
          <cell r="A7914" t="str">
            <v/>
          </cell>
          <cell r="B7914">
            <v>37925</v>
          </cell>
          <cell r="C7914" t="str">
            <v>NG</v>
          </cell>
          <cell r="D7914" t="str">
            <v>200405</v>
          </cell>
          <cell r="E7914">
            <v>4.6790000000000003</v>
          </cell>
        </row>
        <row r="7915">
          <cell r="A7915" t="str">
            <v/>
          </cell>
          <cell r="B7915">
            <v>37925</v>
          </cell>
          <cell r="C7915" t="str">
            <v>NG</v>
          </cell>
          <cell r="D7915" t="str">
            <v>200406</v>
          </cell>
          <cell r="E7915">
            <v>4.6890000000000001</v>
          </cell>
        </row>
        <row r="7916">
          <cell r="A7916" t="str">
            <v/>
          </cell>
          <cell r="B7916">
            <v>37925</v>
          </cell>
          <cell r="C7916" t="str">
            <v>NG</v>
          </cell>
          <cell r="D7916" t="str">
            <v>200407</v>
          </cell>
          <cell r="E7916">
            <v>4.6989999999999998</v>
          </cell>
        </row>
        <row r="7917">
          <cell r="A7917" t="str">
            <v/>
          </cell>
          <cell r="B7917">
            <v>37925</v>
          </cell>
          <cell r="C7917" t="str">
            <v>NG</v>
          </cell>
          <cell r="D7917" t="str">
            <v>200408</v>
          </cell>
          <cell r="E7917">
            <v>4.7140000000000004</v>
          </cell>
        </row>
        <row r="7918">
          <cell r="A7918" t="str">
            <v/>
          </cell>
          <cell r="B7918">
            <v>37925</v>
          </cell>
          <cell r="C7918" t="str">
            <v>NG</v>
          </cell>
          <cell r="D7918" t="str">
            <v>200409</v>
          </cell>
          <cell r="E7918">
            <v>4.6989999999999998</v>
          </cell>
        </row>
        <row r="7919">
          <cell r="A7919" t="str">
            <v/>
          </cell>
          <cell r="B7919">
            <v>37925</v>
          </cell>
          <cell r="C7919" t="str">
            <v>NG</v>
          </cell>
          <cell r="D7919" t="str">
            <v>200410</v>
          </cell>
          <cell r="E7919">
            <v>4.7089999999999996</v>
          </cell>
        </row>
        <row r="7920">
          <cell r="A7920" t="str">
            <v/>
          </cell>
          <cell r="B7920">
            <v>37925</v>
          </cell>
          <cell r="C7920" t="str">
            <v>NG</v>
          </cell>
          <cell r="D7920" t="str">
            <v>200411</v>
          </cell>
          <cell r="E7920">
            <v>4.8840000000000003</v>
          </cell>
        </row>
        <row r="7921">
          <cell r="A7921" t="str">
            <v/>
          </cell>
          <cell r="B7921">
            <v>37925</v>
          </cell>
          <cell r="C7921" t="str">
            <v>NG</v>
          </cell>
          <cell r="D7921" t="str">
            <v>200412</v>
          </cell>
          <cell r="E7921">
            <v>5.0640000000000001</v>
          </cell>
        </row>
        <row r="7922">
          <cell r="A7922" t="str">
            <v/>
          </cell>
          <cell r="B7922">
            <v>37926</v>
          </cell>
          <cell r="C7922" t="str">
            <v>NG</v>
          </cell>
          <cell r="D7922" t="str">
            <v>200401</v>
          </cell>
          <cell r="E7922">
            <v>5.1289999999999996</v>
          </cell>
        </row>
        <row r="7923">
          <cell r="A7923" t="str">
            <v/>
          </cell>
          <cell r="B7923">
            <v>37926</v>
          </cell>
          <cell r="C7923" t="str">
            <v>NG</v>
          </cell>
          <cell r="D7923" t="str">
            <v>200402</v>
          </cell>
          <cell r="E7923">
            <v>5.1189999999999998</v>
          </cell>
        </row>
        <row r="7924">
          <cell r="A7924" t="str">
            <v/>
          </cell>
          <cell r="B7924">
            <v>37926</v>
          </cell>
          <cell r="C7924" t="str">
            <v>NG</v>
          </cell>
          <cell r="D7924" t="str">
            <v>200403</v>
          </cell>
          <cell r="E7924">
            <v>5.0140000000000002</v>
          </cell>
        </row>
        <row r="7925">
          <cell r="A7925" t="str">
            <v/>
          </cell>
          <cell r="B7925">
            <v>37926</v>
          </cell>
          <cell r="C7925" t="str">
            <v>NG</v>
          </cell>
          <cell r="D7925" t="str">
            <v>200404</v>
          </cell>
          <cell r="E7925">
            <v>4.7240000000000002</v>
          </cell>
        </row>
        <row r="7926">
          <cell r="A7926" t="str">
            <v/>
          </cell>
          <cell r="B7926">
            <v>37926</v>
          </cell>
          <cell r="C7926" t="str">
            <v>NG</v>
          </cell>
          <cell r="D7926" t="str">
            <v>200405</v>
          </cell>
          <cell r="E7926">
            <v>4.6790000000000003</v>
          </cell>
        </row>
        <row r="7927">
          <cell r="A7927" t="str">
            <v/>
          </cell>
          <cell r="B7927">
            <v>37926</v>
          </cell>
          <cell r="C7927" t="str">
            <v>NG</v>
          </cell>
          <cell r="D7927" t="str">
            <v>200406</v>
          </cell>
          <cell r="E7927">
            <v>4.6890000000000001</v>
          </cell>
        </row>
        <row r="7928">
          <cell r="A7928" t="str">
            <v/>
          </cell>
          <cell r="B7928">
            <v>37926</v>
          </cell>
          <cell r="C7928" t="str">
            <v>NG</v>
          </cell>
          <cell r="D7928" t="str">
            <v>200407</v>
          </cell>
          <cell r="E7928">
            <v>4.6989999999999998</v>
          </cell>
        </row>
        <row r="7929">
          <cell r="A7929" t="str">
            <v/>
          </cell>
          <cell r="B7929">
            <v>37926</v>
          </cell>
          <cell r="C7929" t="str">
            <v>NG</v>
          </cell>
          <cell r="D7929" t="str">
            <v>200408</v>
          </cell>
          <cell r="E7929">
            <v>4.7140000000000004</v>
          </cell>
        </row>
        <row r="7930">
          <cell r="A7930" t="str">
            <v/>
          </cell>
          <cell r="B7930">
            <v>37926</v>
          </cell>
          <cell r="C7930" t="str">
            <v>NG</v>
          </cell>
          <cell r="D7930" t="str">
            <v>200409</v>
          </cell>
          <cell r="E7930">
            <v>4.6989999999999998</v>
          </cell>
        </row>
        <row r="7931">
          <cell r="A7931" t="str">
            <v/>
          </cell>
          <cell r="B7931">
            <v>37926</v>
          </cell>
          <cell r="C7931" t="str">
            <v>NG</v>
          </cell>
          <cell r="D7931" t="str">
            <v>200410</v>
          </cell>
          <cell r="E7931">
            <v>4.7089999999999996</v>
          </cell>
        </row>
        <row r="7932">
          <cell r="A7932" t="str">
            <v/>
          </cell>
          <cell r="B7932">
            <v>37926</v>
          </cell>
          <cell r="C7932" t="str">
            <v>NG</v>
          </cell>
          <cell r="D7932" t="str">
            <v>200411</v>
          </cell>
          <cell r="E7932">
            <v>4.8840000000000003</v>
          </cell>
        </row>
        <row r="7933">
          <cell r="A7933" t="str">
            <v/>
          </cell>
          <cell r="B7933">
            <v>37926</v>
          </cell>
          <cell r="C7933" t="str">
            <v>NG</v>
          </cell>
          <cell r="D7933" t="str">
            <v>200412</v>
          </cell>
          <cell r="E7933">
            <v>5.0640000000000001</v>
          </cell>
        </row>
        <row r="7934">
          <cell r="A7934" t="str">
            <v/>
          </cell>
          <cell r="B7934">
            <v>37927</v>
          </cell>
          <cell r="C7934" t="str">
            <v>NG</v>
          </cell>
          <cell r="D7934" t="str">
            <v>200401</v>
          </cell>
          <cell r="E7934">
            <v>5.1289999999999996</v>
          </cell>
        </row>
        <row r="7935">
          <cell r="A7935" t="str">
            <v/>
          </cell>
          <cell r="B7935">
            <v>37927</v>
          </cell>
          <cell r="C7935" t="str">
            <v>NG</v>
          </cell>
          <cell r="D7935" t="str">
            <v>200402</v>
          </cell>
          <cell r="E7935">
            <v>5.1189999999999998</v>
          </cell>
        </row>
        <row r="7936">
          <cell r="A7936" t="str">
            <v/>
          </cell>
          <cell r="B7936">
            <v>37927</v>
          </cell>
          <cell r="C7936" t="str">
            <v>NG</v>
          </cell>
          <cell r="D7936" t="str">
            <v>200403</v>
          </cell>
          <cell r="E7936">
            <v>5.0140000000000002</v>
          </cell>
        </row>
        <row r="7937">
          <cell r="A7937" t="str">
            <v/>
          </cell>
          <cell r="B7937">
            <v>37927</v>
          </cell>
          <cell r="C7937" t="str">
            <v>NG</v>
          </cell>
          <cell r="D7937" t="str">
            <v>200404</v>
          </cell>
          <cell r="E7937">
            <v>4.7240000000000002</v>
          </cell>
        </row>
        <row r="7938">
          <cell r="A7938" t="str">
            <v/>
          </cell>
          <cell r="B7938">
            <v>37927</v>
          </cell>
          <cell r="C7938" t="str">
            <v>NG</v>
          </cell>
          <cell r="D7938" t="str">
            <v>200405</v>
          </cell>
          <cell r="E7938">
            <v>4.6790000000000003</v>
          </cell>
        </row>
        <row r="7939">
          <cell r="A7939" t="str">
            <v/>
          </cell>
          <cell r="B7939">
            <v>37927</v>
          </cell>
          <cell r="C7939" t="str">
            <v>NG</v>
          </cell>
          <cell r="D7939" t="str">
            <v>200406</v>
          </cell>
          <cell r="E7939">
            <v>4.6890000000000001</v>
          </cell>
        </row>
        <row r="7940">
          <cell r="A7940" t="str">
            <v/>
          </cell>
          <cell r="B7940">
            <v>37927</v>
          </cell>
          <cell r="C7940" t="str">
            <v>NG</v>
          </cell>
          <cell r="D7940" t="str">
            <v>200407</v>
          </cell>
          <cell r="E7940">
            <v>4.6989999999999998</v>
          </cell>
        </row>
        <row r="7941">
          <cell r="A7941" t="str">
            <v/>
          </cell>
          <cell r="B7941">
            <v>37927</v>
          </cell>
          <cell r="C7941" t="str">
            <v>NG</v>
          </cell>
          <cell r="D7941" t="str">
            <v>200408</v>
          </cell>
          <cell r="E7941">
            <v>4.7140000000000004</v>
          </cell>
        </row>
        <row r="7942">
          <cell r="A7942" t="str">
            <v/>
          </cell>
          <cell r="B7942">
            <v>37927</v>
          </cell>
          <cell r="C7942" t="str">
            <v>NG</v>
          </cell>
          <cell r="D7942" t="str">
            <v>200409</v>
          </cell>
          <cell r="E7942">
            <v>4.6989999999999998</v>
          </cell>
        </row>
        <row r="7943">
          <cell r="A7943" t="str">
            <v/>
          </cell>
          <cell r="B7943">
            <v>37927</v>
          </cell>
          <cell r="C7943" t="str">
            <v>NG</v>
          </cell>
          <cell r="D7943" t="str">
            <v>200410</v>
          </cell>
          <cell r="E7943">
            <v>4.7089999999999996</v>
          </cell>
        </row>
        <row r="7944">
          <cell r="A7944" t="str">
            <v/>
          </cell>
          <cell r="B7944">
            <v>37927</v>
          </cell>
          <cell r="C7944" t="str">
            <v>NG</v>
          </cell>
          <cell r="D7944" t="str">
            <v>200411</v>
          </cell>
          <cell r="E7944">
            <v>4.8840000000000003</v>
          </cell>
        </row>
        <row r="7945">
          <cell r="A7945" t="str">
            <v/>
          </cell>
          <cell r="B7945">
            <v>37927</v>
          </cell>
          <cell r="C7945" t="str">
            <v>NG</v>
          </cell>
          <cell r="D7945" t="str">
            <v>200412</v>
          </cell>
          <cell r="E7945">
            <v>5.0640000000000001</v>
          </cell>
        </row>
        <row r="7946">
          <cell r="A7946" t="str">
            <v/>
          </cell>
          <cell r="B7946">
            <v>37928</v>
          </cell>
          <cell r="C7946" t="str">
            <v>NG</v>
          </cell>
          <cell r="D7946" t="str">
            <v>200401</v>
          </cell>
          <cell r="E7946">
            <v>4.9829999999999997</v>
          </cell>
        </row>
        <row r="7947">
          <cell r="A7947" t="str">
            <v/>
          </cell>
          <cell r="B7947">
            <v>37928</v>
          </cell>
          <cell r="C7947" t="str">
            <v>NG</v>
          </cell>
          <cell r="D7947" t="str">
            <v>200402</v>
          </cell>
          <cell r="E7947">
            <v>4.9779999999999998</v>
          </cell>
        </row>
        <row r="7948">
          <cell r="A7948" t="str">
            <v/>
          </cell>
          <cell r="B7948">
            <v>37928</v>
          </cell>
          <cell r="C7948" t="str">
            <v>NG</v>
          </cell>
          <cell r="D7948" t="str">
            <v>200403</v>
          </cell>
          <cell r="E7948">
            <v>4.8879999999999999</v>
          </cell>
        </row>
        <row r="7949">
          <cell r="A7949" t="str">
            <v/>
          </cell>
          <cell r="B7949">
            <v>37928</v>
          </cell>
          <cell r="C7949" t="str">
            <v>NG</v>
          </cell>
          <cell r="D7949" t="str">
            <v>200404</v>
          </cell>
          <cell r="E7949">
            <v>4.6230000000000002</v>
          </cell>
        </row>
        <row r="7950">
          <cell r="A7950" t="str">
            <v/>
          </cell>
          <cell r="B7950">
            <v>37928</v>
          </cell>
          <cell r="C7950" t="str">
            <v>NG</v>
          </cell>
          <cell r="D7950" t="str">
            <v>200405</v>
          </cell>
          <cell r="E7950">
            <v>4.5880000000000001</v>
          </cell>
        </row>
        <row r="7951">
          <cell r="A7951" t="str">
            <v/>
          </cell>
          <cell r="B7951">
            <v>37928</v>
          </cell>
          <cell r="C7951" t="str">
            <v>NG</v>
          </cell>
          <cell r="D7951" t="str">
            <v>200406</v>
          </cell>
          <cell r="E7951">
            <v>4.5979999999999999</v>
          </cell>
        </row>
        <row r="7952">
          <cell r="A7952" t="str">
            <v/>
          </cell>
          <cell r="B7952">
            <v>37928</v>
          </cell>
          <cell r="C7952" t="str">
            <v>NG</v>
          </cell>
          <cell r="D7952" t="str">
            <v>200407</v>
          </cell>
          <cell r="E7952">
            <v>4.6150000000000002</v>
          </cell>
        </row>
        <row r="7953">
          <cell r="A7953" t="str">
            <v/>
          </cell>
          <cell r="B7953">
            <v>37928</v>
          </cell>
          <cell r="C7953" t="str">
            <v>NG</v>
          </cell>
          <cell r="D7953" t="str">
            <v>200408</v>
          </cell>
          <cell r="E7953">
            <v>4.63</v>
          </cell>
        </row>
        <row r="7954">
          <cell r="A7954" t="str">
            <v/>
          </cell>
          <cell r="B7954">
            <v>37928</v>
          </cell>
          <cell r="C7954" t="str">
            <v>NG</v>
          </cell>
          <cell r="D7954" t="str">
            <v>200409</v>
          </cell>
          <cell r="E7954">
            <v>4.6150000000000002</v>
          </cell>
        </row>
        <row r="7955">
          <cell r="A7955" t="str">
            <v/>
          </cell>
          <cell r="B7955">
            <v>37928</v>
          </cell>
          <cell r="C7955" t="str">
            <v>NG</v>
          </cell>
          <cell r="D7955" t="str">
            <v>200410</v>
          </cell>
          <cell r="E7955">
            <v>4.63</v>
          </cell>
        </row>
        <row r="7956">
          <cell r="A7956" t="str">
            <v/>
          </cell>
          <cell r="B7956">
            <v>37928</v>
          </cell>
          <cell r="C7956" t="str">
            <v>NG</v>
          </cell>
          <cell r="D7956" t="str">
            <v>200411</v>
          </cell>
          <cell r="E7956">
            <v>4.8120000000000003</v>
          </cell>
        </row>
        <row r="7957">
          <cell r="A7957" t="str">
            <v/>
          </cell>
          <cell r="B7957">
            <v>37928</v>
          </cell>
          <cell r="C7957" t="str">
            <v>NG</v>
          </cell>
          <cell r="D7957" t="str">
            <v>200412</v>
          </cell>
          <cell r="E7957">
            <v>5.0019999999999998</v>
          </cell>
        </row>
        <row r="7958">
          <cell r="A7958" t="str">
            <v/>
          </cell>
          <cell r="B7958">
            <v>37929</v>
          </cell>
          <cell r="C7958" t="str">
            <v>NG</v>
          </cell>
          <cell r="D7958" t="str">
            <v>200401</v>
          </cell>
          <cell r="E7958">
            <v>4.9770000000000003</v>
          </cell>
        </row>
        <row r="7959">
          <cell r="A7959" t="str">
            <v/>
          </cell>
          <cell r="B7959">
            <v>37929</v>
          </cell>
          <cell r="C7959" t="str">
            <v>NG</v>
          </cell>
          <cell r="D7959" t="str">
            <v>200402</v>
          </cell>
          <cell r="E7959">
            <v>4.9820000000000002</v>
          </cell>
        </row>
        <row r="7960">
          <cell r="A7960" t="str">
            <v/>
          </cell>
          <cell r="B7960">
            <v>37929</v>
          </cell>
          <cell r="C7960" t="str">
            <v>NG</v>
          </cell>
          <cell r="D7960" t="str">
            <v>200403</v>
          </cell>
          <cell r="E7960">
            <v>4.8869999999999996</v>
          </cell>
        </row>
        <row r="7961">
          <cell r="A7961" t="str">
            <v/>
          </cell>
          <cell r="B7961">
            <v>37929</v>
          </cell>
          <cell r="C7961" t="str">
            <v>NG</v>
          </cell>
          <cell r="D7961" t="str">
            <v>200404</v>
          </cell>
          <cell r="E7961">
            <v>4.6269999999999998</v>
          </cell>
        </row>
        <row r="7962">
          <cell r="A7962" t="str">
            <v/>
          </cell>
          <cell r="B7962">
            <v>37929</v>
          </cell>
          <cell r="C7962" t="str">
            <v>NG</v>
          </cell>
          <cell r="D7962" t="str">
            <v>200405</v>
          </cell>
          <cell r="E7962">
            <v>4.5919999999999996</v>
          </cell>
        </row>
        <row r="7963">
          <cell r="A7963" t="str">
            <v/>
          </cell>
          <cell r="B7963">
            <v>37929</v>
          </cell>
          <cell r="C7963" t="str">
            <v>NG</v>
          </cell>
          <cell r="D7963" t="str">
            <v>200406</v>
          </cell>
          <cell r="E7963">
            <v>4.6070000000000002</v>
          </cell>
        </row>
        <row r="7964">
          <cell r="A7964" t="str">
            <v/>
          </cell>
          <cell r="B7964">
            <v>37929</v>
          </cell>
          <cell r="C7964" t="str">
            <v>NG</v>
          </cell>
          <cell r="D7964" t="str">
            <v>200407</v>
          </cell>
          <cell r="E7964">
            <v>4.6210000000000004</v>
          </cell>
        </row>
        <row r="7965">
          <cell r="A7965" t="str">
            <v/>
          </cell>
          <cell r="B7965">
            <v>37929</v>
          </cell>
          <cell r="C7965" t="str">
            <v>NG</v>
          </cell>
          <cell r="D7965" t="str">
            <v>200408</v>
          </cell>
          <cell r="E7965">
            <v>4.6349999999999998</v>
          </cell>
        </row>
        <row r="7966">
          <cell r="A7966" t="str">
            <v/>
          </cell>
          <cell r="B7966">
            <v>37929</v>
          </cell>
          <cell r="C7966" t="str">
            <v>NG</v>
          </cell>
          <cell r="D7966" t="str">
            <v>200409</v>
          </cell>
          <cell r="E7966">
            <v>4.6180000000000003</v>
          </cell>
        </row>
        <row r="7967">
          <cell r="A7967" t="str">
            <v/>
          </cell>
          <cell r="B7967">
            <v>37929</v>
          </cell>
          <cell r="C7967" t="str">
            <v>NG</v>
          </cell>
          <cell r="D7967" t="str">
            <v>200410</v>
          </cell>
          <cell r="E7967">
            <v>4.6340000000000003</v>
          </cell>
        </row>
        <row r="7968">
          <cell r="A7968" t="str">
            <v/>
          </cell>
          <cell r="B7968">
            <v>37929</v>
          </cell>
          <cell r="C7968" t="str">
            <v>NG</v>
          </cell>
          <cell r="D7968" t="str">
            <v>200411</v>
          </cell>
          <cell r="E7968">
            <v>4.8090000000000002</v>
          </cell>
        </row>
        <row r="7969">
          <cell r="A7969" t="str">
            <v/>
          </cell>
          <cell r="B7969">
            <v>37929</v>
          </cell>
          <cell r="C7969" t="str">
            <v>NG</v>
          </cell>
          <cell r="D7969" t="str">
            <v>200412</v>
          </cell>
          <cell r="E7969">
            <v>4.9939999999999998</v>
          </cell>
        </row>
        <row r="7970">
          <cell r="A7970" t="str">
            <v/>
          </cell>
          <cell r="B7970">
            <v>37930</v>
          </cell>
          <cell r="C7970" t="str">
            <v>NG</v>
          </cell>
          <cell r="D7970" t="str">
            <v>200401</v>
          </cell>
          <cell r="E7970">
            <v>5.117</v>
          </cell>
        </row>
        <row r="7971">
          <cell r="A7971" t="str">
            <v/>
          </cell>
          <cell r="B7971">
            <v>37930</v>
          </cell>
          <cell r="C7971" t="str">
            <v>NG</v>
          </cell>
          <cell r="D7971" t="str">
            <v>200402</v>
          </cell>
          <cell r="E7971">
            <v>5.1120000000000001</v>
          </cell>
        </row>
        <row r="7972">
          <cell r="A7972" t="str">
            <v/>
          </cell>
          <cell r="B7972">
            <v>37930</v>
          </cell>
          <cell r="C7972" t="str">
            <v>NG</v>
          </cell>
          <cell r="D7972" t="str">
            <v>200403</v>
          </cell>
          <cell r="E7972">
            <v>5.0069999999999997</v>
          </cell>
        </row>
        <row r="7973">
          <cell r="A7973" t="str">
            <v/>
          </cell>
          <cell r="B7973">
            <v>37930</v>
          </cell>
          <cell r="C7973" t="str">
            <v>NG</v>
          </cell>
          <cell r="D7973" t="str">
            <v>200404</v>
          </cell>
          <cell r="E7973">
            <v>4.7060000000000004</v>
          </cell>
        </row>
        <row r="7974">
          <cell r="A7974" t="str">
            <v/>
          </cell>
          <cell r="B7974">
            <v>37930</v>
          </cell>
          <cell r="C7974" t="str">
            <v>NG</v>
          </cell>
          <cell r="D7974" t="str">
            <v>200405</v>
          </cell>
          <cell r="E7974">
            <v>4.6660000000000004</v>
          </cell>
        </row>
        <row r="7975">
          <cell r="A7975" t="str">
            <v/>
          </cell>
          <cell r="B7975">
            <v>37930</v>
          </cell>
          <cell r="C7975" t="str">
            <v>NG</v>
          </cell>
          <cell r="D7975" t="str">
            <v>200406</v>
          </cell>
          <cell r="E7975">
            <v>4.6760000000000002</v>
          </cell>
        </row>
        <row r="7976">
          <cell r="A7976" t="str">
            <v/>
          </cell>
          <cell r="B7976">
            <v>37930</v>
          </cell>
          <cell r="C7976" t="str">
            <v>NG</v>
          </cell>
          <cell r="D7976" t="str">
            <v>200407</v>
          </cell>
          <cell r="E7976">
            <v>4.6829999999999998</v>
          </cell>
        </row>
        <row r="7977">
          <cell r="A7977" t="str">
            <v/>
          </cell>
          <cell r="B7977">
            <v>37930</v>
          </cell>
          <cell r="C7977" t="str">
            <v>NG</v>
          </cell>
          <cell r="D7977" t="str">
            <v>200408</v>
          </cell>
          <cell r="E7977">
            <v>4.6929999999999996</v>
          </cell>
        </row>
        <row r="7978">
          <cell r="A7978" t="str">
            <v/>
          </cell>
          <cell r="B7978">
            <v>37930</v>
          </cell>
          <cell r="C7978" t="str">
            <v>NG</v>
          </cell>
          <cell r="D7978" t="str">
            <v>200409</v>
          </cell>
          <cell r="E7978">
            <v>4.6760000000000002</v>
          </cell>
        </row>
        <row r="7979">
          <cell r="A7979" t="str">
            <v/>
          </cell>
          <cell r="B7979">
            <v>37930</v>
          </cell>
          <cell r="C7979" t="str">
            <v>NG</v>
          </cell>
          <cell r="D7979" t="str">
            <v>200410</v>
          </cell>
          <cell r="E7979">
            <v>4.6859999999999999</v>
          </cell>
        </row>
        <row r="7980">
          <cell r="A7980" t="str">
            <v/>
          </cell>
          <cell r="B7980">
            <v>37930</v>
          </cell>
          <cell r="C7980" t="str">
            <v>NG</v>
          </cell>
          <cell r="D7980" t="str">
            <v>200411</v>
          </cell>
          <cell r="E7980">
            <v>4.8559999999999999</v>
          </cell>
        </row>
        <row r="7981">
          <cell r="A7981" t="str">
            <v/>
          </cell>
          <cell r="B7981">
            <v>37930</v>
          </cell>
          <cell r="C7981" t="str">
            <v>NG</v>
          </cell>
          <cell r="D7981" t="str">
            <v>200412</v>
          </cell>
          <cell r="E7981">
            <v>5.0359999999999996</v>
          </cell>
        </row>
        <row r="7982">
          <cell r="A7982" t="str">
            <v/>
          </cell>
          <cell r="B7982">
            <v>37931</v>
          </cell>
          <cell r="C7982" t="str">
            <v>NG</v>
          </cell>
          <cell r="D7982" t="str">
            <v>200401</v>
          </cell>
          <cell r="E7982">
            <v>4.9080000000000004</v>
          </cell>
        </row>
        <row r="7983">
          <cell r="A7983" t="str">
            <v/>
          </cell>
          <cell r="B7983">
            <v>37931</v>
          </cell>
          <cell r="C7983" t="str">
            <v>NG</v>
          </cell>
          <cell r="D7983" t="str">
            <v>200402</v>
          </cell>
          <cell r="E7983">
            <v>4.93</v>
          </cell>
        </row>
        <row r="7984">
          <cell r="A7984" t="str">
            <v/>
          </cell>
          <cell r="B7984">
            <v>37931</v>
          </cell>
          <cell r="C7984" t="str">
            <v>NG</v>
          </cell>
          <cell r="D7984" t="str">
            <v>200403</v>
          </cell>
          <cell r="E7984">
            <v>4.8479999999999999</v>
          </cell>
        </row>
        <row r="7985">
          <cell r="A7985" t="str">
            <v/>
          </cell>
          <cell r="B7985">
            <v>37931</v>
          </cell>
          <cell r="C7985" t="str">
            <v>NG</v>
          </cell>
          <cell r="D7985" t="str">
            <v>200404</v>
          </cell>
          <cell r="E7985">
            <v>4.593</v>
          </cell>
        </row>
        <row r="7986">
          <cell r="A7986" t="str">
            <v/>
          </cell>
          <cell r="B7986">
            <v>37931</v>
          </cell>
          <cell r="C7986" t="str">
            <v>NG</v>
          </cell>
          <cell r="D7986" t="str">
            <v>200405</v>
          </cell>
          <cell r="E7986">
            <v>4.5750000000000002</v>
          </cell>
        </row>
        <row r="7987">
          <cell r="A7987" t="str">
            <v/>
          </cell>
          <cell r="B7987">
            <v>37931</v>
          </cell>
          <cell r="C7987" t="str">
            <v>NG</v>
          </cell>
          <cell r="D7987" t="str">
            <v>200406</v>
          </cell>
          <cell r="E7987">
            <v>4.5949999999999998</v>
          </cell>
        </row>
        <row r="7988">
          <cell r="A7988" t="str">
            <v/>
          </cell>
          <cell r="B7988">
            <v>37931</v>
          </cell>
          <cell r="C7988" t="str">
            <v>NG</v>
          </cell>
          <cell r="D7988" t="str">
            <v>200407</v>
          </cell>
          <cell r="E7988">
            <v>4.6100000000000003</v>
          </cell>
        </row>
        <row r="7989">
          <cell r="A7989" t="str">
            <v/>
          </cell>
          <cell r="B7989">
            <v>37931</v>
          </cell>
          <cell r="C7989" t="str">
            <v>NG</v>
          </cell>
          <cell r="D7989" t="str">
            <v>200408</v>
          </cell>
          <cell r="E7989">
            <v>4.63</v>
          </cell>
        </row>
        <row r="7990">
          <cell r="A7990" t="str">
            <v/>
          </cell>
          <cell r="B7990">
            <v>37931</v>
          </cell>
          <cell r="C7990" t="str">
            <v>NG</v>
          </cell>
          <cell r="D7990" t="str">
            <v>200409</v>
          </cell>
          <cell r="E7990">
            <v>4.6150000000000002</v>
          </cell>
        </row>
        <row r="7991">
          <cell r="A7991" t="str">
            <v/>
          </cell>
          <cell r="B7991">
            <v>37931</v>
          </cell>
          <cell r="C7991" t="str">
            <v>NG</v>
          </cell>
          <cell r="D7991" t="str">
            <v>200410</v>
          </cell>
          <cell r="E7991">
            <v>4.6269999999999998</v>
          </cell>
        </row>
        <row r="7992">
          <cell r="A7992" t="str">
            <v/>
          </cell>
          <cell r="B7992">
            <v>37931</v>
          </cell>
          <cell r="C7992" t="str">
            <v>NG</v>
          </cell>
          <cell r="D7992" t="str">
            <v>200411</v>
          </cell>
          <cell r="E7992">
            <v>4.8019999999999996</v>
          </cell>
        </row>
        <row r="7993">
          <cell r="A7993" t="str">
            <v/>
          </cell>
          <cell r="B7993">
            <v>37931</v>
          </cell>
          <cell r="C7993" t="str">
            <v>NG</v>
          </cell>
          <cell r="D7993" t="str">
            <v>200412</v>
          </cell>
          <cell r="E7993">
            <v>4.9889999999999999</v>
          </cell>
        </row>
        <row r="7994">
          <cell r="A7994" t="str">
            <v/>
          </cell>
          <cell r="B7994">
            <v>37932</v>
          </cell>
          <cell r="C7994" t="str">
            <v>NG</v>
          </cell>
          <cell r="D7994" t="str">
            <v>200401</v>
          </cell>
          <cell r="E7994">
            <v>4.9649999999999999</v>
          </cell>
        </row>
        <row r="7995">
          <cell r="A7995" t="str">
            <v/>
          </cell>
          <cell r="B7995">
            <v>37932</v>
          </cell>
          <cell r="C7995" t="str">
            <v>NG</v>
          </cell>
          <cell r="D7995" t="str">
            <v>200402</v>
          </cell>
          <cell r="E7995">
            <v>4.9850000000000003</v>
          </cell>
        </row>
        <row r="7996">
          <cell r="A7996" t="str">
            <v/>
          </cell>
          <cell r="B7996">
            <v>37932</v>
          </cell>
          <cell r="C7996" t="str">
            <v>NG</v>
          </cell>
          <cell r="D7996" t="str">
            <v>200403</v>
          </cell>
          <cell r="E7996">
            <v>4.8929999999999998</v>
          </cell>
        </row>
        <row r="7997">
          <cell r="A7997" t="str">
            <v/>
          </cell>
          <cell r="B7997">
            <v>37932</v>
          </cell>
          <cell r="C7997" t="str">
            <v>NG</v>
          </cell>
          <cell r="D7997" t="str">
            <v>200404</v>
          </cell>
          <cell r="E7997">
            <v>4.633</v>
          </cell>
        </row>
        <row r="7998">
          <cell r="A7998" t="str">
            <v/>
          </cell>
          <cell r="B7998">
            <v>37932</v>
          </cell>
          <cell r="C7998" t="str">
            <v>NG</v>
          </cell>
          <cell r="D7998" t="str">
            <v>200405</v>
          </cell>
          <cell r="E7998">
            <v>4.6079999999999997</v>
          </cell>
        </row>
        <row r="7999">
          <cell r="A7999" t="str">
            <v/>
          </cell>
          <cell r="B7999">
            <v>37932</v>
          </cell>
          <cell r="C7999" t="str">
            <v>NG</v>
          </cell>
          <cell r="D7999" t="str">
            <v>200406</v>
          </cell>
          <cell r="E7999">
            <v>4.6280000000000001</v>
          </cell>
        </row>
        <row r="8000">
          <cell r="A8000" t="str">
            <v/>
          </cell>
          <cell r="B8000">
            <v>37932</v>
          </cell>
          <cell r="C8000" t="str">
            <v>NG</v>
          </cell>
          <cell r="D8000" t="str">
            <v>200407</v>
          </cell>
          <cell r="E8000">
            <v>4.6459999999999999</v>
          </cell>
        </row>
        <row r="8001">
          <cell r="A8001" t="str">
            <v/>
          </cell>
          <cell r="B8001">
            <v>37932</v>
          </cell>
          <cell r="C8001" t="str">
            <v>NG</v>
          </cell>
          <cell r="D8001" t="str">
            <v>200408</v>
          </cell>
          <cell r="E8001">
            <v>4.665</v>
          </cell>
        </row>
        <row r="8002">
          <cell r="A8002" t="str">
            <v/>
          </cell>
          <cell r="B8002">
            <v>37932</v>
          </cell>
          <cell r="C8002" t="str">
            <v>NG</v>
          </cell>
          <cell r="D8002" t="str">
            <v>200409</v>
          </cell>
          <cell r="E8002">
            <v>4.6479999999999997</v>
          </cell>
        </row>
        <row r="8003">
          <cell r="A8003" t="str">
            <v/>
          </cell>
          <cell r="B8003">
            <v>37932</v>
          </cell>
          <cell r="C8003" t="str">
            <v>NG</v>
          </cell>
          <cell r="D8003" t="str">
            <v>200410</v>
          </cell>
          <cell r="E8003">
            <v>4.6609999999999996</v>
          </cell>
        </row>
        <row r="8004">
          <cell r="A8004" t="str">
            <v/>
          </cell>
          <cell r="B8004">
            <v>37932</v>
          </cell>
          <cell r="C8004" t="str">
            <v>NG</v>
          </cell>
          <cell r="D8004" t="str">
            <v>200411</v>
          </cell>
          <cell r="E8004">
            <v>4.8360000000000003</v>
          </cell>
        </row>
        <row r="8005">
          <cell r="A8005" t="str">
            <v/>
          </cell>
          <cell r="B8005">
            <v>37932</v>
          </cell>
          <cell r="C8005" t="str">
            <v>NG</v>
          </cell>
          <cell r="D8005" t="str">
            <v>200412</v>
          </cell>
          <cell r="E8005">
            <v>5.0229999999999997</v>
          </cell>
        </row>
        <row r="8006">
          <cell r="A8006" t="str">
            <v/>
          </cell>
          <cell r="B8006">
            <v>37933</v>
          </cell>
          <cell r="C8006" t="str">
            <v>NG</v>
          </cell>
          <cell r="D8006" t="str">
            <v>200401</v>
          </cell>
          <cell r="E8006">
            <v>4.9649999999999999</v>
          </cell>
        </row>
        <row r="8007">
          <cell r="A8007" t="str">
            <v/>
          </cell>
          <cell r="B8007">
            <v>37933</v>
          </cell>
          <cell r="C8007" t="str">
            <v>NG</v>
          </cell>
          <cell r="D8007" t="str">
            <v>200402</v>
          </cell>
          <cell r="E8007">
            <v>4.9850000000000003</v>
          </cell>
        </row>
        <row r="8008">
          <cell r="A8008" t="str">
            <v/>
          </cell>
          <cell r="B8008">
            <v>37933</v>
          </cell>
          <cell r="C8008" t="str">
            <v>NG</v>
          </cell>
          <cell r="D8008" t="str">
            <v>200403</v>
          </cell>
          <cell r="E8008">
            <v>4.8929999999999998</v>
          </cell>
        </row>
        <row r="8009">
          <cell r="A8009" t="str">
            <v/>
          </cell>
          <cell r="B8009">
            <v>37933</v>
          </cell>
          <cell r="C8009" t="str">
            <v>NG</v>
          </cell>
          <cell r="D8009" t="str">
            <v>200404</v>
          </cell>
          <cell r="E8009">
            <v>4.633</v>
          </cell>
        </row>
        <row r="8010">
          <cell r="A8010" t="str">
            <v/>
          </cell>
          <cell r="B8010">
            <v>37933</v>
          </cell>
          <cell r="C8010" t="str">
            <v>NG</v>
          </cell>
          <cell r="D8010" t="str">
            <v>200405</v>
          </cell>
          <cell r="E8010">
            <v>4.6079999999999997</v>
          </cell>
        </row>
        <row r="8011">
          <cell r="A8011" t="str">
            <v/>
          </cell>
          <cell r="B8011">
            <v>37933</v>
          </cell>
          <cell r="C8011" t="str">
            <v>NG</v>
          </cell>
          <cell r="D8011" t="str">
            <v>200406</v>
          </cell>
          <cell r="E8011">
            <v>4.6280000000000001</v>
          </cell>
        </row>
        <row r="8012">
          <cell r="A8012" t="str">
            <v/>
          </cell>
          <cell r="B8012">
            <v>37933</v>
          </cell>
          <cell r="C8012" t="str">
            <v>NG</v>
          </cell>
          <cell r="D8012" t="str">
            <v>200407</v>
          </cell>
          <cell r="E8012">
            <v>4.6459999999999999</v>
          </cell>
        </row>
        <row r="8013">
          <cell r="A8013" t="str">
            <v/>
          </cell>
          <cell r="B8013">
            <v>37933</v>
          </cell>
          <cell r="C8013" t="str">
            <v>NG</v>
          </cell>
          <cell r="D8013" t="str">
            <v>200408</v>
          </cell>
          <cell r="E8013">
            <v>4.665</v>
          </cell>
        </row>
        <row r="8014">
          <cell r="A8014" t="str">
            <v/>
          </cell>
          <cell r="B8014">
            <v>37933</v>
          </cell>
          <cell r="C8014" t="str">
            <v>NG</v>
          </cell>
          <cell r="D8014" t="str">
            <v>200409</v>
          </cell>
          <cell r="E8014">
            <v>4.6479999999999997</v>
          </cell>
        </row>
        <row r="8015">
          <cell r="A8015" t="str">
            <v/>
          </cell>
          <cell r="B8015">
            <v>37933</v>
          </cell>
          <cell r="C8015" t="str">
            <v>NG</v>
          </cell>
          <cell r="D8015" t="str">
            <v>200410</v>
          </cell>
          <cell r="E8015">
            <v>4.6609999999999996</v>
          </cell>
        </row>
        <row r="8016">
          <cell r="A8016" t="str">
            <v/>
          </cell>
          <cell r="B8016">
            <v>37933</v>
          </cell>
          <cell r="C8016" t="str">
            <v>NG</v>
          </cell>
          <cell r="D8016" t="str">
            <v>200411</v>
          </cell>
          <cell r="E8016">
            <v>4.8360000000000003</v>
          </cell>
        </row>
        <row r="8017">
          <cell r="A8017" t="str">
            <v/>
          </cell>
          <cell r="B8017">
            <v>37933</v>
          </cell>
          <cell r="C8017" t="str">
            <v>NG</v>
          </cell>
          <cell r="D8017" t="str">
            <v>200412</v>
          </cell>
          <cell r="E8017">
            <v>5.0229999999999997</v>
          </cell>
        </row>
        <row r="8018">
          <cell r="A8018" t="str">
            <v/>
          </cell>
          <cell r="B8018">
            <v>37934</v>
          </cell>
          <cell r="C8018" t="str">
            <v>NG</v>
          </cell>
          <cell r="D8018" t="str">
            <v>200401</v>
          </cell>
          <cell r="E8018">
            <v>4.9649999999999999</v>
          </cell>
        </row>
        <row r="8019">
          <cell r="A8019" t="str">
            <v/>
          </cell>
          <cell r="B8019">
            <v>37934</v>
          </cell>
          <cell r="C8019" t="str">
            <v>NG</v>
          </cell>
          <cell r="D8019" t="str">
            <v>200402</v>
          </cell>
          <cell r="E8019">
            <v>4.9850000000000003</v>
          </cell>
        </row>
        <row r="8020">
          <cell r="A8020" t="str">
            <v/>
          </cell>
          <cell r="B8020">
            <v>37934</v>
          </cell>
          <cell r="C8020" t="str">
            <v>NG</v>
          </cell>
          <cell r="D8020" t="str">
            <v>200403</v>
          </cell>
          <cell r="E8020">
            <v>4.8929999999999998</v>
          </cell>
        </row>
        <row r="8021">
          <cell r="A8021" t="str">
            <v/>
          </cell>
          <cell r="B8021">
            <v>37934</v>
          </cell>
          <cell r="C8021" t="str">
            <v>NG</v>
          </cell>
          <cell r="D8021" t="str">
            <v>200404</v>
          </cell>
          <cell r="E8021">
            <v>4.633</v>
          </cell>
        </row>
        <row r="8022">
          <cell r="A8022" t="str">
            <v/>
          </cell>
          <cell r="B8022">
            <v>37934</v>
          </cell>
          <cell r="C8022" t="str">
            <v>NG</v>
          </cell>
          <cell r="D8022" t="str">
            <v>200405</v>
          </cell>
          <cell r="E8022">
            <v>4.6079999999999997</v>
          </cell>
        </row>
        <row r="8023">
          <cell r="A8023" t="str">
            <v/>
          </cell>
          <cell r="B8023">
            <v>37934</v>
          </cell>
          <cell r="C8023" t="str">
            <v>NG</v>
          </cell>
          <cell r="D8023" t="str">
            <v>200406</v>
          </cell>
          <cell r="E8023">
            <v>4.6280000000000001</v>
          </cell>
        </row>
        <row r="8024">
          <cell r="A8024" t="str">
            <v/>
          </cell>
          <cell r="B8024">
            <v>37934</v>
          </cell>
          <cell r="C8024" t="str">
            <v>NG</v>
          </cell>
          <cell r="D8024" t="str">
            <v>200407</v>
          </cell>
          <cell r="E8024">
            <v>4.6459999999999999</v>
          </cell>
        </row>
        <row r="8025">
          <cell r="A8025" t="str">
            <v/>
          </cell>
          <cell r="B8025">
            <v>37934</v>
          </cell>
          <cell r="C8025" t="str">
            <v>NG</v>
          </cell>
          <cell r="D8025" t="str">
            <v>200408</v>
          </cell>
          <cell r="E8025">
            <v>4.665</v>
          </cell>
        </row>
        <row r="8026">
          <cell r="A8026" t="str">
            <v/>
          </cell>
          <cell r="B8026">
            <v>37934</v>
          </cell>
          <cell r="C8026" t="str">
            <v>NG</v>
          </cell>
          <cell r="D8026" t="str">
            <v>200409</v>
          </cell>
          <cell r="E8026">
            <v>4.6479999999999997</v>
          </cell>
        </row>
        <row r="8027">
          <cell r="A8027" t="str">
            <v/>
          </cell>
          <cell r="B8027">
            <v>37934</v>
          </cell>
          <cell r="C8027" t="str">
            <v>NG</v>
          </cell>
          <cell r="D8027" t="str">
            <v>200410</v>
          </cell>
          <cell r="E8027">
            <v>4.6609999999999996</v>
          </cell>
        </row>
        <row r="8028">
          <cell r="A8028" t="str">
            <v/>
          </cell>
          <cell r="B8028">
            <v>37934</v>
          </cell>
          <cell r="C8028" t="str">
            <v>NG</v>
          </cell>
          <cell r="D8028" t="str">
            <v>200411</v>
          </cell>
          <cell r="E8028">
            <v>4.8360000000000003</v>
          </cell>
        </row>
        <row r="8029">
          <cell r="A8029" t="str">
            <v/>
          </cell>
          <cell r="B8029">
            <v>37934</v>
          </cell>
          <cell r="C8029" t="str">
            <v>NG</v>
          </cell>
          <cell r="D8029" t="str">
            <v>200412</v>
          </cell>
          <cell r="E8029">
            <v>5.0229999999999997</v>
          </cell>
        </row>
        <row r="8030">
          <cell r="A8030" t="str">
            <v/>
          </cell>
          <cell r="B8030">
            <v>37935</v>
          </cell>
          <cell r="C8030" t="str">
            <v>NG</v>
          </cell>
          <cell r="D8030" t="str">
            <v>200401</v>
          </cell>
          <cell r="E8030">
            <v>4.9569999999999999</v>
          </cell>
        </row>
        <row r="8031">
          <cell r="A8031" t="str">
            <v/>
          </cell>
          <cell r="B8031">
            <v>37935</v>
          </cell>
          <cell r="C8031" t="str">
            <v>NG</v>
          </cell>
          <cell r="D8031" t="str">
            <v>200402</v>
          </cell>
          <cell r="E8031">
            <v>4.9829999999999997</v>
          </cell>
        </row>
        <row r="8032">
          <cell r="A8032" t="str">
            <v/>
          </cell>
          <cell r="B8032">
            <v>37935</v>
          </cell>
          <cell r="C8032" t="str">
            <v>NG</v>
          </cell>
          <cell r="D8032" t="str">
            <v>200403</v>
          </cell>
          <cell r="E8032">
            <v>4.8879999999999999</v>
          </cell>
        </row>
        <row r="8033">
          <cell r="A8033" t="str">
            <v/>
          </cell>
          <cell r="B8033">
            <v>37935</v>
          </cell>
          <cell r="C8033" t="str">
            <v>NG</v>
          </cell>
          <cell r="D8033" t="str">
            <v>200404</v>
          </cell>
          <cell r="E8033">
            <v>4.6180000000000003</v>
          </cell>
        </row>
        <row r="8034">
          <cell r="A8034" t="str">
            <v/>
          </cell>
          <cell r="B8034">
            <v>37935</v>
          </cell>
          <cell r="C8034" t="str">
            <v>NG</v>
          </cell>
          <cell r="D8034" t="str">
            <v>200405</v>
          </cell>
          <cell r="E8034">
            <v>4.593</v>
          </cell>
        </row>
        <row r="8035">
          <cell r="A8035" t="str">
            <v/>
          </cell>
          <cell r="B8035">
            <v>37935</v>
          </cell>
          <cell r="C8035" t="str">
            <v>NG</v>
          </cell>
          <cell r="D8035" t="str">
            <v>200406</v>
          </cell>
          <cell r="E8035">
            <v>4.6100000000000003</v>
          </cell>
        </row>
        <row r="8036">
          <cell r="A8036" t="str">
            <v/>
          </cell>
          <cell r="B8036">
            <v>37935</v>
          </cell>
          <cell r="C8036" t="str">
            <v>NG</v>
          </cell>
          <cell r="D8036" t="str">
            <v>200407</v>
          </cell>
          <cell r="E8036">
            <v>4.6280000000000001</v>
          </cell>
        </row>
        <row r="8037">
          <cell r="A8037" t="str">
            <v/>
          </cell>
          <cell r="B8037">
            <v>37935</v>
          </cell>
          <cell r="C8037" t="str">
            <v>NG</v>
          </cell>
          <cell r="D8037" t="str">
            <v>200408</v>
          </cell>
          <cell r="E8037">
            <v>4.6479999999999997</v>
          </cell>
        </row>
        <row r="8038">
          <cell r="A8038" t="str">
            <v/>
          </cell>
          <cell r="B8038">
            <v>37935</v>
          </cell>
          <cell r="C8038" t="str">
            <v>NG</v>
          </cell>
          <cell r="D8038" t="str">
            <v>200409</v>
          </cell>
          <cell r="E8038">
            <v>4.633</v>
          </cell>
        </row>
        <row r="8039">
          <cell r="A8039" t="str">
            <v/>
          </cell>
          <cell r="B8039">
            <v>37935</v>
          </cell>
          <cell r="C8039" t="str">
            <v>NG</v>
          </cell>
          <cell r="D8039" t="str">
            <v>200410</v>
          </cell>
          <cell r="E8039">
            <v>4.6459999999999999</v>
          </cell>
        </row>
        <row r="8040">
          <cell r="A8040" t="str">
            <v/>
          </cell>
          <cell r="B8040">
            <v>37935</v>
          </cell>
          <cell r="C8040" t="str">
            <v>NG</v>
          </cell>
          <cell r="D8040" t="str">
            <v>200411</v>
          </cell>
          <cell r="E8040">
            <v>4.819</v>
          </cell>
        </row>
        <row r="8041">
          <cell r="A8041" t="str">
            <v/>
          </cell>
          <cell r="B8041">
            <v>37935</v>
          </cell>
          <cell r="C8041" t="str">
            <v>NG</v>
          </cell>
          <cell r="D8041" t="str">
            <v>200412</v>
          </cell>
          <cell r="E8041">
            <v>5.0060000000000002</v>
          </cell>
        </row>
        <row r="8042">
          <cell r="A8042" t="str">
            <v/>
          </cell>
          <cell r="B8042">
            <v>37936</v>
          </cell>
          <cell r="C8042" t="str">
            <v>NG</v>
          </cell>
          <cell r="D8042" t="str">
            <v>200401</v>
          </cell>
          <cell r="E8042">
            <v>5.093</v>
          </cell>
        </row>
        <row r="8043">
          <cell r="A8043" t="str">
            <v/>
          </cell>
          <cell r="B8043">
            <v>37936</v>
          </cell>
          <cell r="C8043" t="str">
            <v>NG</v>
          </cell>
          <cell r="D8043" t="str">
            <v>200402</v>
          </cell>
          <cell r="E8043">
            <v>5.1109999999999998</v>
          </cell>
        </row>
        <row r="8044">
          <cell r="A8044" t="str">
            <v/>
          </cell>
          <cell r="B8044">
            <v>37936</v>
          </cell>
          <cell r="C8044" t="str">
            <v>NG</v>
          </cell>
          <cell r="D8044" t="str">
            <v>200403</v>
          </cell>
          <cell r="E8044">
            <v>5.0010000000000003</v>
          </cell>
        </row>
        <row r="8045">
          <cell r="A8045" t="str">
            <v/>
          </cell>
          <cell r="B8045">
            <v>37936</v>
          </cell>
          <cell r="C8045" t="str">
            <v>NG</v>
          </cell>
          <cell r="D8045" t="str">
            <v>200404</v>
          </cell>
          <cell r="E8045">
            <v>4.7060000000000004</v>
          </cell>
        </row>
        <row r="8046">
          <cell r="A8046" t="str">
            <v/>
          </cell>
          <cell r="B8046">
            <v>37936</v>
          </cell>
          <cell r="C8046" t="str">
            <v>NG</v>
          </cell>
          <cell r="D8046" t="str">
            <v>200405</v>
          </cell>
          <cell r="E8046">
            <v>4.6760000000000002</v>
          </cell>
        </row>
        <row r="8047">
          <cell r="A8047" t="str">
            <v/>
          </cell>
          <cell r="B8047">
            <v>37936</v>
          </cell>
          <cell r="C8047" t="str">
            <v>NG</v>
          </cell>
          <cell r="D8047" t="str">
            <v>200406</v>
          </cell>
          <cell r="E8047">
            <v>4.6909999999999998</v>
          </cell>
        </row>
        <row r="8048">
          <cell r="A8048" t="str">
            <v/>
          </cell>
          <cell r="B8048">
            <v>37936</v>
          </cell>
          <cell r="C8048" t="str">
            <v>NG</v>
          </cell>
          <cell r="D8048" t="str">
            <v>200407</v>
          </cell>
          <cell r="E8048">
            <v>4.7089999999999996</v>
          </cell>
        </row>
        <row r="8049">
          <cell r="A8049" t="str">
            <v/>
          </cell>
          <cell r="B8049">
            <v>37936</v>
          </cell>
          <cell r="C8049" t="str">
            <v>NG</v>
          </cell>
          <cell r="D8049" t="str">
            <v>200408</v>
          </cell>
          <cell r="E8049">
            <v>4.7240000000000002</v>
          </cell>
        </row>
        <row r="8050">
          <cell r="A8050" t="str">
            <v/>
          </cell>
          <cell r="B8050">
            <v>37936</v>
          </cell>
          <cell r="C8050" t="str">
            <v>NG</v>
          </cell>
          <cell r="D8050" t="str">
            <v>200409</v>
          </cell>
          <cell r="E8050">
            <v>4.7089999999999996</v>
          </cell>
        </row>
        <row r="8051">
          <cell r="A8051" t="str">
            <v/>
          </cell>
          <cell r="B8051">
            <v>37936</v>
          </cell>
          <cell r="C8051" t="str">
            <v>NG</v>
          </cell>
          <cell r="D8051" t="str">
            <v>200410</v>
          </cell>
          <cell r="E8051">
            <v>4.7190000000000003</v>
          </cell>
        </row>
        <row r="8052">
          <cell r="A8052" t="str">
            <v/>
          </cell>
          <cell r="B8052">
            <v>37936</v>
          </cell>
          <cell r="C8052" t="str">
            <v>NG</v>
          </cell>
          <cell r="D8052" t="str">
            <v>200411</v>
          </cell>
          <cell r="E8052">
            <v>4.8920000000000003</v>
          </cell>
        </row>
        <row r="8053">
          <cell r="A8053" t="str">
            <v/>
          </cell>
          <cell r="B8053">
            <v>37936</v>
          </cell>
          <cell r="C8053" t="str">
            <v>NG</v>
          </cell>
          <cell r="D8053" t="str">
            <v>200412</v>
          </cell>
          <cell r="E8053">
            <v>5.0789999999999997</v>
          </cell>
        </row>
        <row r="8054">
          <cell r="A8054" t="str">
            <v/>
          </cell>
          <cell r="B8054">
            <v>37937</v>
          </cell>
          <cell r="C8054" t="str">
            <v>NG</v>
          </cell>
          <cell r="D8054" t="str">
            <v>200401</v>
          </cell>
          <cell r="E8054">
            <v>4.9660000000000002</v>
          </cell>
        </row>
        <row r="8055">
          <cell r="A8055" t="str">
            <v/>
          </cell>
          <cell r="B8055">
            <v>37937</v>
          </cell>
          <cell r="C8055" t="str">
            <v>NG</v>
          </cell>
          <cell r="D8055" t="str">
            <v>200402</v>
          </cell>
          <cell r="E8055">
            <v>4.9859999999999998</v>
          </cell>
        </row>
        <row r="8056">
          <cell r="A8056" t="str">
            <v/>
          </cell>
          <cell r="B8056">
            <v>37937</v>
          </cell>
          <cell r="C8056" t="str">
            <v>NG</v>
          </cell>
          <cell r="D8056" t="str">
            <v>200403</v>
          </cell>
          <cell r="E8056">
            <v>4.8890000000000002</v>
          </cell>
        </row>
        <row r="8057">
          <cell r="A8057" t="str">
            <v/>
          </cell>
          <cell r="B8057">
            <v>37937</v>
          </cell>
          <cell r="C8057" t="str">
            <v>NG</v>
          </cell>
          <cell r="D8057" t="str">
            <v>200404</v>
          </cell>
          <cell r="E8057">
            <v>4.609</v>
          </cell>
        </row>
        <row r="8058">
          <cell r="A8058" t="str">
            <v/>
          </cell>
          <cell r="B8058">
            <v>37937</v>
          </cell>
          <cell r="C8058" t="str">
            <v>NG</v>
          </cell>
          <cell r="D8058" t="str">
            <v>200405</v>
          </cell>
          <cell r="E8058">
            <v>4.5810000000000004</v>
          </cell>
        </row>
        <row r="8059">
          <cell r="A8059" t="str">
            <v/>
          </cell>
          <cell r="B8059">
            <v>37937</v>
          </cell>
          <cell r="C8059" t="str">
            <v>NG</v>
          </cell>
          <cell r="D8059" t="str">
            <v>200406</v>
          </cell>
          <cell r="E8059">
            <v>4.5960000000000001</v>
          </cell>
        </row>
        <row r="8060">
          <cell r="A8060" t="str">
            <v/>
          </cell>
          <cell r="B8060">
            <v>37937</v>
          </cell>
          <cell r="C8060" t="str">
            <v>NG</v>
          </cell>
          <cell r="D8060" t="str">
            <v>200407</v>
          </cell>
          <cell r="E8060">
            <v>4.6150000000000002</v>
          </cell>
        </row>
        <row r="8061">
          <cell r="A8061" t="str">
            <v/>
          </cell>
          <cell r="B8061">
            <v>37937</v>
          </cell>
          <cell r="C8061" t="str">
            <v>NG</v>
          </cell>
          <cell r="D8061" t="str">
            <v>200408</v>
          </cell>
          <cell r="E8061">
            <v>4.6349999999999998</v>
          </cell>
        </row>
        <row r="8062">
          <cell r="A8062" t="str">
            <v/>
          </cell>
          <cell r="B8062">
            <v>37937</v>
          </cell>
          <cell r="C8062" t="str">
            <v>NG</v>
          </cell>
          <cell r="D8062" t="str">
            <v>200409</v>
          </cell>
          <cell r="E8062">
            <v>4.62</v>
          </cell>
        </row>
        <row r="8063">
          <cell r="A8063" t="str">
            <v/>
          </cell>
          <cell r="B8063">
            <v>37937</v>
          </cell>
          <cell r="C8063" t="str">
            <v>NG</v>
          </cell>
          <cell r="D8063" t="str">
            <v>200410</v>
          </cell>
          <cell r="E8063">
            <v>4.633</v>
          </cell>
        </row>
        <row r="8064">
          <cell r="A8064" t="str">
            <v/>
          </cell>
          <cell r="B8064">
            <v>37937</v>
          </cell>
          <cell r="C8064" t="str">
            <v>NG</v>
          </cell>
          <cell r="D8064" t="str">
            <v>200411</v>
          </cell>
          <cell r="E8064">
            <v>4.798</v>
          </cell>
        </row>
        <row r="8065">
          <cell r="A8065" t="str">
            <v/>
          </cell>
          <cell r="B8065">
            <v>37937</v>
          </cell>
          <cell r="C8065" t="str">
            <v>NG</v>
          </cell>
          <cell r="D8065" t="str">
            <v>200412</v>
          </cell>
          <cell r="E8065">
            <v>4.9800000000000004</v>
          </cell>
        </row>
        <row r="8066">
          <cell r="A8066" t="str">
            <v/>
          </cell>
          <cell r="B8066">
            <v>37938</v>
          </cell>
          <cell r="C8066" t="str">
            <v>NG</v>
          </cell>
          <cell r="D8066" t="str">
            <v>200401</v>
          </cell>
          <cell r="E8066">
            <v>5.0119999999999996</v>
          </cell>
        </row>
        <row r="8067">
          <cell r="A8067" t="str">
            <v/>
          </cell>
          <cell r="B8067">
            <v>37938</v>
          </cell>
          <cell r="C8067" t="str">
            <v>NG</v>
          </cell>
          <cell r="D8067" t="str">
            <v>200402</v>
          </cell>
          <cell r="E8067">
            <v>5.0369999999999999</v>
          </cell>
        </row>
        <row r="8068">
          <cell r="A8068" t="str">
            <v/>
          </cell>
          <cell r="B8068">
            <v>37938</v>
          </cell>
          <cell r="C8068" t="str">
            <v>NG</v>
          </cell>
          <cell r="D8068" t="str">
            <v>200403</v>
          </cell>
          <cell r="E8068">
            <v>4.9290000000000003</v>
          </cell>
        </row>
        <row r="8069">
          <cell r="A8069" t="str">
            <v/>
          </cell>
          <cell r="B8069">
            <v>37938</v>
          </cell>
          <cell r="C8069" t="str">
            <v>NG</v>
          </cell>
          <cell r="D8069" t="str">
            <v>200404</v>
          </cell>
          <cell r="E8069">
            <v>4.6340000000000003</v>
          </cell>
        </row>
        <row r="8070">
          <cell r="A8070" t="str">
            <v/>
          </cell>
          <cell r="B8070">
            <v>37938</v>
          </cell>
          <cell r="C8070" t="str">
            <v>NG</v>
          </cell>
          <cell r="D8070" t="str">
            <v>200405</v>
          </cell>
          <cell r="E8070">
            <v>4.601</v>
          </cell>
        </row>
        <row r="8071">
          <cell r="A8071" t="str">
            <v/>
          </cell>
          <cell r="B8071">
            <v>37938</v>
          </cell>
          <cell r="C8071" t="str">
            <v>NG</v>
          </cell>
          <cell r="D8071" t="str">
            <v>200406</v>
          </cell>
          <cell r="E8071">
            <v>4.6079999999999997</v>
          </cell>
        </row>
        <row r="8072">
          <cell r="A8072" t="str">
            <v/>
          </cell>
          <cell r="B8072">
            <v>37938</v>
          </cell>
          <cell r="C8072" t="str">
            <v>NG</v>
          </cell>
          <cell r="D8072" t="str">
            <v>200407</v>
          </cell>
          <cell r="E8072">
            <v>4.6269999999999998</v>
          </cell>
        </row>
        <row r="8073">
          <cell r="A8073" t="str">
            <v/>
          </cell>
          <cell r="B8073">
            <v>37938</v>
          </cell>
          <cell r="C8073" t="str">
            <v>NG</v>
          </cell>
          <cell r="D8073" t="str">
            <v>200408</v>
          </cell>
          <cell r="E8073">
            <v>4.6470000000000002</v>
          </cell>
        </row>
        <row r="8074">
          <cell r="A8074" t="str">
            <v/>
          </cell>
          <cell r="B8074">
            <v>37938</v>
          </cell>
          <cell r="C8074" t="str">
            <v>NG</v>
          </cell>
          <cell r="D8074" t="str">
            <v>200409</v>
          </cell>
          <cell r="E8074">
            <v>4.6319999999999997</v>
          </cell>
        </row>
        <row r="8075">
          <cell r="A8075" t="str">
            <v/>
          </cell>
          <cell r="B8075">
            <v>37938</v>
          </cell>
          <cell r="C8075" t="str">
            <v>NG</v>
          </cell>
          <cell r="D8075" t="str">
            <v>200410</v>
          </cell>
          <cell r="E8075">
            <v>4.6420000000000003</v>
          </cell>
        </row>
        <row r="8076">
          <cell r="A8076" t="str">
            <v/>
          </cell>
          <cell r="B8076">
            <v>37938</v>
          </cell>
          <cell r="C8076" t="str">
            <v>NG</v>
          </cell>
          <cell r="D8076" t="str">
            <v>200411</v>
          </cell>
          <cell r="E8076">
            <v>4.8070000000000004</v>
          </cell>
        </row>
        <row r="8077">
          <cell r="A8077" t="str">
            <v/>
          </cell>
          <cell r="B8077">
            <v>37938</v>
          </cell>
          <cell r="C8077" t="str">
            <v>NG</v>
          </cell>
          <cell r="D8077" t="str">
            <v>200412</v>
          </cell>
          <cell r="E8077">
            <v>4.9889999999999999</v>
          </cell>
        </row>
        <row r="8078">
          <cell r="A8078" t="str">
            <v/>
          </cell>
          <cell r="B8078">
            <v>37939</v>
          </cell>
          <cell r="C8078" t="str">
            <v>NG</v>
          </cell>
          <cell r="D8078" t="str">
            <v>200401</v>
          </cell>
          <cell r="E8078">
            <v>5.33</v>
          </cell>
        </row>
        <row r="8079">
          <cell r="A8079" t="str">
            <v/>
          </cell>
          <cell r="B8079">
            <v>37939</v>
          </cell>
          <cell r="C8079" t="str">
            <v>NG</v>
          </cell>
          <cell r="D8079" t="str">
            <v>200402</v>
          </cell>
          <cell r="E8079">
            <v>5.32</v>
          </cell>
        </row>
        <row r="8080">
          <cell r="A8080" t="str">
            <v/>
          </cell>
          <cell r="B8080">
            <v>37939</v>
          </cell>
          <cell r="C8080" t="str">
            <v>NG</v>
          </cell>
          <cell r="D8080" t="str">
            <v>200403</v>
          </cell>
          <cell r="E8080">
            <v>5.1749999999999998</v>
          </cell>
        </row>
        <row r="8081">
          <cell r="A8081" t="str">
            <v/>
          </cell>
          <cell r="B8081">
            <v>37939</v>
          </cell>
          <cell r="C8081" t="str">
            <v>NG</v>
          </cell>
          <cell r="D8081" t="str">
            <v>200404</v>
          </cell>
          <cell r="E8081">
            <v>4.7549999999999999</v>
          </cell>
        </row>
        <row r="8082">
          <cell r="A8082" t="str">
            <v/>
          </cell>
          <cell r="B8082">
            <v>37939</v>
          </cell>
          <cell r="C8082" t="str">
            <v>NG</v>
          </cell>
          <cell r="D8082" t="str">
            <v>200405</v>
          </cell>
          <cell r="E8082">
            <v>4.7</v>
          </cell>
        </row>
        <row r="8083">
          <cell r="A8083" t="str">
            <v/>
          </cell>
          <cell r="B8083">
            <v>37939</v>
          </cell>
          <cell r="C8083" t="str">
            <v>NG</v>
          </cell>
          <cell r="D8083" t="str">
            <v>200406</v>
          </cell>
          <cell r="E8083">
            <v>4.7030000000000003</v>
          </cell>
        </row>
        <row r="8084">
          <cell r="A8084" t="str">
            <v/>
          </cell>
          <cell r="B8084">
            <v>37939</v>
          </cell>
          <cell r="C8084" t="str">
            <v>NG</v>
          </cell>
          <cell r="D8084" t="str">
            <v>200407</v>
          </cell>
          <cell r="E8084">
            <v>4.7220000000000004</v>
          </cell>
        </row>
        <row r="8085">
          <cell r="A8085" t="str">
            <v/>
          </cell>
          <cell r="B8085">
            <v>37939</v>
          </cell>
          <cell r="C8085" t="str">
            <v>NG</v>
          </cell>
          <cell r="D8085" t="str">
            <v>200408</v>
          </cell>
          <cell r="E8085">
            <v>4.742</v>
          </cell>
        </row>
        <row r="8086">
          <cell r="A8086" t="str">
            <v/>
          </cell>
          <cell r="B8086">
            <v>37939</v>
          </cell>
          <cell r="C8086" t="str">
            <v>NG</v>
          </cell>
          <cell r="D8086" t="str">
            <v>200409</v>
          </cell>
          <cell r="E8086">
            <v>4.7270000000000003</v>
          </cell>
        </row>
        <row r="8087">
          <cell r="A8087" t="str">
            <v/>
          </cell>
          <cell r="B8087">
            <v>37939</v>
          </cell>
          <cell r="C8087" t="str">
            <v>NG</v>
          </cell>
          <cell r="D8087" t="str">
            <v>200410</v>
          </cell>
          <cell r="E8087">
            <v>4.7370000000000001</v>
          </cell>
        </row>
        <row r="8088">
          <cell r="A8088" t="str">
            <v/>
          </cell>
          <cell r="B8088">
            <v>37939</v>
          </cell>
          <cell r="C8088" t="str">
            <v>NG</v>
          </cell>
          <cell r="D8088" t="str">
            <v>200411</v>
          </cell>
          <cell r="E8088">
            <v>4.8970000000000002</v>
          </cell>
        </row>
        <row r="8089">
          <cell r="A8089" t="str">
            <v/>
          </cell>
          <cell r="B8089">
            <v>37939</v>
          </cell>
          <cell r="C8089" t="str">
            <v>NG</v>
          </cell>
          <cell r="D8089" t="str">
            <v>200412</v>
          </cell>
          <cell r="E8089">
            <v>5.077</v>
          </cell>
        </row>
        <row r="8090">
          <cell r="A8090" t="str">
            <v/>
          </cell>
          <cell r="B8090">
            <v>37940</v>
          </cell>
          <cell r="C8090" t="str">
            <v>NG</v>
          </cell>
          <cell r="D8090" t="str">
            <v>200401</v>
          </cell>
          <cell r="E8090">
            <v>5.33</v>
          </cell>
        </row>
        <row r="8091">
          <cell r="A8091" t="str">
            <v/>
          </cell>
          <cell r="B8091">
            <v>37940</v>
          </cell>
          <cell r="C8091" t="str">
            <v>NG</v>
          </cell>
          <cell r="D8091" t="str">
            <v>200402</v>
          </cell>
          <cell r="E8091">
            <v>5.32</v>
          </cell>
        </row>
        <row r="8092">
          <cell r="A8092" t="str">
            <v/>
          </cell>
          <cell r="B8092">
            <v>37940</v>
          </cell>
          <cell r="C8092" t="str">
            <v>NG</v>
          </cell>
          <cell r="D8092" t="str">
            <v>200403</v>
          </cell>
          <cell r="E8092">
            <v>5.1749999999999998</v>
          </cell>
        </row>
        <row r="8093">
          <cell r="A8093" t="str">
            <v/>
          </cell>
          <cell r="B8093">
            <v>37940</v>
          </cell>
          <cell r="C8093" t="str">
            <v>NG</v>
          </cell>
          <cell r="D8093" t="str">
            <v>200404</v>
          </cell>
          <cell r="E8093">
            <v>4.7549999999999999</v>
          </cell>
        </row>
        <row r="8094">
          <cell r="A8094" t="str">
            <v/>
          </cell>
          <cell r="B8094">
            <v>37940</v>
          </cell>
          <cell r="C8094" t="str">
            <v>NG</v>
          </cell>
          <cell r="D8094" t="str">
            <v>200405</v>
          </cell>
          <cell r="E8094">
            <v>4.7</v>
          </cell>
        </row>
        <row r="8095">
          <cell r="A8095" t="str">
            <v/>
          </cell>
          <cell r="B8095">
            <v>37940</v>
          </cell>
          <cell r="C8095" t="str">
            <v>NG</v>
          </cell>
          <cell r="D8095" t="str">
            <v>200406</v>
          </cell>
          <cell r="E8095">
            <v>4.7030000000000003</v>
          </cell>
        </row>
        <row r="8096">
          <cell r="A8096" t="str">
            <v/>
          </cell>
          <cell r="B8096">
            <v>37940</v>
          </cell>
          <cell r="C8096" t="str">
            <v>NG</v>
          </cell>
          <cell r="D8096" t="str">
            <v>200407</v>
          </cell>
          <cell r="E8096">
            <v>4.7220000000000004</v>
          </cell>
        </row>
        <row r="8097">
          <cell r="A8097" t="str">
            <v/>
          </cell>
          <cell r="B8097">
            <v>37940</v>
          </cell>
          <cell r="C8097" t="str">
            <v>NG</v>
          </cell>
          <cell r="D8097" t="str">
            <v>200408</v>
          </cell>
          <cell r="E8097">
            <v>4.742</v>
          </cell>
        </row>
        <row r="8098">
          <cell r="A8098" t="str">
            <v/>
          </cell>
          <cell r="B8098">
            <v>37940</v>
          </cell>
          <cell r="C8098" t="str">
            <v>NG</v>
          </cell>
          <cell r="D8098" t="str">
            <v>200409</v>
          </cell>
          <cell r="E8098">
            <v>4.7270000000000003</v>
          </cell>
        </row>
        <row r="8099">
          <cell r="A8099" t="str">
            <v/>
          </cell>
          <cell r="B8099">
            <v>37940</v>
          </cell>
          <cell r="C8099" t="str">
            <v>NG</v>
          </cell>
          <cell r="D8099" t="str">
            <v>200410</v>
          </cell>
          <cell r="E8099">
            <v>4.7370000000000001</v>
          </cell>
        </row>
        <row r="8100">
          <cell r="A8100" t="str">
            <v/>
          </cell>
          <cell r="B8100">
            <v>37940</v>
          </cell>
          <cell r="C8100" t="str">
            <v>NG</v>
          </cell>
          <cell r="D8100" t="str">
            <v>200411</v>
          </cell>
          <cell r="E8100">
            <v>4.8970000000000002</v>
          </cell>
        </row>
        <row r="8101">
          <cell r="A8101" t="str">
            <v/>
          </cell>
          <cell r="B8101">
            <v>37940</v>
          </cell>
          <cell r="C8101" t="str">
            <v>NG</v>
          </cell>
          <cell r="D8101" t="str">
            <v>200412</v>
          </cell>
          <cell r="E8101">
            <v>5.077</v>
          </cell>
        </row>
        <row r="8102">
          <cell r="A8102" t="str">
            <v/>
          </cell>
          <cell r="B8102">
            <v>37941</v>
          </cell>
          <cell r="C8102" t="str">
            <v>NG</v>
          </cell>
          <cell r="D8102" t="str">
            <v>200401</v>
          </cell>
          <cell r="E8102">
            <v>5.33</v>
          </cell>
        </row>
        <row r="8103">
          <cell r="A8103" t="str">
            <v/>
          </cell>
          <cell r="B8103">
            <v>37941</v>
          </cell>
          <cell r="C8103" t="str">
            <v>NG</v>
          </cell>
          <cell r="D8103" t="str">
            <v>200402</v>
          </cell>
          <cell r="E8103">
            <v>5.32</v>
          </cell>
        </row>
        <row r="8104">
          <cell r="A8104" t="str">
            <v/>
          </cell>
          <cell r="B8104">
            <v>37941</v>
          </cell>
          <cell r="C8104" t="str">
            <v>NG</v>
          </cell>
          <cell r="D8104" t="str">
            <v>200403</v>
          </cell>
          <cell r="E8104">
            <v>5.1749999999999998</v>
          </cell>
        </row>
        <row r="8105">
          <cell r="A8105" t="str">
            <v/>
          </cell>
          <cell r="B8105">
            <v>37941</v>
          </cell>
          <cell r="C8105" t="str">
            <v>NG</v>
          </cell>
          <cell r="D8105" t="str">
            <v>200404</v>
          </cell>
          <cell r="E8105">
            <v>4.7549999999999999</v>
          </cell>
        </row>
        <row r="8106">
          <cell r="A8106" t="str">
            <v/>
          </cell>
          <cell r="B8106">
            <v>37941</v>
          </cell>
          <cell r="C8106" t="str">
            <v>NG</v>
          </cell>
          <cell r="D8106" t="str">
            <v>200405</v>
          </cell>
          <cell r="E8106">
            <v>4.7</v>
          </cell>
        </row>
        <row r="8107">
          <cell r="A8107" t="str">
            <v/>
          </cell>
          <cell r="B8107">
            <v>37941</v>
          </cell>
          <cell r="C8107" t="str">
            <v>NG</v>
          </cell>
          <cell r="D8107" t="str">
            <v>200406</v>
          </cell>
          <cell r="E8107">
            <v>4.7030000000000003</v>
          </cell>
        </row>
        <row r="8108">
          <cell r="A8108" t="str">
            <v/>
          </cell>
          <cell r="B8108">
            <v>37941</v>
          </cell>
          <cell r="C8108" t="str">
            <v>NG</v>
          </cell>
          <cell r="D8108" t="str">
            <v>200407</v>
          </cell>
          <cell r="E8108">
            <v>4.7220000000000004</v>
          </cell>
        </row>
        <row r="8109">
          <cell r="A8109" t="str">
            <v/>
          </cell>
          <cell r="B8109">
            <v>37941</v>
          </cell>
          <cell r="C8109" t="str">
            <v>NG</v>
          </cell>
          <cell r="D8109" t="str">
            <v>200408</v>
          </cell>
          <cell r="E8109">
            <v>4.742</v>
          </cell>
        </row>
        <row r="8110">
          <cell r="A8110" t="str">
            <v/>
          </cell>
          <cell r="B8110">
            <v>37941</v>
          </cell>
          <cell r="C8110" t="str">
            <v>NG</v>
          </cell>
          <cell r="D8110" t="str">
            <v>200409</v>
          </cell>
          <cell r="E8110">
            <v>4.7270000000000003</v>
          </cell>
        </row>
        <row r="8111">
          <cell r="A8111" t="str">
            <v/>
          </cell>
          <cell r="B8111">
            <v>37941</v>
          </cell>
          <cell r="C8111" t="str">
            <v>NG</v>
          </cell>
          <cell r="D8111" t="str">
            <v>200410</v>
          </cell>
          <cell r="E8111">
            <v>4.7370000000000001</v>
          </cell>
        </row>
        <row r="8112">
          <cell r="A8112" t="str">
            <v/>
          </cell>
          <cell r="B8112">
            <v>37941</v>
          </cell>
          <cell r="C8112" t="str">
            <v>NG</v>
          </cell>
          <cell r="D8112" t="str">
            <v>200411</v>
          </cell>
          <cell r="E8112">
            <v>4.8970000000000002</v>
          </cell>
        </row>
        <row r="8113">
          <cell r="A8113" t="str">
            <v/>
          </cell>
          <cell r="B8113">
            <v>37941</v>
          </cell>
          <cell r="C8113" t="str">
            <v>NG</v>
          </cell>
          <cell r="D8113" t="str">
            <v>200412</v>
          </cell>
          <cell r="E8113">
            <v>5.077</v>
          </cell>
        </row>
        <row r="8114">
          <cell r="A8114" t="str">
            <v/>
          </cell>
          <cell r="B8114">
            <v>37942</v>
          </cell>
          <cell r="C8114" t="str">
            <v>NG</v>
          </cell>
          <cell r="D8114" t="str">
            <v>200401</v>
          </cell>
          <cell r="E8114">
            <v>5.0140000000000002</v>
          </cell>
        </row>
        <row r="8115">
          <cell r="A8115" t="str">
            <v/>
          </cell>
          <cell r="B8115">
            <v>37942</v>
          </cell>
          <cell r="C8115" t="str">
            <v>NG</v>
          </cell>
          <cell r="D8115" t="str">
            <v>200402</v>
          </cell>
          <cell r="E8115">
            <v>5.0439999999999996</v>
          </cell>
        </row>
        <row r="8116">
          <cell r="A8116" t="str">
            <v/>
          </cell>
          <cell r="B8116">
            <v>37942</v>
          </cell>
          <cell r="C8116" t="str">
            <v>NG</v>
          </cell>
          <cell r="D8116" t="str">
            <v>200403</v>
          </cell>
          <cell r="E8116">
            <v>4.944</v>
          </cell>
        </row>
        <row r="8117">
          <cell r="A8117" t="str">
            <v/>
          </cell>
          <cell r="B8117">
            <v>37942</v>
          </cell>
          <cell r="C8117" t="str">
            <v>NG</v>
          </cell>
          <cell r="D8117" t="str">
            <v>200404</v>
          </cell>
          <cell r="E8117">
            <v>4.6340000000000003</v>
          </cell>
        </row>
        <row r="8118">
          <cell r="A8118" t="str">
            <v/>
          </cell>
          <cell r="B8118">
            <v>37942</v>
          </cell>
          <cell r="C8118" t="str">
            <v>NG</v>
          </cell>
          <cell r="D8118" t="str">
            <v>200405</v>
          </cell>
          <cell r="E8118">
            <v>4.6070000000000002</v>
          </cell>
        </row>
        <row r="8119">
          <cell r="A8119" t="str">
            <v/>
          </cell>
          <cell r="B8119">
            <v>37942</v>
          </cell>
          <cell r="C8119" t="str">
            <v>NG</v>
          </cell>
          <cell r="D8119" t="str">
            <v>200406</v>
          </cell>
          <cell r="E8119">
            <v>4.617</v>
          </cell>
        </row>
        <row r="8120">
          <cell r="A8120" t="str">
            <v/>
          </cell>
          <cell r="B8120">
            <v>37942</v>
          </cell>
          <cell r="C8120" t="str">
            <v>NG</v>
          </cell>
          <cell r="D8120" t="str">
            <v>200407</v>
          </cell>
          <cell r="E8120">
            <v>4.6319999999999997</v>
          </cell>
        </row>
        <row r="8121">
          <cell r="A8121" t="str">
            <v/>
          </cell>
          <cell r="B8121">
            <v>37942</v>
          </cell>
          <cell r="C8121" t="str">
            <v>NG</v>
          </cell>
          <cell r="D8121" t="str">
            <v>200408</v>
          </cell>
          <cell r="E8121">
            <v>4.649</v>
          </cell>
        </row>
        <row r="8122">
          <cell r="A8122" t="str">
            <v/>
          </cell>
          <cell r="B8122">
            <v>37942</v>
          </cell>
          <cell r="C8122" t="str">
            <v>NG</v>
          </cell>
          <cell r="D8122" t="str">
            <v>200409</v>
          </cell>
          <cell r="E8122">
            <v>4.6390000000000002</v>
          </cell>
        </row>
        <row r="8123">
          <cell r="A8123" t="str">
            <v/>
          </cell>
          <cell r="B8123">
            <v>37942</v>
          </cell>
          <cell r="C8123" t="str">
            <v>NG</v>
          </cell>
          <cell r="D8123" t="str">
            <v>200410</v>
          </cell>
          <cell r="E8123">
            <v>4.6539999999999999</v>
          </cell>
        </row>
        <row r="8124">
          <cell r="A8124" t="str">
            <v/>
          </cell>
          <cell r="B8124">
            <v>37942</v>
          </cell>
          <cell r="C8124" t="str">
            <v>NG</v>
          </cell>
          <cell r="D8124" t="str">
            <v>200411</v>
          </cell>
          <cell r="E8124">
            <v>4.8140000000000001</v>
          </cell>
        </row>
        <row r="8125">
          <cell r="A8125" t="str">
            <v/>
          </cell>
          <cell r="B8125">
            <v>37942</v>
          </cell>
          <cell r="C8125" t="str">
            <v>NG</v>
          </cell>
          <cell r="D8125" t="str">
            <v>200412</v>
          </cell>
          <cell r="E8125">
            <v>4.9939999999999998</v>
          </cell>
        </row>
        <row r="8126">
          <cell r="A8126" t="str">
            <v/>
          </cell>
          <cell r="B8126">
            <v>37943</v>
          </cell>
          <cell r="C8126" t="str">
            <v>NG</v>
          </cell>
          <cell r="D8126" t="str">
            <v>200401</v>
          </cell>
          <cell r="E8126">
            <v>5.0919999999999996</v>
          </cell>
        </row>
        <row r="8127">
          <cell r="A8127" t="str">
            <v/>
          </cell>
          <cell r="B8127">
            <v>37943</v>
          </cell>
          <cell r="C8127" t="str">
            <v>NG</v>
          </cell>
          <cell r="D8127" t="str">
            <v>200402</v>
          </cell>
          <cell r="E8127">
            <v>5.117</v>
          </cell>
        </row>
        <row r="8128">
          <cell r="A8128" t="str">
            <v/>
          </cell>
          <cell r="B8128">
            <v>37943</v>
          </cell>
          <cell r="C8128" t="str">
            <v>NG</v>
          </cell>
          <cell r="D8128" t="str">
            <v>200403</v>
          </cell>
          <cell r="E8128">
            <v>5.0030000000000001</v>
          </cell>
        </row>
        <row r="8129">
          <cell r="A8129" t="str">
            <v/>
          </cell>
          <cell r="B8129">
            <v>37943</v>
          </cell>
          <cell r="C8129" t="str">
            <v>NG</v>
          </cell>
          <cell r="D8129" t="str">
            <v>200404</v>
          </cell>
          <cell r="E8129">
            <v>4.6630000000000003</v>
          </cell>
        </row>
        <row r="8130">
          <cell r="A8130" t="str">
            <v/>
          </cell>
          <cell r="B8130">
            <v>37943</v>
          </cell>
          <cell r="C8130" t="str">
            <v>NG</v>
          </cell>
          <cell r="D8130" t="str">
            <v>200405</v>
          </cell>
          <cell r="E8130">
            <v>4.6280000000000001</v>
          </cell>
        </row>
        <row r="8131">
          <cell r="A8131" t="str">
            <v/>
          </cell>
          <cell r="B8131">
            <v>37943</v>
          </cell>
          <cell r="C8131" t="str">
            <v>NG</v>
          </cell>
          <cell r="D8131" t="str">
            <v>200406</v>
          </cell>
          <cell r="E8131">
            <v>4.6379999999999999</v>
          </cell>
        </row>
        <row r="8132">
          <cell r="A8132" t="str">
            <v/>
          </cell>
          <cell r="B8132">
            <v>37943</v>
          </cell>
          <cell r="C8132" t="str">
            <v>NG</v>
          </cell>
          <cell r="D8132" t="str">
            <v>200407</v>
          </cell>
          <cell r="E8132">
            <v>4.6529999999999996</v>
          </cell>
        </row>
        <row r="8133">
          <cell r="A8133" t="str">
            <v/>
          </cell>
          <cell r="B8133">
            <v>37943</v>
          </cell>
          <cell r="C8133" t="str">
            <v>NG</v>
          </cell>
          <cell r="D8133" t="str">
            <v>200408</v>
          </cell>
          <cell r="E8133">
            <v>4.67</v>
          </cell>
        </row>
        <row r="8134">
          <cell r="A8134" t="str">
            <v/>
          </cell>
          <cell r="B8134">
            <v>37943</v>
          </cell>
          <cell r="C8134" t="str">
            <v>NG</v>
          </cell>
          <cell r="D8134" t="str">
            <v>200409</v>
          </cell>
          <cell r="E8134">
            <v>4.66</v>
          </cell>
        </row>
        <row r="8135">
          <cell r="A8135" t="str">
            <v/>
          </cell>
          <cell r="B8135">
            <v>37943</v>
          </cell>
          <cell r="C8135" t="str">
            <v>NG</v>
          </cell>
          <cell r="D8135" t="str">
            <v>200410</v>
          </cell>
          <cell r="E8135">
            <v>4.6749999999999998</v>
          </cell>
        </row>
        <row r="8136">
          <cell r="A8136" t="str">
            <v/>
          </cell>
          <cell r="B8136">
            <v>37943</v>
          </cell>
          <cell r="C8136" t="str">
            <v>NG</v>
          </cell>
          <cell r="D8136" t="str">
            <v>200411</v>
          </cell>
          <cell r="E8136">
            <v>4.8319999999999999</v>
          </cell>
        </row>
        <row r="8137">
          <cell r="A8137" t="str">
            <v/>
          </cell>
          <cell r="B8137">
            <v>37943</v>
          </cell>
          <cell r="C8137" t="str">
            <v>NG</v>
          </cell>
          <cell r="D8137" t="str">
            <v>200412</v>
          </cell>
          <cell r="E8137">
            <v>5.01</v>
          </cell>
        </row>
        <row r="8138">
          <cell r="A8138" t="str">
            <v/>
          </cell>
          <cell r="B8138">
            <v>37944</v>
          </cell>
          <cell r="C8138" t="str">
            <v>NG</v>
          </cell>
          <cell r="D8138" t="str">
            <v>200401</v>
          </cell>
          <cell r="E8138">
            <v>4.9779999999999998</v>
          </cell>
        </row>
        <row r="8139">
          <cell r="A8139" t="str">
            <v/>
          </cell>
          <cell r="B8139">
            <v>37944</v>
          </cell>
          <cell r="C8139" t="str">
            <v>NG</v>
          </cell>
          <cell r="D8139" t="str">
            <v>200402</v>
          </cell>
          <cell r="E8139">
            <v>5.0030000000000001</v>
          </cell>
        </row>
        <row r="8140">
          <cell r="A8140" t="str">
            <v/>
          </cell>
          <cell r="B8140">
            <v>37944</v>
          </cell>
          <cell r="C8140" t="str">
            <v>NG</v>
          </cell>
          <cell r="D8140" t="str">
            <v>200403</v>
          </cell>
          <cell r="E8140">
            <v>4.8979999999999997</v>
          </cell>
        </row>
        <row r="8141">
          <cell r="A8141" t="str">
            <v/>
          </cell>
          <cell r="B8141">
            <v>37944</v>
          </cell>
          <cell r="C8141" t="str">
            <v>NG</v>
          </cell>
          <cell r="D8141" t="str">
            <v>200404</v>
          </cell>
          <cell r="E8141">
            <v>4.6079999999999997</v>
          </cell>
        </row>
        <row r="8142">
          <cell r="A8142" t="str">
            <v/>
          </cell>
          <cell r="B8142">
            <v>37944</v>
          </cell>
          <cell r="C8142" t="str">
            <v>NG</v>
          </cell>
          <cell r="D8142" t="str">
            <v>200405</v>
          </cell>
          <cell r="E8142">
            <v>4.5780000000000003</v>
          </cell>
        </row>
        <row r="8143">
          <cell r="A8143" t="str">
            <v/>
          </cell>
          <cell r="B8143">
            <v>37944</v>
          </cell>
          <cell r="C8143" t="str">
            <v>NG</v>
          </cell>
          <cell r="D8143" t="str">
            <v>200406</v>
          </cell>
          <cell r="E8143">
            <v>4.5910000000000002</v>
          </cell>
        </row>
        <row r="8144">
          <cell r="A8144" t="str">
            <v/>
          </cell>
          <cell r="B8144">
            <v>37944</v>
          </cell>
          <cell r="C8144" t="str">
            <v>NG</v>
          </cell>
          <cell r="D8144" t="str">
            <v>200407</v>
          </cell>
          <cell r="E8144">
            <v>4.6040000000000001</v>
          </cell>
        </row>
        <row r="8145">
          <cell r="A8145" t="str">
            <v/>
          </cell>
          <cell r="B8145">
            <v>37944</v>
          </cell>
          <cell r="C8145" t="str">
            <v>NG</v>
          </cell>
          <cell r="D8145" t="str">
            <v>200408</v>
          </cell>
          <cell r="E8145">
            <v>4.62</v>
          </cell>
        </row>
        <row r="8146">
          <cell r="A8146" t="str">
            <v/>
          </cell>
          <cell r="B8146">
            <v>37944</v>
          </cell>
          <cell r="C8146" t="str">
            <v>NG</v>
          </cell>
          <cell r="D8146" t="str">
            <v>200409</v>
          </cell>
          <cell r="E8146">
            <v>4.6100000000000003</v>
          </cell>
        </row>
        <row r="8147">
          <cell r="A8147" t="str">
            <v/>
          </cell>
          <cell r="B8147">
            <v>37944</v>
          </cell>
          <cell r="C8147" t="str">
            <v>NG</v>
          </cell>
          <cell r="D8147" t="str">
            <v>200410</v>
          </cell>
          <cell r="E8147">
            <v>4.6230000000000002</v>
          </cell>
        </row>
        <row r="8148">
          <cell r="A8148" t="str">
            <v/>
          </cell>
          <cell r="B8148">
            <v>37944</v>
          </cell>
          <cell r="C8148" t="str">
            <v>NG</v>
          </cell>
          <cell r="D8148" t="str">
            <v>200411</v>
          </cell>
          <cell r="E8148">
            <v>4.78</v>
          </cell>
        </row>
        <row r="8149">
          <cell r="A8149" t="str">
            <v/>
          </cell>
          <cell r="B8149">
            <v>37944</v>
          </cell>
          <cell r="C8149" t="str">
            <v>NG</v>
          </cell>
          <cell r="D8149" t="str">
            <v>200412</v>
          </cell>
          <cell r="E8149">
            <v>4.9560000000000004</v>
          </cell>
        </row>
        <row r="8150">
          <cell r="A8150" t="str">
            <v/>
          </cell>
          <cell r="B8150">
            <v>37945</v>
          </cell>
          <cell r="C8150" t="str">
            <v>NG</v>
          </cell>
          <cell r="D8150" t="str">
            <v>200401</v>
          </cell>
          <cell r="E8150">
            <v>4.9039999999999999</v>
          </cell>
        </row>
        <row r="8151">
          <cell r="A8151" t="str">
            <v/>
          </cell>
          <cell r="B8151">
            <v>37945</v>
          </cell>
          <cell r="C8151" t="str">
            <v>NG</v>
          </cell>
          <cell r="D8151" t="str">
            <v>200402</v>
          </cell>
          <cell r="E8151">
            <v>4.944</v>
          </cell>
        </row>
        <row r="8152">
          <cell r="A8152" t="str">
            <v/>
          </cell>
          <cell r="B8152">
            <v>37945</v>
          </cell>
          <cell r="C8152" t="str">
            <v>NG</v>
          </cell>
          <cell r="D8152" t="str">
            <v>200403</v>
          </cell>
          <cell r="E8152">
            <v>4.8440000000000003</v>
          </cell>
        </row>
        <row r="8153">
          <cell r="A8153" t="str">
            <v/>
          </cell>
          <cell r="B8153">
            <v>37945</v>
          </cell>
          <cell r="C8153" t="str">
            <v>NG</v>
          </cell>
          <cell r="D8153" t="str">
            <v>200404</v>
          </cell>
          <cell r="E8153">
            <v>4.5789999999999997</v>
          </cell>
        </row>
        <row r="8154">
          <cell r="A8154" t="str">
            <v/>
          </cell>
          <cell r="B8154">
            <v>37945</v>
          </cell>
          <cell r="C8154" t="str">
            <v>NG</v>
          </cell>
          <cell r="D8154" t="str">
            <v>200405</v>
          </cell>
          <cell r="E8154">
            <v>4.5490000000000004</v>
          </cell>
        </row>
        <row r="8155">
          <cell r="A8155" t="str">
            <v/>
          </cell>
          <cell r="B8155">
            <v>37945</v>
          </cell>
          <cell r="C8155" t="str">
            <v>NG</v>
          </cell>
          <cell r="D8155" t="str">
            <v>200406</v>
          </cell>
          <cell r="E8155">
            <v>4.5640000000000001</v>
          </cell>
        </row>
        <row r="8156">
          <cell r="A8156" t="str">
            <v/>
          </cell>
          <cell r="B8156">
            <v>37945</v>
          </cell>
          <cell r="C8156" t="str">
            <v>NG</v>
          </cell>
          <cell r="D8156" t="str">
            <v>200407</v>
          </cell>
          <cell r="E8156">
            <v>4.5810000000000004</v>
          </cell>
        </row>
        <row r="8157">
          <cell r="A8157" t="str">
            <v/>
          </cell>
          <cell r="B8157">
            <v>37945</v>
          </cell>
          <cell r="C8157" t="str">
            <v>NG</v>
          </cell>
          <cell r="D8157" t="str">
            <v>200408</v>
          </cell>
          <cell r="E8157">
            <v>4.601</v>
          </cell>
        </row>
        <row r="8158">
          <cell r="A8158" t="str">
            <v/>
          </cell>
          <cell r="B8158">
            <v>37945</v>
          </cell>
          <cell r="C8158" t="str">
            <v>NG</v>
          </cell>
          <cell r="D8158" t="str">
            <v>200409</v>
          </cell>
          <cell r="E8158">
            <v>4.5910000000000002</v>
          </cell>
        </row>
        <row r="8159">
          <cell r="A8159" t="str">
            <v/>
          </cell>
          <cell r="B8159">
            <v>37945</v>
          </cell>
          <cell r="C8159" t="str">
            <v>NG</v>
          </cell>
          <cell r="D8159" t="str">
            <v>200410</v>
          </cell>
          <cell r="E8159">
            <v>4.601</v>
          </cell>
        </row>
        <row r="8160">
          <cell r="A8160" t="str">
            <v/>
          </cell>
          <cell r="B8160">
            <v>37945</v>
          </cell>
          <cell r="C8160" t="str">
            <v>NG</v>
          </cell>
          <cell r="D8160" t="str">
            <v>200411</v>
          </cell>
          <cell r="E8160">
            <v>4.766</v>
          </cell>
        </row>
        <row r="8161">
          <cell r="A8161" t="str">
            <v/>
          </cell>
          <cell r="B8161">
            <v>37945</v>
          </cell>
          <cell r="C8161" t="str">
            <v>NG</v>
          </cell>
          <cell r="D8161" t="str">
            <v>200412</v>
          </cell>
          <cell r="E8161">
            <v>4.9459999999999997</v>
          </cell>
        </row>
        <row r="8162">
          <cell r="A8162" t="str">
            <v/>
          </cell>
          <cell r="B8162">
            <v>37946</v>
          </cell>
          <cell r="C8162" t="str">
            <v>NG</v>
          </cell>
          <cell r="D8162" t="str">
            <v>200401</v>
          </cell>
          <cell r="E8162">
            <v>4.9210000000000003</v>
          </cell>
        </row>
        <row r="8163">
          <cell r="A8163" t="str">
            <v/>
          </cell>
          <cell r="B8163">
            <v>37946</v>
          </cell>
          <cell r="C8163" t="str">
            <v>NG</v>
          </cell>
          <cell r="D8163" t="str">
            <v>200402</v>
          </cell>
          <cell r="E8163">
            <v>4.9660000000000002</v>
          </cell>
        </row>
        <row r="8164">
          <cell r="A8164" t="str">
            <v/>
          </cell>
          <cell r="B8164">
            <v>37946</v>
          </cell>
          <cell r="C8164" t="str">
            <v>NG</v>
          </cell>
          <cell r="D8164" t="str">
            <v>200403</v>
          </cell>
          <cell r="E8164">
            <v>4.8710000000000004</v>
          </cell>
        </row>
        <row r="8165">
          <cell r="A8165" t="str">
            <v/>
          </cell>
          <cell r="B8165">
            <v>37946</v>
          </cell>
          <cell r="C8165" t="str">
            <v>NG</v>
          </cell>
          <cell r="D8165" t="str">
            <v>200404</v>
          </cell>
          <cell r="E8165">
            <v>4.601</v>
          </cell>
        </row>
        <row r="8166">
          <cell r="A8166" t="str">
            <v/>
          </cell>
          <cell r="B8166">
            <v>37946</v>
          </cell>
          <cell r="C8166" t="str">
            <v>NG</v>
          </cell>
          <cell r="D8166" t="str">
            <v>200405</v>
          </cell>
          <cell r="E8166">
            <v>4.5709999999999997</v>
          </cell>
        </row>
        <row r="8167">
          <cell r="A8167" t="str">
            <v/>
          </cell>
          <cell r="B8167">
            <v>37946</v>
          </cell>
          <cell r="C8167" t="str">
            <v>NG</v>
          </cell>
          <cell r="D8167" t="str">
            <v>200406</v>
          </cell>
          <cell r="E8167">
            <v>4.5890000000000004</v>
          </cell>
        </row>
        <row r="8168">
          <cell r="A8168" t="str">
            <v/>
          </cell>
          <cell r="B8168">
            <v>37946</v>
          </cell>
          <cell r="C8168" t="str">
            <v>NG</v>
          </cell>
          <cell r="D8168" t="str">
            <v>200407</v>
          </cell>
          <cell r="E8168">
            <v>4.6059999999999999</v>
          </cell>
        </row>
        <row r="8169">
          <cell r="A8169" t="str">
            <v/>
          </cell>
          <cell r="B8169">
            <v>37946</v>
          </cell>
          <cell r="C8169" t="str">
            <v>NG</v>
          </cell>
          <cell r="D8169" t="str">
            <v>200408</v>
          </cell>
          <cell r="E8169">
            <v>4.6260000000000003</v>
          </cell>
        </row>
        <row r="8170">
          <cell r="A8170" t="str">
            <v/>
          </cell>
          <cell r="B8170">
            <v>37946</v>
          </cell>
          <cell r="C8170" t="str">
            <v>NG</v>
          </cell>
          <cell r="D8170" t="str">
            <v>200409</v>
          </cell>
          <cell r="E8170">
            <v>4.6159999999999997</v>
          </cell>
        </row>
        <row r="8171">
          <cell r="A8171" t="str">
            <v/>
          </cell>
          <cell r="B8171">
            <v>37946</v>
          </cell>
          <cell r="C8171" t="str">
            <v>NG</v>
          </cell>
          <cell r="D8171" t="str">
            <v>200410</v>
          </cell>
          <cell r="E8171">
            <v>4.6289999999999996</v>
          </cell>
        </row>
        <row r="8172">
          <cell r="A8172" t="str">
            <v/>
          </cell>
          <cell r="B8172">
            <v>37946</v>
          </cell>
          <cell r="C8172" t="str">
            <v>NG</v>
          </cell>
          <cell r="D8172" t="str">
            <v>200411</v>
          </cell>
          <cell r="E8172">
            <v>4.7990000000000004</v>
          </cell>
        </row>
        <row r="8173">
          <cell r="A8173" t="str">
            <v/>
          </cell>
          <cell r="B8173">
            <v>37946</v>
          </cell>
          <cell r="C8173" t="str">
            <v>NG</v>
          </cell>
          <cell r="D8173" t="str">
            <v>200412</v>
          </cell>
          <cell r="E8173">
            <v>4.9740000000000002</v>
          </cell>
        </row>
        <row r="8174">
          <cell r="A8174" t="str">
            <v/>
          </cell>
          <cell r="B8174">
            <v>37947</v>
          </cell>
          <cell r="C8174" t="str">
            <v>NG</v>
          </cell>
          <cell r="D8174" t="str">
            <v>200401</v>
          </cell>
          <cell r="E8174">
            <v>4.9210000000000003</v>
          </cell>
        </row>
        <row r="8175">
          <cell r="A8175" t="str">
            <v/>
          </cell>
          <cell r="B8175">
            <v>37947</v>
          </cell>
          <cell r="C8175" t="str">
            <v>NG</v>
          </cell>
          <cell r="D8175" t="str">
            <v>200402</v>
          </cell>
          <cell r="E8175">
            <v>4.9660000000000002</v>
          </cell>
        </row>
        <row r="8176">
          <cell r="A8176" t="str">
            <v/>
          </cell>
          <cell r="B8176">
            <v>37947</v>
          </cell>
          <cell r="C8176" t="str">
            <v>NG</v>
          </cell>
          <cell r="D8176" t="str">
            <v>200403</v>
          </cell>
          <cell r="E8176">
            <v>4.8710000000000004</v>
          </cell>
        </row>
        <row r="8177">
          <cell r="A8177" t="str">
            <v/>
          </cell>
          <cell r="B8177">
            <v>37947</v>
          </cell>
          <cell r="C8177" t="str">
            <v>NG</v>
          </cell>
          <cell r="D8177" t="str">
            <v>200404</v>
          </cell>
          <cell r="E8177">
            <v>4.601</v>
          </cell>
        </row>
        <row r="8178">
          <cell r="A8178" t="str">
            <v/>
          </cell>
          <cell r="B8178">
            <v>37947</v>
          </cell>
          <cell r="C8178" t="str">
            <v>NG</v>
          </cell>
          <cell r="D8178" t="str">
            <v>200405</v>
          </cell>
          <cell r="E8178">
            <v>4.5709999999999997</v>
          </cell>
        </row>
        <row r="8179">
          <cell r="A8179" t="str">
            <v/>
          </cell>
          <cell r="B8179">
            <v>37947</v>
          </cell>
          <cell r="C8179" t="str">
            <v>NG</v>
          </cell>
          <cell r="D8179" t="str">
            <v>200406</v>
          </cell>
          <cell r="E8179">
            <v>4.5890000000000004</v>
          </cell>
        </row>
        <row r="8180">
          <cell r="A8180" t="str">
            <v/>
          </cell>
          <cell r="B8180">
            <v>37947</v>
          </cell>
          <cell r="C8180" t="str">
            <v>NG</v>
          </cell>
          <cell r="D8180" t="str">
            <v>200407</v>
          </cell>
          <cell r="E8180">
            <v>4.6059999999999999</v>
          </cell>
        </row>
        <row r="8181">
          <cell r="A8181" t="str">
            <v/>
          </cell>
          <cell r="B8181">
            <v>37947</v>
          </cell>
          <cell r="C8181" t="str">
            <v>NG</v>
          </cell>
          <cell r="D8181" t="str">
            <v>200408</v>
          </cell>
          <cell r="E8181">
            <v>4.6260000000000003</v>
          </cell>
        </row>
        <row r="8182">
          <cell r="A8182" t="str">
            <v/>
          </cell>
          <cell r="B8182">
            <v>37947</v>
          </cell>
          <cell r="C8182" t="str">
            <v>NG</v>
          </cell>
          <cell r="D8182" t="str">
            <v>200409</v>
          </cell>
          <cell r="E8182">
            <v>4.6159999999999997</v>
          </cell>
        </row>
        <row r="8183">
          <cell r="A8183" t="str">
            <v/>
          </cell>
          <cell r="B8183">
            <v>37947</v>
          </cell>
          <cell r="C8183" t="str">
            <v>NG</v>
          </cell>
          <cell r="D8183" t="str">
            <v>200410</v>
          </cell>
          <cell r="E8183">
            <v>4.6289999999999996</v>
          </cell>
        </row>
        <row r="8184">
          <cell r="A8184" t="str">
            <v/>
          </cell>
          <cell r="B8184">
            <v>37947</v>
          </cell>
          <cell r="C8184" t="str">
            <v>NG</v>
          </cell>
          <cell r="D8184" t="str">
            <v>200411</v>
          </cell>
          <cell r="E8184">
            <v>4.7990000000000004</v>
          </cell>
        </row>
        <row r="8185">
          <cell r="A8185" t="str">
            <v/>
          </cell>
          <cell r="B8185">
            <v>37947</v>
          </cell>
          <cell r="C8185" t="str">
            <v>NG</v>
          </cell>
          <cell r="D8185" t="str">
            <v>200412</v>
          </cell>
          <cell r="E8185">
            <v>4.9740000000000002</v>
          </cell>
        </row>
        <row r="8186">
          <cell r="A8186" t="str">
            <v/>
          </cell>
          <cell r="B8186">
            <v>37948</v>
          </cell>
          <cell r="C8186" t="str">
            <v>NG</v>
          </cell>
          <cell r="D8186" t="str">
            <v>200401</v>
          </cell>
          <cell r="E8186">
            <v>4.9210000000000003</v>
          </cell>
        </row>
        <row r="8187">
          <cell r="A8187" t="str">
            <v/>
          </cell>
          <cell r="B8187">
            <v>37948</v>
          </cell>
          <cell r="C8187" t="str">
            <v>NG</v>
          </cell>
          <cell r="D8187" t="str">
            <v>200402</v>
          </cell>
          <cell r="E8187">
            <v>4.9660000000000002</v>
          </cell>
        </row>
        <row r="8188">
          <cell r="A8188" t="str">
            <v/>
          </cell>
          <cell r="B8188">
            <v>37948</v>
          </cell>
          <cell r="C8188" t="str">
            <v>NG</v>
          </cell>
          <cell r="D8188" t="str">
            <v>200403</v>
          </cell>
          <cell r="E8188">
            <v>4.8710000000000004</v>
          </cell>
        </row>
        <row r="8189">
          <cell r="A8189" t="str">
            <v/>
          </cell>
          <cell r="B8189">
            <v>37948</v>
          </cell>
          <cell r="C8189" t="str">
            <v>NG</v>
          </cell>
          <cell r="D8189" t="str">
            <v>200404</v>
          </cell>
          <cell r="E8189">
            <v>4.601</v>
          </cell>
        </row>
        <row r="8190">
          <cell r="A8190" t="str">
            <v/>
          </cell>
          <cell r="B8190">
            <v>37948</v>
          </cell>
          <cell r="C8190" t="str">
            <v>NG</v>
          </cell>
          <cell r="D8190" t="str">
            <v>200405</v>
          </cell>
          <cell r="E8190">
            <v>4.5709999999999997</v>
          </cell>
        </row>
        <row r="8191">
          <cell r="A8191" t="str">
            <v/>
          </cell>
          <cell r="B8191">
            <v>37948</v>
          </cell>
          <cell r="C8191" t="str">
            <v>NG</v>
          </cell>
          <cell r="D8191" t="str">
            <v>200406</v>
          </cell>
          <cell r="E8191">
            <v>4.5890000000000004</v>
          </cell>
        </row>
        <row r="8192">
          <cell r="A8192" t="str">
            <v/>
          </cell>
          <cell r="B8192">
            <v>37948</v>
          </cell>
          <cell r="C8192" t="str">
            <v>NG</v>
          </cell>
          <cell r="D8192" t="str">
            <v>200407</v>
          </cell>
          <cell r="E8192">
            <v>4.6059999999999999</v>
          </cell>
        </row>
        <row r="8193">
          <cell r="A8193" t="str">
            <v/>
          </cell>
          <cell r="B8193">
            <v>37948</v>
          </cell>
          <cell r="C8193" t="str">
            <v>NG</v>
          </cell>
          <cell r="D8193" t="str">
            <v>200408</v>
          </cell>
          <cell r="E8193">
            <v>4.6260000000000003</v>
          </cell>
        </row>
        <row r="8194">
          <cell r="A8194" t="str">
            <v/>
          </cell>
          <cell r="B8194">
            <v>37948</v>
          </cell>
          <cell r="C8194" t="str">
            <v>NG</v>
          </cell>
          <cell r="D8194" t="str">
            <v>200409</v>
          </cell>
          <cell r="E8194">
            <v>4.6159999999999997</v>
          </cell>
        </row>
        <row r="8195">
          <cell r="A8195" t="str">
            <v/>
          </cell>
          <cell r="B8195">
            <v>37948</v>
          </cell>
          <cell r="C8195" t="str">
            <v>NG</v>
          </cell>
          <cell r="D8195" t="str">
            <v>200410</v>
          </cell>
          <cell r="E8195">
            <v>4.6289999999999996</v>
          </cell>
        </row>
        <row r="8196">
          <cell r="A8196" t="str">
            <v/>
          </cell>
          <cell r="B8196">
            <v>37948</v>
          </cell>
          <cell r="C8196" t="str">
            <v>NG</v>
          </cell>
          <cell r="D8196" t="str">
            <v>200411</v>
          </cell>
          <cell r="E8196">
            <v>4.7990000000000004</v>
          </cell>
        </row>
        <row r="8197">
          <cell r="A8197" t="str">
            <v/>
          </cell>
          <cell r="B8197">
            <v>37948</v>
          </cell>
          <cell r="C8197" t="str">
            <v>NG</v>
          </cell>
          <cell r="D8197" t="str">
            <v>200412</v>
          </cell>
          <cell r="E8197">
            <v>4.9740000000000002</v>
          </cell>
        </row>
        <row r="8198">
          <cell r="A8198" t="str">
            <v/>
          </cell>
          <cell r="B8198">
            <v>37949</v>
          </cell>
          <cell r="C8198" t="str">
            <v>NG</v>
          </cell>
          <cell r="D8198" t="str">
            <v>200401</v>
          </cell>
          <cell r="E8198">
            <v>4.93</v>
          </cell>
        </row>
        <row r="8199">
          <cell r="A8199" t="str">
            <v/>
          </cell>
          <cell r="B8199">
            <v>37949</v>
          </cell>
          <cell r="C8199" t="str">
            <v>NG</v>
          </cell>
          <cell r="D8199" t="str">
            <v>200402</v>
          </cell>
          <cell r="E8199">
            <v>4.97</v>
          </cell>
        </row>
        <row r="8200">
          <cell r="A8200" t="str">
            <v/>
          </cell>
          <cell r="B8200">
            <v>37949</v>
          </cell>
          <cell r="C8200" t="str">
            <v>NG</v>
          </cell>
          <cell r="D8200" t="str">
            <v>200403</v>
          </cell>
          <cell r="E8200">
            <v>4.875</v>
          </cell>
        </row>
        <row r="8201">
          <cell r="A8201" t="str">
            <v/>
          </cell>
          <cell r="B8201">
            <v>37949</v>
          </cell>
          <cell r="C8201" t="str">
            <v>NG</v>
          </cell>
          <cell r="D8201" t="str">
            <v>200404</v>
          </cell>
          <cell r="E8201">
            <v>4.6050000000000004</v>
          </cell>
        </row>
        <row r="8202">
          <cell r="A8202" t="str">
            <v/>
          </cell>
          <cell r="B8202">
            <v>37949</v>
          </cell>
          <cell r="C8202" t="str">
            <v>NG</v>
          </cell>
          <cell r="D8202" t="str">
            <v>200405</v>
          </cell>
          <cell r="E8202">
            <v>4.5750000000000002</v>
          </cell>
        </row>
        <row r="8203">
          <cell r="A8203" t="str">
            <v/>
          </cell>
          <cell r="B8203">
            <v>37949</v>
          </cell>
          <cell r="C8203" t="str">
            <v>NG</v>
          </cell>
          <cell r="D8203" t="str">
            <v>200406</v>
          </cell>
          <cell r="E8203">
            <v>4.593</v>
          </cell>
        </row>
        <row r="8204">
          <cell r="A8204" t="str">
            <v/>
          </cell>
          <cell r="B8204">
            <v>37949</v>
          </cell>
          <cell r="C8204" t="str">
            <v>NG</v>
          </cell>
          <cell r="D8204" t="str">
            <v>200407</v>
          </cell>
          <cell r="E8204">
            <v>4.6100000000000003</v>
          </cell>
        </row>
        <row r="8205">
          <cell r="A8205" t="str">
            <v/>
          </cell>
          <cell r="B8205">
            <v>37949</v>
          </cell>
          <cell r="C8205" t="str">
            <v>NG</v>
          </cell>
          <cell r="D8205" t="str">
            <v>200408</v>
          </cell>
          <cell r="E8205">
            <v>4.63</v>
          </cell>
        </row>
        <row r="8206">
          <cell r="A8206" t="str">
            <v/>
          </cell>
          <cell r="B8206">
            <v>37949</v>
          </cell>
          <cell r="C8206" t="str">
            <v>NG</v>
          </cell>
          <cell r="D8206" t="str">
            <v>200409</v>
          </cell>
          <cell r="E8206">
            <v>4.62</v>
          </cell>
        </row>
        <row r="8207">
          <cell r="A8207" t="str">
            <v/>
          </cell>
          <cell r="B8207">
            <v>37949</v>
          </cell>
          <cell r="C8207" t="str">
            <v>NG</v>
          </cell>
          <cell r="D8207" t="str">
            <v>200410</v>
          </cell>
          <cell r="E8207">
            <v>4.633</v>
          </cell>
        </row>
        <row r="8208">
          <cell r="A8208" t="str">
            <v/>
          </cell>
          <cell r="B8208">
            <v>37949</v>
          </cell>
          <cell r="C8208" t="str">
            <v>NG</v>
          </cell>
          <cell r="D8208" t="str">
            <v>200411</v>
          </cell>
          <cell r="E8208">
            <v>4.7960000000000003</v>
          </cell>
        </row>
        <row r="8209">
          <cell r="A8209" t="str">
            <v/>
          </cell>
          <cell r="B8209">
            <v>37949</v>
          </cell>
          <cell r="C8209" t="str">
            <v>NG</v>
          </cell>
          <cell r="D8209" t="str">
            <v>200412</v>
          </cell>
          <cell r="E8209">
            <v>4.9630000000000001</v>
          </cell>
        </row>
        <row r="8210">
          <cell r="A8210" t="str">
            <v/>
          </cell>
          <cell r="B8210">
            <v>37950</v>
          </cell>
          <cell r="C8210" t="str">
            <v>NG</v>
          </cell>
          <cell r="D8210" t="str">
            <v>200401</v>
          </cell>
          <cell r="E8210">
            <v>5.05</v>
          </cell>
        </row>
        <row r="8211">
          <cell r="A8211" t="str">
            <v/>
          </cell>
          <cell r="B8211">
            <v>37950</v>
          </cell>
          <cell r="C8211" t="str">
            <v>NG</v>
          </cell>
          <cell r="D8211" t="str">
            <v>200402</v>
          </cell>
          <cell r="E8211">
            <v>5.08</v>
          </cell>
        </row>
        <row r="8212">
          <cell r="A8212" t="str">
            <v/>
          </cell>
          <cell r="B8212">
            <v>37950</v>
          </cell>
          <cell r="C8212" t="str">
            <v>NG</v>
          </cell>
          <cell r="D8212" t="str">
            <v>200403</v>
          </cell>
          <cell r="E8212">
            <v>4.9749999999999996</v>
          </cell>
        </row>
        <row r="8213">
          <cell r="A8213" t="str">
            <v/>
          </cell>
          <cell r="B8213">
            <v>37950</v>
          </cell>
          <cell r="C8213" t="str">
            <v>NG</v>
          </cell>
          <cell r="D8213" t="str">
            <v>200404</v>
          </cell>
          <cell r="E8213">
            <v>4.6550000000000002</v>
          </cell>
        </row>
        <row r="8214">
          <cell r="A8214" t="str">
            <v/>
          </cell>
          <cell r="B8214">
            <v>37950</v>
          </cell>
          <cell r="C8214" t="str">
            <v>NG</v>
          </cell>
          <cell r="D8214" t="str">
            <v>200405</v>
          </cell>
          <cell r="E8214">
            <v>4.62</v>
          </cell>
        </row>
        <row r="8215">
          <cell r="A8215" t="str">
            <v/>
          </cell>
          <cell r="B8215">
            <v>37950</v>
          </cell>
          <cell r="C8215" t="str">
            <v>NG</v>
          </cell>
          <cell r="D8215" t="str">
            <v>200406</v>
          </cell>
          <cell r="E8215">
            <v>4.6379999999999999</v>
          </cell>
        </row>
        <row r="8216">
          <cell r="A8216" t="str">
            <v/>
          </cell>
          <cell r="B8216">
            <v>37950</v>
          </cell>
          <cell r="C8216" t="str">
            <v>NG</v>
          </cell>
          <cell r="D8216" t="str">
            <v>200407</v>
          </cell>
          <cell r="E8216">
            <v>4.6550000000000002</v>
          </cell>
        </row>
        <row r="8217">
          <cell r="A8217" t="str">
            <v/>
          </cell>
          <cell r="B8217">
            <v>37950</v>
          </cell>
          <cell r="C8217" t="str">
            <v>NG</v>
          </cell>
          <cell r="D8217" t="str">
            <v>200408</v>
          </cell>
          <cell r="E8217">
            <v>4.6749999999999998</v>
          </cell>
        </row>
        <row r="8218">
          <cell r="A8218" t="str">
            <v/>
          </cell>
          <cell r="B8218">
            <v>37950</v>
          </cell>
          <cell r="C8218" t="str">
            <v>NG</v>
          </cell>
          <cell r="D8218" t="str">
            <v>200409</v>
          </cell>
          <cell r="E8218">
            <v>4.665</v>
          </cell>
        </row>
        <row r="8219">
          <cell r="A8219" t="str">
            <v/>
          </cell>
          <cell r="B8219">
            <v>37950</v>
          </cell>
          <cell r="C8219" t="str">
            <v>NG</v>
          </cell>
          <cell r="D8219" t="str">
            <v>200410</v>
          </cell>
          <cell r="E8219">
            <v>4.6779999999999999</v>
          </cell>
        </row>
        <row r="8220">
          <cell r="A8220" t="str">
            <v/>
          </cell>
          <cell r="B8220">
            <v>37950</v>
          </cell>
          <cell r="C8220" t="str">
            <v>NG</v>
          </cell>
          <cell r="D8220" t="str">
            <v>200411</v>
          </cell>
          <cell r="E8220">
            <v>4.8410000000000002</v>
          </cell>
        </row>
        <row r="8221">
          <cell r="A8221" t="str">
            <v/>
          </cell>
          <cell r="B8221">
            <v>37950</v>
          </cell>
          <cell r="C8221" t="str">
            <v>NG</v>
          </cell>
          <cell r="D8221" t="str">
            <v>200412</v>
          </cell>
          <cell r="E8221">
            <v>5.0010000000000003</v>
          </cell>
        </row>
        <row r="8222">
          <cell r="A8222" t="str">
            <v/>
          </cell>
          <cell r="B8222">
            <v>37951</v>
          </cell>
          <cell r="C8222" t="str">
            <v>NG</v>
          </cell>
          <cell r="D8222" t="str">
            <v>200401</v>
          </cell>
          <cell r="E8222">
            <v>4.9249999999999998</v>
          </cell>
        </row>
        <row r="8223">
          <cell r="A8223" t="str">
            <v/>
          </cell>
          <cell r="B8223">
            <v>37951</v>
          </cell>
          <cell r="C8223" t="str">
            <v>NG</v>
          </cell>
          <cell r="D8223" t="str">
            <v>200402</v>
          </cell>
          <cell r="E8223">
            <v>4.9619999999999997</v>
          </cell>
        </row>
        <row r="8224">
          <cell r="A8224" t="str">
            <v/>
          </cell>
          <cell r="B8224">
            <v>37951</v>
          </cell>
          <cell r="C8224" t="str">
            <v>NG</v>
          </cell>
          <cell r="D8224" t="str">
            <v>200403</v>
          </cell>
          <cell r="E8224">
            <v>4.8819999999999997</v>
          </cell>
        </row>
        <row r="8225">
          <cell r="A8225" t="str">
            <v/>
          </cell>
          <cell r="B8225">
            <v>37951</v>
          </cell>
          <cell r="C8225" t="str">
            <v>NG</v>
          </cell>
          <cell r="D8225" t="str">
            <v>200404</v>
          </cell>
          <cell r="E8225">
            <v>4.6020000000000003</v>
          </cell>
        </row>
        <row r="8226">
          <cell r="A8226" t="str">
            <v/>
          </cell>
          <cell r="B8226">
            <v>37951</v>
          </cell>
          <cell r="C8226" t="str">
            <v>NG</v>
          </cell>
          <cell r="D8226" t="str">
            <v>200405</v>
          </cell>
          <cell r="E8226">
            <v>4.5720000000000001</v>
          </cell>
        </row>
        <row r="8227">
          <cell r="A8227" t="str">
            <v/>
          </cell>
          <cell r="B8227">
            <v>37951</v>
          </cell>
          <cell r="C8227" t="str">
            <v>NG</v>
          </cell>
          <cell r="D8227" t="str">
            <v>200406</v>
          </cell>
          <cell r="E8227">
            <v>4.59</v>
          </cell>
        </row>
        <row r="8228">
          <cell r="A8228" t="str">
            <v/>
          </cell>
          <cell r="B8228">
            <v>37951</v>
          </cell>
          <cell r="C8228" t="str">
            <v>NG</v>
          </cell>
          <cell r="D8228" t="str">
            <v>200407</v>
          </cell>
          <cell r="E8228">
            <v>4.6100000000000003</v>
          </cell>
        </row>
        <row r="8229">
          <cell r="A8229" t="str">
            <v/>
          </cell>
          <cell r="B8229">
            <v>37951</v>
          </cell>
          <cell r="C8229" t="str">
            <v>NG</v>
          </cell>
          <cell r="D8229" t="str">
            <v>200408</v>
          </cell>
          <cell r="E8229">
            <v>4.63</v>
          </cell>
        </row>
        <row r="8230">
          <cell r="A8230" t="str">
            <v/>
          </cell>
          <cell r="B8230">
            <v>37951</v>
          </cell>
          <cell r="C8230" t="str">
            <v>NG</v>
          </cell>
          <cell r="D8230" t="str">
            <v>200409</v>
          </cell>
          <cell r="E8230">
            <v>4.62</v>
          </cell>
        </row>
        <row r="8231">
          <cell r="A8231" t="str">
            <v/>
          </cell>
          <cell r="B8231">
            <v>37951</v>
          </cell>
          <cell r="C8231" t="str">
            <v>NG</v>
          </cell>
          <cell r="D8231" t="str">
            <v>200410</v>
          </cell>
          <cell r="E8231">
            <v>4.6349999999999998</v>
          </cell>
        </row>
        <row r="8232">
          <cell r="A8232" t="str">
            <v/>
          </cell>
          <cell r="B8232">
            <v>37951</v>
          </cell>
          <cell r="C8232" t="str">
            <v>NG</v>
          </cell>
          <cell r="D8232" t="str">
            <v>200411</v>
          </cell>
          <cell r="E8232">
            <v>4.798</v>
          </cell>
        </row>
        <row r="8233">
          <cell r="A8233" t="str">
            <v/>
          </cell>
          <cell r="B8233">
            <v>37951</v>
          </cell>
          <cell r="C8233" t="str">
            <v>NG</v>
          </cell>
          <cell r="D8233" t="str">
            <v>200412</v>
          </cell>
          <cell r="E8233">
            <v>4.9630000000000001</v>
          </cell>
        </row>
        <row r="8234">
          <cell r="A8234" t="str">
            <v/>
          </cell>
          <cell r="B8234">
            <v>37952</v>
          </cell>
          <cell r="C8234" t="str">
            <v>NG</v>
          </cell>
          <cell r="D8234" t="str">
            <v>200401</v>
          </cell>
          <cell r="E8234">
            <v>4.9249999999999998</v>
          </cell>
        </row>
        <row r="8235">
          <cell r="A8235" t="str">
            <v/>
          </cell>
          <cell r="B8235">
            <v>37952</v>
          </cell>
          <cell r="C8235" t="str">
            <v>NG</v>
          </cell>
          <cell r="D8235" t="str">
            <v>200402</v>
          </cell>
          <cell r="E8235">
            <v>4.9619999999999997</v>
          </cell>
        </row>
        <row r="8236">
          <cell r="A8236" t="str">
            <v/>
          </cell>
          <cell r="B8236">
            <v>37952</v>
          </cell>
          <cell r="C8236" t="str">
            <v>NG</v>
          </cell>
          <cell r="D8236" t="str">
            <v>200403</v>
          </cell>
          <cell r="E8236">
            <v>4.8819999999999997</v>
          </cell>
        </row>
        <row r="8237">
          <cell r="A8237" t="str">
            <v/>
          </cell>
          <cell r="B8237">
            <v>37952</v>
          </cell>
          <cell r="C8237" t="str">
            <v>NG</v>
          </cell>
          <cell r="D8237" t="str">
            <v>200404</v>
          </cell>
          <cell r="E8237">
            <v>4.6020000000000003</v>
          </cell>
        </row>
        <row r="8238">
          <cell r="A8238" t="str">
            <v/>
          </cell>
          <cell r="B8238">
            <v>37952</v>
          </cell>
          <cell r="C8238" t="str">
            <v>NG</v>
          </cell>
          <cell r="D8238" t="str">
            <v>200405</v>
          </cell>
          <cell r="E8238">
            <v>4.5720000000000001</v>
          </cell>
        </row>
        <row r="8239">
          <cell r="A8239" t="str">
            <v/>
          </cell>
          <cell r="B8239">
            <v>37952</v>
          </cell>
          <cell r="C8239" t="str">
            <v>NG</v>
          </cell>
          <cell r="D8239" t="str">
            <v>200406</v>
          </cell>
          <cell r="E8239">
            <v>4.59</v>
          </cell>
        </row>
        <row r="8240">
          <cell r="A8240" t="str">
            <v/>
          </cell>
          <cell r="B8240">
            <v>37952</v>
          </cell>
          <cell r="C8240" t="str">
            <v>NG</v>
          </cell>
          <cell r="D8240" t="str">
            <v>200407</v>
          </cell>
          <cell r="E8240">
            <v>4.6100000000000003</v>
          </cell>
        </row>
        <row r="8241">
          <cell r="A8241" t="str">
            <v/>
          </cell>
          <cell r="B8241">
            <v>37952</v>
          </cell>
          <cell r="C8241" t="str">
            <v>NG</v>
          </cell>
          <cell r="D8241" t="str">
            <v>200408</v>
          </cell>
          <cell r="E8241">
            <v>4.63</v>
          </cell>
        </row>
        <row r="8242">
          <cell r="A8242" t="str">
            <v/>
          </cell>
          <cell r="B8242">
            <v>37952</v>
          </cell>
          <cell r="C8242" t="str">
            <v>NG</v>
          </cell>
          <cell r="D8242" t="str">
            <v>200409</v>
          </cell>
          <cell r="E8242">
            <v>4.62</v>
          </cell>
        </row>
        <row r="8243">
          <cell r="A8243" t="str">
            <v/>
          </cell>
          <cell r="B8243">
            <v>37952</v>
          </cell>
          <cell r="C8243" t="str">
            <v>NG</v>
          </cell>
          <cell r="D8243" t="str">
            <v>200410</v>
          </cell>
          <cell r="E8243">
            <v>4.6349999999999998</v>
          </cell>
        </row>
        <row r="8244">
          <cell r="A8244" t="str">
            <v/>
          </cell>
          <cell r="B8244">
            <v>37952</v>
          </cell>
          <cell r="C8244" t="str">
            <v>NG</v>
          </cell>
          <cell r="D8244" t="str">
            <v>200411</v>
          </cell>
          <cell r="E8244">
            <v>4.798</v>
          </cell>
        </row>
        <row r="8245">
          <cell r="A8245" t="str">
            <v/>
          </cell>
          <cell r="B8245">
            <v>37952</v>
          </cell>
          <cell r="C8245" t="str">
            <v>NG</v>
          </cell>
          <cell r="D8245" t="str">
            <v>200412</v>
          </cell>
          <cell r="E8245">
            <v>4.9630000000000001</v>
          </cell>
        </row>
        <row r="8246">
          <cell r="A8246" t="str">
            <v/>
          </cell>
          <cell r="B8246">
            <v>37953</v>
          </cell>
          <cell r="C8246" t="str">
            <v>NG</v>
          </cell>
          <cell r="D8246" t="str">
            <v>200401</v>
          </cell>
          <cell r="E8246">
            <v>4.9249999999999998</v>
          </cell>
        </row>
        <row r="8247">
          <cell r="A8247" t="str">
            <v/>
          </cell>
          <cell r="B8247">
            <v>37953</v>
          </cell>
          <cell r="C8247" t="str">
            <v>NG</v>
          </cell>
          <cell r="D8247" t="str">
            <v>200402</v>
          </cell>
          <cell r="E8247">
            <v>4.9619999999999997</v>
          </cell>
        </row>
        <row r="8248">
          <cell r="A8248" t="str">
            <v/>
          </cell>
          <cell r="B8248">
            <v>37953</v>
          </cell>
          <cell r="C8248" t="str">
            <v>NG</v>
          </cell>
          <cell r="D8248" t="str">
            <v>200403</v>
          </cell>
          <cell r="E8248">
            <v>4.8819999999999997</v>
          </cell>
        </row>
        <row r="8249">
          <cell r="A8249" t="str">
            <v/>
          </cell>
          <cell r="B8249">
            <v>37953</v>
          </cell>
          <cell r="C8249" t="str">
            <v>NG</v>
          </cell>
          <cell r="D8249" t="str">
            <v>200404</v>
          </cell>
          <cell r="E8249">
            <v>4.6020000000000003</v>
          </cell>
        </row>
        <row r="8250">
          <cell r="A8250" t="str">
            <v/>
          </cell>
          <cell r="B8250">
            <v>37953</v>
          </cell>
          <cell r="C8250" t="str">
            <v>NG</v>
          </cell>
          <cell r="D8250" t="str">
            <v>200405</v>
          </cell>
          <cell r="E8250">
            <v>4.5720000000000001</v>
          </cell>
        </row>
        <row r="8251">
          <cell r="A8251" t="str">
            <v/>
          </cell>
          <cell r="B8251">
            <v>37953</v>
          </cell>
          <cell r="C8251" t="str">
            <v>NG</v>
          </cell>
          <cell r="D8251" t="str">
            <v>200406</v>
          </cell>
          <cell r="E8251">
            <v>4.59</v>
          </cell>
        </row>
        <row r="8252">
          <cell r="A8252" t="str">
            <v/>
          </cell>
          <cell r="B8252">
            <v>37953</v>
          </cell>
          <cell r="C8252" t="str">
            <v>NG</v>
          </cell>
          <cell r="D8252" t="str">
            <v>200407</v>
          </cell>
          <cell r="E8252">
            <v>4.6100000000000003</v>
          </cell>
        </row>
        <row r="8253">
          <cell r="A8253" t="str">
            <v/>
          </cell>
          <cell r="B8253">
            <v>37953</v>
          </cell>
          <cell r="C8253" t="str">
            <v>NG</v>
          </cell>
          <cell r="D8253" t="str">
            <v>200408</v>
          </cell>
          <cell r="E8253">
            <v>4.63</v>
          </cell>
        </row>
        <row r="8254">
          <cell r="A8254" t="str">
            <v/>
          </cell>
          <cell r="B8254">
            <v>37953</v>
          </cell>
          <cell r="C8254" t="str">
            <v>NG</v>
          </cell>
          <cell r="D8254" t="str">
            <v>200409</v>
          </cell>
          <cell r="E8254">
            <v>4.62</v>
          </cell>
        </row>
        <row r="8255">
          <cell r="A8255" t="str">
            <v/>
          </cell>
          <cell r="B8255">
            <v>37953</v>
          </cell>
          <cell r="C8255" t="str">
            <v>NG</v>
          </cell>
          <cell r="D8255" t="str">
            <v>200410</v>
          </cell>
          <cell r="E8255">
            <v>4.6349999999999998</v>
          </cell>
        </row>
        <row r="8256">
          <cell r="A8256" t="str">
            <v/>
          </cell>
          <cell r="B8256">
            <v>37953</v>
          </cell>
          <cell r="C8256" t="str">
            <v>NG</v>
          </cell>
          <cell r="D8256" t="str">
            <v>200411</v>
          </cell>
          <cell r="E8256">
            <v>4.798</v>
          </cell>
        </row>
        <row r="8257">
          <cell r="A8257" t="str">
            <v/>
          </cell>
          <cell r="B8257">
            <v>37953</v>
          </cell>
          <cell r="C8257" t="str">
            <v>NG</v>
          </cell>
          <cell r="D8257" t="str">
            <v>200412</v>
          </cell>
          <cell r="E8257">
            <v>4.9630000000000001</v>
          </cell>
        </row>
        <row r="8258">
          <cell r="A8258" t="str">
            <v/>
          </cell>
          <cell r="B8258">
            <v>37954</v>
          </cell>
          <cell r="C8258" t="str">
            <v>NG</v>
          </cell>
          <cell r="D8258" t="str">
            <v>200401</v>
          </cell>
          <cell r="E8258">
            <v>4.9249999999999998</v>
          </cell>
        </row>
        <row r="8259">
          <cell r="A8259" t="str">
            <v/>
          </cell>
          <cell r="B8259">
            <v>37954</v>
          </cell>
          <cell r="C8259" t="str">
            <v>NG</v>
          </cell>
          <cell r="D8259" t="str">
            <v>200402</v>
          </cell>
          <cell r="E8259">
            <v>4.9619999999999997</v>
          </cell>
        </row>
        <row r="8260">
          <cell r="A8260" t="str">
            <v/>
          </cell>
          <cell r="B8260">
            <v>37954</v>
          </cell>
          <cell r="C8260" t="str">
            <v>NG</v>
          </cell>
          <cell r="D8260" t="str">
            <v>200403</v>
          </cell>
          <cell r="E8260">
            <v>4.8819999999999997</v>
          </cell>
        </row>
        <row r="8261">
          <cell r="A8261" t="str">
            <v/>
          </cell>
          <cell r="B8261">
            <v>37954</v>
          </cell>
          <cell r="C8261" t="str">
            <v>NG</v>
          </cell>
          <cell r="D8261" t="str">
            <v>200404</v>
          </cell>
          <cell r="E8261">
            <v>4.6020000000000003</v>
          </cell>
        </row>
        <row r="8262">
          <cell r="A8262" t="str">
            <v/>
          </cell>
          <cell r="B8262">
            <v>37954</v>
          </cell>
          <cell r="C8262" t="str">
            <v>NG</v>
          </cell>
          <cell r="D8262" t="str">
            <v>200405</v>
          </cell>
          <cell r="E8262">
            <v>4.5720000000000001</v>
          </cell>
        </row>
        <row r="8263">
          <cell r="A8263" t="str">
            <v/>
          </cell>
          <cell r="B8263">
            <v>37954</v>
          </cell>
          <cell r="C8263" t="str">
            <v>NG</v>
          </cell>
          <cell r="D8263" t="str">
            <v>200406</v>
          </cell>
          <cell r="E8263">
            <v>4.59</v>
          </cell>
        </row>
        <row r="8264">
          <cell r="A8264" t="str">
            <v/>
          </cell>
          <cell r="B8264">
            <v>37954</v>
          </cell>
          <cell r="C8264" t="str">
            <v>NG</v>
          </cell>
          <cell r="D8264" t="str">
            <v>200407</v>
          </cell>
          <cell r="E8264">
            <v>4.6100000000000003</v>
          </cell>
        </row>
        <row r="8265">
          <cell r="A8265" t="str">
            <v/>
          </cell>
          <cell r="B8265">
            <v>37954</v>
          </cell>
          <cell r="C8265" t="str">
            <v>NG</v>
          </cell>
          <cell r="D8265" t="str">
            <v>200408</v>
          </cell>
          <cell r="E8265">
            <v>4.63</v>
          </cell>
        </row>
        <row r="8266">
          <cell r="A8266" t="str">
            <v/>
          </cell>
          <cell r="B8266">
            <v>37954</v>
          </cell>
          <cell r="C8266" t="str">
            <v>NG</v>
          </cell>
          <cell r="D8266" t="str">
            <v>200409</v>
          </cell>
          <cell r="E8266">
            <v>4.62</v>
          </cell>
        </row>
        <row r="8267">
          <cell r="A8267" t="str">
            <v/>
          </cell>
          <cell r="B8267">
            <v>37954</v>
          </cell>
          <cell r="C8267" t="str">
            <v>NG</v>
          </cell>
          <cell r="D8267" t="str">
            <v>200410</v>
          </cell>
          <cell r="E8267">
            <v>4.6349999999999998</v>
          </cell>
        </row>
        <row r="8268">
          <cell r="A8268" t="str">
            <v/>
          </cell>
          <cell r="B8268">
            <v>37954</v>
          </cell>
          <cell r="C8268" t="str">
            <v>NG</v>
          </cell>
          <cell r="D8268" t="str">
            <v>200411</v>
          </cell>
          <cell r="E8268">
            <v>4.798</v>
          </cell>
        </row>
        <row r="8269">
          <cell r="A8269" t="str">
            <v/>
          </cell>
          <cell r="B8269">
            <v>37954</v>
          </cell>
          <cell r="C8269" t="str">
            <v>NG</v>
          </cell>
          <cell r="D8269" t="str">
            <v>200412</v>
          </cell>
          <cell r="E8269">
            <v>4.9630000000000001</v>
          </cell>
        </row>
        <row r="8270">
          <cell r="A8270" t="str">
            <v/>
          </cell>
          <cell r="B8270">
            <v>37955</v>
          </cell>
          <cell r="C8270" t="str">
            <v>NG</v>
          </cell>
          <cell r="D8270" t="str">
            <v>200401</v>
          </cell>
          <cell r="E8270">
            <v>4.9249999999999998</v>
          </cell>
        </row>
        <row r="8271">
          <cell r="A8271" t="str">
            <v/>
          </cell>
          <cell r="B8271">
            <v>37955</v>
          </cell>
          <cell r="C8271" t="str">
            <v>NG</v>
          </cell>
          <cell r="D8271" t="str">
            <v>200402</v>
          </cell>
          <cell r="E8271">
            <v>4.9619999999999997</v>
          </cell>
        </row>
        <row r="8272">
          <cell r="A8272" t="str">
            <v/>
          </cell>
          <cell r="B8272">
            <v>37955</v>
          </cell>
          <cell r="C8272" t="str">
            <v>NG</v>
          </cell>
          <cell r="D8272" t="str">
            <v>200403</v>
          </cell>
          <cell r="E8272">
            <v>4.8819999999999997</v>
          </cell>
        </row>
        <row r="8273">
          <cell r="A8273" t="str">
            <v/>
          </cell>
          <cell r="B8273">
            <v>37955</v>
          </cell>
          <cell r="C8273" t="str">
            <v>NG</v>
          </cell>
          <cell r="D8273" t="str">
            <v>200404</v>
          </cell>
          <cell r="E8273">
            <v>4.6020000000000003</v>
          </cell>
        </row>
        <row r="8274">
          <cell r="A8274" t="str">
            <v/>
          </cell>
          <cell r="B8274">
            <v>37955</v>
          </cell>
          <cell r="C8274" t="str">
            <v>NG</v>
          </cell>
          <cell r="D8274" t="str">
            <v>200405</v>
          </cell>
          <cell r="E8274">
            <v>4.5720000000000001</v>
          </cell>
        </row>
        <row r="8275">
          <cell r="A8275" t="str">
            <v/>
          </cell>
          <cell r="B8275">
            <v>37955</v>
          </cell>
          <cell r="C8275" t="str">
            <v>NG</v>
          </cell>
          <cell r="D8275" t="str">
            <v>200406</v>
          </cell>
          <cell r="E8275">
            <v>4.59</v>
          </cell>
        </row>
        <row r="8276">
          <cell r="A8276" t="str">
            <v/>
          </cell>
          <cell r="B8276">
            <v>37955</v>
          </cell>
          <cell r="C8276" t="str">
            <v>NG</v>
          </cell>
          <cell r="D8276" t="str">
            <v>200407</v>
          </cell>
          <cell r="E8276">
            <v>4.6100000000000003</v>
          </cell>
        </row>
        <row r="8277">
          <cell r="A8277" t="str">
            <v/>
          </cell>
          <cell r="B8277">
            <v>37955</v>
          </cell>
          <cell r="C8277" t="str">
            <v>NG</v>
          </cell>
          <cell r="D8277" t="str">
            <v>200408</v>
          </cell>
          <cell r="E8277">
            <v>4.63</v>
          </cell>
        </row>
        <row r="8278">
          <cell r="A8278" t="str">
            <v/>
          </cell>
          <cell r="B8278">
            <v>37955</v>
          </cell>
          <cell r="C8278" t="str">
            <v>NG</v>
          </cell>
          <cell r="D8278" t="str">
            <v>200409</v>
          </cell>
          <cell r="E8278">
            <v>4.62</v>
          </cell>
        </row>
        <row r="8279">
          <cell r="A8279" t="str">
            <v/>
          </cell>
          <cell r="B8279">
            <v>37955</v>
          </cell>
          <cell r="C8279" t="str">
            <v>NG</v>
          </cell>
          <cell r="D8279" t="str">
            <v>200410</v>
          </cell>
          <cell r="E8279">
            <v>4.6349999999999998</v>
          </cell>
        </row>
        <row r="8280">
          <cell r="A8280" t="str">
            <v/>
          </cell>
          <cell r="B8280">
            <v>37955</v>
          </cell>
          <cell r="C8280" t="str">
            <v>NG</v>
          </cell>
          <cell r="D8280" t="str">
            <v>200411</v>
          </cell>
          <cell r="E8280">
            <v>4.798</v>
          </cell>
        </row>
        <row r="8281">
          <cell r="A8281" t="str">
            <v/>
          </cell>
          <cell r="B8281">
            <v>37955</v>
          </cell>
          <cell r="C8281" t="str">
            <v>NG</v>
          </cell>
          <cell r="D8281" t="str">
            <v>200412</v>
          </cell>
          <cell r="E8281">
            <v>4.9630000000000001</v>
          </cell>
        </row>
        <row r="8282">
          <cell r="A8282" t="str">
            <v/>
          </cell>
          <cell r="B8282">
            <v>37956</v>
          </cell>
          <cell r="C8282" t="str">
            <v>NG</v>
          </cell>
          <cell r="D8282" t="str">
            <v>200401</v>
          </cell>
          <cell r="E8282">
            <v>5.2830000000000004</v>
          </cell>
        </row>
        <row r="8283">
          <cell r="A8283" t="str">
            <v/>
          </cell>
          <cell r="B8283">
            <v>37956</v>
          </cell>
          <cell r="C8283" t="str">
            <v>NG</v>
          </cell>
          <cell r="D8283" t="str">
            <v>200402</v>
          </cell>
          <cell r="E8283">
            <v>5.2779999999999996</v>
          </cell>
        </row>
        <row r="8284">
          <cell r="A8284" t="str">
            <v/>
          </cell>
          <cell r="B8284">
            <v>37956</v>
          </cell>
          <cell r="C8284" t="str">
            <v>NG</v>
          </cell>
          <cell r="D8284" t="str">
            <v>200403</v>
          </cell>
          <cell r="E8284">
            <v>5.1429999999999998</v>
          </cell>
        </row>
        <row r="8285">
          <cell r="A8285" t="str">
            <v/>
          </cell>
          <cell r="B8285">
            <v>37956</v>
          </cell>
          <cell r="C8285" t="str">
            <v>NG</v>
          </cell>
          <cell r="D8285" t="str">
            <v>200404</v>
          </cell>
          <cell r="E8285">
            <v>4.7430000000000003</v>
          </cell>
        </row>
        <row r="8286">
          <cell r="A8286" t="str">
            <v/>
          </cell>
          <cell r="B8286">
            <v>37956</v>
          </cell>
          <cell r="C8286" t="str">
            <v>NG</v>
          </cell>
          <cell r="D8286" t="str">
            <v>200405</v>
          </cell>
          <cell r="E8286">
            <v>4.6929999999999996</v>
          </cell>
        </row>
        <row r="8287">
          <cell r="A8287" t="str">
            <v/>
          </cell>
          <cell r="B8287">
            <v>37956</v>
          </cell>
          <cell r="C8287" t="str">
            <v>NG</v>
          </cell>
          <cell r="D8287" t="str">
            <v>200406</v>
          </cell>
          <cell r="E8287">
            <v>4.7110000000000003</v>
          </cell>
        </row>
        <row r="8288">
          <cell r="A8288" t="str">
            <v/>
          </cell>
          <cell r="B8288">
            <v>37956</v>
          </cell>
          <cell r="C8288" t="str">
            <v>NG</v>
          </cell>
          <cell r="D8288" t="str">
            <v>200407</v>
          </cell>
          <cell r="E8288">
            <v>4.7290000000000001</v>
          </cell>
        </row>
        <row r="8289">
          <cell r="A8289" t="str">
            <v/>
          </cell>
          <cell r="B8289">
            <v>37956</v>
          </cell>
          <cell r="C8289" t="str">
            <v>NG</v>
          </cell>
          <cell r="D8289" t="str">
            <v>200408</v>
          </cell>
          <cell r="E8289">
            <v>4.7460000000000004</v>
          </cell>
        </row>
        <row r="8290">
          <cell r="A8290" t="str">
            <v/>
          </cell>
          <cell r="B8290">
            <v>37956</v>
          </cell>
          <cell r="C8290" t="str">
            <v>NG</v>
          </cell>
          <cell r="D8290" t="str">
            <v>200409</v>
          </cell>
          <cell r="E8290">
            <v>4.7359999999999998</v>
          </cell>
        </row>
        <row r="8291">
          <cell r="A8291" t="str">
            <v/>
          </cell>
          <cell r="B8291">
            <v>37956</v>
          </cell>
          <cell r="C8291" t="str">
            <v>NG</v>
          </cell>
          <cell r="D8291" t="str">
            <v>200410</v>
          </cell>
          <cell r="E8291">
            <v>4.7380000000000004</v>
          </cell>
        </row>
        <row r="8292">
          <cell r="A8292" t="str">
            <v/>
          </cell>
          <cell r="B8292">
            <v>37956</v>
          </cell>
          <cell r="C8292" t="str">
            <v>NG</v>
          </cell>
          <cell r="D8292" t="str">
            <v>200411</v>
          </cell>
          <cell r="E8292">
            <v>4.8899999999999997</v>
          </cell>
        </row>
        <row r="8293">
          <cell r="A8293" t="str">
            <v/>
          </cell>
          <cell r="B8293">
            <v>37956</v>
          </cell>
          <cell r="C8293" t="str">
            <v>NG</v>
          </cell>
          <cell r="D8293" t="str">
            <v>200412</v>
          </cell>
          <cell r="E8293">
            <v>5.0549999999999997</v>
          </cell>
        </row>
        <row r="8294">
          <cell r="A8294" t="str">
            <v/>
          </cell>
          <cell r="B8294">
            <v>37957</v>
          </cell>
          <cell r="C8294" t="str">
            <v>NG</v>
          </cell>
          <cell r="D8294" t="str">
            <v>200401</v>
          </cell>
          <cell r="E8294">
            <v>5.5789999999999997</v>
          </cell>
        </row>
        <row r="8295">
          <cell r="A8295" t="str">
            <v/>
          </cell>
          <cell r="B8295">
            <v>37957</v>
          </cell>
          <cell r="C8295" t="str">
            <v>NG</v>
          </cell>
          <cell r="D8295" t="str">
            <v>200402</v>
          </cell>
          <cell r="E8295">
            <v>5.5650000000000004</v>
          </cell>
        </row>
        <row r="8296">
          <cell r="A8296" t="str">
            <v/>
          </cell>
          <cell r="B8296">
            <v>37957</v>
          </cell>
          <cell r="C8296" t="str">
            <v>NG</v>
          </cell>
          <cell r="D8296" t="str">
            <v>200403</v>
          </cell>
          <cell r="E8296">
            <v>5.3920000000000003</v>
          </cell>
        </row>
        <row r="8297">
          <cell r="A8297" t="str">
            <v/>
          </cell>
          <cell r="B8297">
            <v>37957</v>
          </cell>
          <cell r="C8297" t="str">
            <v>NG</v>
          </cell>
          <cell r="D8297" t="str">
            <v>200404</v>
          </cell>
          <cell r="E8297">
            <v>4.8609999999999998</v>
          </cell>
        </row>
        <row r="8298">
          <cell r="A8298" t="str">
            <v/>
          </cell>
          <cell r="B8298">
            <v>37957</v>
          </cell>
          <cell r="C8298" t="str">
            <v>NG</v>
          </cell>
          <cell r="D8298" t="str">
            <v>200405</v>
          </cell>
          <cell r="E8298">
            <v>4.7910000000000004</v>
          </cell>
        </row>
        <row r="8299">
          <cell r="A8299" t="str">
            <v/>
          </cell>
          <cell r="B8299">
            <v>37957</v>
          </cell>
          <cell r="C8299" t="str">
            <v>NG</v>
          </cell>
          <cell r="D8299" t="str">
            <v>200406</v>
          </cell>
          <cell r="E8299">
            <v>4.8090000000000002</v>
          </cell>
        </row>
        <row r="8300">
          <cell r="A8300" t="str">
            <v/>
          </cell>
          <cell r="B8300">
            <v>37957</v>
          </cell>
          <cell r="C8300" t="str">
            <v>NG</v>
          </cell>
          <cell r="D8300" t="str">
            <v>200407</v>
          </cell>
          <cell r="E8300">
            <v>4.827</v>
          </cell>
        </row>
        <row r="8301">
          <cell r="A8301" t="str">
            <v/>
          </cell>
          <cell r="B8301">
            <v>37957</v>
          </cell>
          <cell r="C8301" t="str">
            <v>NG</v>
          </cell>
          <cell r="D8301" t="str">
            <v>200408</v>
          </cell>
          <cell r="E8301">
            <v>4.8419999999999996</v>
          </cell>
        </row>
        <row r="8302">
          <cell r="A8302" t="str">
            <v/>
          </cell>
          <cell r="B8302">
            <v>37957</v>
          </cell>
          <cell r="C8302" t="str">
            <v>NG</v>
          </cell>
          <cell r="D8302" t="str">
            <v>200409</v>
          </cell>
          <cell r="E8302">
            <v>4.8230000000000004</v>
          </cell>
        </row>
        <row r="8303">
          <cell r="A8303" t="str">
            <v/>
          </cell>
          <cell r="B8303">
            <v>37957</v>
          </cell>
          <cell r="C8303" t="str">
            <v>NG</v>
          </cell>
          <cell r="D8303" t="str">
            <v>200410</v>
          </cell>
          <cell r="E8303">
            <v>4.8330000000000002</v>
          </cell>
        </row>
        <row r="8304">
          <cell r="A8304" t="str">
            <v/>
          </cell>
          <cell r="B8304">
            <v>37957</v>
          </cell>
          <cell r="C8304" t="str">
            <v>NG</v>
          </cell>
          <cell r="D8304" t="str">
            <v>200411</v>
          </cell>
          <cell r="E8304">
            <v>4.9749999999999996</v>
          </cell>
        </row>
        <row r="8305">
          <cell r="A8305" t="str">
            <v/>
          </cell>
          <cell r="B8305">
            <v>37957</v>
          </cell>
          <cell r="C8305" t="str">
            <v>NG</v>
          </cell>
          <cell r="D8305" t="str">
            <v>200412</v>
          </cell>
          <cell r="E8305">
            <v>5.1379999999999999</v>
          </cell>
        </row>
        <row r="8306">
          <cell r="A8306" t="str">
            <v/>
          </cell>
          <cell r="B8306">
            <v>37960</v>
          </cell>
          <cell r="C8306" t="str">
            <v>NG</v>
          </cell>
          <cell r="D8306" t="str">
            <v>200401</v>
          </cell>
          <cell r="E8306">
            <v>6.3369999999999997</v>
          </cell>
        </row>
        <row r="8307">
          <cell r="A8307" t="str">
            <v/>
          </cell>
          <cell r="B8307">
            <v>37960</v>
          </cell>
          <cell r="C8307" t="str">
            <v>NG</v>
          </cell>
          <cell r="D8307" t="str">
            <v>200402</v>
          </cell>
          <cell r="E8307">
            <v>6.3029999999999999</v>
          </cell>
        </row>
        <row r="8308">
          <cell r="A8308" t="str">
            <v/>
          </cell>
          <cell r="B8308">
            <v>37960</v>
          </cell>
          <cell r="C8308" t="str">
            <v>NG</v>
          </cell>
          <cell r="D8308" t="str">
            <v>200403</v>
          </cell>
          <cell r="E8308">
            <v>5.923</v>
          </cell>
        </row>
        <row r="8309">
          <cell r="A8309" t="str">
            <v/>
          </cell>
          <cell r="B8309">
            <v>37960</v>
          </cell>
          <cell r="C8309" t="str">
            <v>NG</v>
          </cell>
          <cell r="D8309" t="str">
            <v>200404</v>
          </cell>
          <cell r="E8309">
            <v>5.0730000000000004</v>
          </cell>
        </row>
        <row r="8310">
          <cell r="A8310" t="str">
            <v/>
          </cell>
          <cell r="B8310">
            <v>37960</v>
          </cell>
          <cell r="C8310" t="str">
            <v>NG</v>
          </cell>
          <cell r="D8310" t="str">
            <v>200405</v>
          </cell>
          <cell r="E8310">
            <v>4.8929999999999998</v>
          </cell>
        </row>
        <row r="8311">
          <cell r="A8311" t="str">
            <v/>
          </cell>
          <cell r="B8311">
            <v>37960</v>
          </cell>
          <cell r="C8311" t="str">
            <v>NG</v>
          </cell>
          <cell r="D8311" t="str">
            <v>200406</v>
          </cell>
          <cell r="E8311">
            <v>4.8929999999999998</v>
          </cell>
        </row>
        <row r="8312">
          <cell r="A8312" t="str">
            <v/>
          </cell>
          <cell r="B8312">
            <v>37960</v>
          </cell>
          <cell r="C8312" t="str">
            <v>NG</v>
          </cell>
          <cell r="D8312" t="str">
            <v>200407</v>
          </cell>
          <cell r="E8312">
            <v>4.883</v>
          </cell>
        </row>
        <row r="8313">
          <cell r="A8313" t="str">
            <v/>
          </cell>
          <cell r="B8313">
            <v>37960</v>
          </cell>
          <cell r="C8313" t="str">
            <v>NG</v>
          </cell>
          <cell r="D8313" t="str">
            <v>200408</v>
          </cell>
          <cell r="E8313">
            <v>4.8879999999999999</v>
          </cell>
        </row>
        <row r="8314">
          <cell r="A8314" t="str">
            <v/>
          </cell>
          <cell r="B8314">
            <v>37960</v>
          </cell>
          <cell r="C8314" t="str">
            <v>NG</v>
          </cell>
          <cell r="D8314" t="str">
            <v>200409</v>
          </cell>
          <cell r="E8314">
            <v>4.8680000000000003</v>
          </cell>
        </row>
        <row r="8315">
          <cell r="A8315" t="str">
            <v/>
          </cell>
          <cell r="B8315">
            <v>37960</v>
          </cell>
          <cell r="C8315" t="str">
            <v>NG</v>
          </cell>
          <cell r="D8315" t="str">
            <v>200410</v>
          </cell>
          <cell r="E8315">
            <v>4.8579999999999997</v>
          </cell>
        </row>
        <row r="8316">
          <cell r="A8316" t="str">
            <v/>
          </cell>
          <cell r="B8316">
            <v>37960</v>
          </cell>
          <cell r="C8316" t="str">
            <v>NG</v>
          </cell>
          <cell r="D8316" t="str">
            <v>200411</v>
          </cell>
          <cell r="E8316">
            <v>4.992</v>
          </cell>
        </row>
        <row r="8317">
          <cell r="A8317" t="str">
            <v/>
          </cell>
          <cell r="B8317">
            <v>37960</v>
          </cell>
          <cell r="C8317" t="str">
            <v>NG</v>
          </cell>
          <cell r="D8317" t="str">
            <v>200412</v>
          </cell>
          <cell r="E8317">
            <v>5.14</v>
          </cell>
        </row>
        <row r="8318">
          <cell r="A8318" t="str">
            <v/>
          </cell>
          <cell r="B8318">
            <v>37958</v>
          </cell>
          <cell r="C8318" t="str">
            <v>NG</v>
          </cell>
          <cell r="D8318" t="str">
            <v>200401</v>
          </cell>
          <cell r="E8318">
            <v>5.7560000000000002</v>
          </cell>
        </row>
        <row r="8319">
          <cell r="A8319" t="str">
            <v/>
          </cell>
          <cell r="B8319">
            <v>37958</v>
          </cell>
          <cell r="C8319" t="str">
            <v>NG</v>
          </cell>
          <cell r="D8319" t="str">
            <v>200402</v>
          </cell>
          <cell r="E8319">
            <v>5.7160000000000002</v>
          </cell>
        </row>
        <row r="8320">
          <cell r="A8320" t="str">
            <v/>
          </cell>
          <cell r="B8320">
            <v>37958</v>
          </cell>
          <cell r="C8320" t="str">
            <v>NG</v>
          </cell>
          <cell r="D8320" t="str">
            <v>200403</v>
          </cell>
          <cell r="E8320">
            <v>5.4859999999999998</v>
          </cell>
        </row>
        <row r="8321">
          <cell r="A8321" t="str">
            <v/>
          </cell>
          <cell r="B8321">
            <v>37958</v>
          </cell>
          <cell r="C8321" t="str">
            <v>NG</v>
          </cell>
          <cell r="D8321" t="str">
            <v>200404</v>
          </cell>
          <cell r="E8321">
            <v>4.8630000000000004</v>
          </cell>
        </row>
        <row r="8322">
          <cell r="A8322" t="str">
            <v/>
          </cell>
          <cell r="B8322">
            <v>37958</v>
          </cell>
          <cell r="C8322" t="str">
            <v>NG</v>
          </cell>
          <cell r="D8322" t="str">
            <v>200405</v>
          </cell>
          <cell r="E8322">
            <v>4.7729999999999997</v>
          </cell>
        </row>
        <row r="8323">
          <cell r="A8323" t="str">
            <v/>
          </cell>
          <cell r="B8323">
            <v>37958</v>
          </cell>
          <cell r="C8323" t="str">
            <v>NG</v>
          </cell>
          <cell r="D8323" t="str">
            <v>200406</v>
          </cell>
          <cell r="E8323">
            <v>4.7910000000000004</v>
          </cell>
        </row>
        <row r="8324">
          <cell r="A8324" t="str">
            <v/>
          </cell>
          <cell r="B8324">
            <v>37958</v>
          </cell>
          <cell r="C8324" t="str">
            <v>NG</v>
          </cell>
          <cell r="D8324" t="str">
            <v>200407</v>
          </cell>
          <cell r="E8324">
            <v>4.8040000000000003</v>
          </cell>
        </row>
        <row r="8325">
          <cell r="A8325" t="str">
            <v/>
          </cell>
          <cell r="B8325">
            <v>37958</v>
          </cell>
          <cell r="C8325" t="str">
            <v>NG</v>
          </cell>
          <cell r="D8325" t="str">
            <v>200408</v>
          </cell>
          <cell r="E8325">
            <v>4.819</v>
          </cell>
        </row>
        <row r="8326">
          <cell r="A8326" t="str">
            <v/>
          </cell>
          <cell r="B8326">
            <v>37958</v>
          </cell>
          <cell r="C8326" t="str">
            <v>NG</v>
          </cell>
          <cell r="D8326" t="str">
            <v>200409</v>
          </cell>
          <cell r="E8326">
            <v>4.8</v>
          </cell>
        </row>
        <row r="8327">
          <cell r="A8327" t="str">
            <v/>
          </cell>
          <cell r="B8327">
            <v>37958</v>
          </cell>
          <cell r="C8327" t="str">
            <v>NG</v>
          </cell>
          <cell r="D8327" t="str">
            <v>200410</v>
          </cell>
          <cell r="E8327">
            <v>4.8049999999999997</v>
          </cell>
        </row>
        <row r="8328">
          <cell r="A8328" t="str">
            <v/>
          </cell>
          <cell r="B8328">
            <v>37958</v>
          </cell>
          <cell r="C8328" t="str">
            <v>NG</v>
          </cell>
          <cell r="D8328" t="str">
            <v>200411</v>
          </cell>
          <cell r="E8328">
            <v>4.9450000000000003</v>
          </cell>
        </row>
        <row r="8329">
          <cell r="A8329" t="str">
            <v/>
          </cell>
          <cell r="B8329">
            <v>37958</v>
          </cell>
          <cell r="C8329" t="str">
            <v>NG</v>
          </cell>
          <cell r="D8329" t="str">
            <v>200412</v>
          </cell>
          <cell r="E8329">
            <v>5.0999999999999996</v>
          </cell>
        </row>
        <row r="8330">
          <cell r="A8330" t="str">
            <v/>
          </cell>
          <cell r="B8330">
            <v>37959</v>
          </cell>
          <cell r="C8330" t="str">
            <v>NG</v>
          </cell>
          <cell r="D8330" t="str">
            <v>200401</v>
          </cell>
          <cell r="E8330">
            <v>6.3369999999999997</v>
          </cell>
        </row>
        <row r="8331">
          <cell r="A8331" t="str">
            <v/>
          </cell>
          <cell r="B8331">
            <v>37959</v>
          </cell>
          <cell r="C8331" t="str">
            <v>NG</v>
          </cell>
          <cell r="D8331" t="str">
            <v>200402</v>
          </cell>
          <cell r="E8331">
            <v>6.3029999999999999</v>
          </cell>
        </row>
        <row r="8332">
          <cell r="A8332" t="str">
            <v/>
          </cell>
          <cell r="B8332">
            <v>37959</v>
          </cell>
          <cell r="C8332" t="str">
            <v>NG</v>
          </cell>
          <cell r="D8332" t="str">
            <v>200403</v>
          </cell>
          <cell r="E8332">
            <v>5.923</v>
          </cell>
        </row>
        <row r="8333">
          <cell r="A8333" t="str">
            <v/>
          </cell>
          <cell r="B8333">
            <v>37959</v>
          </cell>
          <cell r="C8333" t="str">
            <v>NG</v>
          </cell>
          <cell r="D8333" t="str">
            <v>200404</v>
          </cell>
          <cell r="E8333">
            <v>5.0730000000000004</v>
          </cell>
        </row>
        <row r="8334">
          <cell r="A8334" t="str">
            <v/>
          </cell>
          <cell r="B8334">
            <v>37959</v>
          </cell>
          <cell r="C8334" t="str">
            <v>NG</v>
          </cell>
          <cell r="D8334" t="str">
            <v>200405</v>
          </cell>
          <cell r="E8334">
            <v>4.8929999999999998</v>
          </cell>
        </row>
        <row r="8335">
          <cell r="A8335" t="str">
            <v/>
          </cell>
          <cell r="B8335">
            <v>37959</v>
          </cell>
          <cell r="C8335" t="str">
            <v>NG</v>
          </cell>
          <cell r="D8335" t="str">
            <v>200406</v>
          </cell>
          <cell r="E8335">
            <v>4.8929999999999998</v>
          </cell>
        </row>
        <row r="8336">
          <cell r="A8336" t="str">
            <v/>
          </cell>
          <cell r="B8336">
            <v>37959</v>
          </cell>
          <cell r="C8336" t="str">
            <v>NG</v>
          </cell>
          <cell r="D8336" t="str">
            <v>200407</v>
          </cell>
          <cell r="E8336">
            <v>4.883</v>
          </cell>
        </row>
        <row r="8337">
          <cell r="A8337" t="str">
            <v/>
          </cell>
          <cell r="B8337">
            <v>37959</v>
          </cell>
          <cell r="C8337" t="str">
            <v>NG</v>
          </cell>
          <cell r="D8337" t="str">
            <v>200408</v>
          </cell>
          <cell r="E8337">
            <v>4.8879999999999999</v>
          </cell>
        </row>
        <row r="8338">
          <cell r="A8338" t="str">
            <v/>
          </cell>
          <cell r="B8338">
            <v>37959</v>
          </cell>
          <cell r="C8338" t="str">
            <v>NG</v>
          </cell>
          <cell r="D8338" t="str">
            <v>200409</v>
          </cell>
          <cell r="E8338">
            <v>4.8680000000000003</v>
          </cell>
        </row>
        <row r="8339">
          <cell r="A8339" t="str">
            <v/>
          </cell>
          <cell r="B8339">
            <v>37959</v>
          </cell>
          <cell r="C8339" t="str">
            <v>NG</v>
          </cell>
          <cell r="D8339" t="str">
            <v>200410</v>
          </cell>
          <cell r="E8339">
            <v>4.8579999999999997</v>
          </cell>
        </row>
        <row r="8340">
          <cell r="A8340" t="str">
            <v/>
          </cell>
          <cell r="B8340">
            <v>37959</v>
          </cell>
          <cell r="C8340" t="str">
            <v>NG</v>
          </cell>
          <cell r="D8340" t="str">
            <v>200411</v>
          </cell>
          <cell r="E8340">
            <v>4.992</v>
          </cell>
        </row>
        <row r="8341">
          <cell r="A8341" t="str">
            <v/>
          </cell>
          <cell r="B8341">
            <v>37959</v>
          </cell>
          <cell r="C8341" t="str">
            <v>NG</v>
          </cell>
          <cell r="D8341" t="str">
            <v>200412</v>
          </cell>
          <cell r="E8341">
            <v>5.14</v>
          </cell>
        </row>
        <row r="8342">
          <cell r="A8342" t="str">
            <v/>
          </cell>
        </row>
        <row r="8343">
          <cell r="A8343" t="str">
            <v/>
          </cell>
        </row>
        <row r="8344">
          <cell r="A8344" t="str">
            <v/>
          </cell>
        </row>
        <row r="8345">
          <cell r="A8345" t="str">
            <v/>
          </cell>
        </row>
        <row r="8346">
          <cell r="A8346" t="str">
            <v/>
          </cell>
        </row>
        <row r="8347">
          <cell r="A8347" t="str">
            <v/>
          </cell>
        </row>
        <row r="8348">
          <cell r="A8348" t="str">
            <v/>
          </cell>
        </row>
        <row r="8349">
          <cell r="A8349" t="str">
            <v/>
          </cell>
        </row>
        <row r="8350">
          <cell r="A8350" t="str">
            <v/>
          </cell>
        </row>
        <row r="8351">
          <cell r="A8351" t="str">
            <v/>
          </cell>
        </row>
        <row r="8352">
          <cell r="A8352" t="str">
            <v/>
          </cell>
        </row>
        <row r="8353">
          <cell r="A8353" t="str">
            <v/>
          </cell>
        </row>
        <row r="8354">
          <cell r="A8354" t="str">
            <v/>
          </cell>
        </row>
        <row r="8355">
          <cell r="A8355" t="str">
            <v/>
          </cell>
        </row>
        <row r="8356">
          <cell r="A8356" t="str">
            <v/>
          </cell>
        </row>
        <row r="8357">
          <cell r="A8357" t="str">
            <v/>
          </cell>
        </row>
        <row r="8358">
          <cell r="A8358" t="str">
            <v/>
          </cell>
        </row>
        <row r="8359">
          <cell r="A8359" t="str">
            <v/>
          </cell>
        </row>
        <row r="8360">
          <cell r="A8360" t="str">
            <v/>
          </cell>
        </row>
        <row r="8361">
          <cell r="A8361" t="str">
            <v/>
          </cell>
        </row>
        <row r="8362">
          <cell r="A8362" t="str">
            <v/>
          </cell>
        </row>
        <row r="8363">
          <cell r="A8363" t="str">
            <v/>
          </cell>
        </row>
        <row r="8364">
          <cell r="A8364" t="str">
            <v/>
          </cell>
        </row>
        <row r="8365">
          <cell r="A8365" t="str">
            <v/>
          </cell>
        </row>
        <row r="8366">
          <cell r="A8366" t="str">
            <v/>
          </cell>
        </row>
        <row r="8367">
          <cell r="A8367" t="str">
            <v/>
          </cell>
        </row>
        <row r="8368">
          <cell r="A8368" t="str">
            <v/>
          </cell>
        </row>
        <row r="8369">
          <cell r="A8369" t="str">
            <v/>
          </cell>
        </row>
        <row r="8370">
          <cell r="A8370" t="str">
            <v/>
          </cell>
        </row>
        <row r="8371">
          <cell r="A8371" t="str">
            <v/>
          </cell>
        </row>
        <row r="8372">
          <cell r="A8372" t="str">
            <v/>
          </cell>
        </row>
        <row r="8373">
          <cell r="A8373" t="str">
            <v/>
          </cell>
        </row>
        <row r="8374">
          <cell r="A8374" t="str">
            <v/>
          </cell>
        </row>
        <row r="8375">
          <cell r="A8375" t="str">
            <v/>
          </cell>
        </row>
        <row r="8376">
          <cell r="A8376" t="str">
            <v/>
          </cell>
        </row>
        <row r="8377">
          <cell r="A8377" t="str">
            <v/>
          </cell>
        </row>
        <row r="8378">
          <cell r="A8378" t="str">
            <v/>
          </cell>
        </row>
        <row r="8379">
          <cell r="A8379" t="str">
            <v/>
          </cell>
        </row>
        <row r="8380">
          <cell r="A8380" t="str">
            <v/>
          </cell>
        </row>
        <row r="8381">
          <cell r="A8381" t="str">
            <v/>
          </cell>
        </row>
        <row r="8382">
          <cell r="A8382" t="str">
            <v/>
          </cell>
        </row>
        <row r="8383">
          <cell r="A8383" t="str">
            <v/>
          </cell>
        </row>
        <row r="8384">
          <cell r="A8384" t="str">
            <v/>
          </cell>
        </row>
        <row r="8385">
          <cell r="A8385" t="str">
            <v/>
          </cell>
        </row>
        <row r="8386">
          <cell r="A8386" t="str">
            <v/>
          </cell>
        </row>
        <row r="8387">
          <cell r="A8387" t="str">
            <v/>
          </cell>
        </row>
        <row r="8388">
          <cell r="A8388" t="str">
            <v/>
          </cell>
        </row>
        <row r="8389">
          <cell r="A8389" t="str">
            <v/>
          </cell>
        </row>
        <row r="8390">
          <cell r="A8390" t="str">
            <v/>
          </cell>
        </row>
        <row r="8391">
          <cell r="A8391" t="str">
            <v/>
          </cell>
        </row>
        <row r="8392">
          <cell r="A8392" t="str">
            <v/>
          </cell>
        </row>
        <row r="8393">
          <cell r="A8393" t="str">
            <v/>
          </cell>
        </row>
        <row r="8394">
          <cell r="A8394" t="str">
            <v/>
          </cell>
        </row>
        <row r="8395">
          <cell r="A8395" t="str">
            <v/>
          </cell>
        </row>
        <row r="8396">
          <cell r="A8396" t="str">
            <v/>
          </cell>
        </row>
        <row r="8397">
          <cell r="A8397" t="str">
            <v/>
          </cell>
        </row>
        <row r="8398">
          <cell r="A8398" t="str">
            <v/>
          </cell>
        </row>
        <row r="8399">
          <cell r="A8399" t="str">
            <v/>
          </cell>
        </row>
        <row r="8400">
          <cell r="A8400" t="str">
            <v/>
          </cell>
        </row>
        <row r="8401">
          <cell r="A8401" t="str">
            <v/>
          </cell>
        </row>
        <row r="8402">
          <cell r="A8402" t="str">
            <v/>
          </cell>
        </row>
        <row r="8403">
          <cell r="A8403" t="str">
            <v/>
          </cell>
        </row>
        <row r="8404">
          <cell r="A8404" t="str">
            <v/>
          </cell>
        </row>
        <row r="8405">
          <cell r="A8405" t="str">
            <v/>
          </cell>
        </row>
        <row r="8406">
          <cell r="A8406" t="str">
            <v/>
          </cell>
        </row>
        <row r="8407">
          <cell r="A8407" t="str">
            <v/>
          </cell>
        </row>
        <row r="8408">
          <cell r="A8408" t="str">
            <v/>
          </cell>
        </row>
        <row r="8409">
          <cell r="A8409" t="str">
            <v/>
          </cell>
        </row>
        <row r="8410">
          <cell r="A8410" t="str">
            <v/>
          </cell>
        </row>
        <row r="8411">
          <cell r="A8411" t="str">
            <v/>
          </cell>
        </row>
        <row r="8412">
          <cell r="A8412" t="str">
            <v/>
          </cell>
        </row>
        <row r="8413">
          <cell r="A8413" t="str">
            <v/>
          </cell>
        </row>
        <row r="8414">
          <cell r="A8414" t="str">
            <v/>
          </cell>
        </row>
        <row r="8415">
          <cell r="A8415" t="str">
            <v/>
          </cell>
        </row>
        <row r="8416">
          <cell r="A8416" t="str">
            <v/>
          </cell>
        </row>
        <row r="8417">
          <cell r="A8417" t="str">
            <v/>
          </cell>
        </row>
        <row r="8418">
          <cell r="A8418" t="str">
            <v/>
          </cell>
        </row>
        <row r="8419">
          <cell r="A8419" t="str">
            <v/>
          </cell>
        </row>
        <row r="8420">
          <cell r="A8420" t="str">
            <v/>
          </cell>
        </row>
        <row r="8421">
          <cell r="A8421" t="str">
            <v/>
          </cell>
        </row>
        <row r="8422">
          <cell r="A8422" t="str">
            <v/>
          </cell>
        </row>
        <row r="8423">
          <cell r="A8423" t="str">
            <v/>
          </cell>
        </row>
        <row r="8424">
          <cell r="A8424" t="str">
            <v/>
          </cell>
        </row>
        <row r="8425">
          <cell r="A8425" t="str">
            <v/>
          </cell>
        </row>
        <row r="8426">
          <cell r="A8426" t="str">
            <v/>
          </cell>
        </row>
        <row r="8427">
          <cell r="A8427" t="str">
            <v/>
          </cell>
        </row>
        <row r="8428">
          <cell r="A8428" t="str">
            <v/>
          </cell>
        </row>
        <row r="8429">
          <cell r="A8429" t="str">
            <v/>
          </cell>
        </row>
        <row r="8430">
          <cell r="A8430" t="str">
            <v/>
          </cell>
        </row>
        <row r="8431">
          <cell r="A8431" t="str">
            <v/>
          </cell>
        </row>
        <row r="8432">
          <cell r="A8432" t="str">
            <v/>
          </cell>
        </row>
        <row r="8433">
          <cell r="A8433" t="str">
            <v/>
          </cell>
        </row>
        <row r="8434">
          <cell r="A8434" t="str">
            <v/>
          </cell>
        </row>
        <row r="8435">
          <cell r="A8435" t="str">
            <v/>
          </cell>
        </row>
        <row r="8436">
          <cell r="A8436" t="str">
            <v/>
          </cell>
        </row>
        <row r="8437">
          <cell r="A8437" t="str">
            <v/>
          </cell>
        </row>
        <row r="8438">
          <cell r="A8438" t="str">
            <v/>
          </cell>
        </row>
        <row r="8439">
          <cell r="A8439" t="str">
            <v/>
          </cell>
        </row>
        <row r="8440">
          <cell r="A8440" t="str">
            <v/>
          </cell>
        </row>
        <row r="8441">
          <cell r="A8441" t="str">
            <v/>
          </cell>
        </row>
        <row r="8442">
          <cell r="A8442" t="str">
            <v/>
          </cell>
        </row>
        <row r="8443">
          <cell r="A8443" t="str">
            <v/>
          </cell>
        </row>
        <row r="8444">
          <cell r="A8444" t="str">
            <v/>
          </cell>
        </row>
        <row r="8445">
          <cell r="A8445" t="str">
            <v/>
          </cell>
        </row>
        <row r="8446">
          <cell r="A8446" t="str">
            <v/>
          </cell>
        </row>
        <row r="8447">
          <cell r="A8447" t="str">
            <v/>
          </cell>
        </row>
        <row r="8448">
          <cell r="A8448" t="str">
            <v/>
          </cell>
        </row>
        <row r="8449">
          <cell r="A8449" t="str">
            <v/>
          </cell>
        </row>
        <row r="8450">
          <cell r="A8450" t="str">
            <v/>
          </cell>
        </row>
        <row r="8451">
          <cell r="A8451" t="str">
            <v/>
          </cell>
        </row>
        <row r="8452">
          <cell r="A8452" t="str">
            <v/>
          </cell>
        </row>
        <row r="8453">
          <cell r="A8453" t="str">
            <v/>
          </cell>
        </row>
        <row r="8454">
          <cell r="A8454" t="str">
            <v/>
          </cell>
        </row>
        <row r="8455">
          <cell r="A8455" t="str">
            <v/>
          </cell>
        </row>
        <row r="8456">
          <cell r="A8456" t="str">
            <v/>
          </cell>
        </row>
        <row r="8457">
          <cell r="A8457" t="str">
            <v/>
          </cell>
        </row>
        <row r="8458">
          <cell r="A8458" t="str">
            <v/>
          </cell>
        </row>
        <row r="8459">
          <cell r="A8459" t="str">
            <v/>
          </cell>
        </row>
        <row r="8460">
          <cell r="A8460" t="str">
            <v/>
          </cell>
        </row>
        <row r="8461">
          <cell r="A8461" t="str">
            <v/>
          </cell>
        </row>
        <row r="8462">
          <cell r="A8462" t="str">
            <v/>
          </cell>
        </row>
        <row r="8463">
          <cell r="A8463" t="str">
            <v/>
          </cell>
        </row>
        <row r="8464">
          <cell r="A8464" t="str">
            <v/>
          </cell>
        </row>
        <row r="8465">
          <cell r="A8465" t="str">
            <v/>
          </cell>
        </row>
        <row r="8466">
          <cell r="A8466" t="str">
            <v/>
          </cell>
        </row>
        <row r="8467">
          <cell r="A8467" t="str">
            <v/>
          </cell>
        </row>
        <row r="8468">
          <cell r="A8468" t="str">
            <v/>
          </cell>
        </row>
        <row r="8469">
          <cell r="A8469" t="str">
            <v/>
          </cell>
        </row>
        <row r="8470">
          <cell r="A8470" t="str">
            <v/>
          </cell>
        </row>
        <row r="8471">
          <cell r="A8471" t="str">
            <v/>
          </cell>
        </row>
        <row r="8472">
          <cell r="A8472" t="str">
            <v/>
          </cell>
        </row>
        <row r="8473">
          <cell r="A8473" t="str">
            <v/>
          </cell>
        </row>
        <row r="8474">
          <cell r="A8474" t="str">
            <v/>
          </cell>
        </row>
        <row r="8475">
          <cell r="A8475" t="str">
            <v/>
          </cell>
        </row>
        <row r="8476">
          <cell r="A8476" t="str">
            <v/>
          </cell>
        </row>
        <row r="8477">
          <cell r="A8477" t="str">
            <v/>
          </cell>
        </row>
        <row r="8478">
          <cell r="A8478" t="str">
            <v/>
          </cell>
        </row>
        <row r="8479">
          <cell r="A8479" t="str">
            <v/>
          </cell>
        </row>
        <row r="8480">
          <cell r="A8480" t="str">
            <v/>
          </cell>
        </row>
        <row r="8481">
          <cell r="A8481" t="str">
            <v/>
          </cell>
        </row>
        <row r="8482">
          <cell r="A8482" t="str">
            <v/>
          </cell>
        </row>
        <row r="8483">
          <cell r="A8483" t="str">
            <v/>
          </cell>
        </row>
        <row r="8484">
          <cell r="A8484" t="str">
            <v/>
          </cell>
        </row>
        <row r="8485">
          <cell r="A8485" t="str">
            <v/>
          </cell>
        </row>
        <row r="8486">
          <cell r="A8486" t="str">
            <v/>
          </cell>
        </row>
        <row r="8487">
          <cell r="A8487" t="str">
            <v/>
          </cell>
        </row>
        <row r="8488">
          <cell r="A8488" t="str">
            <v/>
          </cell>
        </row>
        <row r="8489">
          <cell r="A8489" t="str">
            <v/>
          </cell>
        </row>
        <row r="8490">
          <cell r="A8490" t="str">
            <v/>
          </cell>
        </row>
        <row r="8491">
          <cell r="A8491" t="str">
            <v/>
          </cell>
        </row>
        <row r="8492">
          <cell r="A8492" t="str">
            <v/>
          </cell>
        </row>
        <row r="8493">
          <cell r="A8493" t="str">
            <v/>
          </cell>
        </row>
        <row r="8494">
          <cell r="A8494" t="str">
            <v/>
          </cell>
        </row>
        <row r="8495">
          <cell r="A8495" t="str">
            <v/>
          </cell>
        </row>
        <row r="8496">
          <cell r="A8496" t="str">
            <v/>
          </cell>
        </row>
        <row r="8497">
          <cell r="A8497" t="str">
            <v/>
          </cell>
        </row>
        <row r="8498">
          <cell r="A8498" t="str">
            <v/>
          </cell>
        </row>
        <row r="8499">
          <cell r="A8499" t="str">
            <v/>
          </cell>
        </row>
        <row r="8500">
          <cell r="A8500" t="str">
            <v/>
          </cell>
        </row>
        <row r="8501">
          <cell r="A8501" t="str">
            <v/>
          </cell>
        </row>
        <row r="8502">
          <cell r="A8502" t="str">
            <v/>
          </cell>
        </row>
        <row r="8503">
          <cell r="A8503" t="str">
            <v/>
          </cell>
        </row>
        <row r="8504">
          <cell r="A8504" t="str">
            <v/>
          </cell>
        </row>
        <row r="8505">
          <cell r="A8505" t="str">
            <v/>
          </cell>
        </row>
        <row r="8506">
          <cell r="A8506" t="str">
            <v/>
          </cell>
        </row>
        <row r="8507">
          <cell r="A8507" t="str">
            <v/>
          </cell>
        </row>
        <row r="8508">
          <cell r="A8508" t="str">
            <v/>
          </cell>
        </row>
        <row r="8509">
          <cell r="A8509" t="str">
            <v/>
          </cell>
        </row>
        <row r="8510">
          <cell r="A8510" t="str">
            <v/>
          </cell>
        </row>
        <row r="8511">
          <cell r="A8511" t="str">
            <v/>
          </cell>
        </row>
        <row r="8512">
          <cell r="A8512" t="str">
            <v/>
          </cell>
        </row>
        <row r="8513">
          <cell r="A8513" t="str">
            <v/>
          </cell>
        </row>
        <row r="8514">
          <cell r="A8514" t="str">
            <v/>
          </cell>
        </row>
        <row r="8515">
          <cell r="A8515" t="str">
            <v/>
          </cell>
        </row>
        <row r="8516">
          <cell r="A8516" t="str">
            <v/>
          </cell>
        </row>
        <row r="8517">
          <cell r="A8517" t="str">
            <v/>
          </cell>
        </row>
        <row r="8518">
          <cell r="A8518" t="str">
            <v/>
          </cell>
        </row>
        <row r="8519">
          <cell r="A8519" t="str">
            <v/>
          </cell>
        </row>
        <row r="8520">
          <cell r="A8520" t="str">
            <v/>
          </cell>
        </row>
        <row r="8521">
          <cell r="A8521" t="str">
            <v/>
          </cell>
        </row>
        <row r="8522">
          <cell r="A8522" t="str">
            <v/>
          </cell>
        </row>
        <row r="8523">
          <cell r="A8523" t="str">
            <v/>
          </cell>
        </row>
        <row r="8524">
          <cell r="A8524" t="str">
            <v/>
          </cell>
        </row>
        <row r="8525">
          <cell r="A8525" t="str">
            <v/>
          </cell>
        </row>
        <row r="8526">
          <cell r="A8526" t="str">
            <v/>
          </cell>
        </row>
        <row r="8527">
          <cell r="A8527" t="str">
            <v/>
          </cell>
        </row>
        <row r="8528">
          <cell r="A8528" t="str">
            <v/>
          </cell>
        </row>
        <row r="8529">
          <cell r="A8529" t="str">
            <v/>
          </cell>
        </row>
        <row r="8530">
          <cell r="A8530" t="str">
            <v/>
          </cell>
        </row>
        <row r="8531">
          <cell r="A8531" t="str">
            <v/>
          </cell>
        </row>
        <row r="8532">
          <cell r="A8532" t="str">
            <v/>
          </cell>
        </row>
        <row r="8533">
          <cell r="A8533" t="str">
            <v/>
          </cell>
        </row>
        <row r="8534">
          <cell r="A8534" t="str">
            <v/>
          </cell>
        </row>
        <row r="8535">
          <cell r="A8535" t="str">
            <v/>
          </cell>
        </row>
        <row r="8536">
          <cell r="A8536" t="str">
            <v/>
          </cell>
        </row>
        <row r="8537">
          <cell r="A8537" t="str">
            <v/>
          </cell>
        </row>
        <row r="8538">
          <cell r="A8538" t="str">
            <v/>
          </cell>
        </row>
        <row r="8539">
          <cell r="A8539" t="str">
            <v/>
          </cell>
        </row>
        <row r="8540">
          <cell r="A8540" t="str">
            <v/>
          </cell>
        </row>
        <row r="8541">
          <cell r="A8541" t="str">
            <v/>
          </cell>
        </row>
        <row r="8542">
          <cell r="A8542" t="str">
            <v/>
          </cell>
        </row>
        <row r="8543">
          <cell r="A8543" t="str">
            <v/>
          </cell>
        </row>
        <row r="8544">
          <cell r="A8544" t="str">
            <v/>
          </cell>
        </row>
        <row r="8545">
          <cell r="A8545" t="str">
            <v/>
          </cell>
        </row>
        <row r="8546">
          <cell r="A8546" t="str">
            <v/>
          </cell>
        </row>
        <row r="8547">
          <cell r="A8547" t="str">
            <v/>
          </cell>
        </row>
        <row r="8548">
          <cell r="A8548" t="str">
            <v/>
          </cell>
        </row>
        <row r="8549">
          <cell r="A8549" t="str">
            <v/>
          </cell>
        </row>
        <row r="8550">
          <cell r="A8550" t="str">
            <v/>
          </cell>
        </row>
        <row r="8551">
          <cell r="A8551" t="str">
            <v/>
          </cell>
        </row>
        <row r="8552">
          <cell r="A8552" t="str">
            <v/>
          </cell>
        </row>
        <row r="8553">
          <cell r="A8553" t="str">
            <v/>
          </cell>
        </row>
        <row r="8554">
          <cell r="A8554" t="str">
            <v/>
          </cell>
        </row>
        <row r="8555">
          <cell r="A8555" t="str">
            <v/>
          </cell>
        </row>
        <row r="8556">
          <cell r="A8556" t="str">
            <v/>
          </cell>
        </row>
        <row r="8557">
          <cell r="A8557" t="str">
            <v/>
          </cell>
        </row>
        <row r="8558">
          <cell r="A8558" t="str">
            <v/>
          </cell>
        </row>
        <row r="8559">
          <cell r="A8559" t="str">
            <v/>
          </cell>
        </row>
        <row r="8560">
          <cell r="A8560" t="str">
            <v/>
          </cell>
        </row>
        <row r="8561">
          <cell r="A8561" t="str">
            <v/>
          </cell>
        </row>
        <row r="8562">
          <cell r="A8562" t="str">
            <v/>
          </cell>
        </row>
        <row r="8563">
          <cell r="A8563" t="str">
            <v/>
          </cell>
        </row>
        <row r="8564">
          <cell r="A8564" t="str">
            <v/>
          </cell>
        </row>
        <row r="8565">
          <cell r="A8565" t="str">
            <v/>
          </cell>
        </row>
        <row r="8566">
          <cell r="A8566" t="str">
            <v/>
          </cell>
        </row>
        <row r="8567">
          <cell r="A8567" t="str">
            <v/>
          </cell>
        </row>
        <row r="8568">
          <cell r="A8568" t="str">
            <v/>
          </cell>
        </row>
        <row r="8569">
          <cell r="A8569" t="str">
            <v/>
          </cell>
        </row>
        <row r="8570">
          <cell r="A8570" t="str">
            <v/>
          </cell>
        </row>
        <row r="8571">
          <cell r="A8571" t="str">
            <v/>
          </cell>
        </row>
        <row r="8572">
          <cell r="A8572" t="str">
            <v/>
          </cell>
        </row>
        <row r="8573">
          <cell r="A8573" t="str">
            <v/>
          </cell>
        </row>
        <row r="8574">
          <cell r="A8574" t="str">
            <v/>
          </cell>
        </row>
        <row r="8575">
          <cell r="A8575" t="str">
            <v/>
          </cell>
        </row>
        <row r="8576">
          <cell r="A8576" t="str">
            <v/>
          </cell>
        </row>
        <row r="8577">
          <cell r="A8577" t="str">
            <v/>
          </cell>
        </row>
        <row r="8578">
          <cell r="A8578" t="str">
            <v/>
          </cell>
        </row>
        <row r="8579">
          <cell r="A8579" t="str">
            <v/>
          </cell>
        </row>
        <row r="8580">
          <cell r="A8580" t="str">
            <v/>
          </cell>
        </row>
        <row r="8581">
          <cell r="A8581" t="str">
            <v/>
          </cell>
        </row>
        <row r="8582">
          <cell r="A8582" t="str">
            <v/>
          </cell>
        </row>
        <row r="8583">
          <cell r="A8583" t="str">
            <v/>
          </cell>
        </row>
        <row r="8584">
          <cell r="A8584" t="str">
            <v/>
          </cell>
        </row>
        <row r="8585">
          <cell r="A8585" t="str">
            <v/>
          </cell>
        </row>
        <row r="8586">
          <cell r="A8586" t="str">
            <v/>
          </cell>
        </row>
        <row r="8587">
          <cell r="A8587" t="str">
            <v/>
          </cell>
        </row>
        <row r="8588">
          <cell r="A8588" t="str">
            <v/>
          </cell>
        </row>
        <row r="8589">
          <cell r="A8589" t="str">
            <v/>
          </cell>
        </row>
        <row r="8590">
          <cell r="A8590" t="str">
            <v/>
          </cell>
        </row>
        <row r="8591">
          <cell r="A8591" t="str">
            <v/>
          </cell>
        </row>
        <row r="8592">
          <cell r="A8592" t="str">
            <v/>
          </cell>
        </row>
        <row r="8593">
          <cell r="A8593" t="str">
            <v/>
          </cell>
        </row>
        <row r="8594">
          <cell r="A8594" t="str">
            <v/>
          </cell>
        </row>
        <row r="8595">
          <cell r="A8595" t="str">
            <v/>
          </cell>
        </row>
        <row r="8596">
          <cell r="A8596" t="str">
            <v/>
          </cell>
        </row>
        <row r="8597">
          <cell r="A8597" t="str">
            <v/>
          </cell>
        </row>
        <row r="8598">
          <cell r="A8598" t="str">
            <v/>
          </cell>
        </row>
        <row r="8599">
          <cell r="A8599" t="str">
            <v/>
          </cell>
        </row>
        <row r="8600">
          <cell r="A8600" t="str">
            <v/>
          </cell>
        </row>
        <row r="8601">
          <cell r="A8601" t="str">
            <v/>
          </cell>
        </row>
        <row r="8602">
          <cell r="A8602" t="str">
            <v/>
          </cell>
        </row>
        <row r="8603">
          <cell r="A8603" t="str">
            <v/>
          </cell>
        </row>
        <row r="8604">
          <cell r="A8604" t="str">
            <v/>
          </cell>
        </row>
        <row r="8605">
          <cell r="A8605" t="str">
            <v/>
          </cell>
        </row>
        <row r="8606">
          <cell r="A8606" t="str">
            <v/>
          </cell>
        </row>
        <row r="8607">
          <cell r="A8607" t="str">
            <v/>
          </cell>
        </row>
        <row r="8608">
          <cell r="A8608" t="str">
            <v/>
          </cell>
        </row>
        <row r="8609">
          <cell r="A8609" t="str">
            <v/>
          </cell>
        </row>
        <row r="8610">
          <cell r="A8610" t="str">
            <v/>
          </cell>
        </row>
        <row r="8611">
          <cell r="A8611" t="str">
            <v/>
          </cell>
        </row>
        <row r="8612">
          <cell r="A8612" t="str">
            <v/>
          </cell>
        </row>
        <row r="8613">
          <cell r="A8613" t="str">
            <v/>
          </cell>
        </row>
        <row r="8614">
          <cell r="A8614" t="str">
            <v/>
          </cell>
        </row>
        <row r="8615">
          <cell r="A8615" t="str">
            <v/>
          </cell>
        </row>
        <row r="8616">
          <cell r="A8616" t="str">
            <v/>
          </cell>
        </row>
        <row r="8617">
          <cell r="A8617" t="str">
            <v/>
          </cell>
        </row>
        <row r="8618">
          <cell r="A8618" t="str">
            <v/>
          </cell>
        </row>
        <row r="8619">
          <cell r="A8619" t="str">
            <v/>
          </cell>
        </row>
        <row r="8620">
          <cell r="A8620" t="str">
            <v/>
          </cell>
        </row>
        <row r="8621">
          <cell r="A8621" t="str">
            <v/>
          </cell>
        </row>
        <row r="8622">
          <cell r="A8622" t="str">
            <v/>
          </cell>
        </row>
        <row r="8623">
          <cell r="A8623" t="str">
            <v/>
          </cell>
        </row>
        <row r="8624">
          <cell r="A8624" t="str">
            <v/>
          </cell>
        </row>
        <row r="8625">
          <cell r="A8625" t="str">
            <v/>
          </cell>
        </row>
        <row r="8626">
          <cell r="A8626" t="str">
            <v/>
          </cell>
        </row>
        <row r="8627">
          <cell r="A8627" t="str">
            <v/>
          </cell>
        </row>
        <row r="8628">
          <cell r="A8628" t="str">
            <v/>
          </cell>
        </row>
        <row r="8629">
          <cell r="A8629" t="str">
            <v/>
          </cell>
        </row>
        <row r="8630">
          <cell r="A8630" t="str">
            <v/>
          </cell>
        </row>
        <row r="8631">
          <cell r="A8631" t="str">
            <v/>
          </cell>
        </row>
        <row r="8632">
          <cell r="A8632" t="str">
            <v/>
          </cell>
        </row>
        <row r="8633">
          <cell r="A8633" t="str">
            <v/>
          </cell>
        </row>
        <row r="8634">
          <cell r="A8634" t="str">
            <v/>
          </cell>
        </row>
        <row r="8635">
          <cell r="A8635" t="str">
            <v/>
          </cell>
        </row>
        <row r="8636">
          <cell r="A8636" t="str">
            <v/>
          </cell>
        </row>
        <row r="8637">
          <cell r="A8637" t="str">
            <v/>
          </cell>
        </row>
        <row r="8638">
          <cell r="A8638" t="str">
            <v/>
          </cell>
        </row>
        <row r="8639">
          <cell r="A8639" t="str">
            <v/>
          </cell>
        </row>
        <row r="8640">
          <cell r="A8640" t="str">
            <v/>
          </cell>
        </row>
        <row r="8641">
          <cell r="A8641" t="str">
            <v/>
          </cell>
        </row>
        <row r="8642">
          <cell r="A8642" t="str">
            <v/>
          </cell>
        </row>
        <row r="8643">
          <cell r="A8643" t="str">
            <v/>
          </cell>
        </row>
        <row r="8644">
          <cell r="A8644" t="str">
            <v/>
          </cell>
        </row>
        <row r="8645">
          <cell r="A8645" t="str">
            <v/>
          </cell>
        </row>
        <row r="8646">
          <cell r="A8646" t="str">
            <v/>
          </cell>
        </row>
        <row r="8647">
          <cell r="A8647" t="str">
            <v/>
          </cell>
        </row>
        <row r="8648">
          <cell r="A8648" t="str">
            <v/>
          </cell>
        </row>
        <row r="8649">
          <cell r="A8649" t="str">
            <v/>
          </cell>
        </row>
        <row r="8650">
          <cell r="A8650" t="str">
            <v/>
          </cell>
        </row>
        <row r="8651">
          <cell r="A8651" t="str">
            <v/>
          </cell>
        </row>
        <row r="8652">
          <cell r="A8652" t="str">
            <v/>
          </cell>
        </row>
        <row r="8653">
          <cell r="A8653" t="str">
            <v/>
          </cell>
        </row>
        <row r="8654">
          <cell r="A8654" t="str">
            <v/>
          </cell>
        </row>
        <row r="8655">
          <cell r="A8655" t="str">
            <v/>
          </cell>
        </row>
        <row r="8656">
          <cell r="A8656" t="str">
            <v/>
          </cell>
        </row>
        <row r="8657">
          <cell r="A8657" t="str">
            <v/>
          </cell>
        </row>
        <row r="8658">
          <cell r="A8658" t="str">
            <v/>
          </cell>
        </row>
        <row r="8659">
          <cell r="A8659" t="str">
            <v/>
          </cell>
        </row>
        <row r="8660">
          <cell r="A8660" t="str">
            <v/>
          </cell>
        </row>
        <row r="8661">
          <cell r="A8661" t="str">
            <v/>
          </cell>
        </row>
        <row r="8662">
          <cell r="A8662" t="str">
            <v/>
          </cell>
        </row>
        <row r="8663">
          <cell r="A8663" t="str">
            <v/>
          </cell>
        </row>
        <row r="8664">
          <cell r="A8664" t="str">
            <v/>
          </cell>
        </row>
        <row r="8665">
          <cell r="A8665" t="str">
            <v/>
          </cell>
        </row>
        <row r="8666">
          <cell r="A8666" t="str">
            <v/>
          </cell>
        </row>
        <row r="8667">
          <cell r="A8667" t="str">
            <v/>
          </cell>
        </row>
        <row r="8668">
          <cell r="A8668" t="str">
            <v/>
          </cell>
        </row>
        <row r="8669">
          <cell r="A8669" t="str">
            <v/>
          </cell>
        </row>
        <row r="8670">
          <cell r="A8670" t="str">
            <v/>
          </cell>
        </row>
        <row r="8671">
          <cell r="A8671" t="str">
            <v/>
          </cell>
        </row>
        <row r="8672">
          <cell r="A8672" t="str">
            <v/>
          </cell>
        </row>
        <row r="8673">
          <cell r="A8673" t="str">
            <v/>
          </cell>
        </row>
        <row r="8674">
          <cell r="A8674" t="str">
            <v/>
          </cell>
        </row>
        <row r="8675">
          <cell r="A8675" t="str">
            <v/>
          </cell>
        </row>
        <row r="8676">
          <cell r="A8676" t="str">
            <v/>
          </cell>
        </row>
        <row r="8677">
          <cell r="A8677" t="str">
            <v/>
          </cell>
        </row>
        <row r="8678">
          <cell r="A8678" t="str">
            <v/>
          </cell>
        </row>
        <row r="8679">
          <cell r="A8679" t="str">
            <v/>
          </cell>
        </row>
        <row r="8680">
          <cell r="A8680" t="str">
            <v/>
          </cell>
        </row>
        <row r="8681">
          <cell r="A8681" t="str">
            <v/>
          </cell>
        </row>
        <row r="8682">
          <cell r="A8682" t="str">
            <v/>
          </cell>
        </row>
        <row r="8683">
          <cell r="A8683" t="str">
            <v/>
          </cell>
        </row>
        <row r="8684">
          <cell r="A8684" t="str">
            <v/>
          </cell>
        </row>
        <row r="8685">
          <cell r="A8685" t="str">
            <v/>
          </cell>
        </row>
        <row r="8686">
          <cell r="A8686" t="str">
            <v/>
          </cell>
        </row>
        <row r="8687">
          <cell r="A8687" t="str">
            <v/>
          </cell>
        </row>
        <row r="8688">
          <cell r="A8688" t="str">
            <v/>
          </cell>
        </row>
        <row r="8689">
          <cell r="A8689" t="str">
            <v/>
          </cell>
        </row>
        <row r="8690">
          <cell r="A8690" t="str">
            <v/>
          </cell>
        </row>
        <row r="8691">
          <cell r="A8691" t="str">
            <v/>
          </cell>
        </row>
        <row r="8692">
          <cell r="A8692" t="str">
            <v/>
          </cell>
        </row>
        <row r="8693">
          <cell r="A8693" t="str">
            <v/>
          </cell>
        </row>
        <row r="8694">
          <cell r="A8694" t="str">
            <v/>
          </cell>
        </row>
        <row r="8695">
          <cell r="A8695" t="str">
            <v/>
          </cell>
        </row>
        <row r="8696">
          <cell r="A8696" t="str">
            <v/>
          </cell>
        </row>
        <row r="8697">
          <cell r="A8697" t="str">
            <v/>
          </cell>
        </row>
        <row r="8698">
          <cell r="A8698" t="str">
            <v/>
          </cell>
        </row>
        <row r="8699">
          <cell r="A8699" t="str">
            <v/>
          </cell>
        </row>
        <row r="8700">
          <cell r="A8700" t="str">
            <v/>
          </cell>
        </row>
        <row r="8701">
          <cell r="A8701" t="str">
            <v/>
          </cell>
        </row>
        <row r="8702">
          <cell r="A8702" t="str">
            <v/>
          </cell>
        </row>
        <row r="8703">
          <cell r="A8703" t="str">
            <v/>
          </cell>
        </row>
        <row r="8704">
          <cell r="A8704" t="str">
            <v/>
          </cell>
        </row>
        <row r="8705">
          <cell r="A8705" t="str">
            <v/>
          </cell>
        </row>
        <row r="8706">
          <cell r="A8706" t="str">
            <v/>
          </cell>
        </row>
        <row r="8707">
          <cell r="A8707" t="str">
            <v/>
          </cell>
        </row>
        <row r="8708">
          <cell r="A8708" t="str">
            <v/>
          </cell>
        </row>
        <row r="8709">
          <cell r="A8709" t="str">
            <v/>
          </cell>
        </row>
        <row r="8710">
          <cell r="A8710" t="str">
            <v/>
          </cell>
        </row>
        <row r="8711">
          <cell r="A8711" t="str">
            <v/>
          </cell>
        </row>
        <row r="8712">
          <cell r="A8712" t="str">
            <v/>
          </cell>
        </row>
        <row r="8713">
          <cell r="A8713" t="str">
            <v/>
          </cell>
        </row>
        <row r="8714">
          <cell r="A8714" t="str">
            <v/>
          </cell>
        </row>
        <row r="8715">
          <cell r="A8715" t="str">
            <v/>
          </cell>
        </row>
        <row r="8716">
          <cell r="A8716" t="str">
            <v/>
          </cell>
        </row>
        <row r="8717">
          <cell r="A8717" t="str">
            <v/>
          </cell>
        </row>
        <row r="8718">
          <cell r="A8718" t="str">
            <v/>
          </cell>
        </row>
        <row r="8719">
          <cell r="A8719" t="str">
            <v/>
          </cell>
        </row>
        <row r="8720">
          <cell r="A8720" t="str">
            <v/>
          </cell>
        </row>
        <row r="8721">
          <cell r="A8721" t="str">
            <v/>
          </cell>
        </row>
        <row r="8722">
          <cell r="A8722" t="str">
            <v/>
          </cell>
        </row>
        <row r="8723">
          <cell r="A8723" t="str">
            <v/>
          </cell>
        </row>
        <row r="8724">
          <cell r="A8724" t="str">
            <v/>
          </cell>
        </row>
        <row r="8725">
          <cell r="A8725" t="str">
            <v/>
          </cell>
        </row>
        <row r="8726">
          <cell r="A8726" t="str">
            <v/>
          </cell>
        </row>
        <row r="8727">
          <cell r="A8727" t="str">
            <v/>
          </cell>
        </row>
        <row r="8728">
          <cell r="A8728" t="str">
            <v/>
          </cell>
        </row>
        <row r="8729">
          <cell r="A8729" t="str">
            <v/>
          </cell>
        </row>
        <row r="8730">
          <cell r="A8730" t="str">
            <v/>
          </cell>
        </row>
        <row r="8731">
          <cell r="A8731" t="str">
            <v/>
          </cell>
        </row>
        <row r="8732">
          <cell r="A8732" t="str">
            <v/>
          </cell>
        </row>
        <row r="8733">
          <cell r="A8733" t="str">
            <v/>
          </cell>
        </row>
        <row r="8734">
          <cell r="A8734" t="str">
            <v/>
          </cell>
        </row>
        <row r="8735">
          <cell r="A8735" t="str">
            <v/>
          </cell>
        </row>
        <row r="8736">
          <cell r="A8736" t="str">
            <v/>
          </cell>
        </row>
        <row r="8737">
          <cell r="A8737" t="str">
            <v/>
          </cell>
        </row>
        <row r="8738">
          <cell r="A8738" t="str">
            <v/>
          </cell>
        </row>
        <row r="8739">
          <cell r="A8739" t="str">
            <v/>
          </cell>
        </row>
        <row r="8740">
          <cell r="A8740" t="str">
            <v/>
          </cell>
        </row>
        <row r="8741">
          <cell r="A8741" t="str">
            <v/>
          </cell>
        </row>
        <row r="8742">
          <cell r="A8742" t="str">
            <v/>
          </cell>
        </row>
        <row r="8743">
          <cell r="A8743" t="str">
            <v/>
          </cell>
        </row>
        <row r="8744">
          <cell r="A8744" t="str">
            <v/>
          </cell>
        </row>
        <row r="8745">
          <cell r="A8745" t="str">
            <v/>
          </cell>
        </row>
        <row r="8746">
          <cell r="A8746" t="str">
            <v/>
          </cell>
        </row>
        <row r="8747">
          <cell r="A8747" t="str">
            <v/>
          </cell>
        </row>
        <row r="8748">
          <cell r="A8748" t="str">
            <v/>
          </cell>
        </row>
        <row r="8749">
          <cell r="A8749" t="str">
            <v/>
          </cell>
        </row>
        <row r="8750">
          <cell r="A8750" t="str">
            <v/>
          </cell>
        </row>
        <row r="8751">
          <cell r="A8751" t="str">
            <v/>
          </cell>
        </row>
        <row r="8752">
          <cell r="A8752" t="str">
            <v/>
          </cell>
        </row>
        <row r="8753">
          <cell r="A8753" t="str">
            <v/>
          </cell>
        </row>
        <row r="8754">
          <cell r="A8754" t="str">
            <v/>
          </cell>
        </row>
        <row r="8755">
          <cell r="A8755" t="str">
            <v/>
          </cell>
        </row>
        <row r="8756">
          <cell r="A8756" t="str">
            <v/>
          </cell>
        </row>
        <row r="8757">
          <cell r="A8757" t="str">
            <v/>
          </cell>
        </row>
        <row r="8758">
          <cell r="A8758" t="str">
            <v/>
          </cell>
        </row>
        <row r="8759">
          <cell r="A8759" t="str">
            <v/>
          </cell>
        </row>
        <row r="8760">
          <cell r="A8760" t="str">
            <v/>
          </cell>
        </row>
        <row r="8761">
          <cell r="A8761" t="str">
            <v/>
          </cell>
        </row>
        <row r="8762">
          <cell r="A8762" t="str">
            <v/>
          </cell>
        </row>
        <row r="8763">
          <cell r="A8763" t="str">
            <v/>
          </cell>
        </row>
        <row r="8764">
          <cell r="A8764" t="str">
            <v/>
          </cell>
        </row>
        <row r="8765">
          <cell r="A8765" t="str">
            <v/>
          </cell>
        </row>
        <row r="8766">
          <cell r="A8766" t="str">
            <v/>
          </cell>
        </row>
        <row r="8767">
          <cell r="A8767" t="str">
            <v/>
          </cell>
        </row>
        <row r="8768">
          <cell r="A8768" t="str">
            <v/>
          </cell>
        </row>
        <row r="8769">
          <cell r="A8769" t="str">
            <v/>
          </cell>
        </row>
        <row r="8770">
          <cell r="A8770" t="str">
            <v/>
          </cell>
        </row>
        <row r="8771">
          <cell r="A8771" t="str">
            <v/>
          </cell>
        </row>
        <row r="8772">
          <cell r="A8772" t="str">
            <v/>
          </cell>
        </row>
        <row r="8773">
          <cell r="A8773" t="str">
            <v/>
          </cell>
        </row>
        <row r="8774">
          <cell r="A8774" t="str">
            <v/>
          </cell>
        </row>
        <row r="8775">
          <cell r="A8775" t="str">
            <v/>
          </cell>
        </row>
        <row r="8776">
          <cell r="A8776" t="str">
            <v/>
          </cell>
        </row>
        <row r="8777">
          <cell r="A8777" t="str">
            <v/>
          </cell>
        </row>
        <row r="8778">
          <cell r="A8778" t="str">
            <v/>
          </cell>
        </row>
        <row r="8779">
          <cell r="A8779" t="str">
            <v/>
          </cell>
        </row>
        <row r="8780">
          <cell r="A8780" t="str">
            <v/>
          </cell>
        </row>
        <row r="8781">
          <cell r="A8781" t="str">
            <v/>
          </cell>
        </row>
        <row r="8782">
          <cell r="A8782" t="str">
            <v/>
          </cell>
        </row>
        <row r="8783">
          <cell r="A8783" t="str">
            <v/>
          </cell>
        </row>
        <row r="8784">
          <cell r="A8784" t="str">
            <v/>
          </cell>
        </row>
        <row r="8785">
          <cell r="A8785" t="str">
            <v/>
          </cell>
        </row>
        <row r="8786">
          <cell r="A8786" t="str">
            <v/>
          </cell>
        </row>
        <row r="8787">
          <cell r="A8787" t="str">
            <v/>
          </cell>
        </row>
        <row r="8788">
          <cell r="A8788" t="str">
            <v/>
          </cell>
        </row>
        <row r="8789">
          <cell r="A8789" t="str">
            <v/>
          </cell>
        </row>
        <row r="8790">
          <cell r="A8790" t="str">
            <v/>
          </cell>
        </row>
        <row r="8791">
          <cell r="A8791" t="str">
            <v/>
          </cell>
        </row>
        <row r="8792">
          <cell r="A8792" t="str">
            <v/>
          </cell>
        </row>
        <row r="8793">
          <cell r="A8793" t="str">
            <v/>
          </cell>
        </row>
        <row r="8794">
          <cell r="A8794" t="str">
            <v/>
          </cell>
        </row>
        <row r="8795">
          <cell r="A8795" t="str">
            <v/>
          </cell>
        </row>
        <row r="8796">
          <cell r="A8796" t="str">
            <v/>
          </cell>
        </row>
        <row r="8797">
          <cell r="A8797" t="str">
            <v/>
          </cell>
        </row>
        <row r="8798">
          <cell r="A8798" t="str">
            <v/>
          </cell>
        </row>
        <row r="8799">
          <cell r="A8799" t="str">
            <v/>
          </cell>
        </row>
        <row r="8800">
          <cell r="A8800" t="str">
            <v/>
          </cell>
        </row>
        <row r="8801">
          <cell r="A8801" t="str">
            <v/>
          </cell>
        </row>
        <row r="8802">
          <cell r="A8802" t="str">
            <v/>
          </cell>
        </row>
        <row r="8803">
          <cell r="A8803" t="str">
            <v/>
          </cell>
        </row>
        <row r="8804">
          <cell r="A8804" t="str">
            <v/>
          </cell>
        </row>
        <row r="8805">
          <cell r="A8805" t="str">
            <v/>
          </cell>
        </row>
        <row r="8806">
          <cell r="A8806" t="str">
            <v/>
          </cell>
        </row>
        <row r="8807">
          <cell r="A8807" t="str">
            <v/>
          </cell>
        </row>
        <row r="8808">
          <cell r="A8808" t="str">
            <v/>
          </cell>
        </row>
        <row r="8809">
          <cell r="A8809" t="str">
            <v/>
          </cell>
        </row>
        <row r="8810">
          <cell r="A8810" t="str">
            <v/>
          </cell>
        </row>
        <row r="8811">
          <cell r="A8811" t="str">
            <v/>
          </cell>
        </row>
        <row r="8812">
          <cell r="A8812" t="str">
            <v/>
          </cell>
        </row>
        <row r="8813">
          <cell r="A8813" t="str">
            <v/>
          </cell>
        </row>
        <row r="8814">
          <cell r="A8814" t="str">
            <v/>
          </cell>
        </row>
        <row r="8815">
          <cell r="A8815" t="str">
            <v/>
          </cell>
        </row>
        <row r="8816">
          <cell r="A8816" t="str">
            <v/>
          </cell>
        </row>
        <row r="8817">
          <cell r="A8817" t="str">
            <v/>
          </cell>
        </row>
        <row r="8818">
          <cell r="A8818" t="str">
            <v/>
          </cell>
        </row>
        <row r="8819">
          <cell r="A8819" t="str">
            <v/>
          </cell>
        </row>
        <row r="8820">
          <cell r="A8820" t="str">
            <v/>
          </cell>
        </row>
        <row r="8821">
          <cell r="A8821" t="str">
            <v/>
          </cell>
        </row>
        <row r="8822">
          <cell r="A8822" t="str">
            <v/>
          </cell>
        </row>
        <row r="8823">
          <cell r="A8823" t="str">
            <v/>
          </cell>
        </row>
        <row r="8824">
          <cell r="A8824" t="str">
            <v/>
          </cell>
        </row>
        <row r="8825">
          <cell r="A8825" t="str">
            <v/>
          </cell>
        </row>
        <row r="8826">
          <cell r="A8826" t="str">
            <v/>
          </cell>
        </row>
        <row r="8827">
          <cell r="A8827" t="str">
            <v/>
          </cell>
        </row>
        <row r="8828">
          <cell r="A8828" t="str">
            <v/>
          </cell>
        </row>
        <row r="8829">
          <cell r="A8829" t="str">
            <v/>
          </cell>
        </row>
        <row r="8830">
          <cell r="A8830" t="str">
            <v/>
          </cell>
        </row>
        <row r="8831">
          <cell r="A8831" t="str">
            <v/>
          </cell>
        </row>
        <row r="8832">
          <cell r="A8832" t="str">
            <v/>
          </cell>
        </row>
        <row r="8833">
          <cell r="A8833" t="str">
            <v/>
          </cell>
        </row>
        <row r="8834">
          <cell r="A8834" t="str">
            <v/>
          </cell>
        </row>
        <row r="8835">
          <cell r="A8835" t="str">
            <v/>
          </cell>
        </row>
        <row r="8836">
          <cell r="A8836" t="str">
            <v/>
          </cell>
        </row>
        <row r="8837">
          <cell r="A8837" t="str">
            <v/>
          </cell>
        </row>
        <row r="8838">
          <cell r="A8838" t="str">
            <v/>
          </cell>
        </row>
        <row r="8839">
          <cell r="A8839" t="str">
            <v/>
          </cell>
        </row>
        <row r="8840">
          <cell r="A8840" t="str">
            <v/>
          </cell>
        </row>
        <row r="8841">
          <cell r="A8841" t="str">
            <v/>
          </cell>
        </row>
        <row r="8842">
          <cell r="A8842" t="str">
            <v/>
          </cell>
        </row>
        <row r="8843">
          <cell r="A8843" t="str">
            <v/>
          </cell>
        </row>
        <row r="8844">
          <cell r="A8844" t="str">
            <v/>
          </cell>
        </row>
        <row r="8845">
          <cell r="A8845" t="str">
            <v/>
          </cell>
        </row>
        <row r="8846">
          <cell r="A8846" t="str">
            <v/>
          </cell>
        </row>
        <row r="8847">
          <cell r="A8847" t="str">
            <v/>
          </cell>
        </row>
        <row r="8848">
          <cell r="A8848" t="str">
            <v/>
          </cell>
        </row>
        <row r="8849">
          <cell r="A8849" t="str">
            <v/>
          </cell>
        </row>
        <row r="8850">
          <cell r="A8850" t="str">
            <v/>
          </cell>
        </row>
        <row r="8851">
          <cell r="A8851" t="str">
            <v/>
          </cell>
        </row>
        <row r="8852">
          <cell r="A8852" t="str">
            <v/>
          </cell>
        </row>
        <row r="8853">
          <cell r="A8853" t="str">
            <v/>
          </cell>
        </row>
        <row r="8854">
          <cell r="A8854" t="str">
            <v/>
          </cell>
        </row>
        <row r="8855">
          <cell r="A8855" t="str">
            <v/>
          </cell>
        </row>
        <row r="8856">
          <cell r="A8856" t="str">
            <v/>
          </cell>
        </row>
        <row r="8857">
          <cell r="A8857" t="str">
            <v/>
          </cell>
        </row>
        <row r="8858">
          <cell r="A8858" t="str">
            <v/>
          </cell>
        </row>
        <row r="8859">
          <cell r="A8859" t="str">
            <v/>
          </cell>
        </row>
        <row r="8860">
          <cell r="A8860" t="str">
            <v/>
          </cell>
        </row>
        <row r="8861">
          <cell r="A8861" t="str">
            <v/>
          </cell>
        </row>
        <row r="8862">
          <cell r="A8862" t="str">
            <v/>
          </cell>
        </row>
        <row r="8863">
          <cell r="A8863" t="str">
            <v/>
          </cell>
        </row>
        <row r="8864">
          <cell r="A8864" t="str">
            <v/>
          </cell>
        </row>
        <row r="8865">
          <cell r="A8865" t="str">
            <v/>
          </cell>
        </row>
        <row r="8866">
          <cell r="A8866" t="str">
            <v/>
          </cell>
        </row>
        <row r="8867">
          <cell r="A8867" t="str">
            <v/>
          </cell>
        </row>
        <row r="8868">
          <cell r="A8868" t="str">
            <v/>
          </cell>
        </row>
        <row r="8869">
          <cell r="A8869" t="str">
            <v/>
          </cell>
        </row>
        <row r="8870">
          <cell r="A8870" t="str">
            <v/>
          </cell>
        </row>
        <row r="8871">
          <cell r="A8871" t="str">
            <v/>
          </cell>
        </row>
        <row r="8872">
          <cell r="A8872" t="str">
            <v/>
          </cell>
        </row>
        <row r="8873">
          <cell r="A8873" t="str">
            <v/>
          </cell>
        </row>
        <row r="8874">
          <cell r="A8874" t="str">
            <v/>
          </cell>
        </row>
        <row r="8875">
          <cell r="A8875" t="str">
            <v/>
          </cell>
        </row>
        <row r="8876">
          <cell r="A8876" t="str">
            <v/>
          </cell>
        </row>
        <row r="8877">
          <cell r="A8877" t="str">
            <v/>
          </cell>
        </row>
        <row r="8878">
          <cell r="A8878" t="str">
            <v/>
          </cell>
        </row>
        <row r="8879">
          <cell r="A8879" t="str">
            <v/>
          </cell>
        </row>
        <row r="8880">
          <cell r="A8880" t="str">
            <v/>
          </cell>
        </row>
        <row r="8881">
          <cell r="A8881" t="str">
            <v/>
          </cell>
        </row>
        <row r="8882">
          <cell r="A8882" t="str">
            <v/>
          </cell>
        </row>
        <row r="8883">
          <cell r="A8883" t="str">
            <v/>
          </cell>
        </row>
        <row r="8884">
          <cell r="A8884" t="str">
            <v/>
          </cell>
        </row>
        <row r="8885">
          <cell r="A8885" t="str">
            <v/>
          </cell>
        </row>
        <row r="8886">
          <cell r="A8886" t="str">
            <v/>
          </cell>
        </row>
        <row r="8887">
          <cell r="A8887" t="str">
            <v/>
          </cell>
        </row>
        <row r="8888">
          <cell r="A8888" t="str">
            <v/>
          </cell>
        </row>
        <row r="8889">
          <cell r="A8889" t="str">
            <v/>
          </cell>
        </row>
        <row r="8890">
          <cell r="A8890" t="str">
            <v/>
          </cell>
        </row>
        <row r="8891">
          <cell r="A8891" t="str">
            <v/>
          </cell>
        </row>
        <row r="8892">
          <cell r="A8892" t="str">
            <v/>
          </cell>
        </row>
        <row r="8893">
          <cell r="A8893" t="str">
            <v/>
          </cell>
        </row>
        <row r="8894">
          <cell r="A8894" t="str">
            <v/>
          </cell>
        </row>
        <row r="8895">
          <cell r="A8895" t="str">
            <v/>
          </cell>
        </row>
        <row r="8896">
          <cell r="A8896" t="str">
            <v/>
          </cell>
        </row>
        <row r="8897">
          <cell r="A8897" t="str">
            <v/>
          </cell>
        </row>
        <row r="8898">
          <cell r="A8898" t="str">
            <v/>
          </cell>
        </row>
        <row r="8899">
          <cell r="A8899" t="str">
            <v/>
          </cell>
        </row>
        <row r="8900">
          <cell r="A8900" t="str">
            <v/>
          </cell>
        </row>
        <row r="8901">
          <cell r="A8901" t="str">
            <v/>
          </cell>
        </row>
        <row r="8902">
          <cell r="A8902" t="str">
            <v/>
          </cell>
        </row>
        <row r="8903">
          <cell r="A8903" t="str">
            <v/>
          </cell>
        </row>
        <row r="8904">
          <cell r="A8904" t="str">
            <v/>
          </cell>
        </row>
        <row r="8905">
          <cell r="A8905" t="str">
            <v/>
          </cell>
        </row>
        <row r="8906">
          <cell r="A8906" t="str">
            <v/>
          </cell>
        </row>
        <row r="8907">
          <cell r="A8907" t="str">
            <v/>
          </cell>
        </row>
        <row r="8908">
          <cell r="A8908" t="str">
            <v/>
          </cell>
        </row>
        <row r="8909">
          <cell r="A8909" t="str">
            <v/>
          </cell>
        </row>
        <row r="8910">
          <cell r="A8910" t="str">
            <v/>
          </cell>
        </row>
        <row r="8911">
          <cell r="A8911" t="str">
            <v/>
          </cell>
        </row>
        <row r="8912">
          <cell r="A8912" t="str">
            <v/>
          </cell>
        </row>
        <row r="8913">
          <cell r="A8913" t="str">
            <v/>
          </cell>
        </row>
        <row r="8914">
          <cell r="A8914" t="str">
            <v/>
          </cell>
        </row>
        <row r="8915">
          <cell r="A8915" t="str">
            <v/>
          </cell>
        </row>
        <row r="8916">
          <cell r="A8916" t="str">
            <v/>
          </cell>
        </row>
        <row r="8917">
          <cell r="A8917" t="str">
            <v/>
          </cell>
        </row>
        <row r="8918">
          <cell r="A8918" t="str">
            <v/>
          </cell>
        </row>
        <row r="8919">
          <cell r="A8919" t="str">
            <v/>
          </cell>
        </row>
        <row r="8920">
          <cell r="A8920" t="str">
            <v/>
          </cell>
        </row>
        <row r="8921">
          <cell r="A8921" t="str">
            <v/>
          </cell>
        </row>
        <row r="8922">
          <cell r="A8922" t="str">
            <v/>
          </cell>
        </row>
        <row r="8923">
          <cell r="A8923" t="str">
            <v/>
          </cell>
        </row>
        <row r="8924">
          <cell r="A8924" t="str">
            <v/>
          </cell>
        </row>
        <row r="8925">
          <cell r="A8925" t="str">
            <v/>
          </cell>
        </row>
        <row r="8926">
          <cell r="A8926" t="str">
            <v/>
          </cell>
        </row>
        <row r="8927">
          <cell r="A8927" t="str">
            <v/>
          </cell>
        </row>
        <row r="8928">
          <cell r="A8928" t="str">
            <v/>
          </cell>
        </row>
        <row r="8929">
          <cell r="A8929" t="str">
            <v/>
          </cell>
        </row>
        <row r="8930">
          <cell r="A8930" t="str">
            <v/>
          </cell>
        </row>
        <row r="8931">
          <cell r="A8931" t="str">
            <v/>
          </cell>
        </row>
        <row r="8932">
          <cell r="A8932" t="str">
            <v/>
          </cell>
        </row>
        <row r="8933">
          <cell r="A8933" t="str">
            <v/>
          </cell>
        </row>
        <row r="8934">
          <cell r="A8934" t="str">
            <v/>
          </cell>
        </row>
        <row r="8935">
          <cell r="A8935" t="str">
            <v/>
          </cell>
        </row>
        <row r="8936">
          <cell r="A8936" t="str">
            <v/>
          </cell>
        </row>
        <row r="8937">
          <cell r="A8937" t="str">
            <v/>
          </cell>
        </row>
        <row r="8938">
          <cell r="A8938" t="str">
            <v/>
          </cell>
        </row>
        <row r="8939">
          <cell r="A8939" t="str">
            <v/>
          </cell>
        </row>
        <row r="8940">
          <cell r="A8940" t="str">
            <v/>
          </cell>
        </row>
        <row r="8941">
          <cell r="A8941" t="str">
            <v/>
          </cell>
        </row>
        <row r="8942">
          <cell r="A8942" t="str">
            <v/>
          </cell>
        </row>
        <row r="8943">
          <cell r="A8943" t="str">
            <v/>
          </cell>
        </row>
        <row r="8944">
          <cell r="A8944" t="str">
            <v/>
          </cell>
        </row>
        <row r="8945">
          <cell r="A8945" t="str">
            <v/>
          </cell>
        </row>
        <row r="8946">
          <cell r="A8946" t="str">
            <v/>
          </cell>
        </row>
        <row r="8947">
          <cell r="A8947" t="str">
            <v/>
          </cell>
        </row>
        <row r="8948">
          <cell r="A8948" t="str">
            <v/>
          </cell>
        </row>
        <row r="8949">
          <cell r="A8949" t="str">
            <v/>
          </cell>
        </row>
        <row r="8950">
          <cell r="A8950" t="str">
            <v/>
          </cell>
        </row>
        <row r="8951">
          <cell r="A8951" t="str">
            <v/>
          </cell>
        </row>
        <row r="8952">
          <cell r="A8952" t="str">
            <v/>
          </cell>
        </row>
        <row r="8953">
          <cell r="A8953" t="str">
            <v/>
          </cell>
        </row>
        <row r="8954">
          <cell r="A8954" t="str">
            <v/>
          </cell>
        </row>
        <row r="8955">
          <cell r="A8955" t="str">
            <v/>
          </cell>
        </row>
        <row r="8956">
          <cell r="A8956" t="str">
            <v/>
          </cell>
        </row>
        <row r="8957">
          <cell r="A8957" t="str">
            <v/>
          </cell>
        </row>
        <row r="8958">
          <cell r="A8958" t="str">
            <v/>
          </cell>
        </row>
        <row r="8959">
          <cell r="A8959" t="str">
            <v/>
          </cell>
        </row>
        <row r="8960">
          <cell r="A8960" t="str">
            <v/>
          </cell>
        </row>
        <row r="8961">
          <cell r="A8961" t="str">
            <v/>
          </cell>
        </row>
        <row r="8962">
          <cell r="A8962" t="str">
            <v/>
          </cell>
        </row>
        <row r="8963">
          <cell r="A8963" t="str">
            <v/>
          </cell>
        </row>
        <row r="8964">
          <cell r="A8964" t="str">
            <v/>
          </cell>
        </row>
        <row r="8965">
          <cell r="A8965" t="str">
            <v/>
          </cell>
        </row>
        <row r="8966">
          <cell r="A8966" t="str">
            <v/>
          </cell>
        </row>
        <row r="8967">
          <cell r="A8967" t="str">
            <v/>
          </cell>
        </row>
        <row r="8968">
          <cell r="A8968" t="str">
            <v/>
          </cell>
        </row>
        <row r="8969">
          <cell r="A8969" t="str">
            <v/>
          </cell>
        </row>
        <row r="8970">
          <cell r="A8970" t="str">
            <v/>
          </cell>
        </row>
        <row r="8971">
          <cell r="A8971" t="str">
            <v/>
          </cell>
        </row>
        <row r="8972">
          <cell r="A8972" t="str">
            <v/>
          </cell>
        </row>
        <row r="8973">
          <cell r="A8973" t="str">
            <v/>
          </cell>
        </row>
        <row r="8974">
          <cell r="A8974" t="str">
            <v/>
          </cell>
        </row>
        <row r="8975">
          <cell r="A8975" t="str">
            <v/>
          </cell>
        </row>
        <row r="8976">
          <cell r="A8976" t="str">
            <v/>
          </cell>
        </row>
        <row r="8977">
          <cell r="A8977" t="str">
            <v/>
          </cell>
        </row>
        <row r="8978">
          <cell r="A8978" t="str">
            <v/>
          </cell>
        </row>
        <row r="8979">
          <cell r="A8979" t="str">
            <v/>
          </cell>
        </row>
        <row r="8980">
          <cell r="A8980" t="str">
            <v/>
          </cell>
        </row>
        <row r="8981">
          <cell r="A8981" t="str">
            <v/>
          </cell>
        </row>
        <row r="8982">
          <cell r="A8982" t="str">
            <v/>
          </cell>
        </row>
        <row r="8983">
          <cell r="A8983" t="str">
            <v/>
          </cell>
        </row>
        <row r="8984">
          <cell r="A8984" t="str">
            <v/>
          </cell>
        </row>
        <row r="8985">
          <cell r="A8985" t="str">
            <v/>
          </cell>
        </row>
        <row r="8986">
          <cell r="A8986" t="str">
            <v/>
          </cell>
        </row>
        <row r="8987">
          <cell r="A8987" t="str">
            <v/>
          </cell>
        </row>
        <row r="8988">
          <cell r="A8988" t="str">
            <v/>
          </cell>
        </row>
        <row r="8989">
          <cell r="A8989" t="str">
            <v/>
          </cell>
        </row>
        <row r="8990">
          <cell r="A8990" t="str">
            <v/>
          </cell>
        </row>
        <row r="8991">
          <cell r="A8991" t="str">
            <v/>
          </cell>
        </row>
        <row r="8992">
          <cell r="A8992" t="str">
            <v/>
          </cell>
        </row>
        <row r="8993">
          <cell r="A8993" t="str">
            <v/>
          </cell>
        </row>
        <row r="8994">
          <cell r="A8994" t="str">
            <v/>
          </cell>
        </row>
        <row r="8995">
          <cell r="A8995" t="str">
            <v/>
          </cell>
        </row>
        <row r="8996">
          <cell r="A8996" t="str">
            <v/>
          </cell>
        </row>
        <row r="8997">
          <cell r="A8997" t="str">
            <v/>
          </cell>
        </row>
        <row r="8998">
          <cell r="A8998" t="str">
            <v/>
          </cell>
        </row>
        <row r="8999">
          <cell r="A8999" t="str">
            <v/>
          </cell>
        </row>
        <row r="9000">
          <cell r="A9000" t="str">
            <v/>
          </cell>
        </row>
        <row r="9001">
          <cell r="A9001" t="str">
            <v/>
          </cell>
        </row>
        <row r="9002">
          <cell r="A9002" t="str">
            <v/>
          </cell>
        </row>
        <row r="9003">
          <cell r="A9003" t="str">
            <v/>
          </cell>
        </row>
        <row r="9004">
          <cell r="A9004" t="str">
            <v/>
          </cell>
        </row>
        <row r="9005">
          <cell r="A9005" t="str">
            <v/>
          </cell>
        </row>
        <row r="9006">
          <cell r="A9006" t="str">
            <v/>
          </cell>
        </row>
        <row r="9007">
          <cell r="A9007" t="str">
            <v/>
          </cell>
        </row>
        <row r="9008">
          <cell r="A9008" t="str">
            <v/>
          </cell>
        </row>
        <row r="9009">
          <cell r="A9009" t="str">
            <v/>
          </cell>
        </row>
        <row r="9010">
          <cell r="A9010" t="str">
            <v/>
          </cell>
        </row>
        <row r="9011">
          <cell r="A9011" t="str">
            <v/>
          </cell>
        </row>
        <row r="9012">
          <cell r="A9012" t="str">
            <v/>
          </cell>
        </row>
        <row r="9013">
          <cell r="A9013" t="str">
            <v/>
          </cell>
        </row>
        <row r="9014">
          <cell r="A9014" t="str">
            <v/>
          </cell>
        </row>
        <row r="9015">
          <cell r="A9015" t="str">
            <v/>
          </cell>
        </row>
        <row r="9016">
          <cell r="A9016" t="str">
            <v/>
          </cell>
        </row>
        <row r="9017">
          <cell r="A9017" t="str">
            <v/>
          </cell>
        </row>
        <row r="9018">
          <cell r="A9018" t="str">
            <v/>
          </cell>
        </row>
        <row r="9019">
          <cell r="A9019" t="str">
            <v/>
          </cell>
        </row>
        <row r="9020">
          <cell r="A9020" t="str">
            <v/>
          </cell>
        </row>
        <row r="9021">
          <cell r="A9021" t="str">
            <v/>
          </cell>
        </row>
        <row r="9022">
          <cell r="A9022" t="str">
            <v/>
          </cell>
        </row>
        <row r="9023">
          <cell r="A9023" t="str">
            <v/>
          </cell>
        </row>
        <row r="9024">
          <cell r="A9024" t="str">
            <v/>
          </cell>
        </row>
        <row r="9025">
          <cell r="A9025" t="str">
            <v/>
          </cell>
        </row>
        <row r="9026">
          <cell r="A9026" t="str">
            <v/>
          </cell>
        </row>
        <row r="9027">
          <cell r="A9027" t="str">
            <v/>
          </cell>
        </row>
        <row r="9028">
          <cell r="A9028" t="str">
            <v/>
          </cell>
        </row>
        <row r="9029">
          <cell r="A9029" t="str">
            <v/>
          </cell>
        </row>
        <row r="9030">
          <cell r="A9030" t="str">
            <v/>
          </cell>
        </row>
        <row r="9031">
          <cell r="A9031" t="str">
            <v/>
          </cell>
        </row>
        <row r="9032">
          <cell r="A9032" t="str">
            <v/>
          </cell>
        </row>
        <row r="9033">
          <cell r="A9033" t="str">
            <v/>
          </cell>
        </row>
        <row r="9034">
          <cell r="A9034" t="str">
            <v/>
          </cell>
        </row>
        <row r="9035">
          <cell r="A9035" t="str">
            <v/>
          </cell>
        </row>
        <row r="9036">
          <cell r="A9036" t="str">
            <v/>
          </cell>
        </row>
        <row r="9037">
          <cell r="A9037" t="str">
            <v/>
          </cell>
        </row>
        <row r="9038">
          <cell r="A9038" t="str">
            <v/>
          </cell>
        </row>
        <row r="9039">
          <cell r="A9039" t="str">
            <v/>
          </cell>
        </row>
        <row r="9040">
          <cell r="A9040" t="str">
            <v/>
          </cell>
        </row>
        <row r="9041">
          <cell r="A9041" t="str">
            <v/>
          </cell>
        </row>
        <row r="9042">
          <cell r="A9042" t="str">
            <v/>
          </cell>
        </row>
        <row r="9043">
          <cell r="A9043" t="str">
            <v/>
          </cell>
        </row>
        <row r="9044">
          <cell r="A9044" t="str">
            <v/>
          </cell>
        </row>
        <row r="9045">
          <cell r="A9045" t="str">
            <v/>
          </cell>
        </row>
        <row r="9046">
          <cell r="A9046" t="str">
            <v/>
          </cell>
        </row>
        <row r="9047">
          <cell r="A9047" t="str">
            <v/>
          </cell>
        </row>
        <row r="9048">
          <cell r="A9048" t="str">
            <v/>
          </cell>
        </row>
        <row r="9049">
          <cell r="A9049" t="str">
            <v/>
          </cell>
        </row>
        <row r="9050">
          <cell r="A9050" t="str">
            <v/>
          </cell>
        </row>
        <row r="9051">
          <cell r="A9051" t="str">
            <v/>
          </cell>
        </row>
        <row r="9052">
          <cell r="A9052" t="str">
            <v/>
          </cell>
        </row>
        <row r="9053">
          <cell r="A9053" t="str">
            <v/>
          </cell>
        </row>
        <row r="9054">
          <cell r="A9054" t="str">
            <v/>
          </cell>
        </row>
        <row r="9055">
          <cell r="A9055" t="str">
            <v/>
          </cell>
        </row>
        <row r="9056">
          <cell r="A9056" t="str">
            <v/>
          </cell>
        </row>
        <row r="9057">
          <cell r="A9057" t="str">
            <v/>
          </cell>
        </row>
        <row r="9058">
          <cell r="A9058" t="str">
            <v/>
          </cell>
        </row>
        <row r="9059">
          <cell r="A9059" t="str">
            <v/>
          </cell>
        </row>
        <row r="9060">
          <cell r="A9060" t="str">
            <v/>
          </cell>
        </row>
        <row r="9061">
          <cell r="A9061" t="str">
            <v/>
          </cell>
        </row>
        <row r="9062">
          <cell r="A9062" t="str">
            <v/>
          </cell>
        </row>
        <row r="9063">
          <cell r="A9063" t="str">
            <v/>
          </cell>
        </row>
        <row r="9064">
          <cell r="A9064" t="str">
            <v/>
          </cell>
        </row>
        <row r="9065">
          <cell r="A9065" t="str">
            <v/>
          </cell>
        </row>
        <row r="9066">
          <cell r="A9066" t="str">
            <v/>
          </cell>
        </row>
        <row r="9067">
          <cell r="A9067" t="str">
            <v/>
          </cell>
        </row>
        <row r="9068">
          <cell r="A9068" t="str">
            <v/>
          </cell>
        </row>
        <row r="9069">
          <cell r="A9069" t="str">
            <v/>
          </cell>
        </row>
        <row r="9070">
          <cell r="A9070" t="str">
            <v/>
          </cell>
        </row>
        <row r="9071">
          <cell r="A9071" t="str">
            <v/>
          </cell>
        </row>
        <row r="9072">
          <cell r="A9072" t="str">
            <v/>
          </cell>
        </row>
        <row r="9073">
          <cell r="A9073" t="str">
            <v/>
          </cell>
        </row>
        <row r="9074">
          <cell r="A9074" t="str">
            <v/>
          </cell>
        </row>
        <row r="9075">
          <cell r="A9075" t="str">
            <v/>
          </cell>
        </row>
        <row r="9076">
          <cell r="A9076" t="str">
            <v/>
          </cell>
        </row>
        <row r="9077">
          <cell r="A9077" t="str">
            <v/>
          </cell>
        </row>
        <row r="9078">
          <cell r="A9078" t="str">
            <v/>
          </cell>
        </row>
        <row r="9079">
          <cell r="A9079" t="str">
            <v/>
          </cell>
        </row>
        <row r="9080">
          <cell r="A9080" t="str">
            <v/>
          </cell>
        </row>
        <row r="9081">
          <cell r="A9081" t="str">
            <v/>
          </cell>
        </row>
        <row r="9082">
          <cell r="A9082" t="str">
            <v/>
          </cell>
        </row>
        <row r="9083">
          <cell r="A9083" t="str">
            <v/>
          </cell>
        </row>
        <row r="9084">
          <cell r="A9084" t="str">
            <v/>
          </cell>
        </row>
        <row r="9085">
          <cell r="A9085" t="str">
            <v/>
          </cell>
        </row>
        <row r="9086">
          <cell r="A9086" t="str">
            <v/>
          </cell>
        </row>
        <row r="9087">
          <cell r="A9087" t="str">
            <v/>
          </cell>
        </row>
        <row r="9088">
          <cell r="A9088" t="str">
            <v/>
          </cell>
        </row>
        <row r="9089">
          <cell r="A9089" t="str">
            <v/>
          </cell>
        </row>
        <row r="9090">
          <cell r="A9090" t="str">
            <v/>
          </cell>
        </row>
        <row r="9091">
          <cell r="A9091" t="str">
            <v/>
          </cell>
        </row>
        <row r="9092">
          <cell r="A9092" t="str">
            <v/>
          </cell>
        </row>
        <row r="9093">
          <cell r="A9093" t="str">
            <v/>
          </cell>
        </row>
        <row r="9094">
          <cell r="A9094" t="str">
            <v/>
          </cell>
        </row>
        <row r="9095">
          <cell r="A9095" t="str">
            <v/>
          </cell>
        </row>
        <row r="9096">
          <cell r="A9096" t="str">
            <v/>
          </cell>
        </row>
        <row r="9097">
          <cell r="A9097" t="str">
            <v/>
          </cell>
        </row>
        <row r="9098">
          <cell r="A9098" t="str">
            <v/>
          </cell>
        </row>
        <row r="9099">
          <cell r="A9099" t="str">
            <v/>
          </cell>
        </row>
        <row r="9100">
          <cell r="A9100" t="str">
            <v/>
          </cell>
        </row>
        <row r="9101">
          <cell r="A9101" t="str">
            <v/>
          </cell>
        </row>
        <row r="9102">
          <cell r="A9102" t="str">
            <v/>
          </cell>
        </row>
        <row r="9103">
          <cell r="A9103" t="str">
            <v/>
          </cell>
        </row>
        <row r="9104">
          <cell r="A9104" t="str">
            <v/>
          </cell>
        </row>
        <row r="9105">
          <cell r="A9105" t="str">
            <v/>
          </cell>
        </row>
        <row r="9106">
          <cell r="A9106" t="str">
            <v/>
          </cell>
        </row>
        <row r="9107">
          <cell r="A9107" t="str">
            <v/>
          </cell>
        </row>
        <row r="9108">
          <cell r="A9108" t="str">
            <v/>
          </cell>
        </row>
        <row r="9109">
          <cell r="A9109" t="str">
            <v/>
          </cell>
        </row>
        <row r="9110">
          <cell r="A9110" t="str">
            <v/>
          </cell>
        </row>
        <row r="9111">
          <cell r="A9111" t="str">
            <v/>
          </cell>
        </row>
        <row r="9112">
          <cell r="A9112" t="str">
            <v/>
          </cell>
        </row>
        <row r="9113">
          <cell r="A9113" t="str">
            <v/>
          </cell>
        </row>
        <row r="9114">
          <cell r="A9114" t="str">
            <v/>
          </cell>
        </row>
        <row r="9115">
          <cell r="A9115" t="str">
            <v/>
          </cell>
        </row>
        <row r="9116">
          <cell r="A9116" t="str">
            <v/>
          </cell>
        </row>
        <row r="9117">
          <cell r="A9117" t="str">
            <v/>
          </cell>
        </row>
        <row r="9118">
          <cell r="A9118" t="str">
            <v/>
          </cell>
        </row>
        <row r="9119">
          <cell r="A9119" t="str">
            <v/>
          </cell>
        </row>
        <row r="9120">
          <cell r="A9120" t="str">
            <v/>
          </cell>
        </row>
        <row r="9121">
          <cell r="A9121" t="str">
            <v/>
          </cell>
        </row>
        <row r="9122">
          <cell r="A9122" t="str">
            <v/>
          </cell>
        </row>
        <row r="9123">
          <cell r="A9123" t="str">
            <v/>
          </cell>
        </row>
        <row r="9124">
          <cell r="A9124" t="str">
            <v/>
          </cell>
        </row>
        <row r="9125">
          <cell r="A9125" t="str">
            <v/>
          </cell>
        </row>
        <row r="9126">
          <cell r="A9126" t="str">
            <v/>
          </cell>
        </row>
        <row r="9127">
          <cell r="A9127" t="str">
            <v/>
          </cell>
        </row>
        <row r="9128">
          <cell r="A9128" t="str">
            <v/>
          </cell>
        </row>
        <row r="9129">
          <cell r="A9129" t="str">
            <v/>
          </cell>
        </row>
        <row r="9130">
          <cell r="A9130" t="str">
            <v/>
          </cell>
        </row>
        <row r="9131">
          <cell r="A9131" t="str">
            <v/>
          </cell>
        </row>
        <row r="9132">
          <cell r="A9132" t="str">
            <v/>
          </cell>
        </row>
        <row r="9133">
          <cell r="A9133" t="str">
            <v/>
          </cell>
        </row>
        <row r="9134">
          <cell r="A9134" t="str">
            <v/>
          </cell>
        </row>
        <row r="9135">
          <cell r="A9135" t="str">
            <v/>
          </cell>
        </row>
        <row r="9136">
          <cell r="A9136" t="str">
            <v/>
          </cell>
        </row>
        <row r="9137">
          <cell r="A9137" t="str">
            <v/>
          </cell>
        </row>
        <row r="9138">
          <cell r="A9138" t="str">
            <v/>
          </cell>
        </row>
        <row r="9139">
          <cell r="A9139" t="str">
            <v/>
          </cell>
        </row>
        <row r="9140">
          <cell r="A9140" t="str">
            <v/>
          </cell>
        </row>
        <row r="9141">
          <cell r="A9141" t="str">
            <v/>
          </cell>
        </row>
        <row r="9142">
          <cell r="A9142" t="str">
            <v/>
          </cell>
        </row>
        <row r="9143">
          <cell r="A9143" t="str">
            <v/>
          </cell>
        </row>
        <row r="9144">
          <cell r="A9144" t="str">
            <v/>
          </cell>
        </row>
        <row r="9145">
          <cell r="A9145" t="str">
            <v/>
          </cell>
        </row>
        <row r="9146">
          <cell r="A9146" t="str">
            <v/>
          </cell>
        </row>
        <row r="9147">
          <cell r="A9147" t="str">
            <v/>
          </cell>
        </row>
        <row r="9148">
          <cell r="A9148" t="str">
            <v/>
          </cell>
        </row>
        <row r="9149">
          <cell r="A9149" t="str">
            <v/>
          </cell>
        </row>
        <row r="9150">
          <cell r="A9150" t="str">
            <v/>
          </cell>
        </row>
        <row r="9151">
          <cell r="A9151" t="str">
            <v/>
          </cell>
        </row>
        <row r="9152">
          <cell r="A9152" t="str">
            <v/>
          </cell>
        </row>
        <row r="9153">
          <cell r="A9153" t="str">
            <v/>
          </cell>
        </row>
        <row r="9154">
          <cell r="A9154" t="str">
            <v/>
          </cell>
        </row>
        <row r="9155">
          <cell r="A9155" t="str">
            <v/>
          </cell>
        </row>
        <row r="9156">
          <cell r="A9156" t="str">
            <v/>
          </cell>
        </row>
        <row r="9157">
          <cell r="A9157" t="str">
            <v/>
          </cell>
        </row>
        <row r="9158">
          <cell r="A9158" t="str">
            <v/>
          </cell>
        </row>
        <row r="9159">
          <cell r="A9159" t="str">
            <v/>
          </cell>
        </row>
        <row r="9160">
          <cell r="A9160" t="str">
            <v/>
          </cell>
        </row>
        <row r="9161">
          <cell r="A9161" t="str">
            <v/>
          </cell>
        </row>
        <row r="9162">
          <cell r="A9162" t="str">
            <v/>
          </cell>
        </row>
        <row r="9163">
          <cell r="A9163" t="str">
            <v/>
          </cell>
        </row>
        <row r="9164">
          <cell r="A9164" t="str">
            <v/>
          </cell>
        </row>
        <row r="9165">
          <cell r="A9165" t="str">
            <v/>
          </cell>
        </row>
        <row r="9166">
          <cell r="A9166" t="str">
            <v/>
          </cell>
        </row>
        <row r="9167">
          <cell r="A9167" t="str">
            <v/>
          </cell>
        </row>
        <row r="9168">
          <cell r="A9168" t="str">
            <v/>
          </cell>
        </row>
        <row r="9169">
          <cell r="A9169" t="str">
            <v/>
          </cell>
        </row>
        <row r="9170">
          <cell r="A9170" t="str">
            <v/>
          </cell>
        </row>
        <row r="9171">
          <cell r="A9171" t="str">
            <v/>
          </cell>
        </row>
        <row r="9172">
          <cell r="A9172" t="str">
            <v/>
          </cell>
        </row>
        <row r="9173">
          <cell r="A9173" t="str">
            <v/>
          </cell>
        </row>
        <row r="9174">
          <cell r="A9174" t="str">
            <v/>
          </cell>
        </row>
        <row r="9175">
          <cell r="A9175" t="str">
            <v/>
          </cell>
        </row>
        <row r="9176">
          <cell r="A9176" t="str">
            <v/>
          </cell>
        </row>
        <row r="9177">
          <cell r="A9177" t="str">
            <v/>
          </cell>
        </row>
        <row r="9178">
          <cell r="A9178" t="str">
            <v/>
          </cell>
        </row>
        <row r="9179">
          <cell r="A9179" t="str">
            <v/>
          </cell>
        </row>
        <row r="9180">
          <cell r="A9180" t="str">
            <v/>
          </cell>
        </row>
        <row r="9181">
          <cell r="A9181" t="str">
            <v/>
          </cell>
        </row>
        <row r="9182">
          <cell r="A9182" t="str">
            <v/>
          </cell>
        </row>
        <row r="9183">
          <cell r="A9183" t="str">
            <v/>
          </cell>
        </row>
        <row r="9184">
          <cell r="A9184" t="str">
            <v/>
          </cell>
        </row>
        <row r="9185">
          <cell r="A9185" t="str">
            <v/>
          </cell>
        </row>
        <row r="9186">
          <cell r="A9186" t="str">
            <v/>
          </cell>
        </row>
        <row r="9187">
          <cell r="A9187" t="str">
            <v/>
          </cell>
        </row>
        <row r="9188">
          <cell r="A9188" t="str">
            <v/>
          </cell>
        </row>
        <row r="9189">
          <cell r="A9189" t="str">
            <v/>
          </cell>
        </row>
        <row r="9190">
          <cell r="A9190" t="str">
            <v/>
          </cell>
        </row>
        <row r="9191">
          <cell r="A9191" t="str">
            <v/>
          </cell>
        </row>
        <row r="9192">
          <cell r="A9192" t="str">
            <v/>
          </cell>
        </row>
        <row r="9193">
          <cell r="A9193" t="str">
            <v/>
          </cell>
        </row>
        <row r="9194">
          <cell r="A9194" t="str">
            <v/>
          </cell>
        </row>
        <row r="9195">
          <cell r="A9195" t="str">
            <v/>
          </cell>
        </row>
        <row r="9196">
          <cell r="A9196" t="str">
            <v/>
          </cell>
        </row>
        <row r="9197">
          <cell r="A9197" t="str">
            <v/>
          </cell>
        </row>
        <row r="9198">
          <cell r="A9198" t="str">
            <v/>
          </cell>
        </row>
        <row r="9199">
          <cell r="A9199" t="str">
            <v/>
          </cell>
        </row>
        <row r="9200">
          <cell r="A9200" t="str">
            <v/>
          </cell>
        </row>
        <row r="9201">
          <cell r="A9201" t="str">
            <v/>
          </cell>
        </row>
        <row r="9202">
          <cell r="A9202" t="str">
            <v/>
          </cell>
        </row>
        <row r="9203">
          <cell r="A9203" t="str">
            <v/>
          </cell>
        </row>
        <row r="9204">
          <cell r="A9204" t="str">
            <v/>
          </cell>
        </row>
        <row r="9205">
          <cell r="A9205" t="str">
            <v/>
          </cell>
        </row>
        <row r="9206">
          <cell r="A9206" t="str">
            <v/>
          </cell>
        </row>
        <row r="9207">
          <cell r="A9207" t="str">
            <v/>
          </cell>
        </row>
        <row r="9208">
          <cell r="A9208" t="str">
            <v/>
          </cell>
        </row>
        <row r="9209">
          <cell r="A9209" t="str">
            <v/>
          </cell>
        </row>
        <row r="9210">
          <cell r="A9210" t="str">
            <v/>
          </cell>
        </row>
        <row r="9211">
          <cell r="A9211" t="str">
            <v/>
          </cell>
        </row>
        <row r="9212">
          <cell r="A9212" t="str">
            <v/>
          </cell>
        </row>
        <row r="9213">
          <cell r="A9213" t="str">
            <v/>
          </cell>
        </row>
        <row r="9214">
          <cell r="A9214" t="str">
            <v/>
          </cell>
        </row>
        <row r="9215">
          <cell r="A9215" t="str">
            <v/>
          </cell>
        </row>
        <row r="9216">
          <cell r="A9216" t="str">
            <v/>
          </cell>
        </row>
        <row r="9217">
          <cell r="A9217" t="str">
            <v/>
          </cell>
        </row>
        <row r="9218">
          <cell r="A9218" t="str">
            <v/>
          </cell>
        </row>
        <row r="9219">
          <cell r="A9219" t="str">
            <v/>
          </cell>
        </row>
        <row r="9220">
          <cell r="A9220" t="str">
            <v/>
          </cell>
        </row>
        <row r="9221">
          <cell r="A9221" t="str">
            <v/>
          </cell>
        </row>
        <row r="9222">
          <cell r="A9222" t="str">
            <v/>
          </cell>
        </row>
        <row r="9223">
          <cell r="A9223" t="str">
            <v/>
          </cell>
        </row>
        <row r="9224">
          <cell r="A9224" t="str">
            <v/>
          </cell>
        </row>
        <row r="9225">
          <cell r="A9225" t="str">
            <v/>
          </cell>
        </row>
        <row r="9226">
          <cell r="A9226" t="str">
            <v/>
          </cell>
        </row>
        <row r="9227">
          <cell r="A9227" t="str">
            <v/>
          </cell>
        </row>
        <row r="9228">
          <cell r="A9228" t="str">
            <v/>
          </cell>
        </row>
        <row r="9229">
          <cell r="A9229" t="str">
            <v/>
          </cell>
        </row>
        <row r="9230">
          <cell r="A9230" t="str">
            <v/>
          </cell>
        </row>
        <row r="9231">
          <cell r="A9231" t="str">
            <v/>
          </cell>
        </row>
        <row r="9232">
          <cell r="A9232" t="str">
            <v/>
          </cell>
        </row>
        <row r="9233">
          <cell r="A9233" t="str">
            <v/>
          </cell>
        </row>
        <row r="9234">
          <cell r="A9234" t="str">
            <v/>
          </cell>
        </row>
        <row r="9235">
          <cell r="A9235" t="str">
            <v/>
          </cell>
        </row>
        <row r="9236">
          <cell r="A9236" t="str">
            <v/>
          </cell>
        </row>
        <row r="9237">
          <cell r="A9237" t="str">
            <v/>
          </cell>
        </row>
        <row r="9238">
          <cell r="A9238" t="str">
            <v/>
          </cell>
        </row>
        <row r="9239">
          <cell r="A9239" t="str">
            <v/>
          </cell>
        </row>
        <row r="9240">
          <cell r="A9240" t="str">
            <v/>
          </cell>
        </row>
        <row r="9241">
          <cell r="A9241" t="str">
            <v/>
          </cell>
        </row>
        <row r="9242">
          <cell r="A9242" t="str">
            <v/>
          </cell>
        </row>
        <row r="9243">
          <cell r="A9243" t="str">
            <v/>
          </cell>
        </row>
        <row r="9244">
          <cell r="A9244" t="str">
            <v/>
          </cell>
        </row>
        <row r="9245">
          <cell r="A9245" t="str">
            <v/>
          </cell>
        </row>
        <row r="9246">
          <cell r="A9246" t="str">
            <v/>
          </cell>
        </row>
        <row r="9247">
          <cell r="A9247" t="str">
            <v/>
          </cell>
        </row>
        <row r="9248">
          <cell r="A9248" t="str">
            <v/>
          </cell>
        </row>
        <row r="9249">
          <cell r="A9249" t="str">
            <v/>
          </cell>
        </row>
        <row r="9250">
          <cell r="A9250" t="str">
            <v/>
          </cell>
        </row>
        <row r="9251">
          <cell r="A9251" t="str">
            <v/>
          </cell>
        </row>
        <row r="9252">
          <cell r="A9252" t="str">
            <v/>
          </cell>
        </row>
        <row r="9253">
          <cell r="A9253" t="str">
            <v/>
          </cell>
        </row>
        <row r="9254">
          <cell r="A9254" t="str">
            <v/>
          </cell>
        </row>
        <row r="9255">
          <cell r="A9255" t="str">
            <v/>
          </cell>
        </row>
        <row r="9256">
          <cell r="A9256" t="str">
            <v/>
          </cell>
        </row>
        <row r="9257">
          <cell r="A9257" t="str">
            <v/>
          </cell>
        </row>
        <row r="9258">
          <cell r="A9258" t="str">
            <v/>
          </cell>
        </row>
        <row r="9259">
          <cell r="A9259" t="str">
            <v/>
          </cell>
        </row>
        <row r="9260">
          <cell r="A9260" t="str">
            <v/>
          </cell>
        </row>
        <row r="9261">
          <cell r="A9261" t="str">
            <v/>
          </cell>
        </row>
        <row r="9262">
          <cell r="A9262" t="str">
            <v/>
          </cell>
        </row>
        <row r="9263">
          <cell r="A9263" t="str">
            <v/>
          </cell>
        </row>
        <row r="9264">
          <cell r="A9264" t="str">
            <v/>
          </cell>
        </row>
        <row r="9265">
          <cell r="A9265" t="str">
            <v/>
          </cell>
        </row>
        <row r="9266">
          <cell r="A9266" t="str">
            <v/>
          </cell>
        </row>
        <row r="9267">
          <cell r="A9267" t="str">
            <v/>
          </cell>
        </row>
        <row r="9268">
          <cell r="A9268" t="str">
            <v/>
          </cell>
        </row>
        <row r="9269">
          <cell r="A9269" t="str">
            <v/>
          </cell>
        </row>
        <row r="9270">
          <cell r="A9270" t="str">
            <v/>
          </cell>
        </row>
        <row r="9271">
          <cell r="A9271" t="str">
            <v/>
          </cell>
        </row>
        <row r="9272">
          <cell r="A9272" t="str">
            <v/>
          </cell>
        </row>
        <row r="9273">
          <cell r="A9273" t="str">
            <v/>
          </cell>
        </row>
        <row r="9274">
          <cell r="A9274" t="str">
            <v/>
          </cell>
        </row>
        <row r="9275">
          <cell r="A9275" t="str">
            <v/>
          </cell>
        </row>
        <row r="9276">
          <cell r="A9276" t="str">
            <v/>
          </cell>
        </row>
        <row r="9277">
          <cell r="A9277" t="str">
            <v/>
          </cell>
        </row>
        <row r="9278">
          <cell r="A9278" t="str">
            <v/>
          </cell>
        </row>
        <row r="9279">
          <cell r="A9279" t="str">
            <v/>
          </cell>
        </row>
        <row r="9280">
          <cell r="A9280" t="str">
            <v/>
          </cell>
        </row>
        <row r="9281">
          <cell r="A9281" t="str">
            <v/>
          </cell>
        </row>
        <row r="9282">
          <cell r="A9282" t="str">
            <v/>
          </cell>
        </row>
        <row r="9283">
          <cell r="A9283" t="str">
            <v/>
          </cell>
        </row>
        <row r="9284">
          <cell r="A9284" t="str">
            <v/>
          </cell>
        </row>
        <row r="9285">
          <cell r="A9285" t="str">
            <v/>
          </cell>
        </row>
        <row r="9286">
          <cell r="A9286" t="str">
            <v/>
          </cell>
        </row>
        <row r="9287">
          <cell r="A9287" t="str">
            <v/>
          </cell>
        </row>
        <row r="9288">
          <cell r="A9288" t="str">
            <v/>
          </cell>
        </row>
        <row r="9289">
          <cell r="A9289" t="str">
            <v/>
          </cell>
        </row>
        <row r="9290">
          <cell r="A9290" t="str">
            <v/>
          </cell>
        </row>
        <row r="9291">
          <cell r="A9291" t="str">
            <v/>
          </cell>
        </row>
        <row r="9292">
          <cell r="A9292" t="str">
            <v/>
          </cell>
        </row>
        <row r="9293">
          <cell r="A9293" t="str">
            <v/>
          </cell>
        </row>
        <row r="9294">
          <cell r="A9294" t="str">
            <v/>
          </cell>
        </row>
        <row r="9295">
          <cell r="A9295" t="str">
            <v/>
          </cell>
        </row>
        <row r="9296">
          <cell r="A9296" t="str">
            <v/>
          </cell>
        </row>
        <row r="9297">
          <cell r="A9297" t="str">
            <v/>
          </cell>
        </row>
        <row r="9298">
          <cell r="A9298" t="str">
            <v/>
          </cell>
        </row>
        <row r="9299">
          <cell r="A9299" t="str">
            <v/>
          </cell>
        </row>
        <row r="9300">
          <cell r="A9300" t="str">
            <v/>
          </cell>
        </row>
        <row r="9301">
          <cell r="A9301" t="str">
            <v/>
          </cell>
        </row>
        <row r="9302">
          <cell r="A9302" t="str">
            <v/>
          </cell>
        </row>
        <row r="9303">
          <cell r="A9303" t="str">
            <v/>
          </cell>
        </row>
        <row r="9304">
          <cell r="A9304" t="str">
            <v/>
          </cell>
        </row>
        <row r="9305">
          <cell r="A9305" t="str">
            <v/>
          </cell>
        </row>
        <row r="9306">
          <cell r="A9306" t="str">
            <v/>
          </cell>
        </row>
        <row r="9307">
          <cell r="A9307" t="str">
            <v/>
          </cell>
        </row>
        <row r="9308">
          <cell r="A9308" t="str">
            <v/>
          </cell>
        </row>
        <row r="9309">
          <cell r="A9309" t="str">
            <v/>
          </cell>
        </row>
        <row r="9310">
          <cell r="A9310" t="str">
            <v/>
          </cell>
        </row>
        <row r="9311">
          <cell r="A9311" t="str">
            <v/>
          </cell>
        </row>
        <row r="9312">
          <cell r="A9312" t="str">
            <v/>
          </cell>
        </row>
        <row r="9313">
          <cell r="A9313" t="str">
            <v/>
          </cell>
        </row>
        <row r="9314">
          <cell r="A9314" t="str">
            <v/>
          </cell>
        </row>
        <row r="9315">
          <cell r="A9315" t="str">
            <v/>
          </cell>
        </row>
        <row r="9316">
          <cell r="A9316" t="str">
            <v/>
          </cell>
        </row>
        <row r="9317">
          <cell r="A9317" t="str">
            <v/>
          </cell>
        </row>
        <row r="9318">
          <cell r="A9318" t="str">
            <v/>
          </cell>
        </row>
        <row r="9319">
          <cell r="A9319" t="str">
            <v/>
          </cell>
        </row>
        <row r="9320">
          <cell r="A9320" t="str">
            <v/>
          </cell>
        </row>
        <row r="9321">
          <cell r="A9321" t="str">
            <v/>
          </cell>
        </row>
        <row r="9322">
          <cell r="A9322" t="str">
            <v/>
          </cell>
        </row>
        <row r="9323">
          <cell r="A9323" t="str">
            <v/>
          </cell>
        </row>
        <row r="9324">
          <cell r="A9324" t="str">
            <v/>
          </cell>
        </row>
        <row r="9325">
          <cell r="A9325" t="str">
            <v/>
          </cell>
        </row>
        <row r="9326">
          <cell r="A9326" t="str">
            <v/>
          </cell>
        </row>
        <row r="9327">
          <cell r="A9327" t="str">
            <v/>
          </cell>
        </row>
        <row r="9328">
          <cell r="A9328" t="str">
            <v/>
          </cell>
        </row>
        <row r="9329">
          <cell r="A9329" t="str">
            <v/>
          </cell>
        </row>
        <row r="9330">
          <cell r="A9330" t="str">
            <v/>
          </cell>
        </row>
        <row r="9331">
          <cell r="A9331" t="str">
            <v/>
          </cell>
        </row>
        <row r="9332">
          <cell r="A9332" t="str">
            <v/>
          </cell>
        </row>
        <row r="9333">
          <cell r="A9333" t="str">
            <v/>
          </cell>
        </row>
        <row r="9334">
          <cell r="A9334" t="str">
            <v/>
          </cell>
        </row>
        <row r="9335">
          <cell r="A9335" t="str">
            <v/>
          </cell>
        </row>
        <row r="9336">
          <cell r="A9336" t="str">
            <v/>
          </cell>
        </row>
        <row r="9337">
          <cell r="A9337" t="str">
            <v/>
          </cell>
        </row>
        <row r="9338">
          <cell r="A9338" t="str">
            <v/>
          </cell>
        </row>
        <row r="9339">
          <cell r="A9339" t="str">
            <v/>
          </cell>
        </row>
        <row r="9340">
          <cell r="A9340" t="str">
            <v/>
          </cell>
        </row>
        <row r="9341">
          <cell r="A9341" t="str">
            <v/>
          </cell>
        </row>
        <row r="9342">
          <cell r="A9342" t="str">
            <v/>
          </cell>
        </row>
        <row r="9343">
          <cell r="A9343" t="str">
            <v/>
          </cell>
        </row>
        <row r="9344">
          <cell r="A9344" t="str">
            <v/>
          </cell>
        </row>
        <row r="9345">
          <cell r="A9345" t="str">
            <v/>
          </cell>
        </row>
        <row r="9346">
          <cell r="A9346" t="str">
            <v/>
          </cell>
        </row>
        <row r="9347">
          <cell r="A9347" t="str">
            <v/>
          </cell>
        </row>
        <row r="9348">
          <cell r="A9348" t="str">
            <v/>
          </cell>
        </row>
        <row r="9349">
          <cell r="A9349" t="str">
            <v/>
          </cell>
        </row>
        <row r="9350">
          <cell r="A9350" t="str">
            <v/>
          </cell>
        </row>
        <row r="9351">
          <cell r="A9351" t="str">
            <v/>
          </cell>
        </row>
        <row r="9352">
          <cell r="A9352" t="str">
            <v/>
          </cell>
        </row>
        <row r="9353">
          <cell r="A9353" t="str">
            <v/>
          </cell>
        </row>
        <row r="9354">
          <cell r="A9354" t="str">
            <v/>
          </cell>
        </row>
        <row r="9355">
          <cell r="A9355" t="str">
            <v/>
          </cell>
        </row>
        <row r="9356">
          <cell r="A9356" t="str">
            <v/>
          </cell>
        </row>
        <row r="9357">
          <cell r="A9357" t="str">
            <v/>
          </cell>
        </row>
        <row r="9358">
          <cell r="A9358" t="str">
            <v/>
          </cell>
        </row>
        <row r="9359">
          <cell r="A9359" t="str">
            <v/>
          </cell>
        </row>
        <row r="9360">
          <cell r="A9360" t="str">
            <v/>
          </cell>
        </row>
        <row r="9361">
          <cell r="A9361" t="str">
            <v/>
          </cell>
        </row>
        <row r="9362">
          <cell r="A9362" t="str">
            <v/>
          </cell>
        </row>
        <row r="9363">
          <cell r="A9363" t="str">
            <v/>
          </cell>
        </row>
        <row r="9364">
          <cell r="A9364" t="str">
            <v/>
          </cell>
        </row>
        <row r="9365">
          <cell r="A9365" t="str">
            <v/>
          </cell>
        </row>
        <row r="9366">
          <cell r="A9366" t="str">
            <v/>
          </cell>
        </row>
        <row r="9367">
          <cell r="A9367" t="str">
            <v/>
          </cell>
        </row>
        <row r="9368">
          <cell r="A9368" t="str">
            <v/>
          </cell>
        </row>
        <row r="9369">
          <cell r="A9369" t="str">
            <v/>
          </cell>
        </row>
        <row r="9370">
          <cell r="A9370" t="str">
            <v/>
          </cell>
        </row>
        <row r="9371">
          <cell r="A9371" t="str">
            <v/>
          </cell>
        </row>
        <row r="9372">
          <cell r="A9372" t="str">
            <v/>
          </cell>
        </row>
        <row r="9373">
          <cell r="A9373" t="str">
            <v/>
          </cell>
        </row>
        <row r="9374">
          <cell r="A9374" t="str">
            <v/>
          </cell>
        </row>
        <row r="9375">
          <cell r="A9375" t="str">
            <v/>
          </cell>
        </row>
        <row r="9376">
          <cell r="A9376" t="str">
            <v/>
          </cell>
        </row>
        <row r="9377">
          <cell r="A9377" t="str">
            <v/>
          </cell>
        </row>
        <row r="9378">
          <cell r="A9378" t="str">
            <v/>
          </cell>
        </row>
        <row r="9379">
          <cell r="A9379" t="str">
            <v/>
          </cell>
        </row>
        <row r="9380">
          <cell r="A9380" t="str">
            <v/>
          </cell>
        </row>
        <row r="9381">
          <cell r="A9381" t="str">
            <v/>
          </cell>
        </row>
        <row r="9382">
          <cell r="A9382" t="str">
            <v/>
          </cell>
        </row>
        <row r="9383">
          <cell r="A9383" t="str">
            <v/>
          </cell>
        </row>
        <row r="9384">
          <cell r="A9384" t="str">
            <v/>
          </cell>
        </row>
        <row r="9385">
          <cell r="A9385" t="str">
            <v/>
          </cell>
        </row>
        <row r="9386">
          <cell r="A9386" t="str">
            <v/>
          </cell>
        </row>
        <row r="9387">
          <cell r="A9387" t="str">
            <v/>
          </cell>
        </row>
        <row r="9388">
          <cell r="A9388" t="str">
            <v/>
          </cell>
        </row>
        <row r="9389">
          <cell r="A9389" t="str">
            <v/>
          </cell>
        </row>
        <row r="9390">
          <cell r="A9390" t="str">
            <v/>
          </cell>
        </row>
        <row r="9391">
          <cell r="A9391" t="str">
            <v/>
          </cell>
        </row>
        <row r="9392">
          <cell r="A9392" t="str">
            <v/>
          </cell>
        </row>
        <row r="9393">
          <cell r="A9393" t="str">
            <v/>
          </cell>
        </row>
        <row r="9394">
          <cell r="A9394" t="str">
            <v/>
          </cell>
        </row>
        <row r="9395">
          <cell r="A9395" t="str">
            <v/>
          </cell>
        </row>
        <row r="9396">
          <cell r="A9396" t="str">
            <v/>
          </cell>
        </row>
        <row r="9397">
          <cell r="A9397" t="str">
            <v/>
          </cell>
        </row>
        <row r="9398">
          <cell r="A9398" t="str">
            <v/>
          </cell>
        </row>
        <row r="9399">
          <cell r="A9399" t="str">
            <v/>
          </cell>
        </row>
        <row r="9400">
          <cell r="A9400" t="str">
            <v/>
          </cell>
        </row>
        <row r="9401">
          <cell r="A9401" t="str">
            <v/>
          </cell>
        </row>
        <row r="9402">
          <cell r="A9402" t="str">
            <v/>
          </cell>
        </row>
        <row r="9403">
          <cell r="A9403" t="str">
            <v/>
          </cell>
        </row>
        <row r="9404">
          <cell r="A9404" t="str">
            <v/>
          </cell>
        </row>
        <row r="9405">
          <cell r="A9405" t="str">
            <v/>
          </cell>
        </row>
        <row r="9406">
          <cell r="A9406" t="str">
            <v/>
          </cell>
        </row>
        <row r="9407">
          <cell r="A9407" t="str">
            <v/>
          </cell>
        </row>
        <row r="9408">
          <cell r="A9408" t="str">
            <v/>
          </cell>
        </row>
        <row r="9409">
          <cell r="A9409" t="str">
            <v/>
          </cell>
        </row>
        <row r="9410">
          <cell r="A9410" t="str">
            <v/>
          </cell>
        </row>
        <row r="9411">
          <cell r="A9411" t="str">
            <v/>
          </cell>
        </row>
        <row r="9412">
          <cell r="A9412" t="str">
            <v/>
          </cell>
        </row>
        <row r="9413">
          <cell r="A9413" t="str">
            <v/>
          </cell>
        </row>
        <row r="9414">
          <cell r="A9414" t="str">
            <v/>
          </cell>
        </row>
        <row r="9415">
          <cell r="A9415" t="str">
            <v/>
          </cell>
        </row>
        <row r="9416">
          <cell r="A9416" t="str">
            <v/>
          </cell>
        </row>
        <row r="9417">
          <cell r="A9417" t="str">
            <v/>
          </cell>
        </row>
        <row r="9418">
          <cell r="A9418" t="str">
            <v/>
          </cell>
        </row>
        <row r="9419">
          <cell r="A9419" t="str">
            <v/>
          </cell>
        </row>
        <row r="9420">
          <cell r="A9420" t="str">
            <v/>
          </cell>
        </row>
        <row r="9421">
          <cell r="A9421" t="str">
            <v/>
          </cell>
        </row>
        <row r="9422">
          <cell r="A9422" t="str">
            <v/>
          </cell>
        </row>
        <row r="9423">
          <cell r="A9423" t="str">
            <v/>
          </cell>
        </row>
        <row r="9424">
          <cell r="A9424" t="str">
            <v/>
          </cell>
        </row>
        <row r="9425">
          <cell r="A9425" t="str">
            <v/>
          </cell>
        </row>
        <row r="9426">
          <cell r="A9426" t="str">
            <v/>
          </cell>
        </row>
        <row r="9427">
          <cell r="A9427" t="str">
            <v/>
          </cell>
        </row>
        <row r="9428">
          <cell r="A9428" t="str">
            <v/>
          </cell>
        </row>
        <row r="9429">
          <cell r="A9429" t="str">
            <v/>
          </cell>
        </row>
        <row r="9430">
          <cell r="A9430" t="str">
            <v/>
          </cell>
        </row>
        <row r="9431">
          <cell r="A9431" t="str">
            <v/>
          </cell>
        </row>
        <row r="9432">
          <cell r="A9432" t="str">
            <v/>
          </cell>
        </row>
        <row r="9433">
          <cell r="A9433" t="str">
            <v/>
          </cell>
        </row>
        <row r="9434">
          <cell r="A9434" t="str">
            <v/>
          </cell>
        </row>
        <row r="9435">
          <cell r="A9435" t="str">
            <v/>
          </cell>
        </row>
        <row r="9436">
          <cell r="A9436" t="str">
            <v/>
          </cell>
        </row>
        <row r="9437">
          <cell r="A9437" t="str">
            <v/>
          </cell>
        </row>
        <row r="9438">
          <cell r="A9438" t="str">
            <v/>
          </cell>
        </row>
        <row r="9439">
          <cell r="A9439" t="str">
            <v/>
          </cell>
        </row>
        <row r="9440">
          <cell r="A9440" t="str">
            <v/>
          </cell>
        </row>
        <row r="9441">
          <cell r="A9441" t="str">
            <v/>
          </cell>
        </row>
        <row r="9442">
          <cell r="A9442" t="str">
            <v/>
          </cell>
        </row>
        <row r="9443">
          <cell r="A9443" t="str">
            <v/>
          </cell>
        </row>
        <row r="9444">
          <cell r="A9444" t="str">
            <v/>
          </cell>
        </row>
        <row r="9445">
          <cell r="A9445" t="str">
            <v/>
          </cell>
        </row>
        <row r="9446">
          <cell r="A9446" t="str">
            <v/>
          </cell>
        </row>
        <row r="9447">
          <cell r="A9447" t="str">
            <v/>
          </cell>
        </row>
        <row r="9448">
          <cell r="A9448" t="str">
            <v/>
          </cell>
        </row>
        <row r="9449">
          <cell r="A9449" t="str">
            <v/>
          </cell>
        </row>
        <row r="9450">
          <cell r="A9450" t="str">
            <v/>
          </cell>
        </row>
        <row r="9451">
          <cell r="A9451" t="str">
            <v/>
          </cell>
        </row>
        <row r="9452">
          <cell r="A9452" t="str">
            <v/>
          </cell>
        </row>
        <row r="9453">
          <cell r="A9453" t="str">
            <v/>
          </cell>
        </row>
        <row r="9454">
          <cell r="A9454" t="str">
            <v/>
          </cell>
        </row>
        <row r="9455">
          <cell r="A9455" t="str">
            <v/>
          </cell>
        </row>
        <row r="9456">
          <cell r="A9456" t="str">
            <v/>
          </cell>
        </row>
        <row r="9457">
          <cell r="A9457" t="str">
            <v/>
          </cell>
        </row>
        <row r="9458">
          <cell r="A9458" t="str">
            <v/>
          </cell>
        </row>
        <row r="9459">
          <cell r="A9459" t="str">
            <v/>
          </cell>
        </row>
        <row r="9460">
          <cell r="A9460" t="str">
            <v/>
          </cell>
        </row>
        <row r="9461">
          <cell r="A9461" t="str">
            <v/>
          </cell>
        </row>
        <row r="9462">
          <cell r="A9462" t="str">
            <v/>
          </cell>
        </row>
        <row r="9463">
          <cell r="A9463" t="str">
            <v/>
          </cell>
        </row>
        <row r="9464">
          <cell r="A9464" t="str">
            <v/>
          </cell>
        </row>
        <row r="9465">
          <cell r="A9465" t="str">
            <v/>
          </cell>
        </row>
        <row r="9466">
          <cell r="A9466" t="str">
            <v/>
          </cell>
        </row>
        <row r="9467">
          <cell r="A9467" t="str">
            <v/>
          </cell>
        </row>
        <row r="9468">
          <cell r="A9468" t="str">
            <v/>
          </cell>
        </row>
        <row r="9469">
          <cell r="A9469" t="str">
            <v/>
          </cell>
        </row>
        <row r="9470">
          <cell r="A9470" t="str">
            <v/>
          </cell>
        </row>
        <row r="9471">
          <cell r="A9471" t="str">
            <v/>
          </cell>
        </row>
        <row r="9472">
          <cell r="A9472" t="str">
            <v/>
          </cell>
        </row>
        <row r="9473">
          <cell r="A9473" t="str">
            <v/>
          </cell>
        </row>
        <row r="9474">
          <cell r="A9474" t="str">
            <v/>
          </cell>
        </row>
        <row r="9475">
          <cell r="A9475" t="str">
            <v/>
          </cell>
        </row>
        <row r="9476">
          <cell r="A9476" t="str">
            <v/>
          </cell>
        </row>
        <row r="9477">
          <cell r="A9477" t="str">
            <v/>
          </cell>
        </row>
        <row r="9478">
          <cell r="A9478" t="str">
            <v/>
          </cell>
        </row>
        <row r="9479">
          <cell r="A9479" t="str">
            <v/>
          </cell>
        </row>
        <row r="9480">
          <cell r="A9480" t="str">
            <v/>
          </cell>
        </row>
        <row r="9481">
          <cell r="A9481" t="str">
            <v/>
          </cell>
        </row>
        <row r="9482">
          <cell r="A9482" t="str">
            <v/>
          </cell>
        </row>
        <row r="9483">
          <cell r="A9483" t="str">
            <v/>
          </cell>
        </row>
        <row r="9484">
          <cell r="A9484" t="str">
            <v/>
          </cell>
        </row>
        <row r="9485">
          <cell r="A9485" t="str">
            <v/>
          </cell>
        </row>
        <row r="9486">
          <cell r="A9486" t="str">
            <v/>
          </cell>
        </row>
        <row r="9487">
          <cell r="A9487" t="str">
            <v/>
          </cell>
        </row>
        <row r="9488">
          <cell r="A9488" t="str">
            <v/>
          </cell>
        </row>
        <row r="9489">
          <cell r="A9489" t="str">
            <v/>
          </cell>
        </row>
        <row r="9490">
          <cell r="A9490" t="str">
            <v/>
          </cell>
        </row>
        <row r="9491">
          <cell r="A9491" t="str">
            <v/>
          </cell>
        </row>
        <row r="9492">
          <cell r="A9492" t="str">
            <v/>
          </cell>
        </row>
        <row r="9493">
          <cell r="A9493" t="str">
            <v/>
          </cell>
        </row>
        <row r="9494">
          <cell r="A9494" t="str">
            <v/>
          </cell>
        </row>
        <row r="9495">
          <cell r="A9495" t="str">
            <v/>
          </cell>
        </row>
        <row r="9496">
          <cell r="A9496" t="str">
            <v/>
          </cell>
        </row>
        <row r="9497">
          <cell r="A9497" t="str">
            <v/>
          </cell>
        </row>
        <row r="9498">
          <cell r="A9498" t="str">
            <v/>
          </cell>
        </row>
        <row r="9499">
          <cell r="A9499" t="str">
            <v/>
          </cell>
        </row>
        <row r="9500">
          <cell r="A9500" t="str">
            <v/>
          </cell>
        </row>
        <row r="9501">
          <cell r="A9501" t="str">
            <v/>
          </cell>
        </row>
        <row r="9502">
          <cell r="A9502" t="str">
            <v/>
          </cell>
        </row>
        <row r="9503">
          <cell r="A9503" t="str">
            <v/>
          </cell>
        </row>
        <row r="9504">
          <cell r="A9504" t="str">
            <v/>
          </cell>
        </row>
        <row r="9505">
          <cell r="A9505" t="str">
            <v/>
          </cell>
        </row>
        <row r="9506">
          <cell r="A9506" t="str">
            <v/>
          </cell>
        </row>
        <row r="9507">
          <cell r="A9507" t="str">
            <v/>
          </cell>
        </row>
        <row r="9508">
          <cell r="A9508" t="str">
            <v/>
          </cell>
        </row>
        <row r="9509">
          <cell r="A9509" t="str">
            <v/>
          </cell>
        </row>
        <row r="9510">
          <cell r="A9510" t="str">
            <v/>
          </cell>
        </row>
        <row r="9511">
          <cell r="A9511" t="str">
            <v/>
          </cell>
        </row>
        <row r="9512">
          <cell r="A9512" t="str">
            <v/>
          </cell>
        </row>
        <row r="9513">
          <cell r="A9513" t="str">
            <v/>
          </cell>
        </row>
        <row r="9514">
          <cell r="A9514" t="str">
            <v/>
          </cell>
        </row>
        <row r="9515">
          <cell r="A9515" t="str">
            <v/>
          </cell>
        </row>
        <row r="9516">
          <cell r="A9516" t="str">
            <v/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  <row r="9862">
          <cell r="A9862" t="str">
            <v/>
          </cell>
        </row>
        <row r="9863">
          <cell r="A9863" t="str">
            <v/>
          </cell>
        </row>
        <row r="9864">
          <cell r="A9864" t="str">
            <v/>
          </cell>
        </row>
        <row r="9865">
          <cell r="A9865" t="str">
            <v/>
          </cell>
        </row>
        <row r="9866">
          <cell r="A9866" t="str">
            <v/>
          </cell>
        </row>
        <row r="9867">
          <cell r="A9867" t="str">
            <v/>
          </cell>
        </row>
        <row r="9868">
          <cell r="A9868" t="str">
            <v/>
          </cell>
        </row>
        <row r="9869">
          <cell r="A9869" t="str">
            <v/>
          </cell>
        </row>
        <row r="9870">
          <cell r="A9870" t="str">
            <v/>
          </cell>
        </row>
        <row r="9871">
          <cell r="A9871" t="str">
            <v/>
          </cell>
        </row>
        <row r="9872">
          <cell r="A9872" t="str">
            <v/>
          </cell>
        </row>
        <row r="9873">
          <cell r="A9873" t="str">
            <v/>
          </cell>
        </row>
        <row r="9874">
          <cell r="A9874" t="str">
            <v/>
          </cell>
        </row>
        <row r="9875">
          <cell r="A9875" t="str">
            <v/>
          </cell>
        </row>
        <row r="9876">
          <cell r="A9876" t="str">
            <v/>
          </cell>
        </row>
        <row r="9877">
          <cell r="A9877" t="str">
            <v/>
          </cell>
        </row>
        <row r="9878">
          <cell r="A9878" t="str">
            <v/>
          </cell>
        </row>
        <row r="9879">
          <cell r="A9879" t="str">
            <v/>
          </cell>
        </row>
        <row r="9880">
          <cell r="A9880" t="str">
            <v/>
          </cell>
        </row>
        <row r="9881">
          <cell r="A9881" t="str">
            <v/>
          </cell>
        </row>
        <row r="9882">
          <cell r="A9882" t="str">
            <v/>
          </cell>
        </row>
        <row r="9883">
          <cell r="A9883" t="str">
            <v/>
          </cell>
        </row>
        <row r="9884">
          <cell r="A9884" t="str">
            <v/>
          </cell>
        </row>
        <row r="9885">
          <cell r="A9885" t="str">
            <v/>
          </cell>
        </row>
        <row r="9886">
          <cell r="A9886" t="str">
            <v/>
          </cell>
        </row>
        <row r="9887">
          <cell r="A9887" t="str">
            <v/>
          </cell>
        </row>
        <row r="9888">
          <cell r="A9888" t="str">
            <v/>
          </cell>
        </row>
        <row r="9889">
          <cell r="A9889" t="str">
            <v/>
          </cell>
        </row>
        <row r="9890">
          <cell r="A9890" t="str">
            <v/>
          </cell>
        </row>
        <row r="9891">
          <cell r="A9891" t="str">
            <v/>
          </cell>
        </row>
        <row r="9892">
          <cell r="A9892" t="str">
            <v/>
          </cell>
        </row>
        <row r="9893">
          <cell r="A9893" t="str">
            <v/>
          </cell>
        </row>
        <row r="9894">
          <cell r="A9894" t="str">
            <v/>
          </cell>
        </row>
        <row r="9895">
          <cell r="A9895" t="str">
            <v/>
          </cell>
        </row>
        <row r="9896">
          <cell r="A9896" t="str">
            <v/>
          </cell>
        </row>
        <row r="9897">
          <cell r="A9897" t="str">
            <v/>
          </cell>
        </row>
        <row r="9898">
          <cell r="A9898" t="str">
            <v/>
          </cell>
        </row>
        <row r="9899">
          <cell r="A9899" t="str">
            <v/>
          </cell>
        </row>
        <row r="9900">
          <cell r="A9900" t="str">
            <v/>
          </cell>
        </row>
        <row r="9901">
          <cell r="A9901" t="str">
            <v/>
          </cell>
        </row>
        <row r="9902">
          <cell r="A9902" t="str">
            <v/>
          </cell>
        </row>
        <row r="9903">
          <cell r="A9903" t="str">
            <v/>
          </cell>
        </row>
        <row r="9904">
          <cell r="A9904" t="str">
            <v/>
          </cell>
        </row>
        <row r="9905">
          <cell r="A9905" t="str">
            <v/>
          </cell>
        </row>
        <row r="9906">
          <cell r="A9906" t="str">
            <v/>
          </cell>
        </row>
        <row r="9907">
          <cell r="A9907" t="str">
            <v/>
          </cell>
        </row>
        <row r="9908">
          <cell r="A9908" t="str">
            <v/>
          </cell>
        </row>
        <row r="9909">
          <cell r="A9909" t="str">
            <v/>
          </cell>
        </row>
        <row r="9910">
          <cell r="A9910" t="str">
            <v/>
          </cell>
        </row>
        <row r="9911">
          <cell r="A9911" t="str">
            <v/>
          </cell>
        </row>
        <row r="9912">
          <cell r="A9912" t="str">
            <v/>
          </cell>
        </row>
        <row r="9913">
          <cell r="A9913" t="str">
            <v/>
          </cell>
        </row>
        <row r="9914">
          <cell r="A9914" t="str">
            <v/>
          </cell>
        </row>
        <row r="9915">
          <cell r="A9915" t="str">
            <v/>
          </cell>
        </row>
        <row r="9916">
          <cell r="A9916" t="str">
            <v/>
          </cell>
        </row>
        <row r="9917">
          <cell r="A9917" t="str">
            <v/>
          </cell>
        </row>
        <row r="9918">
          <cell r="A9918" t="str">
            <v/>
          </cell>
        </row>
        <row r="9919">
          <cell r="A9919" t="str">
            <v/>
          </cell>
        </row>
        <row r="9920">
          <cell r="A9920" t="str">
            <v/>
          </cell>
        </row>
        <row r="9921">
          <cell r="A9921" t="str">
            <v/>
          </cell>
        </row>
        <row r="9922">
          <cell r="A9922" t="str">
            <v/>
          </cell>
        </row>
        <row r="9923">
          <cell r="A9923" t="str">
            <v/>
          </cell>
        </row>
        <row r="9924">
          <cell r="A9924" t="str">
            <v/>
          </cell>
        </row>
        <row r="9925">
          <cell r="A9925" t="str">
            <v/>
          </cell>
        </row>
        <row r="9926">
          <cell r="A9926" t="str">
            <v/>
          </cell>
        </row>
        <row r="9927">
          <cell r="A9927" t="str">
            <v/>
          </cell>
        </row>
        <row r="9928">
          <cell r="A9928" t="str">
            <v/>
          </cell>
        </row>
        <row r="9929">
          <cell r="A9929" t="str">
            <v/>
          </cell>
        </row>
        <row r="9930">
          <cell r="A9930" t="str">
            <v/>
          </cell>
        </row>
        <row r="9931">
          <cell r="A9931" t="str">
            <v/>
          </cell>
        </row>
        <row r="9932">
          <cell r="A9932" t="str">
            <v/>
          </cell>
        </row>
        <row r="9933">
          <cell r="A9933" t="str">
            <v/>
          </cell>
        </row>
        <row r="9934">
          <cell r="A9934" t="str">
            <v/>
          </cell>
        </row>
        <row r="9935">
          <cell r="A9935" t="str">
            <v/>
          </cell>
        </row>
        <row r="9936">
          <cell r="A9936" t="str">
            <v/>
          </cell>
        </row>
        <row r="9937">
          <cell r="A9937" t="str">
            <v/>
          </cell>
        </row>
        <row r="9938">
          <cell r="A9938" t="str">
            <v/>
          </cell>
        </row>
        <row r="9939">
          <cell r="A9939" t="str">
            <v/>
          </cell>
        </row>
        <row r="9940">
          <cell r="A9940" t="str">
            <v/>
          </cell>
        </row>
        <row r="9941">
          <cell r="A9941" t="str">
            <v/>
          </cell>
        </row>
        <row r="9942">
          <cell r="A9942" t="str">
            <v/>
          </cell>
        </row>
        <row r="9943">
          <cell r="A9943" t="str">
            <v/>
          </cell>
        </row>
        <row r="9944">
          <cell r="A9944" t="str">
            <v/>
          </cell>
        </row>
        <row r="9945">
          <cell r="A9945" t="str">
            <v/>
          </cell>
        </row>
        <row r="9946">
          <cell r="A9946" t="str">
            <v/>
          </cell>
        </row>
        <row r="9947">
          <cell r="A9947" t="str">
            <v/>
          </cell>
        </row>
        <row r="9948">
          <cell r="A9948" t="str">
            <v/>
          </cell>
        </row>
        <row r="9949">
          <cell r="A9949" t="str">
            <v/>
          </cell>
        </row>
        <row r="9950">
          <cell r="A9950" t="str">
            <v/>
          </cell>
        </row>
        <row r="9951">
          <cell r="A9951" t="str">
            <v/>
          </cell>
        </row>
        <row r="9952">
          <cell r="A9952" t="str">
            <v/>
          </cell>
        </row>
        <row r="9953">
          <cell r="A9953" t="str">
            <v/>
          </cell>
        </row>
        <row r="9954">
          <cell r="A9954" t="str">
            <v/>
          </cell>
        </row>
        <row r="9955">
          <cell r="A9955" t="str">
            <v/>
          </cell>
        </row>
        <row r="9956">
          <cell r="A9956" t="str">
            <v/>
          </cell>
        </row>
        <row r="9957">
          <cell r="A9957" t="str">
            <v/>
          </cell>
        </row>
        <row r="9958">
          <cell r="A9958" t="str">
            <v/>
          </cell>
        </row>
        <row r="9959">
          <cell r="A9959" t="str">
            <v/>
          </cell>
        </row>
        <row r="9960">
          <cell r="A9960" t="str">
            <v/>
          </cell>
        </row>
        <row r="9961">
          <cell r="A9961" t="str">
            <v/>
          </cell>
        </row>
        <row r="9962">
          <cell r="A9962" t="str">
            <v/>
          </cell>
        </row>
        <row r="9963">
          <cell r="A9963" t="str">
            <v/>
          </cell>
        </row>
        <row r="9964">
          <cell r="A9964" t="str">
            <v/>
          </cell>
        </row>
        <row r="9965">
          <cell r="A9965" t="str">
            <v/>
          </cell>
        </row>
        <row r="9966">
          <cell r="A9966" t="str">
            <v/>
          </cell>
        </row>
        <row r="9967">
          <cell r="A9967" t="str">
            <v/>
          </cell>
        </row>
        <row r="9968">
          <cell r="A9968" t="str">
            <v/>
          </cell>
        </row>
        <row r="9969">
          <cell r="A9969" t="str">
            <v/>
          </cell>
        </row>
        <row r="9970">
          <cell r="A9970" t="str">
            <v/>
          </cell>
        </row>
        <row r="9971">
          <cell r="A9971" t="str">
            <v/>
          </cell>
        </row>
        <row r="9972">
          <cell r="A9972" t="str">
            <v/>
          </cell>
        </row>
        <row r="9973">
          <cell r="A9973" t="str">
            <v/>
          </cell>
        </row>
        <row r="9974">
          <cell r="A9974" t="str">
            <v/>
          </cell>
        </row>
        <row r="9975">
          <cell r="A9975" t="str">
            <v/>
          </cell>
        </row>
        <row r="9976">
          <cell r="A9976" t="str">
            <v/>
          </cell>
        </row>
        <row r="9977">
          <cell r="A9977" t="str">
            <v/>
          </cell>
        </row>
        <row r="9978">
          <cell r="A9978" t="str">
            <v/>
          </cell>
        </row>
        <row r="9979">
          <cell r="A9979" t="str">
            <v/>
          </cell>
        </row>
        <row r="9980">
          <cell r="A9980" t="str">
            <v/>
          </cell>
        </row>
        <row r="9981">
          <cell r="A9981" t="str">
            <v/>
          </cell>
        </row>
        <row r="9982">
          <cell r="A9982" t="str">
            <v/>
          </cell>
        </row>
        <row r="9983">
          <cell r="A9983" t="str">
            <v/>
          </cell>
        </row>
        <row r="9984">
          <cell r="A9984" t="str">
            <v/>
          </cell>
        </row>
        <row r="9985">
          <cell r="A9985" t="str">
            <v/>
          </cell>
        </row>
        <row r="9986">
          <cell r="A9986" t="str">
            <v/>
          </cell>
        </row>
        <row r="9987">
          <cell r="A9987" t="str">
            <v/>
          </cell>
        </row>
        <row r="9988">
          <cell r="A9988" t="str">
            <v/>
          </cell>
        </row>
        <row r="9989">
          <cell r="A9989" t="str">
            <v/>
          </cell>
        </row>
        <row r="9990">
          <cell r="A9990" t="str">
            <v/>
          </cell>
        </row>
        <row r="9991">
          <cell r="A9991" t="str">
            <v/>
          </cell>
        </row>
        <row r="9992">
          <cell r="A9992" t="str">
            <v/>
          </cell>
        </row>
        <row r="9993">
          <cell r="A9993" t="str">
            <v/>
          </cell>
        </row>
        <row r="9994">
          <cell r="A9994" t="str">
            <v/>
          </cell>
        </row>
        <row r="9995">
          <cell r="A9995" t="str">
            <v/>
          </cell>
        </row>
        <row r="9996">
          <cell r="A9996" t="str">
            <v/>
          </cell>
        </row>
        <row r="9997">
          <cell r="A9997" t="str">
            <v/>
          </cell>
        </row>
        <row r="9998">
          <cell r="A9998" t="str">
            <v/>
          </cell>
        </row>
        <row r="9999">
          <cell r="A9999" t="str">
            <v/>
          </cell>
        </row>
        <row r="10000">
          <cell r="A10000" t="str">
            <v/>
          </cell>
        </row>
        <row r="10001">
          <cell r="A10001" t="str">
            <v/>
          </cell>
        </row>
        <row r="10002">
          <cell r="A10002" t="str">
            <v/>
          </cell>
        </row>
        <row r="10003">
          <cell r="A10003" t="str">
            <v/>
          </cell>
        </row>
        <row r="10004">
          <cell r="A10004" t="str">
            <v/>
          </cell>
        </row>
        <row r="10005">
          <cell r="A10005" t="str">
            <v/>
          </cell>
        </row>
        <row r="10006">
          <cell r="A10006" t="str">
            <v/>
          </cell>
        </row>
        <row r="10007">
          <cell r="A10007" t="str">
            <v/>
          </cell>
        </row>
        <row r="10008">
          <cell r="A10008" t="str">
            <v/>
          </cell>
        </row>
        <row r="10009">
          <cell r="A10009" t="str">
            <v/>
          </cell>
        </row>
        <row r="10010">
          <cell r="A10010" t="str">
            <v/>
          </cell>
        </row>
        <row r="10011">
          <cell r="A10011" t="str">
            <v/>
          </cell>
        </row>
        <row r="10012">
          <cell r="A10012" t="str">
            <v/>
          </cell>
        </row>
        <row r="10013">
          <cell r="A10013" t="str">
            <v/>
          </cell>
        </row>
        <row r="10014">
          <cell r="A10014" t="str">
            <v/>
          </cell>
        </row>
        <row r="10015">
          <cell r="A10015" t="str">
            <v/>
          </cell>
        </row>
        <row r="10016">
          <cell r="A10016" t="str">
            <v/>
          </cell>
        </row>
        <row r="10017">
          <cell r="A10017" t="str">
            <v/>
          </cell>
        </row>
        <row r="10018">
          <cell r="A10018" t="str">
            <v/>
          </cell>
        </row>
        <row r="10019">
          <cell r="A10019" t="str">
            <v/>
          </cell>
        </row>
        <row r="10020">
          <cell r="A10020" t="str">
            <v/>
          </cell>
        </row>
        <row r="10021">
          <cell r="A10021" t="str">
            <v/>
          </cell>
        </row>
        <row r="10022">
          <cell r="A10022" t="str">
            <v/>
          </cell>
        </row>
        <row r="10023">
          <cell r="A10023" t="str">
            <v/>
          </cell>
        </row>
        <row r="10024">
          <cell r="A10024" t="str">
            <v/>
          </cell>
        </row>
        <row r="10025">
          <cell r="A10025" t="str">
            <v/>
          </cell>
        </row>
        <row r="10026">
          <cell r="A10026" t="str">
            <v/>
          </cell>
        </row>
        <row r="10027">
          <cell r="A10027" t="str">
            <v/>
          </cell>
        </row>
        <row r="10028">
          <cell r="A10028" t="str">
            <v/>
          </cell>
        </row>
        <row r="10029">
          <cell r="A10029" t="str">
            <v/>
          </cell>
        </row>
        <row r="10030">
          <cell r="A10030" t="str">
            <v/>
          </cell>
        </row>
        <row r="10031">
          <cell r="A10031" t="str">
            <v/>
          </cell>
        </row>
        <row r="10032">
          <cell r="A10032" t="str">
            <v/>
          </cell>
        </row>
        <row r="10033">
          <cell r="A10033" t="str">
            <v/>
          </cell>
        </row>
        <row r="10034">
          <cell r="A10034" t="str">
            <v/>
          </cell>
        </row>
        <row r="10035">
          <cell r="A10035" t="str">
            <v/>
          </cell>
        </row>
        <row r="10036">
          <cell r="A10036" t="str">
            <v/>
          </cell>
        </row>
        <row r="10037">
          <cell r="A10037" t="str">
            <v/>
          </cell>
        </row>
        <row r="10038">
          <cell r="A10038" t="str">
            <v/>
          </cell>
        </row>
        <row r="10039">
          <cell r="A10039" t="str">
            <v/>
          </cell>
        </row>
        <row r="10040">
          <cell r="A10040" t="str">
            <v/>
          </cell>
        </row>
        <row r="10041">
          <cell r="A10041" t="str">
            <v/>
          </cell>
        </row>
        <row r="10042">
          <cell r="A10042" t="str">
            <v/>
          </cell>
        </row>
        <row r="10043">
          <cell r="A10043" t="str">
            <v/>
          </cell>
        </row>
        <row r="10044">
          <cell r="A10044" t="str">
            <v/>
          </cell>
        </row>
        <row r="10045">
          <cell r="A10045" t="str">
            <v/>
          </cell>
        </row>
        <row r="10046">
          <cell r="A10046" t="str">
            <v/>
          </cell>
        </row>
        <row r="10047">
          <cell r="A10047" t="str">
            <v/>
          </cell>
        </row>
        <row r="10048">
          <cell r="A10048" t="str">
            <v/>
          </cell>
        </row>
        <row r="10049">
          <cell r="A10049" t="str">
            <v/>
          </cell>
        </row>
        <row r="10050">
          <cell r="A10050" t="str">
            <v/>
          </cell>
        </row>
        <row r="10051">
          <cell r="A10051" t="str">
            <v/>
          </cell>
        </row>
        <row r="10052">
          <cell r="A10052" t="str">
            <v/>
          </cell>
        </row>
        <row r="10053">
          <cell r="A10053" t="str">
            <v/>
          </cell>
        </row>
        <row r="10054">
          <cell r="A10054" t="str">
            <v/>
          </cell>
        </row>
        <row r="10055">
          <cell r="A10055" t="str">
            <v/>
          </cell>
        </row>
        <row r="10056">
          <cell r="A10056" t="str">
            <v/>
          </cell>
        </row>
        <row r="10057">
          <cell r="A10057" t="str">
            <v/>
          </cell>
        </row>
        <row r="10058">
          <cell r="A10058" t="str">
            <v/>
          </cell>
        </row>
        <row r="10059">
          <cell r="A10059" t="str">
            <v/>
          </cell>
        </row>
        <row r="10060">
          <cell r="A10060" t="str">
            <v/>
          </cell>
        </row>
        <row r="10061">
          <cell r="A10061" t="str">
            <v/>
          </cell>
        </row>
        <row r="10062">
          <cell r="A10062" t="str">
            <v/>
          </cell>
        </row>
        <row r="10063">
          <cell r="A10063" t="str">
            <v/>
          </cell>
        </row>
        <row r="10064">
          <cell r="A10064" t="str">
            <v/>
          </cell>
        </row>
        <row r="10065">
          <cell r="A10065" t="str">
            <v/>
          </cell>
        </row>
        <row r="10066">
          <cell r="A10066" t="str">
            <v/>
          </cell>
        </row>
        <row r="10067">
          <cell r="A10067" t="str">
            <v/>
          </cell>
        </row>
        <row r="10068">
          <cell r="A10068" t="str">
            <v/>
          </cell>
        </row>
        <row r="10069">
          <cell r="A10069" t="str">
            <v/>
          </cell>
        </row>
        <row r="10070">
          <cell r="A10070" t="str">
            <v/>
          </cell>
        </row>
        <row r="10071">
          <cell r="A10071" t="str">
            <v/>
          </cell>
        </row>
        <row r="10072">
          <cell r="A10072" t="str">
            <v/>
          </cell>
        </row>
        <row r="10073">
          <cell r="A10073" t="str">
            <v/>
          </cell>
        </row>
        <row r="10074">
          <cell r="A10074" t="str">
            <v/>
          </cell>
        </row>
        <row r="10075">
          <cell r="A10075" t="str">
            <v/>
          </cell>
        </row>
        <row r="10076">
          <cell r="A10076" t="str">
            <v/>
          </cell>
        </row>
        <row r="10077">
          <cell r="A10077" t="str">
            <v/>
          </cell>
        </row>
        <row r="10078">
          <cell r="A10078" t="str">
            <v/>
          </cell>
        </row>
        <row r="10079">
          <cell r="A10079" t="str">
            <v/>
          </cell>
        </row>
        <row r="10080">
          <cell r="A10080" t="str">
            <v/>
          </cell>
        </row>
        <row r="10081">
          <cell r="A10081" t="str">
            <v/>
          </cell>
        </row>
        <row r="10082">
          <cell r="A10082" t="str">
            <v/>
          </cell>
        </row>
        <row r="10083">
          <cell r="A10083" t="str">
            <v/>
          </cell>
        </row>
        <row r="10084">
          <cell r="A10084" t="str">
            <v/>
          </cell>
        </row>
        <row r="10085">
          <cell r="A10085" t="str">
            <v/>
          </cell>
        </row>
        <row r="10086">
          <cell r="A10086" t="str">
            <v/>
          </cell>
        </row>
        <row r="10087">
          <cell r="A10087" t="str">
            <v/>
          </cell>
        </row>
        <row r="10088">
          <cell r="A10088" t="str">
            <v/>
          </cell>
        </row>
        <row r="10089">
          <cell r="A10089" t="str">
            <v/>
          </cell>
        </row>
        <row r="10090">
          <cell r="A10090" t="str">
            <v/>
          </cell>
        </row>
        <row r="10091">
          <cell r="A10091" t="str">
            <v/>
          </cell>
        </row>
        <row r="10092">
          <cell r="A10092" t="str">
            <v/>
          </cell>
        </row>
        <row r="10093">
          <cell r="A10093" t="str">
            <v/>
          </cell>
        </row>
        <row r="10094">
          <cell r="A10094" t="str">
            <v/>
          </cell>
        </row>
        <row r="10095">
          <cell r="A10095" t="str">
            <v/>
          </cell>
        </row>
        <row r="10096">
          <cell r="A10096" t="str">
            <v/>
          </cell>
        </row>
        <row r="10097">
          <cell r="A10097" t="str">
            <v/>
          </cell>
        </row>
        <row r="10098">
          <cell r="A10098" t="str">
            <v/>
          </cell>
        </row>
        <row r="10099">
          <cell r="A10099" t="str">
            <v/>
          </cell>
        </row>
        <row r="10100">
          <cell r="A10100" t="str">
            <v/>
          </cell>
        </row>
        <row r="10101">
          <cell r="A10101" t="str">
            <v/>
          </cell>
        </row>
        <row r="10102">
          <cell r="A10102" t="str">
            <v/>
          </cell>
        </row>
        <row r="10103">
          <cell r="A10103" t="str">
            <v/>
          </cell>
        </row>
        <row r="10104">
          <cell r="A10104" t="str">
            <v/>
          </cell>
        </row>
        <row r="10105">
          <cell r="A10105" t="str">
            <v/>
          </cell>
        </row>
        <row r="10106">
          <cell r="A10106" t="str">
            <v/>
          </cell>
        </row>
        <row r="10107">
          <cell r="A10107" t="str">
            <v/>
          </cell>
        </row>
        <row r="10108">
          <cell r="A10108" t="str">
            <v/>
          </cell>
        </row>
        <row r="10109">
          <cell r="A10109" t="str">
            <v/>
          </cell>
        </row>
        <row r="10110">
          <cell r="A10110" t="str">
            <v/>
          </cell>
        </row>
        <row r="10111">
          <cell r="A10111" t="str">
            <v/>
          </cell>
        </row>
        <row r="10112">
          <cell r="A10112" t="str">
            <v/>
          </cell>
        </row>
        <row r="10113">
          <cell r="A10113" t="str">
            <v/>
          </cell>
        </row>
        <row r="10114">
          <cell r="A10114" t="str">
            <v/>
          </cell>
        </row>
        <row r="10115">
          <cell r="A10115" t="str">
            <v/>
          </cell>
        </row>
        <row r="10116">
          <cell r="A10116" t="str">
            <v/>
          </cell>
        </row>
        <row r="10117">
          <cell r="A10117" t="str">
            <v/>
          </cell>
        </row>
        <row r="10118">
          <cell r="A10118" t="str">
            <v/>
          </cell>
        </row>
        <row r="10119">
          <cell r="A10119" t="str">
            <v/>
          </cell>
        </row>
        <row r="10120">
          <cell r="A10120" t="str">
            <v/>
          </cell>
        </row>
        <row r="10121">
          <cell r="A10121" t="str">
            <v/>
          </cell>
        </row>
        <row r="10122">
          <cell r="A10122" t="str">
            <v/>
          </cell>
        </row>
        <row r="10123">
          <cell r="A10123" t="str">
            <v/>
          </cell>
        </row>
        <row r="10124">
          <cell r="A10124" t="str">
            <v/>
          </cell>
        </row>
        <row r="10125">
          <cell r="A10125" t="str">
            <v/>
          </cell>
        </row>
        <row r="10126">
          <cell r="A10126" t="str">
            <v/>
          </cell>
        </row>
        <row r="10127">
          <cell r="A10127" t="str">
            <v/>
          </cell>
        </row>
        <row r="10128">
          <cell r="A10128" t="str">
            <v/>
          </cell>
        </row>
        <row r="10129">
          <cell r="A10129" t="str">
            <v/>
          </cell>
        </row>
        <row r="10130">
          <cell r="A10130" t="str">
            <v/>
          </cell>
        </row>
        <row r="10131">
          <cell r="A10131" t="str">
            <v/>
          </cell>
        </row>
        <row r="10132">
          <cell r="A10132" t="str">
            <v/>
          </cell>
        </row>
        <row r="10133">
          <cell r="A10133" t="str">
            <v/>
          </cell>
        </row>
        <row r="10134">
          <cell r="A10134" t="str">
            <v/>
          </cell>
        </row>
        <row r="10135">
          <cell r="A10135" t="str">
            <v/>
          </cell>
        </row>
        <row r="10136">
          <cell r="A10136" t="str">
            <v/>
          </cell>
        </row>
        <row r="10137">
          <cell r="A10137" t="str">
            <v/>
          </cell>
        </row>
        <row r="10138">
          <cell r="A10138" t="str">
            <v/>
          </cell>
        </row>
        <row r="10139">
          <cell r="A10139" t="str">
            <v/>
          </cell>
        </row>
        <row r="10140">
          <cell r="A10140" t="str">
            <v/>
          </cell>
        </row>
        <row r="10141">
          <cell r="A10141" t="str">
            <v/>
          </cell>
        </row>
        <row r="10142">
          <cell r="A10142" t="str">
            <v/>
          </cell>
        </row>
        <row r="10143">
          <cell r="A10143" t="str">
            <v/>
          </cell>
        </row>
        <row r="10144">
          <cell r="A10144" t="str">
            <v/>
          </cell>
        </row>
        <row r="10145">
          <cell r="A10145" t="str">
            <v/>
          </cell>
        </row>
        <row r="10146">
          <cell r="A10146" t="str">
            <v/>
          </cell>
        </row>
        <row r="10147">
          <cell r="A10147" t="str">
            <v/>
          </cell>
        </row>
        <row r="10148">
          <cell r="A10148" t="str">
            <v/>
          </cell>
        </row>
        <row r="10149">
          <cell r="A10149" t="str">
            <v/>
          </cell>
        </row>
        <row r="10150">
          <cell r="A10150" t="str">
            <v/>
          </cell>
        </row>
        <row r="10151">
          <cell r="A10151" t="str">
            <v/>
          </cell>
        </row>
        <row r="10152">
          <cell r="A10152" t="str">
            <v/>
          </cell>
        </row>
        <row r="10153">
          <cell r="A10153" t="str">
            <v/>
          </cell>
        </row>
        <row r="10154">
          <cell r="A10154" t="str">
            <v/>
          </cell>
        </row>
        <row r="10155">
          <cell r="A10155" t="str">
            <v/>
          </cell>
        </row>
        <row r="10156">
          <cell r="A10156" t="str">
            <v/>
          </cell>
        </row>
        <row r="10157">
          <cell r="A10157" t="str">
            <v/>
          </cell>
        </row>
        <row r="10158">
          <cell r="A10158" t="str">
            <v/>
          </cell>
        </row>
        <row r="10159">
          <cell r="A10159" t="str">
            <v/>
          </cell>
        </row>
        <row r="10160">
          <cell r="A10160" t="str">
            <v/>
          </cell>
        </row>
        <row r="10161">
          <cell r="A10161" t="str">
            <v/>
          </cell>
        </row>
        <row r="10162">
          <cell r="A10162" t="str">
            <v/>
          </cell>
        </row>
        <row r="10163">
          <cell r="A10163" t="str">
            <v/>
          </cell>
        </row>
        <row r="10164">
          <cell r="A10164" t="str">
            <v/>
          </cell>
        </row>
        <row r="10165">
          <cell r="A10165" t="str">
            <v/>
          </cell>
        </row>
        <row r="10166">
          <cell r="A10166" t="str">
            <v/>
          </cell>
        </row>
        <row r="10167">
          <cell r="A10167" t="str">
            <v/>
          </cell>
        </row>
        <row r="10168">
          <cell r="A10168" t="str">
            <v/>
          </cell>
        </row>
        <row r="10169">
          <cell r="A10169" t="str">
            <v/>
          </cell>
        </row>
        <row r="10170">
          <cell r="A10170" t="str">
            <v/>
          </cell>
        </row>
        <row r="10171">
          <cell r="A10171" t="str">
            <v/>
          </cell>
        </row>
        <row r="10172">
          <cell r="A10172" t="str">
            <v/>
          </cell>
        </row>
        <row r="10173">
          <cell r="A10173" t="str">
            <v/>
          </cell>
        </row>
        <row r="10174">
          <cell r="A10174" t="str">
            <v/>
          </cell>
        </row>
        <row r="10175">
          <cell r="A10175" t="str">
            <v/>
          </cell>
        </row>
        <row r="10176">
          <cell r="A10176" t="str">
            <v/>
          </cell>
        </row>
        <row r="10177">
          <cell r="A10177" t="str">
            <v/>
          </cell>
        </row>
        <row r="10178">
          <cell r="A10178" t="str">
            <v/>
          </cell>
        </row>
        <row r="10179">
          <cell r="A10179" t="str">
            <v/>
          </cell>
        </row>
        <row r="10180">
          <cell r="A10180" t="str">
            <v/>
          </cell>
        </row>
        <row r="10181">
          <cell r="A10181" t="str">
            <v/>
          </cell>
        </row>
        <row r="10182">
          <cell r="A10182" t="str">
            <v/>
          </cell>
        </row>
        <row r="10183">
          <cell r="A10183" t="str">
            <v/>
          </cell>
        </row>
        <row r="10184">
          <cell r="A10184" t="str">
            <v/>
          </cell>
        </row>
        <row r="10185">
          <cell r="A10185" t="str">
            <v/>
          </cell>
        </row>
        <row r="10186">
          <cell r="A10186" t="str">
            <v/>
          </cell>
        </row>
        <row r="10187">
          <cell r="A10187" t="str">
            <v/>
          </cell>
        </row>
        <row r="10188">
          <cell r="A10188" t="str">
            <v/>
          </cell>
        </row>
        <row r="10189">
          <cell r="A10189" t="str">
            <v/>
          </cell>
        </row>
        <row r="10190">
          <cell r="A10190" t="str">
            <v/>
          </cell>
        </row>
        <row r="10191">
          <cell r="A10191" t="str">
            <v/>
          </cell>
        </row>
        <row r="10192">
          <cell r="A10192" t="str">
            <v/>
          </cell>
        </row>
        <row r="10193">
          <cell r="A10193" t="str">
            <v/>
          </cell>
        </row>
        <row r="10194">
          <cell r="A10194" t="str">
            <v/>
          </cell>
        </row>
        <row r="10195">
          <cell r="A10195" t="str">
            <v/>
          </cell>
        </row>
        <row r="10196">
          <cell r="A10196" t="str">
            <v/>
          </cell>
        </row>
        <row r="10197">
          <cell r="A10197" t="str">
            <v/>
          </cell>
        </row>
        <row r="10198">
          <cell r="A10198" t="str">
            <v/>
          </cell>
        </row>
        <row r="10199">
          <cell r="A10199" t="str">
            <v/>
          </cell>
        </row>
        <row r="10200">
          <cell r="A10200" t="str">
            <v/>
          </cell>
        </row>
        <row r="10201">
          <cell r="A10201" t="str">
            <v/>
          </cell>
        </row>
        <row r="10202">
          <cell r="A10202" t="str">
            <v/>
          </cell>
        </row>
        <row r="10203">
          <cell r="A10203" t="str">
            <v/>
          </cell>
        </row>
        <row r="10204">
          <cell r="A10204" t="str">
            <v/>
          </cell>
        </row>
        <row r="10205">
          <cell r="A10205" t="str">
            <v/>
          </cell>
        </row>
        <row r="10206">
          <cell r="A10206" t="str">
            <v/>
          </cell>
        </row>
        <row r="10207">
          <cell r="A10207" t="str">
            <v/>
          </cell>
        </row>
        <row r="10208">
          <cell r="A10208" t="str">
            <v/>
          </cell>
        </row>
        <row r="10209">
          <cell r="A10209" t="str">
            <v/>
          </cell>
        </row>
        <row r="10210">
          <cell r="A10210" t="str">
            <v/>
          </cell>
        </row>
        <row r="10211">
          <cell r="A10211" t="str">
            <v/>
          </cell>
        </row>
        <row r="10212">
          <cell r="A10212" t="str">
            <v/>
          </cell>
        </row>
        <row r="10213">
          <cell r="A10213" t="str">
            <v/>
          </cell>
        </row>
        <row r="10214">
          <cell r="A10214" t="str">
            <v/>
          </cell>
        </row>
        <row r="10215">
          <cell r="A10215" t="str">
            <v/>
          </cell>
        </row>
        <row r="10216">
          <cell r="A10216" t="str">
            <v/>
          </cell>
        </row>
        <row r="10217">
          <cell r="A10217" t="str">
            <v/>
          </cell>
        </row>
        <row r="10218">
          <cell r="A10218" t="str">
            <v/>
          </cell>
        </row>
        <row r="10219">
          <cell r="A10219" t="str">
            <v/>
          </cell>
        </row>
        <row r="10220">
          <cell r="A10220" t="str">
            <v/>
          </cell>
        </row>
        <row r="10221">
          <cell r="A10221" t="str">
            <v/>
          </cell>
        </row>
        <row r="10222">
          <cell r="A10222" t="str">
            <v/>
          </cell>
        </row>
        <row r="10223">
          <cell r="A10223" t="str">
            <v/>
          </cell>
        </row>
        <row r="10224">
          <cell r="A10224" t="str">
            <v/>
          </cell>
        </row>
        <row r="10225">
          <cell r="A10225" t="str">
            <v/>
          </cell>
        </row>
        <row r="10226">
          <cell r="A10226" t="str">
            <v/>
          </cell>
        </row>
        <row r="10227">
          <cell r="A10227" t="str">
            <v/>
          </cell>
        </row>
        <row r="10228">
          <cell r="A10228" t="str">
            <v/>
          </cell>
        </row>
        <row r="10229">
          <cell r="A10229" t="str">
            <v/>
          </cell>
        </row>
        <row r="10230">
          <cell r="A10230" t="str">
            <v/>
          </cell>
        </row>
        <row r="10231">
          <cell r="A10231" t="str">
            <v/>
          </cell>
        </row>
        <row r="10232">
          <cell r="A10232" t="str">
            <v/>
          </cell>
        </row>
        <row r="10233">
          <cell r="A10233" t="str">
            <v/>
          </cell>
        </row>
        <row r="10234">
          <cell r="A10234" t="str">
            <v/>
          </cell>
        </row>
        <row r="10235">
          <cell r="A10235" t="str">
            <v/>
          </cell>
        </row>
        <row r="10236">
          <cell r="A10236" t="str">
            <v/>
          </cell>
        </row>
        <row r="10237">
          <cell r="A10237" t="str">
            <v/>
          </cell>
        </row>
        <row r="10238">
          <cell r="A10238" t="str">
            <v/>
          </cell>
        </row>
        <row r="10239">
          <cell r="A10239" t="str">
            <v/>
          </cell>
        </row>
        <row r="10240">
          <cell r="A10240" t="str">
            <v/>
          </cell>
        </row>
        <row r="10241">
          <cell r="A10241" t="str">
            <v/>
          </cell>
        </row>
        <row r="10242">
          <cell r="A10242" t="str">
            <v/>
          </cell>
        </row>
        <row r="10243">
          <cell r="A10243" t="str">
            <v/>
          </cell>
        </row>
        <row r="10244">
          <cell r="A10244" t="str">
            <v/>
          </cell>
        </row>
        <row r="10245">
          <cell r="A10245" t="str">
            <v/>
          </cell>
        </row>
        <row r="10246">
          <cell r="A10246" t="str">
            <v/>
          </cell>
        </row>
        <row r="10247">
          <cell r="A10247" t="str">
            <v/>
          </cell>
        </row>
        <row r="10248">
          <cell r="A10248" t="str">
            <v/>
          </cell>
        </row>
        <row r="10249">
          <cell r="A10249" t="str">
            <v/>
          </cell>
        </row>
        <row r="10250">
          <cell r="A10250" t="str">
            <v/>
          </cell>
        </row>
        <row r="10251">
          <cell r="A10251" t="str">
            <v/>
          </cell>
        </row>
        <row r="10252">
          <cell r="A10252" t="str">
            <v/>
          </cell>
        </row>
        <row r="10253">
          <cell r="A10253" t="str">
            <v/>
          </cell>
        </row>
        <row r="10254">
          <cell r="A10254" t="str">
            <v/>
          </cell>
        </row>
        <row r="10255">
          <cell r="A10255" t="str">
            <v/>
          </cell>
        </row>
        <row r="10256">
          <cell r="A10256" t="str">
            <v/>
          </cell>
        </row>
        <row r="10257">
          <cell r="A10257" t="str">
            <v/>
          </cell>
        </row>
        <row r="10258">
          <cell r="A10258" t="str">
            <v/>
          </cell>
        </row>
        <row r="10259">
          <cell r="A10259" t="str">
            <v/>
          </cell>
        </row>
        <row r="10260">
          <cell r="A10260" t="str">
            <v/>
          </cell>
        </row>
        <row r="10261">
          <cell r="A10261" t="str">
            <v/>
          </cell>
        </row>
        <row r="10262">
          <cell r="A10262" t="str">
            <v/>
          </cell>
        </row>
        <row r="10263">
          <cell r="A10263" t="str">
            <v/>
          </cell>
        </row>
        <row r="10264">
          <cell r="A10264" t="str">
            <v/>
          </cell>
        </row>
        <row r="10265">
          <cell r="A10265" t="str">
            <v/>
          </cell>
        </row>
        <row r="10266">
          <cell r="A10266" t="str">
            <v/>
          </cell>
        </row>
        <row r="10267">
          <cell r="A10267" t="str">
            <v/>
          </cell>
        </row>
        <row r="10268">
          <cell r="A10268" t="str">
            <v/>
          </cell>
        </row>
        <row r="10269">
          <cell r="A10269" t="str">
            <v/>
          </cell>
        </row>
        <row r="10270">
          <cell r="A10270" t="str">
            <v/>
          </cell>
        </row>
        <row r="10271">
          <cell r="A10271" t="str">
            <v/>
          </cell>
        </row>
        <row r="10272">
          <cell r="A10272" t="str">
            <v/>
          </cell>
        </row>
        <row r="10273">
          <cell r="A10273" t="str">
            <v/>
          </cell>
        </row>
        <row r="10274">
          <cell r="A10274" t="str">
            <v/>
          </cell>
        </row>
        <row r="10275">
          <cell r="A10275" t="str">
            <v/>
          </cell>
        </row>
        <row r="10276">
          <cell r="A10276" t="str">
            <v/>
          </cell>
        </row>
        <row r="10277">
          <cell r="A10277" t="str">
            <v/>
          </cell>
        </row>
        <row r="10278">
          <cell r="A10278" t="str">
            <v/>
          </cell>
        </row>
        <row r="10279">
          <cell r="A10279" t="str">
            <v/>
          </cell>
        </row>
        <row r="10280">
          <cell r="A10280" t="str">
            <v/>
          </cell>
        </row>
        <row r="10281">
          <cell r="A10281" t="str">
            <v/>
          </cell>
        </row>
        <row r="10282">
          <cell r="A10282" t="str">
            <v/>
          </cell>
        </row>
        <row r="10283">
          <cell r="A10283" t="str">
            <v/>
          </cell>
        </row>
        <row r="10284">
          <cell r="A10284" t="str">
            <v/>
          </cell>
        </row>
        <row r="10285">
          <cell r="A10285" t="str">
            <v/>
          </cell>
        </row>
        <row r="10286">
          <cell r="A10286" t="str">
            <v/>
          </cell>
        </row>
        <row r="10287">
          <cell r="A10287" t="str">
            <v/>
          </cell>
        </row>
        <row r="10288">
          <cell r="A10288" t="str">
            <v/>
          </cell>
        </row>
        <row r="10289">
          <cell r="A10289" t="str">
            <v/>
          </cell>
        </row>
        <row r="10290">
          <cell r="A10290" t="str">
            <v/>
          </cell>
        </row>
        <row r="10291">
          <cell r="A10291" t="str">
            <v/>
          </cell>
        </row>
        <row r="10292">
          <cell r="A10292" t="str">
            <v/>
          </cell>
        </row>
        <row r="10293">
          <cell r="A10293" t="str">
            <v/>
          </cell>
        </row>
        <row r="10294">
          <cell r="A10294" t="str">
            <v/>
          </cell>
        </row>
        <row r="10295">
          <cell r="A10295" t="str">
            <v/>
          </cell>
        </row>
        <row r="10296">
          <cell r="A10296" t="str">
            <v/>
          </cell>
        </row>
        <row r="10297">
          <cell r="A10297" t="str">
            <v/>
          </cell>
        </row>
        <row r="10298">
          <cell r="A10298" t="str">
            <v/>
          </cell>
        </row>
        <row r="10299">
          <cell r="A10299" t="str">
            <v/>
          </cell>
        </row>
        <row r="10300">
          <cell r="A10300" t="str">
            <v/>
          </cell>
        </row>
        <row r="10301">
          <cell r="A10301" t="str">
            <v/>
          </cell>
        </row>
        <row r="10302">
          <cell r="A10302" t="str">
            <v/>
          </cell>
        </row>
        <row r="10303">
          <cell r="A10303" t="str">
            <v/>
          </cell>
        </row>
        <row r="10304">
          <cell r="A10304" t="str">
            <v/>
          </cell>
        </row>
        <row r="10305">
          <cell r="A10305" t="str">
            <v/>
          </cell>
        </row>
        <row r="10306">
          <cell r="A10306" t="str">
            <v/>
          </cell>
        </row>
        <row r="10307">
          <cell r="A10307" t="str">
            <v/>
          </cell>
        </row>
        <row r="10308">
          <cell r="A10308" t="str">
            <v/>
          </cell>
        </row>
        <row r="10309">
          <cell r="A10309" t="str">
            <v/>
          </cell>
        </row>
        <row r="10310">
          <cell r="A10310" t="str">
            <v/>
          </cell>
        </row>
        <row r="10311">
          <cell r="A10311" t="str">
            <v/>
          </cell>
        </row>
        <row r="10312">
          <cell r="A10312" t="str">
            <v/>
          </cell>
        </row>
        <row r="10313">
          <cell r="A10313" t="str">
            <v/>
          </cell>
        </row>
        <row r="10314">
          <cell r="A10314" t="str">
            <v/>
          </cell>
        </row>
        <row r="10315">
          <cell r="A10315" t="str">
            <v/>
          </cell>
        </row>
        <row r="10316">
          <cell r="A10316" t="str">
            <v/>
          </cell>
        </row>
        <row r="10317">
          <cell r="A10317" t="str">
            <v/>
          </cell>
        </row>
        <row r="10318">
          <cell r="A10318" t="str">
            <v/>
          </cell>
        </row>
        <row r="10319">
          <cell r="A10319" t="str">
            <v/>
          </cell>
        </row>
        <row r="10320">
          <cell r="A10320" t="str">
            <v/>
          </cell>
        </row>
        <row r="10321">
          <cell r="A10321" t="str">
            <v/>
          </cell>
        </row>
        <row r="10322">
          <cell r="A10322" t="str">
            <v/>
          </cell>
        </row>
        <row r="10323">
          <cell r="A10323" t="str">
            <v/>
          </cell>
        </row>
        <row r="10324">
          <cell r="A10324" t="str">
            <v/>
          </cell>
        </row>
        <row r="10325">
          <cell r="A10325" t="str">
            <v/>
          </cell>
        </row>
        <row r="10326">
          <cell r="A10326" t="str">
            <v/>
          </cell>
        </row>
        <row r="10327">
          <cell r="A10327" t="str">
            <v/>
          </cell>
        </row>
        <row r="10328">
          <cell r="A10328" t="str">
            <v/>
          </cell>
        </row>
        <row r="10329">
          <cell r="A10329" t="str">
            <v/>
          </cell>
        </row>
        <row r="10330">
          <cell r="A10330" t="str">
            <v/>
          </cell>
        </row>
        <row r="10331">
          <cell r="A10331" t="str">
            <v/>
          </cell>
        </row>
        <row r="10332">
          <cell r="A10332" t="str">
            <v/>
          </cell>
        </row>
        <row r="10333">
          <cell r="A10333" t="str">
            <v/>
          </cell>
        </row>
        <row r="10334">
          <cell r="A10334" t="str">
            <v/>
          </cell>
        </row>
        <row r="10335">
          <cell r="A10335" t="str">
            <v/>
          </cell>
        </row>
        <row r="10336">
          <cell r="A10336" t="str">
            <v/>
          </cell>
        </row>
        <row r="10337">
          <cell r="A10337" t="str">
            <v/>
          </cell>
        </row>
        <row r="10338">
          <cell r="A10338" t="str">
            <v/>
          </cell>
        </row>
        <row r="10339">
          <cell r="A10339" t="str">
            <v/>
          </cell>
        </row>
        <row r="10340">
          <cell r="A10340" t="str">
            <v/>
          </cell>
        </row>
        <row r="10341">
          <cell r="A10341" t="str">
            <v/>
          </cell>
        </row>
        <row r="10342">
          <cell r="A10342" t="str">
            <v/>
          </cell>
        </row>
        <row r="10343">
          <cell r="A10343" t="str">
            <v/>
          </cell>
        </row>
        <row r="10344">
          <cell r="A10344" t="str">
            <v/>
          </cell>
        </row>
        <row r="10345">
          <cell r="A10345" t="str">
            <v/>
          </cell>
        </row>
        <row r="10346">
          <cell r="A10346" t="str">
            <v/>
          </cell>
        </row>
        <row r="10347">
          <cell r="A10347" t="str">
            <v/>
          </cell>
        </row>
        <row r="10348">
          <cell r="A10348" t="str">
            <v/>
          </cell>
        </row>
        <row r="10349">
          <cell r="A10349" t="str">
            <v/>
          </cell>
        </row>
        <row r="10350">
          <cell r="A10350" t="str">
            <v/>
          </cell>
        </row>
        <row r="10351">
          <cell r="A10351" t="str">
            <v/>
          </cell>
        </row>
        <row r="10352">
          <cell r="A10352" t="str">
            <v/>
          </cell>
        </row>
        <row r="10353">
          <cell r="A10353" t="str">
            <v/>
          </cell>
        </row>
        <row r="10354">
          <cell r="A10354" t="str">
            <v/>
          </cell>
        </row>
        <row r="10355">
          <cell r="A10355" t="str">
            <v/>
          </cell>
        </row>
        <row r="10356">
          <cell r="A10356" t="str">
            <v/>
          </cell>
        </row>
        <row r="10357">
          <cell r="A10357" t="str">
            <v/>
          </cell>
        </row>
        <row r="10358">
          <cell r="A10358" t="str">
            <v/>
          </cell>
        </row>
        <row r="10359">
          <cell r="A10359" t="str">
            <v/>
          </cell>
        </row>
        <row r="10360">
          <cell r="A10360" t="str">
            <v/>
          </cell>
        </row>
        <row r="10361">
          <cell r="A10361" t="str">
            <v/>
          </cell>
        </row>
        <row r="10362">
          <cell r="A10362" t="str">
            <v/>
          </cell>
        </row>
        <row r="10363">
          <cell r="A10363" t="str">
            <v/>
          </cell>
        </row>
        <row r="10364">
          <cell r="A10364" t="str">
            <v/>
          </cell>
        </row>
        <row r="10365">
          <cell r="A10365" t="str">
            <v/>
          </cell>
        </row>
        <row r="10366">
          <cell r="A10366" t="str">
            <v/>
          </cell>
        </row>
        <row r="10367">
          <cell r="A10367" t="str">
            <v/>
          </cell>
        </row>
        <row r="10368">
          <cell r="A10368" t="str">
            <v/>
          </cell>
        </row>
        <row r="10369">
          <cell r="A10369" t="str">
            <v/>
          </cell>
        </row>
        <row r="10370">
          <cell r="A10370" t="str">
            <v/>
          </cell>
        </row>
        <row r="10371">
          <cell r="A10371" t="str">
            <v/>
          </cell>
        </row>
        <row r="10372">
          <cell r="A10372" t="str">
            <v/>
          </cell>
        </row>
        <row r="10373">
          <cell r="A10373" t="str">
            <v/>
          </cell>
        </row>
        <row r="10374">
          <cell r="A10374" t="str">
            <v/>
          </cell>
        </row>
        <row r="10375">
          <cell r="A10375" t="str">
            <v/>
          </cell>
        </row>
        <row r="10376">
          <cell r="A10376" t="str">
            <v/>
          </cell>
        </row>
        <row r="10377">
          <cell r="A10377" t="str">
            <v/>
          </cell>
        </row>
        <row r="10378">
          <cell r="A10378" t="str">
            <v/>
          </cell>
        </row>
        <row r="10379">
          <cell r="A10379" t="str">
            <v/>
          </cell>
        </row>
        <row r="10380">
          <cell r="A10380" t="str">
            <v/>
          </cell>
        </row>
        <row r="10381">
          <cell r="A10381" t="str">
            <v/>
          </cell>
        </row>
        <row r="10382">
          <cell r="A10382" t="str">
            <v/>
          </cell>
        </row>
        <row r="10383">
          <cell r="A10383" t="str">
            <v/>
          </cell>
        </row>
        <row r="10384">
          <cell r="A10384" t="str">
            <v/>
          </cell>
        </row>
        <row r="10385">
          <cell r="A10385" t="str">
            <v/>
          </cell>
        </row>
        <row r="10386">
          <cell r="A10386" t="str">
            <v/>
          </cell>
        </row>
        <row r="10387">
          <cell r="A10387" t="str">
            <v/>
          </cell>
        </row>
        <row r="10388">
          <cell r="A10388" t="str">
            <v/>
          </cell>
        </row>
        <row r="10389">
          <cell r="A10389" t="str">
            <v/>
          </cell>
        </row>
        <row r="10390">
          <cell r="A10390" t="str">
            <v/>
          </cell>
        </row>
        <row r="10391">
          <cell r="A10391" t="str">
            <v/>
          </cell>
        </row>
        <row r="10392">
          <cell r="A10392" t="str">
            <v/>
          </cell>
        </row>
        <row r="10393">
          <cell r="A10393" t="str">
            <v/>
          </cell>
        </row>
        <row r="10394">
          <cell r="A10394" t="str">
            <v/>
          </cell>
        </row>
        <row r="10395">
          <cell r="A10395" t="str">
            <v/>
          </cell>
        </row>
        <row r="10396">
          <cell r="A10396" t="str">
            <v/>
          </cell>
        </row>
        <row r="10397">
          <cell r="A10397" t="str">
            <v/>
          </cell>
        </row>
        <row r="10398">
          <cell r="A10398" t="str">
            <v/>
          </cell>
        </row>
        <row r="10399">
          <cell r="A10399" t="str">
            <v/>
          </cell>
        </row>
        <row r="10400">
          <cell r="A10400" t="str">
            <v/>
          </cell>
        </row>
        <row r="10401">
          <cell r="A10401" t="str">
            <v/>
          </cell>
        </row>
        <row r="10402">
          <cell r="A10402" t="str">
            <v/>
          </cell>
        </row>
        <row r="10403">
          <cell r="A10403" t="str">
            <v/>
          </cell>
        </row>
        <row r="10404">
          <cell r="A10404" t="str">
            <v/>
          </cell>
        </row>
        <row r="10405">
          <cell r="A10405" t="str">
            <v/>
          </cell>
        </row>
        <row r="10406">
          <cell r="A10406" t="str">
            <v/>
          </cell>
        </row>
        <row r="10407">
          <cell r="A10407" t="str">
            <v/>
          </cell>
        </row>
        <row r="10408">
          <cell r="A10408" t="str">
            <v/>
          </cell>
        </row>
        <row r="10409">
          <cell r="A10409" t="str">
            <v/>
          </cell>
        </row>
        <row r="10410">
          <cell r="A10410" t="str">
            <v/>
          </cell>
        </row>
        <row r="10411">
          <cell r="A10411" t="str">
            <v/>
          </cell>
        </row>
        <row r="10412">
          <cell r="A10412" t="str">
            <v/>
          </cell>
        </row>
        <row r="10413">
          <cell r="A10413" t="str">
            <v/>
          </cell>
        </row>
        <row r="10414">
          <cell r="A10414" t="str">
            <v/>
          </cell>
        </row>
        <row r="10415">
          <cell r="A10415" t="str">
            <v/>
          </cell>
        </row>
        <row r="10416">
          <cell r="A10416" t="str">
            <v/>
          </cell>
        </row>
        <row r="10417">
          <cell r="A10417" t="str">
            <v/>
          </cell>
        </row>
        <row r="10418">
          <cell r="A10418" t="str">
            <v/>
          </cell>
        </row>
        <row r="10419">
          <cell r="A10419" t="str">
            <v/>
          </cell>
        </row>
        <row r="10420">
          <cell r="A10420" t="str">
            <v/>
          </cell>
        </row>
        <row r="10421">
          <cell r="A10421" t="str">
            <v/>
          </cell>
        </row>
        <row r="10422">
          <cell r="A10422" t="str">
            <v/>
          </cell>
        </row>
        <row r="10423">
          <cell r="A10423" t="str">
            <v/>
          </cell>
        </row>
        <row r="10424">
          <cell r="A10424" t="str">
            <v/>
          </cell>
        </row>
        <row r="10425">
          <cell r="A10425" t="str">
            <v/>
          </cell>
        </row>
        <row r="10426">
          <cell r="A10426" t="str">
            <v/>
          </cell>
        </row>
        <row r="10427">
          <cell r="A10427" t="str">
            <v/>
          </cell>
        </row>
        <row r="10428">
          <cell r="A10428" t="str">
            <v/>
          </cell>
        </row>
        <row r="10429">
          <cell r="A10429" t="str">
            <v/>
          </cell>
        </row>
        <row r="10430">
          <cell r="A10430" t="str">
            <v/>
          </cell>
        </row>
        <row r="10431">
          <cell r="A10431" t="str">
            <v/>
          </cell>
        </row>
        <row r="10432">
          <cell r="A10432" t="str">
            <v/>
          </cell>
        </row>
        <row r="10433">
          <cell r="A10433" t="str">
            <v/>
          </cell>
        </row>
        <row r="10434">
          <cell r="A10434" t="str">
            <v/>
          </cell>
        </row>
        <row r="10435">
          <cell r="A10435" t="str">
            <v/>
          </cell>
        </row>
        <row r="10436">
          <cell r="A10436" t="str">
            <v/>
          </cell>
        </row>
        <row r="10437">
          <cell r="A10437" t="str">
            <v/>
          </cell>
        </row>
        <row r="10438">
          <cell r="A10438" t="str">
            <v/>
          </cell>
        </row>
        <row r="10439">
          <cell r="A10439" t="str">
            <v/>
          </cell>
        </row>
        <row r="10440">
          <cell r="A10440" t="str">
            <v/>
          </cell>
        </row>
        <row r="10441">
          <cell r="A10441" t="str">
            <v/>
          </cell>
        </row>
        <row r="10442">
          <cell r="A10442" t="str">
            <v/>
          </cell>
        </row>
        <row r="10443">
          <cell r="A10443" t="str">
            <v/>
          </cell>
        </row>
        <row r="10444">
          <cell r="A10444" t="str">
            <v/>
          </cell>
        </row>
        <row r="10445">
          <cell r="A10445" t="str">
            <v/>
          </cell>
        </row>
        <row r="10446">
          <cell r="A10446" t="str">
            <v/>
          </cell>
        </row>
        <row r="10447">
          <cell r="A10447" t="str">
            <v/>
          </cell>
        </row>
        <row r="10448">
          <cell r="A10448" t="str">
            <v/>
          </cell>
        </row>
        <row r="10449">
          <cell r="A10449" t="str">
            <v/>
          </cell>
        </row>
        <row r="10450">
          <cell r="A10450" t="str">
            <v/>
          </cell>
        </row>
        <row r="10451">
          <cell r="A10451" t="str">
            <v/>
          </cell>
        </row>
        <row r="10452">
          <cell r="A10452" t="str">
            <v/>
          </cell>
        </row>
        <row r="10453">
          <cell r="A10453" t="str">
            <v/>
          </cell>
        </row>
        <row r="10454">
          <cell r="A10454" t="str">
            <v/>
          </cell>
        </row>
        <row r="10455">
          <cell r="A10455" t="str">
            <v/>
          </cell>
        </row>
        <row r="10456">
          <cell r="A10456" t="str">
            <v/>
          </cell>
        </row>
        <row r="10457">
          <cell r="A10457" t="str">
            <v/>
          </cell>
        </row>
        <row r="10458">
          <cell r="A10458" t="str">
            <v/>
          </cell>
        </row>
        <row r="10459">
          <cell r="A10459" t="str">
            <v/>
          </cell>
        </row>
        <row r="10460">
          <cell r="A10460" t="str">
            <v/>
          </cell>
        </row>
        <row r="10461">
          <cell r="A10461" t="str">
            <v/>
          </cell>
        </row>
        <row r="10462">
          <cell r="A10462" t="str">
            <v/>
          </cell>
        </row>
        <row r="10463">
          <cell r="A10463" t="str">
            <v/>
          </cell>
        </row>
        <row r="10464">
          <cell r="A10464" t="str">
            <v/>
          </cell>
        </row>
        <row r="10465">
          <cell r="A10465" t="str">
            <v/>
          </cell>
        </row>
        <row r="10466">
          <cell r="A10466" t="str">
            <v/>
          </cell>
        </row>
        <row r="10467">
          <cell r="A10467" t="str">
            <v/>
          </cell>
        </row>
        <row r="10468">
          <cell r="A10468" t="str">
            <v/>
          </cell>
        </row>
        <row r="10469">
          <cell r="A10469" t="str">
            <v/>
          </cell>
        </row>
        <row r="10470">
          <cell r="A10470" t="str">
            <v/>
          </cell>
        </row>
        <row r="10471">
          <cell r="A10471" t="str">
            <v/>
          </cell>
        </row>
        <row r="10472">
          <cell r="A10472" t="str">
            <v/>
          </cell>
        </row>
        <row r="10473">
          <cell r="A10473" t="str">
            <v/>
          </cell>
        </row>
        <row r="10474">
          <cell r="A10474" t="str">
            <v/>
          </cell>
        </row>
        <row r="10475">
          <cell r="A10475" t="str">
            <v/>
          </cell>
        </row>
        <row r="10476">
          <cell r="A10476" t="str">
            <v/>
          </cell>
        </row>
        <row r="10477">
          <cell r="A10477" t="str">
            <v/>
          </cell>
        </row>
        <row r="10478">
          <cell r="A10478" t="str">
            <v/>
          </cell>
        </row>
        <row r="10479">
          <cell r="A10479" t="str">
            <v/>
          </cell>
        </row>
        <row r="10480">
          <cell r="A10480" t="str">
            <v/>
          </cell>
        </row>
        <row r="10481">
          <cell r="A10481" t="str">
            <v/>
          </cell>
        </row>
        <row r="10482">
          <cell r="A10482" t="str">
            <v/>
          </cell>
        </row>
        <row r="10483">
          <cell r="A10483" t="str">
            <v/>
          </cell>
        </row>
        <row r="10484">
          <cell r="A10484" t="str">
            <v/>
          </cell>
        </row>
        <row r="10485">
          <cell r="A10485" t="str">
            <v/>
          </cell>
        </row>
        <row r="10486">
          <cell r="A10486" t="str">
            <v/>
          </cell>
        </row>
        <row r="10487">
          <cell r="A10487" t="str">
            <v/>
          </cell>
        </row>
        <row r="10488">
          <cell r="A10488" t="str">
            <v/>
          </cell>
        </row>
        <row r="10489">
          <cell r="A10489" t="str">
            <v/>
          </cell>
        </row>
        <row r="10490">
          <cell r="A10490" t="str">
            <v/>
          </cell>
        </row>
        <row r="10491">
          <cell r="A10491" t="str">
            <v/>
          </cell>
        </row>
        <row r="10492">
          <cell r="A10492" t="str">
            <v/>
          </cell>
        </row>
        <row r="10493">
          <cell r="A10493" t="str">
            <v/>
          </cell>
        </row>
        <row r="10494">
          <cell r="A10494" t="str">
            <v/>
          </cell>
        </row>
        <row r="10495">
          <cell r="A10495" t="str">
            <v/>
          </cell>
        </row>
        <row r="10496">
          <cell r="A10496" t="str">
            <v/>
          </cell>
        </row>
        <row r="10497">
          <cell r="A10497" t="str">
            <v/>
          </cell>
        </row>
        <row r="10498">
          <cell r="A10498" t="str">
            <v/>
          </cell>
        </row>
        <row r="10499">
          <cell r="A10499" t="str">
            <v/>
          </cell>
        </row>
        <row r="10500">
          <cell r="A10500" t="str">
            <v/>
          </cell>
        </row>
        <row r="10501">
          <cell r="A10501" t="str">
            <v/>
          </cell>
        </row>
        <row r="10502">
          <cell r="A10502" t="str">
            <v/>
          </cell>
        </row>
        <row r="10503">
          <cell r="A10503" t="str">
            <v/>
          </cell>
        </row>
        <row r="10504">
          <cell r="A10504" t="str">
            <v/>
          </cell>
        </row>
        <row r="10505">
          <cell r="A10505" t="str">
            <v/>
          </cell>
        </row>
        <row r="10506">
          <cell r="A10506" t="str">
            <v/>
          </cell>
        </row>
        <row r="10507">
          <cell r="A10507" t="str">
            <v/>
          </cell>
        </row>
        <row r="10508">
          <cell r="A10508" t="str">
            <v/>
          </cell>
        </row>
        <row r="10509">
          <cell r="A10509" t="str">
            <v/>
          </cell>
        </row>
        <row r="10510">
          <cell r="A10510" t="str">
            <v/>
          </cell>
        </row>
        <row r="10511">
          <cell r="A10511" t="str">
            <v/>
          </cell>
        </row>
        <row r="10512">
          <cell r="A10512" t="str">
            <v/>
          </cell>
        </row>
        <row r="10513">
          <cell r="A10513" t="str">
            <v/>
          </cell>
        </row>
        <row r="10514">
          <cell r="A10514" t="str">
            <v/>
          </cell>
        </row>
        <row r="10515">
          <cell r="A10515" t="str">
            <v/>
          </cell>
        </row>
        <row r="10516">
          <cell r="A10516" t="str">
            <v/>
          </cell>
        </row>
        <row r="10517">
          <cell r="A10517" t="str">
            <v/>
          </cell>
        </row>
        <row r="10518">
          <cell r="A10518" t="str">
            <v/>
          </cell>
        </row>
        <row r="10519">
          <cell r="A10519" t="str">
            <v/>
          </cell>
        </row>
        <row r="10520">
          <cell r="A10520" t="str">
            <v/>
          </cell>
        </row>
        <row r="10521">
          <cell r="A10521" t="str">
            <v/>
          </cell>
        </row>
        <row r="10522">
          <cell r="A10522" t="str">
            <v/>
          </cell>
        </row>
        <row r="10523">
          <cell r="A10523" t="str">
            <v/>
          </cell>
        </row>
        <row r="10524">
          <cell r="A10524" t="str">
            <v/>
          </cell>
        </row>
        <row r="10525">
          <cell r="A10525" t="str">
            <v/>
          </cell>
        </row>
        <row r="10526">
          <cell r="A10526" t="str">
            <v/>
          </cell>
        </row>
        <row r="10527">
          <cell r="A10527" t="str">
            <v/>
          </cell>
        </row>
        <row r="10528">
          <cell r="A10528" t="str">
            <v/>
          </cell>
        </row>
        <row r="10529">
          <cell r="A10529" t="str">
            <v/>
          </cell>
        </row>
        <row r="10530">
          <cell r="A10530" t="str">
            <v/>
          </cell>
        </row>
        <row r="10531">
          <cell r="A10531" t="str">
            <v/>
          </cell>
        </row>
        <row r="10532">
          <cell r="A10532" t="str">
            <v/>
          </cell>
        </row>
        <row r="10533">
          <cell r="A10533" t="str">
            <v/>
          </cell>
        </row>
        <row r="10534">
          <cell r="A10534" t="str">
            <v/>
          </cell>
        </row>
        <row r="10535">
          <cell r="A10535" t="str">
            <v/>
          </cell>
        </row>
        <row r="10536">
          <cell r="A10536" t="str">
            <v/>
          </cell>
        </row>
        <row r="10537">
          <cell r="A10537" t="str">
            <v/>
          </cell>
        </row>
        <row r="10538">
          <cell r="A10538" t="str">
            <v/>
          </cell>
        </row>
        <row r="10539">
          <cell r="A10539" t="str">
            <v/>
          </cell>
        </row>
        <row r="10540">
          <cell r="A10540" t="str">
            <v/>
          </cell>
        </row>
        <row r="10541">
          <cell r="A10541" t="str">
            <v/>
          </cell>
        </row>
        <row r="10542">
          <cell r="A10542" t="str">
            <v/>
          </cell>
        </row>
        <row r="10543">
          <cell r="A10543" t="str">
            <v/>
          </cell>
        </row>
        <row r="10544">
          <cell r="A10544" t="str">
            <v/>
          </cell>
        </row>
        <row r="10545">
          <cell r="A10545" t="str">
            <v/>
          </cell>
        </row>
        <row r="10546">
          <cell r="A10546" t="str">
            <v/>
          </cell>
        </row>
        <row r="10547">
          <cell r="A10547" t="str">
            <v/>
          </cell>
        </row>
        <row r="10548">
          <cell r="A10548" t="str">
            <v/>
          </cell>
        </row>
        <row r="10549">
          <cell r="A10549" t="str">
            <v/>
          </cell>
        </row>
        <row r="10550">
          <cell r="A10550" t="str">
            <v/>
          </cell>
        </row>
        <row r="10551">
          <cell r="A10551" t="str">
            <v/>
          </cell>
        </row>
        <row r="10552">
          <cell r="A10552" t="str">
            <v/>
          </cell>
        </row>
        <row r="10553">
          <cell r="A10553" t="str">
            <v/>
          </cell>
        </row>
        <row r="10554">
          <cell r="A10554" t="str">
            <v/>
          </cell>
        </row>
        <row r="10555">
          <cell r="A10555" t="str">
            <v/>
          </cell>
        </row>
        <row r="10556">
          <cell r="A10556" t="str">
            <v/>
          </cell>
        </row>
        <row r="10557">
          <cell r="A10557" t="str">
            <v/>
          </cell>
        </row>
        <row r="10558">
          <cell r="A10558" t="str">
            <v/>
          </cell>
        </row>
        <row r="10559">
          <cell r="A10559" t="str">
            <v/>
          </cell>
        </row>
        <row r="10560">
          <cell r="A10560" t="str">
            <v/>
          </cell>
        </row>
        <row r="10561">
          <cell r="A10561" t="str">
            <v/>
          </cell>
        </row>
        <row r="10562">
          <cell r="A10562" t="str">
            <v/>
          </cell>
        </row>
        <row r="10563">
          <cell r="A10563" t="str">
            <v/>
          </cell>
        </row>
        <row r="10564">
          <cell r="A10564" t="str">
            <v/>
          </cell>
        </row>
        <row r="10565">
          <cell r="A10565" t="str">
            <v/>
          </cell>
        </row>
        <row r="10566">
          <cell r="A10566" t="str">
            <v/>
          </cell>
        </row>
        <row r="10567">
          <cell r="A10567" t="str">
            <v/>
          </cell>
        </row>
        <row r="10568">
          <cell r="A10568" t="str">
            <v/>
          </cell>
        </row>
        <row r="10569">
          <cell r="A10569" t="str">
            <v/>
          </cell>
        </row>
        <row r="10570">
          <cell r="A10570" t="str">
            <v/>
          </cell>
        </row>
        <row r="10571">
          <cell r="A10571" t="str">
            <v/>
          </cell>
        </row>
        <row r="10572">
          <cell r="A10572" t="str">
            <v/>
          </cell>
        </row>
        <row r="10573">
          <cell r="A10573" t="str">
            <v/>
          </cell>
        </row>
        <row r="10574">
          <cell r="A10574" t="str">
            <v/>
          </cell>
        </row>
        <row r="10575">
          <cell r="A10575" t="str">
            <v/>
          </cell>
        </row>
        <row r="10576">
          <cell r="A10576" t="str">
            <v/>
          </cell>
        </row>
        <row r="10577">
          <cell r="A10577" t="str">
            <v/>
          </cell>
        </row>
        <row r="10578">
          <cell r="A10578" t="str">
            <v/>
          </cell>
        </row>
        <row r="10579">
          <cell r="A10579" t="str">
            <v/>
          </cell>
        </row>
        <row r="10580">
          <cell r="A10580" t="str">
            <v/>
          </cell>
        </row>
        <row r="10581">
          <cell r="A10581" t="str">
            <v/>
          </cell>
        </row>
        <row r="10582">
          <cell r="A10582" t="str">
            <v/>
          </cell>
        </row>
        <row r="10583">
          <cell r="A10583" t="str">
            <v/>
          </cell>
        </row>
        <row r="10584">
          <cell r="A10584" t="str">
            <v/>
          </cell>
        </row>
        <row r="10585">
          <cell r="A10585" t="str">
            <v/>
          </cell>
        </row>
        <row r="10586">
          <cell r="A10586" t="str">
            <v/>
          </cell>
        </row>
        <row r="10587">
          <cell r="A10587" t="str">
            <v/>
          </cell>
        </row>
        <row r="10588">
          <cell r="A10588" t="str">
            <v/>
          </cell>
        </row>
        <row r="10589">
          <cell r="A10589" t="str">
            <v/>
          </cell>
        </row>
        <row r="10590">
          <cell r="A10590" t="str">
            <v/>
          </cell>
        </row>
        <row r="10591">
          <cell r="A10591" t="str">
            <v/>
          </cell>
        </row>
        <row r="10592">
          <cell r="A10592" t="str">
            <v/>
          </cell>
        </row>
        <row r="10593">
          <cell r="A10593" t="str">
            <v/>
          </cell>
        </row>
        <row r="10594">
          <cell r="A10594" t="str">
            <v/>
          </cell>
        </row>
        <row r="10595">
          <cell r="A10595" t="str">
            <v/>
          </cell>
        </row>
        <row r="10596">
          <cell r="A10596" t="str">
            <v/>
          </cell>
        </row>
        <row r="10597">
          <cell r="A10597" t="str">
            <v/>
          </cell>
        </row>
        <row r="10598">
          <cell r="A10598" t="str">
            <v/>
          </cell>
        </row>
        <row r="10599">
          <cell r="A10599" t="str">
            <v/>
          </cell>
        </row>
        <row r="10600">
          <cell r="A10600" t="str">
            <v/>
          </cell>
        </row>
        <row r="10601">
          <cell r="A10601" t="str">
            <v/>
          </cell>
        </row>
        <row r="10602">
          <cell r="A10602" t="str">
            <v/>
          </cell>
        </row>
        <row r="10603">
          <cell r="A10603" t="str">
            <v/>
          </cell>
        </row>
        <row r="10604">
          <cell r="A10604" t="str">
            <v/>
          </cell>
        </row>
        <row r="10605">
          <cell r="A10605" t="str">
            <v/>
          </cell>
        </row>
        <row r="10606">
          <cell r="A10606" t="str">
            <v/>
          </cell>
        </row>
        <row r="10607">
          <cell r="A10607" t="str">
            <v/>
          </cell>
        </row>
        <row r="10608">
          <cell r="A10608" t="str">
            <v/>
          </cell>
        </row>
        <row r="10609">
          <cell r="A10609" t="str">
            <v/>
          </cell>
        </row>
        <row r="10610">
          <cell r="A10610" t="str">
            <v/>
          </cell>
        </row>
        <row r="10611">
          <cell r="A10611" t="str">
            <v/>
          </cell>
        </row>
        <row r="10612">
          <cell r="A10612" t="str">
            <v/>
          </cell>
        </row>
        <row r="10613">
          <cell r="A10613" t="str">
            <v/>
          </cell>
        </row>
        <row r="10614">
          <cell r="A10614" t="str">
            <v/>
          </cell>
        </row>
        <row r="10615">
          <cell r="A10615" t="str">
            <v/>
          </cell>
        </row>
        <row r="10616">
          <cell r="A10616" t="str">
            <v/>
          </cell>
        </row>
        <row r="10617">
          <cell r="A10617" t="str">
            <v/>
          </cell>
        </row>
        <row r="10618">
          <cell r="A10618" t="str">
            <v/>
          </cell>
        </row>
        <row r="10619">
          <cell r="A10619" t="str">
            <v/>
          </cell>
        </row>
        <row r="10620">
          <cell r="A10620" t="str">
            <v/>
          </cell>
        </row>
        <row r="10621">
          <cell r="A10621" t="str">
            <v/>
          </cell>
        </row>
        <row r="10622">
          <cell r="A10622" t="str">
            <v/>
          </cell>
        </row>
        <row r="10623">
          <cell r="A10623" t="str">
            <v/>
          </cell>
        </row>
        <row r="10624">
          <cell r="A10624" t="str">
            <v/>
          </cell>
        </row>
        <row r="10625">
          <cell r="A10625" t="str">
            <v/>
          </cell>
        </row>
        <row r="10626">
          <cell r="A10626" t="str">
            <v/>
          </cell>
        </row>
        <row r="10627">
          <cell r="A10627" t="str">
            <v/>
          </cell>
        </row>
        <row r="10628">
          <cell r="A10628" t="str">
            <v/>
          </cell>
        </row>
        <row r="10629">
          <cell r="A10629" t="str">
            <v/>
          </cell>
        </row>
        <row r="10630">
          <cell r="A10630" t="str">
            <v/>
          </cell>
        </row>
        <row r="10631">
          <cell r="A10631" t="str">
            <v/>
          </cell>
        </row>
        <row r="10632">
          <cell r="A10632" t="str">
            <v/>
          </cell>
        </row>
        <row r="10633">
          <cell r="A10633" t="str">
            <v/>
          </cell>
        </row>
        <row r="10634">
          <cell r="A10634" t="str">
            <v/>
          </cell>
        </row>
        <row r="10635">
          <cell r="A10635" t="str">
            <v/>
          </cell>
        </row>
        <row r="10636">
          <cell r="A10636" t="str">
            <v/>
          </cell>
        </row>
        <row r="10637">
          <cell r="A10637" t="str">
            <v/>
          </cell>
        </row>
        <row r="10638">
          <cell r="A10638" t="str">
            <v/>
          </cell>
        </row>
        <row r="10639">
          <cell r="A10639" t="str">
            <v/>
          </cell>
        </row>
        <row r="10640">
          <cell r="A10640" t="str">
            <v/>
          </cell>
        </row>
        <row r="10641">
          <cell r="A10641" t="str">
            <v/>
          </cell>
        </row>
        <row r="10642">
          <cell r="A10642" t="str">
            <v/>
          </cell>
        </row>
        <row r="10643">
          <cell r="A10643" t="str">
            <v/>
          </cell>
        </row>
        <row r="10644">
          <cell r="A10644" t="str">
            <v/>
          </cell>
        </row>
        <row r="10645">
          <cell r="A10645" t="str">
            <v/>
          </cell>
        </row>
        <row r="10646">
          <cell r="A10646" t="str">
            <v/>
          </cell>
        </row>
        <row r="10647">
          <cell r="A10647" t="str">
            <v/>
          </cell>
        </row>
        <row r="10648">
          <cell r="A10648" t="str">
            <v/>
          </cell>
        </row>
        <row r="10649">
          <cell r="A10649" t="str">
            <v/>
          </cell>
        </row>
        <row r="10650">
          <cell r="A10650" t="str">
            <v/>
          </cell>
        </row>
        <row r="10651">
          <cell r="A10651" t="str">
            <v/>
          </cell>
        </row>
        <row r="10652">
          <cell r="A10652" t="str">
            <v/>
          </cell>
        </row>
        <row r="10653">
          <cell r="A10653" t="str">
            <v/>
          </cell>
        </row>
        <row r="10654">
          <cell r="A10654" t="str">
            <v/>
          </cell>
        </row>
        <row r="10655">
          <cell r="A10655" t="str">
            <v/>
          </cell>
        </row>
        <row r="10656">
          <cell r="A10656" t="str">
            <v/>
          </cell>
        </row>
        <row r="10657">
          <cell r="A10657" t="str">
            <v/>
          </cell>
        </row>
        <row r="10658">
          <cell r="A10658" t="str">
            <v/>
          </cell>
        </row>
        <row r="10659">
          <cell r="A10659" t="str">
            <v/>
          </cell>
        </row>
        <row r="10660">
          <cell r="A10660" t="str">
            <v/>
          </cell>
        </row>
        <row r="10661">
          <cell r="A10661" t="str">
            <v/>
          </cell>
        </row>
        <row r="10662">
          <cell r="A10662" t="str">
            <v/>
          </cell>
        </row>
        <row r="10663">
          <cell r="A10663" t="str">
            <v/>
          </cell>
        </row>
        <row r="10664">
          <cell r="A10664" t="str">
            <v/>
          </cell>
        </row>
        <row r="10665">
          <cell r="A10665" t="str">
            <v/>
          </cell>
        </row>
        <row r="10666">
          <cell r="A10666" t="str">
            <v/>
          </cell>
        </row>
        <row r="10667">
          <cell r="A10667" t="str">
            <v/>
          </cell>
        </row>
        <row r="10668">
          <cell r="A10668" t="str">
            <v/>
          </cell>
        </row>
        <row r="10669">
          <cell r="A10669" t="str">
            <v/>
          </cell>
        </row>
        <row r="10670">
          <cell r="A10670" t="str">
            <v/>
          </cell>
        </row>
        <row r="10671">
          <cell r="A10671" t="str">
            <v/>
          </cell>
        </row>
        <row r="10672">
          <cell r="A10672" t="str">
            <v/>
          </cell>
        </row>
        <row r="10673">
          <cell r="A10673" t="str">
            <v/>
          </cell>
        </row>
        <row r="10674">
          <cell r="A10674" t="str">
            <v/>
          </cell>
        </row>
        <row r="10675">
          <cell r="A10675" t="str">
            <v/>
          </cell>
        </row>
        <row r="10676">
          <cell r="A10676" t="str">
            <v/>
          </cell>
        </row>
        <row r="10677">
          <cell r="A10677" t="str">
            <v/>
          </cell>
        </row>
        <row r="10678">
          <cell r="A10678" t="str">
            <v/>
          </cell>
        </row>
        <row r="10679">
          <cell r="A10679" t="str">
            <v/>
          </cell>
        </row>
        <row r="10680">
          <cell r="A10680" t="str">
            <v/>
          </cell>
        </row>
        <row r="10681">
          <cell r="A10681" t="str">
            <v/>
          </cell>
        </row>
        <row r="10682">
          <cell r="A10682" t="str">
            <v/>
          </cell>
        </row>
        <row r="10683">
          <cell r="A10683" t="str">
            <v/>
          </cell>
        </row>
        <row r="10684">
          <cell r="A10684" t="str">
            <v/>
          </cell>
        </row>
        <row r="10685">
          <cell r="A10685" t="str">
            <v/>
          </cell>
        </row>
        <row r="10686">
          <cell r="A10686" t="str">
            <v/>
          </cell>
        </row>
        <row r="10687">
          <cell r="A10687" t="str">
            <v/>
          </cell>
        </row>
        <row r="10688">
          <cell r="A10688" t="str">
            <v/>
          </cell>
        </row>
        <row r="10689">
          <cell r="A10689" t="str">
            <v/>
          </cell>
        </row>
        <row r="10690">
          <cell r="A10690" t="str">
            <v/>
          </cell>
        </row>
        <row r="10691">
          <cell r="A10691" t="str">
            <v/>
          </cell>
        </row>
        <row r="10692">
          <cell r="A10692" t="str">
            <v/>
          </cell>
        </row>
        <row r="10693">
          <cell r="A10693" t="str">
            <v/>
          </cell>
        </row>
        <row r="10694">
          <cell r="A10694" t="str">
            <v/>
          </cell>
        </row>
        <row r="10695">
          <cell r="A10695" t="str">
            <v/>
          </cell>
        </row>
        <row r="10696">
          <cell r="A10696" t="str">
            <v/>
          </cell>
        </row>
        <row r="10697">
          <cell r="A10697" t="str">
            <v/>
          </cell>
        </row>
        <row r="10698">
          <cell r="A10698" t="str">
            <v/>
          </cell>
        </row>
        <row r="10699">
          <cell r="A10699" t="str">
            <v/>
          </cell>
        </row>
        <row r="10700">
          <cell r="A10700" t="str">
            <v/>
          </cell>
        </row>
        <row r="10701">
          <cell r="A10701" t="str">
            <v/>
          </cell>
        </row>
        <row r="10702">
          <cell r="A10702" t="str">
            <v/>
          </cell>
        </row>
        <row r="10703">
          <cell r="A10703" t="str">
            <v/>
          </cell>
        </row>
        <row r="10704">
          <cell r="A10704" t="str">
            <v/>
          </cell>
        </row>
        <row r="10705">
          <cell r="A10705" t="str">
            <v/>
          </cell>
        </row>
        <row r="10706">
          <cell r="A10706" t="str">
            <v/>
          </cell>
        </row>
        <row r="10707">
          <cell r="A10707" t="str">
            <v/>
          </cell>
        </row>
        <row r="10708">
          <cell r="A10708" t="str">
            <v/>
          </cell>
        </row>
        <row r="10709">
          <cell r="A10709" t="str">
            <v/>
          </cell>
        </row>
        <row r="10710">
          <cell r="A10710" t="str">
            <v/>
          </cell>
        </row>
        <row r="10711">
          <cell r="A10711" t="str">
            <v/>
          </cell>
        </row>
        <row r="10712">
          <cell r="A10712" t="str">
            <v/>
          </cell>
        </row>
        <row r="10713">
          <cell r="A10713" t="str">
            <v/>
          </cell>
        </row>
        <row r="10714">
          <cell r="A10714" t="str">
            <v/>
          </cell>
        </row>
        <row r="10715">
          <cell r="A10715" t="str">
            <v/>
          </cell>
        </row>
        <row r="10716">
          <cell r="A10716" t="str">
            <v/>
          </cell>
        </row>
        <row r="10717">
          <cell r="A10717" t="str">
            <v/>
          </cell>
        </row>
        <row r="10718">
          <cell r="A10718" t="str">
            <v/>
          </cell>
        </row>
        <row r="10719">
          <cell r="A10719" t="str">
            <v/>
          </cell>
        </row>
        <row r="10720">
          <cell r="A10720" t="str">
            <v/>
          </cell>
        </row>
        <row r="10721">
          <cell r="A10721" t="str">
            <v/>
          </cell>
        </row>
        <row r="10722">
          <cell r="A10722" t="str">
            <v/>
          </cell>
        </row>
        <row r="10723">
          <cell r="A10723" t="str">
            <v/>
          </cell>
        </row>
        <row r="10724">
          <cell r="A10724" t="str">
            <v/>
          </cell>
        </row>
        <row r="10725">
          <cell r="A10725" t="str">
            <v/>
          </cell>
        </row>
        <row r="10726">
          <cell r="A10726" t="str">
            <v/>
          </cell>
        </row>
        <row r="10727">
          <cell r="A10727" t="str">
            <v/>
          </cell>
        </row>
        <row r="10728">
          <cell r="A10728" t="str">
            <v/>
          </cell>
        </row>
        <row r="10729">
          <cell r="A10729" t="str">
            <v/>
          </cell>
        </row>
        <row r="10730">
          <cell r="A10730" t="str">
            <v/>
          </cell>
        </row>
        <row r="10731">
          <cell r="A10731" t="str">
            <v/>
          </cell>
        </row>
        <row r="10732">
          <cell r="A10732" t="str">
            <v/>
          </cell>
        </row>
        <row r="10733">
          <cell r="A10733" t="str">
            <v/>
          </cell>
        </row>
        <row r="10734">
          <cell r="A10734" t="str">
            <v/>
          </cell>
        </row>
        <row r="10735">
          <cell r="A10735" t="str">
            <v/>
          </cell>
        </row>
        <row r="10736">
          <cell r="A10736" t="str">
            <v/>
          </cell>
        </row>
        <row r="10737">
          <cell r="A10737" t="str">
            <v/>
          </cell>
        </row>
        <row r="10738">
          <cell r="A10738" t="str">
            <v/>
          </cell>
        </row>
        <row r="10739">
          <cell r="A10739" t="str">
            <v/>
          </cell>
        </row>
        <row r="10740">
          <cell r="A10740" t="str">
            <v/>
          </cell>
        </row>
        <row r="10741">
          <cell r="A10741" t="str">
            <v/>
          </cell>
        </row>
        <row r="10742">
          <cell r="A10742" t="str">
            <v/>
          </cell>
        </row>
        <row r="10743">
          <cell r="A10743" t="str">
            <v/>
          </cell>
        </row>
        <row r="10744">
          <cell r="A10744" t="str">
            <v/>
          </cell>
        </row>
        <row r="10745">
          <cell r="A10745" t="str">
            <v/>
          </cell>
        </row>
        <row r="10746">
          <cell r="A10746" t="str">
            <v/>
          </cell>
        </row>
        <row r="10747">
          <cell r="A10747" t="str">
            <v/>
          </cell>
        </row>
        <row r="10748">
          <cell r="A10748" t="str">
            <v/>
          </cell>
        </row>
        <row r="10749">
          <cell r="A10749" t="str">
            <v/>
          </cell>
        </row>
        <row r="10750">
          <cell r="A10750" t="str">
            <v/>
          </cell>
        </row>
        <row r="10751">
          <cell r="A10751" t="str">
            <v/>
          </cell>
        </row>
        <row r="10752">
          <cell r="A10752" t="str">
            <v/>
          </cell>
        </row>
        <row r="10753">
          <cell r="A10753" t="str">
            <v/>
          </cell>
        </row>
        <row r="10754">
          <cell r="A10754" t="str">
            <v/>
          </cell>
        </row>
        <row r="10755">
          <cell r="A10755" t="str">
            <v/>
          </cell>
        </row>
        <row r="10756">
          <cell r="A10756" t="str">
            <v/>
          </cell>
        </row>
        <row r="10757">
          <cell r="A10757" t="str">
            <v/>
          </cell>
        </row>
        <row r="10758">
          <cell r="A10758" t="str">
            <v/>
          </cell>
        </row>
        <row r="10759">
          <cell r="A10759" t="str">
            <v/>
          </cell>
        </row>
        <row r="10760">
          <cell r="A10760" t="str">
            <v/>
          </cell>
        </row>
        <row r="10761">
          <cell r="A10761" t="str">
            <v/>
          </cell>
        </row>
        <row r="10762">
          <cell r="A10762" t="str">
            <v/>
          </cell>
        </row>
        <row r="10763">
          <cell r="A10763" t="str">
            <v/>
          </cell>
        </row>
        <row r="10764">
          <cell r="A10764" t="str">
            <v/>
          </cell>
        </row>
        <row r="10765">
          <cell r="A10765" t="str">
            <v/>
          </cell>
        </row>
        <row r="10766">
          <cell r="A10766" t="str">
            <v/>
          </cell>
        </row>
        <row r="10767">
          <cell r="A10767" t="str">
            <v/>
          </cell>
        </row>
        <row r="10768">
          <cell r="A10768" t="str">
            <v/>
          </cell>
        </row>
        <row r="10769">
          <cell r="A10769" t="str">
            <v/>
          </cell>
        </row>
        <row r="10770">
          <cell r="A10770" t="str">
            <v/>
          </cell>
        </row>
        <row r="10771">
          <cell r="A10771" t="str">
            <v/>
          </cell>
        </row>
        <row r="10772">
          <cell r="A10772" t="str">
            <v/>
          </cell>
        </row>
        <row r="10773">
          <cell r="A10773" t="str">
            <v/>
          </cell>
        </row>
        <row r="10774">
          <cell r="A10774" t="str">
            <v/>
          </cell>
        </row>
        <row r="10775">
          <cell r="A10775" t="str">
            <v/>
          </cell>
        </row>
        <row r="10776">
          <cell r="A10776" t="str">
            <v/>
          </cell>
        </row>
        <row r="10777">
          <cell r="A10777" t="str">
            <v/>
          </cell>
        </row>
        <row r="10778">
          <cell r="A10778" t="str">
            <v/>
          </cell>
        </row>
        <row r="10779">
          <cell r="A10779" t="str">
            <v/>
          </cell>
        </row>
        <row r="10780">
          <cell r="A10780" t="str">
            <v/>
          </cell>
        </row>
        <row r="10781">
          <cell r="A10781" t="str">
            <v/>
          </cell>
        </row>
        <row r="10782">
          <cell r="A10782" t="str">
            <v/>
          </cell>
        </row>
        <row r="10783">
          <cell r="A10783" t="str">
            <v/>
          </cell>
        </row>
        <row r="10784">
          <cell r="A10784" t="str">
            <v/>
          </cell>
        </row>
        <row r="10785">
          <cell r="A10785" t="str">
            <v/>
          </cell>
        </row>
        <row r="10786">
          <cell r="A10786" t="str">
            <v/>
          </cell>
        </row>
        <row r="10787">
          <cell r="A10787" t="str">
            <v/>
          </cell>
        </row>
        <row r="10788">
          <cell r="A10788" t="str">
            <v/>
          </cell>
        </row>
        <row r="10789">
          <cell r="A10789" t="str">
            <v/>
          </cell>
        </row>
        <row r="10790">
          <cell r="A10790" t="str">
            <v/>
          </cell>
        </row>
        <row r="10791">
          <cell r="A10791" t="str">
            <v/>
          </cell>
        </row>
        <row r="10792">
          <cell r="A10792" t="str">
            <v/>
          </cell>
        </row>
        <row r="10793">
          <cell r="A10793" t="str">
            <v/>
          </cell>
        </row>
        <row r="10794">
          <cell r="A10794" t="str">
            <v/>
          </cell>
        </row>
        <row r="10795">
          <cell r="A10795" t="str">
            <v/>
          </cell>
        </row>
        <row r="10796">
          <cell r="A10796" t="str">
            <v/>
          </cell>
        </row>
        <row r="10797">
          <cell r="A10797" t="str">
            <v/>
          </cell>
        </row>
        <row r="10798">
          <cell r="A10798" t="str">
            <v/>
          </cell>
        </row>
        <row r="10799">
          <cell r="A10799" t="str">
            <v/>
          </cell>
        </row>
        <row r="10800">
          <cell r="A10800" t="str">
            <v/>
          </cell>
        </row>
        <row r="10801">
          <cell r="A10801" t="str">
            <v/>
          </cell>
        </row>
        <row r="10802">
          <cell r="A10802" t="str">
            <v/>
          </cell>
        </row>
        <row r="10803">
          <cell r="A10803" t="str">
            <v/>
          </cell>
        </row>
        <row r="10804">
          <cell r="A10804" t="str">
            <v/>
          </cell>
        </row>
        <row r="10805">
          <cell r="A10805" t="str">
            <v/>
          </cell>
        </row>
        <row r="10806">
          <cell r="A10806" t="str">
            <v/>
          </cell>
        </row>
        <row r="10807">
          <cell r="A10807" t="str">
            <v/>
          </cell>
        </row>
        <row r="10808">
          <cell r="A10808" t="str">
            <v/>
          </cell>
        </row>
        <row r="10809">
          <cell r="A10809" t="str">
            <v/>
          </cell>
        </row>
        <row r="10810">
          <cell r="A10810" t="str">
            <v/>
          </cell>
        </row>
        <row r="10811">
          <cell r="A10811" t="str">
            <v/>
          </cell>
        </row>
        <row r="10812">
          <cell r="A10812" t="str">
            <v/>
          </cell>
        </row>
        <row r="10813">
          <cell r="A10813" t="str">
            <v/>
          </cell>
        </row>
        <row r="10814">
          <cell r="A10814" t="str">
            <v/>
          </cell>
        </row>
        <row r="10815">
          <cell r="A10815" t="str">
            <v/>
          </cell>
        </row>
        <row r="10816">
          <cell r="A10816" t="str">
            <v/>
          </cell>
        </row>
        <row r="10817">
          <cell r="A10817" t="str">
            <v/>
          </cell>
        </row>
        <row r="10818">
          <cell r="A10818" t="str">
            <v/>
          </cell>
        </row>
        <row r="10819">
          <cell r="A10819" t="str">
            <v/>
          </cell>
        </row>
        <row r="10820">
          <cell r="A10820" t="str">
            <v/>
          </cell>
        </row>
        <row r="10821">
          <cell r="A10821" t="str">
            <v/>
          </cell>
        </row>
        <row r="10822">
          <cell r="A10822" t="str">
            <v/>
          </cell>
        </row>
        <row r="10823">
          <cell r="A10823" t="str">
            <v/>
          </cell>
        </row>
        <row r="10824">
          <cell r="A10824" t="str">
            <v/>
          </cell>
        </row>
        <row r="10825">
          <cell r="A10825" t="str">
            <v/>
          </cell>
        </row>
        <row r="10826">
          <cell r="A10826" t="str">
            <v/>
          </cell>
        </row>
        <row r="10827">
          <cell r="A10827" t="str">
            <v/>
          </cell>
        </row>
        <row r="10828">
          <cell r="A10828" t="str">
            <v/>
          </cell>
        </row>
        <row r="10829">
          <cell r="A10829" t="str">
            <v/>
          </cell>
        </row>
        <row r="10830">
          <cell r="A10830" t="str">
            <v/>
          </cell>
        </row>
        <row r="10831">
          <cell r="A10831" t="str">
            <v/>
          </cell>
        </row>
        <row r="10832">
          <cell r="A10832" t="str">
            <v/>
          </cell>
        </row>
        <row r="10833">
          <cell r="A10833" t="str">
            <v/>
          </cell>
        </row>
        <row r="10834">
          <cell r="A10834" t="str">
            <v/>
          </cell>
        </row>
        <row r="10835">
          <cell r="A10835" t="str">
            <v/>
          </cell>
        </row>
        <row r="10836">
          <cell r="A10836" t="str">
            <v/>
          </cell>
        </row>
        <row r="10837">
          <cell r="A10837" t="str">
            <v/>
          </cell>
        </row>
        <row r="10838">
          <cell r="A10838" t="str">
            <v/>
          </cell>
        </row>
        <row r="10839">
          <cell r="A10839" t="str">
            <v/>
          </cell>
        </row>
        <row r="10840">
          <cell r="A10840" t="str">
            <v/>
          </cell>
        </row>
        <row r="10841">
          <cell r="A10841" t="str">
            <v/>
          </cell>
        </row>
        <row r="10842">
          <cell r="A10842" t="str">
            <v/>
          </cell>
        </row>
        <row r="10843">
          <cell r="A10843" t="str">
            <v/>
          </cell>
        </row>
        <row r="10844">
          <cell r="A10844" t="str">
            <v/>
          </cell>
        </row>
        <row r="10845">
          <cell r="A10845" t="str">
            <v/>
          </cell>
        </row>
        <row r="10846">
          <cell r="A10846" t="str">
            <v/>
          </cell>
        </row>
        <row r="10847">
          <cell r="A10847" t="str">
            <v/>
          </cell>
        </row>
        <row r="10848">
          <cell r="A10848" t="str">
            <v/>
          </cell>
        </row>
        <row r="10849">
          <cell r="A10849" t="str">
            <v/>
          </cell>
        </row>
        <row r="10850">
          <cell r="A10850" t="str">
            <v/>
          </cell>
        </row>
        <row r="10851">
          <cell r="A10851" t="str">
            <v/>
          </cell>
        </row>
        <row r="10852">
          <cell r="A10852" t="str">
            <v/>
          </cell>
        </row>
        <row r="10853">
          <cell r="A10853" t="str">
            <v/>
          </cell>
        </row>
        <row r="10854">
          <cell r="A10854" t="str">
            <v/>
          </cell>
        </row>
        <row r="10855">
          <cell r="A10855" t="str">
            <v/>
          </cell>
        </row>
        <row r="10856">
          <cell r="A10856" t="str">
            <v/>
          </cell>
        </row>
        <row r="10857">
          <cell r="A10857" t="str">
            <v/>
          </cell>
        </row>
        <row r="10858">
          <cell r="A10858" t="str">
            <v/>
          </cell>
        </row>
        <row r="10859">
          <cell r="A10859" t="str">
            <v/>
          </cell>
        </row>
        <row r="10860">
          <cell r="A10860" t="str">
            <v/>
          </cell>
        </row>
        <row r="10861">
          <cell r="A10861" t="str">
            <v/>
          </cell>
        </row>
        <row r="10862">
          <cell r="A10862" t="str">
            <v/>
          </cell>
        </row>
        <row r="10863">
          <cell r="A10863" t="str">
            <v/>
          </cell>
        </row>
        <row r="10864">
          <cell r="A10864" t="str">
            <v/>
          </cell>
        </row>
        <row r="10865">
          <cell r="A10865" t="str">
            <v/>
          </cell>
        </row>
        <row r="10866">
          <cell r="A10866" t="str">
            <v/>
          </cell>
        </row>
        <row r="10867">
          <cell r="A10867" t="str">
            <v/>
          </cell>
        </row>
        <row r="10868">
          <cell r="A10868" t="str">
            <v/>
          </cell>
        </row>
        <row r="10869">
          <cell r="A10869" t="str">
            <v/>
          </cell>
        </row>
        <row r="10870">
          <cell r="A10870" t="str">
            <v/>
          </cell>
        </row>
        <row r="10871">
          <cell r="A10871" t="str">
            <v/>
          </cell>
        </row>
        <row r="10872">
          <cell r="A10872" t="str">
            <v/>
          </cell>
        </row>
        <row r="10873">
          <cell r="A10873" t="str">
            <v/>
          </cell>
        </row>
        <row r="10874">
          <cell r="A10874" t="str">
            <v/>
          </cell>
        </row>
        <row r="10875">
          <cell r="A10875" t="str">
            <v/>
          </cell>
        </row>
        <row r="10876">
          <cell r="A10876" t="str">
            <v/>
          </cell>
        </row>
        <row r="10877">
          <cell r="A10877" t="str">
            <v/>
          </cell>
        </row>
        <row r="10878">
          <cell r="A10878" t="str">
            <v/>
          </cell>
        </row>
        <row r="10879">
          <cell r="A10879" t="str">
            <v/>
          </cell>
        </row>
        <row r="10880">
          <cell r="A10880" t="str">
            <v/>
          </cell>
        </row>
        <row r="10881">
          <cell r="A10881" t="str">
            <v/>
          </cell>
        </row>
        <row r="10882">
          <cell r="A10882" t="str">
            <v/>
          </cell>
        </row>
        <row r="10883">
          <cell r="A10883" t="str">
            <v/>
          </cell>
        </row>
        <row r="10884">
          <cell r="A10884" t="str">
            <v/>
          </cell>
        </row>
        <row r="10885">
          <cell r="A10885" t="str">
            <v/>
          </cell>
        </row>
        <row r="10886">
          <cell r="A10886" t="str">
            <v/>
          </cell>
        </row>
        <row r="10887">
          <cell r="A10887" t="str">
            <v/>
          </cell>
        </row>
        <row r="10888">
          <cell r="A10888" t="str">
            <v/>
          </cell>
        </row>
        <row r="10889">
          <cell r="A10889" t="str">
            <v/>
          </cell>
        </row>
        <row r="10890">
          <cell r="A10890" t="str">
            <v/>
          </cell>
        </row>
        <row r="10891">
          <cell r="A10891" t="str">
            <v/>
          </cell>
        </row>
        <row r="10892">
          <cell r="A10892" t="str">
            <v/>
          </cell>
        </row>
        <row r="10893">
          <cell r="A10893" t="str">
            <v/>
          </cell>
        </row>
        <row r="10894">
          <cell r="A10894" t="str">
            <v/>
          </cell>
        </row>
        <row r="10895">
          <cell r="A10895" t="str">
            <v/>
          </cell>
        </row>
        <row r="10896">
          <cell r="A10896" t="str">
            <v/>
          </cell>
        </row>
        <row r="10897">
          <cell r="A10897" t="str">
            <v/>
          </cell>
        </row>
        <row r="10898">
          <cell r="A10898" t="str">
            <v/>
          </cell>
        </row>
        <row r="10899">
          <cell r="A10899" t="str">
            <v/>
          </cell>
        </row>
        <row r="10900">
          <cell r="A10900" t="str">
            <v/>
          </cell>
        </row>
        <row r="10901">
          <cell r="A10901" t="str">
            <v/>
          </cell>
        </row>
        <row r="10902">
          <cell r="A10902" t="str">
            <v/>
          </cell>
        </row>
        <row r="10903">
          <cell r="A10903" t="str">
            <v/>
          </cell>
        </row>
        <row r="10904">
          <cell r="A10904" t="str">
            <v/>
          </cell>
        </row>
        <row r="10905">
          <cell r="A10905" t="str">
            <v/>
          </cell>
        </row>
        <row r="10906">
          <cell r="A10906" t="str">
            <v/>
          </cell>
        </row>
        <row r="10907">
          <cell r="A10907" t="str">
            <v/>
          </cell>
        </row>
        <row r="10908">
          <cell r="A10908" t="str">
            <v/>
          </cell>
        </row>
        <row r="10909">
          <cell r="A10909" t="str">
            <v/>
          </cell>
        </row>
        <row r="10910">
          <cell r="A10910" t="str">
            <v/>
          </cell>
        </row>
        <row r="10911">
          <cell r="A10911" t="str">
            <v/>
          </cell>
        </row>
        <row r="10912">
          <cell r="A10912" t="str">
            <v/>
          </cell>
        </row>
        <row r="10913">
          <cell r="A10913" t="str">
            <v/>
          </cell>
        </row>
        <row r="10914">
          <cell r="A10914" t="str">
            <v/>
          </cell>
        </row>
        <row r="10915">
          <cell r="A10915" t="str">
            <v/>
          </cell>
        </row>
        <row r="10916">
          <cell r="A10916" t="str">
            <v/>
          </cell>
        </row>
        <row r="10917">
          <cell r="A10917" t="str">
            <v/>
          </cell>
        </row>
        <row r="10918">
          <cell r="A10918" t="str">
            <v/>
          </cell>
        </row>
        <row r="10919">
          <cell r="A10919" t="str">
            <v/>
          </cell>
        </row>
        <row r="10920">
          <cell r="A10920" t="str">
            <v/>
          </cell>
        </row>
        <row r="10921">
          <cell r="A10921" t="str">
            <v/>
          </cell>
        </row>
        <row r="10922">
          <cell r="A10922" t="str">
            <v/>
          </cell>
        </row>
        <row r="10923">
          <cell r="A10923" t="str">
            <v/>
          </cell>
        </row>
        <row r="10924">
          <cell r="A10924" t="str">
            <v/>
          </cell>
        </row>
        <row r="10925">
          <cell r="A10925" t="str">
            <v/>
          </cell>
        </row>
        <row r="10926">
          <cell r="A10926" t="str">
            <v/>
          </cell>
        </row>
        <row r="10927">
          <cell r="A10927" t="str">
            <v/>
          </cell>
        </row>
        <row r="10928">
          <cell r="A10928" t="str">
            <v/>
          </cell>
        </row>
        <row r="10929">
          <cell r="A10929" t="str">
            <v/>
          </cell>
        </row>
        <row r="10930">
          <cell r="A10930" t="str">
            <v/>
          </cell>
        </row>
        <row r="10931">
          <cell r="A10931" t="str">
            <v/>
          </cell>
        </row>
        <row r="10932">
          <cell r="A10932" t="str">
            <v/>
          </cell>
        </row>
        <row r="10933">
          <cell r="A10933" t="str">
            <v/>
          </cell>
        </row>
        <row r="10934">
          <cell r="A10934" t="str">
            <v/>
          </cell>
        </row>
        <row r="10935">
          <cell r="A10935" t="str">
            <v/>
          </cell>
        </row>
        <row r="10936">
          <cell r="A10936" t="str">
            <v/>
          </cell>
        </row>
        <row r="10937">
          <cell r="A10937" t="str">
            <v/>
          </cell>
        </row>
        <row r="10938">
          <cell r="A10938" t="str">
            <v/>
          </cell>
        </row>
        <row r="10939">
          <cell r="A10939" t="str">
            <v/>
          </cell>
        </row>
        <row r="10940">
          <cell r="A10940" t="str">
            <v/>
          </cell>
        </row>
        <row r="10941">
          <cell r="A10941" t="str">
            <v/>
          </cell>
        </row>
        <row r="10942">
          <cell r="A10942" t="str">
            <v/>
          </cell>
        </row>
        <row r="10943">
          <cell r="A10943" t="str">
            <v/>
          </cell>
        </row>
        <row r="10944">
          <cell r="A10944" t="str">
            <v/>
          </cell>
        </row>
        <row r="10945">
          <cell r="A10945" t="str">
            <v/>
          </cell>
        </row>
        <row r="10946">
          <cell r="A10946" t="str">
            <v/>
          </cell>
        </row>
        <row r="10947">
          <cell r="A10947" t="str">
            <v/>
          </cell>
        </row>
        <row r="10948">
          <cell r="A10948" t="str">
            <v/>
          </cell>
        </row>
        <row r="10949">
          <cell r="A10949" t="str">
            <v/>
          </cell>
        </row>
        <row r="10950">
          <cell r="A10950" t="str">
            <v/>
          </cell>
        </row>
        <row r="10951">
          <cell r="A10951" t="str">
            <v/>
          </cell>
        </row>
        <row r="10952">
          <cell r="A10952" t="str">
            <v/>
          </cell>
        </row>
        <row r="10953">
          <cell r="A10953" t="str">
            <v/>
          </cell>
        </row>
        <row r="10954">
          <cell r="A10954" t="str">
            <v/>
          </cell>
        </row>
        <row r="10955">
          <cell r="A10955" t="str">
            <v/>
          </cell>
        </row>
        <row r="10956">
          <cell r="A10956" t="str">
            <v/>
          </cell>
        </row>
        <row r="10957">
          <cell r="A10957" t="str">
            <v/>
          </cell>
        </row>
        <row r="10958">
          <cell r="A10958" t="str">
            <v/>
          </cell>
        </row>
        <row r="10959">
          <cell r="A10959" t="str">
            <v/>
          </cell>
        </row>
        <row r="10960">
          <cell r="A10960" t="str">
            <v/>
          </cell>
        </row>
        <row r="10961">
          <cell r="A10961" t="str">
            <v/>
          </cell>
        </row>
        <row r="10962">
          <cell r="A10962" t="str">
            <v/>
          </cell>
        </row>
        <row r="10963">
          <cell r="A10963" t="str">
            <v/>
          </cell>
        </row>
        <row r="10964">
          <cell r="A10964" t="str">
            <v/>
          </cell>
        </row>
        <row r="10965">
          <cell r="A10965" t="str">
            <v/>
          </cell>
        </row>
        <row r="10966">
          <cell r="A10966" t="str">
            <v/>
          </cell>
        </row>
        <row r="10967">
          <cell r="A10967" t="str">
            <v/>
          </cell>
        </row>
        <row r="10968">
          <cell r="A10968" t="str">
            <v/>
          </cell>
        </row>
        <row r="10969">
          <cell r="A10969" t="str">
            <v/>
          </cell>
        </row>
        <row r="10970">
          <cell r="A10970" t="str">
            <v/>
          </cell>
        </row>
        <row r="10971">
          <cell r="A10971" t="str">
            <v/>
          </cell>
        </row>
        <row r="10972">
          <cell r="A10972" t="str">
            <v/>
          </cell>
        </row>
        <row r="10973">
          <cell r="A10973" t="str">
            <v/>
          </cell>
        </row>
        <row r="10974">
          <cell r="A10974" t="str">
            <v/>
          </cell>
        </row>
        <row r="10975">
          <cell r="A10975" t="str">
            <v/>
          </cell>
        </row>
        <row r="10976">
          <cell r="A10976" t="str">
            <v/>
          </cell>
        </row>
        <row r="10977">
          <cell r="A10977" t="str">
            <v/>
          </cell>
        </row>
        <row r="10978">
          <cell r="A10978" t="str">
            <v/>
          </cell>
        </row>
        <row r="10979">
          <cell r="A10979" t="str">
            <v/>
          </cell>
        </row>
        <row r="10980">
          <cell r="A10980" t="str">
            <v/>
          </cell>
        </row>
        <row r="10981">
          <cell r="A10981" t="str">
            <v/>
          </cell>
        </row>
        <row r="10982">
          <cell r="A10982" t="str">
            <v/>
          </cell>
        </row>
        <row r="10983">
          <cell r="A10983" t="str">
            <v/>
          </cell>
        </row>
        <row r="10984">
          <cell r="A10984" t="str">
            <v/>
          </cell>
        </row>
        <row r="10985">
          <cell r="A10985" t="str">
            <v/>
          </cell>
        </row>
        <row r="10986">
          <cell r="A10986" t="str">
            <v/>
          </cell>
        </row>
        <row r="10987">
          <cell r="A10987" t="str">
            <v/>
          </cell>
        </row>
        <row r="10988">
          <cell r="A10988" t="str">
            <v/>
          </cell>
        </row>
        <row r="10989">
          <cell r="A10989" t="str">
            <v/>
          </cell>
        </row>
        <row r="10990">
          <cell r="A10990" t="str">
            <v/>
          </cell>
        </row>
        <row r="10991">
          <cell r="A10991" t="str">
            <v/>
          </cell>
        </row>
        <row r="10992">
          <cell r="A10992" t="str">
            <v/>
          </cell>
        </row>
        <row r="10993">
          <cell r="A10993" t="str">
            <v/>
          </cell>
        </row>
        <row r="10994">
          <cell r="A10994" t="str">
            <v/>
          </cell>
        </row>
        <row r="10995">
          <cell r="A10995" t="str">
            <v/>
          </cell>
        </row>
        <row r="10996">
          <cell r="A10996" t="str">
            <v/>
          </cell>
        </row>
        <row r="10997">
          <cell r="A10997" t="str">
            <v/>
          </cell>
        </row>
        <row r="10998">
          <cell r="A10998" t="str">
            <v/>
          </cell>
        </row>
        <row r="10999">
          <cell r="A10999" t="str">
            <v/>
          </cell>
        </row>
        <row r="11000">
          <cell r="A11000" t="str">
            <v/>
          </cell>
        </row>
        <row r="11001">
          <cell r="A11001" t="str">
            <v/>
          </cell>
        </row>
        <row r="11002">
          <cell r="A11002" t="str">
            <v/>
          </cell>
        </row>
        <row r="11003">
          <cell r="A11003" t="str">
            <v/>
          </cell>
        </row>
        <row r="11004">
          <cell r="A11004" t="str">
            <v/>
          </cell>
        </row>
        <row r="11005">
          <cell r="A11005" t="str">
            <v/>
          </cell>
        </row>
        <row r="11006">
          <cell r="A11006" t="str">
            <v/>
          </cell>
        </row>
        <row r="11007">
          <cell r="A11007" t="str">
            <v/>
          </cell>
        </row>
        <row r="11008">
          <cell r="A11008" t="str">
            <v/>
          </cell>
        </row>
        <row r="11009">
          <cell r="A11009" t="str">
            <v/>
          </cell>
        </row>
        <row r="11010">
          <cell r="A11010" t="str">
            <v/>
          </cell>
        </row>
        <row r="11011">
          <cell r="A11011" t="str">
            <v/>
          </cell>
        </row>
        <row r="11012">
          <cell r="A11012" t="str">
            <v/>
          </cell>
        </row>
        <row r="11013">
          <cell r="A11013" t="str">
            <v/>
          </cell>
        </row>
        <row r="11014">
          <cell r="A11014" t="str">
            <v/>
          </cell>
        </row>
        <row r="11015">
          <cell r="A11015" t="str">
            <v/>
          </cell>
        </row>
        <row r="11016">
          <cell r="A11016" t="str">
            <v/>
          </cell>
        </row>
        <row r="11017">
          <cell r="A11017" t="str">
            <v/>
          </cell>
        </row>
        <row r="11018">
          <cell r="A11018" t="str">
            <v/>
          </cell>
        </row>
        <row r="11019">
          <cell r="A11019" t="str">
            <v/>
          </cell>
        </row>
        <row r="11020">
          <cell r="A11020" t="str">
            <v/>
          </cell>
        </row>
        <row r="11021">
          <cell r="A11021" t="str">
            <v/>
          </cell>
        </row>
        <row r="11022">
          <cell r="A11022" t="str">
            <v/>
          </cell>
        </row>
        <row r="11023">
          <cell r="A11023" t="str">
            <v/>
          </cell>
        </row>
        <row r="11024">
          <cell r="A11024" t="str">
            <v/>
          </cell>
        </row>
        <row r="11025">
          <cell r="A11025" t="str">
            <v/>
          </cell>
        </row>
        <row r="11026">
          <cell r="A11026" t="str">
            <v/>
          </cell>
        </row>
        <row r="11027">
          <cell r="A11027" t="str">
            <v/>
          </cell>
        </row>
        <row r="11028">
          <cell r="A11028" t="str">
            <v/>
          </cell>
        </row>
        <row r="11029">
          <cell r="A11029" t="str">
            <v/>
          </cell>
        </row>
        <row r="11030">
          <cell r="A11030" t="str">
            <v/>
          </cell>
        </row>
        <row r="11031">
          <cell r="A11031" t="str">
            <v/>
          </cell>
        </row>
        <row r="11032">
          <cell r="A11032" t="str">
            <v/>
          </cell>
        </row>
        <row r="11033">
          <cell r="A11033" t="str">
            <v/>
          </cell>
        </row>
        <row r="11034">
          <cell r="A11034" t="str">
            <v/>
          </cell>
        </row>
        <row r="11035">
          <cell r="A11035" t="str">
            <v/>
          </cell>
        </row>
        <row r="11036">
          <cell r="A11036" t="str">
            <v/>
          </cell>
        </row>
        <row r="11037">
          <cell r="A11037" t="str">
            <v/>
          </cell>
        </row>
        <row r="11038">
          <cell r="A11038" t="str">
            <v/>
          </cell>
        </row>
        <row r="11039">
          <cell r="A11039" t="str">
            <v/>
          </cell>
        </row>
        <row r="11040">
          <cell r="A11040" t="str">
            <v/>
          </cell>
        </row>
        <row r="11041">
          <cell r="A11041" t="str">
            <v/>
          </cell>
        </row>
        <row r="11042">
          <cell r="A11042" t="str">
            <v/>
          </cell>
        </row>
        <row r="11043">
          <cell r="A11043" t="str">
            <v/>
          </cell>
        </row>
        <row r="11044">
          <cell r="A11044" t="str">
            <v/>
          </cell>
        </row>
        <row r="11045">
          <cell r="A11045" t="str">
            <v/>
          </cell>
        </row>
        <row r="11046">
          <cell r="A11046" t="str">
            <v/>
          </cell>
        </row>
        <row r="11047">
          <cell r="A11047" t="str">
            <v/>
          </cell>
        </row>
        <row r="11048">
          <cell r="A11048" t="str">
            <v/>
          </cell>
        </row>
        <row r="11049">
          <cell r="A11049" t="str">
            <v/>
          </cell>
        </row>
        <row r="11050">
          <cell r="A11050" t="str">
            <v/>
          </cell>
        </row>
        <row r="11051">
          <cell r="A11051" t="str">
            <v/>
          </cell>
        </row>
        <row r="11052">
          <cell r="A11052" t="str">
            <v/>
          </cell>
        </row>
        <row r="11053">
          <cell r="A11053" t="str">
            <v/>
          </cell>
        </row>
        <row r="11054">
          <cell r="A11054" t="str">
            <v/>
          </cell>
        </row>
        <row r="11055">
          <cell r="A11055" t="str">
            <v/>
          </cell>
        </row>
        <row r="11056">
          <cell r="A11056" t="str">
            <v/>
          </cell>
        </row>
        <row r="11057">
          <cell r="A11057" t="str">
            <v/>
          </cell>
        </row>
        <row r="11058">
          <cell r="A11058" t="str">
            <v/>
          </cell>
        </row>
        <row r="11059">
          <cell r="A11059" t="str">
            <v/>
          </cell>
        </row>
        <row r="11060">
          <cell r="A11060" t="str">
            <v/>
          </cell>
        </row>
        <row r="11061">
          <cell r="A11061" t="str">
            <v/>
          </cell>
        </row>
        <row r="11062">
          <cell r="A11062" t="str">
            <v/>
          </cell>
        </row>
        <row r="11063">
          <cell r="A11063" t="str">
            <v/>
          </cell>
        </row>
        <row r="11064">
          <cell r="A11064" t="str">
            <v/>
          </cell>
        </row>
        <row r="11065">
          <cell r="A11065" t="str">
            <v/>
          </cell>
        </row>
        <row r="11066">
          <cell r="A11066" t="str">
            <v/>
          </cell>
        </row>
        <row r="11067">
          <cell r="A11067" t="str">
            <v/>
          </cell>
        </row>
        <row r="11068">
          <cell r="A11068" t="str">
            <v/>
          </cell>
        </row>
        <row r="11069">
          <cell r="A11069" t="str">
            <v/>
          </cell>
        </row>
        <row r="11070">
          <cell r="A11070" t="str">
            <v/>
          </cell>
        </row>
        <row r="11071">
          <cell r="A11071" t="str">
            <v/>
          </cell>
        </row>
        <row r="11072">
          <cell r="A11072" t="str">
            <v/>
          </cell>
        </row>
        <row r="11073">
          <cell r="A11073" t="str">
            <v/>
          </cell>
        </row>
        <row r="11074">
          <cell r="A11074" t="str">
            <v/>
          </cell>
        </row>
        <row r="11075">
          <cell r="A11075" t="str">
            <v/>
          </cell>
        </row>
        <row r="11076">
          <cell r="A11076" t="str">
            <v/>
          </cell>
        </row>
        <row r="11077">
          <cell r="A11077" t="str">
            <v/>
          </cell>
        </row>
        <row r="11078">
          <cell r="A11078" t="str">
            <v/>
          </cell>
        </row>
        <row r="11079">
          <cell r="A11079" t="str">
            <v/>
          </cell>
        </row>
        <row r="11080">
          <cell r="A11080" t="str">
            <v/>
          </cell>
        </row>
        <row r="11081">
          <cell r="A11081" t="str">
            <v/>
          </cell>
        </row>
        <row r="11082">
          <cell r="A11082" t="str">
            <v/>
          </cell>
        </row>
        <row r="11083">
          <cell r="A11083" t="str">
            <v/>
          </cell>
        </row>
        <row r="11084">
          <cell r="A11084" t="str">
            <v/>
          </cell>
        </row>
        <row r="11085">
          <cell r="A11085" t="str">
            <v/>
          </cell>
        </row>
        <row r="11086">
          <cell r="A11086" t="str">
            <v/>
          </cell>
        </row>
        <row r="11087">
          <cell r="A11087" t="str">
            <v/>
          </cell>
        </row>
        <row r="11088">
          <cell r="A11088" t="str">
            <v/>
          </cell>
        </row>
        <row r="11089">
          <cell r="A11089" t="str">
            <v/>
          </cell>
        </row>
        <row r="11090">
          <cell r="A11090" t="str">
            <v/>
          </cell>
        </row>
        <row r="11091">
          <cell r="A11091" t="str">
            <v/>
          </cell>
        </row>
        <row r="11092">
          <cell r="A11092" t="str">
            <v/>
          </cell>
        </row>
        <row r="11093">
          <cell r="A11093" t="str">
            <v/>
          </cell>
        </row>
        <row r="11094">
          <cell r="A11094" t="str">
            <v/>
          </cell>
        </row>
        <row r="11095">
          <cell r="A11095" t="str">
            <v/>
          </cell>
        </row>
        <row r="11096">
          <cell r="A11096" t="str">
            <v/>
          </cell>
        </row>
        <row r="11097">
          <cell r="A11097" t="str">
            <v/>
          </cell>
        </row>
        <row r="11098">
          <cell r="A11098" t="str">
            <v/>
          </cell>
        </row>
        <row r="11099">
          <cell r="A11099" t="str">
            <v/>
          </cell>
        </row>
        <row r="11100">
          <cell r="A11100" t="str">
            <v/>
          </cell>
        </row>
        <row r="11101">
          <cell r="A11101" t="str">
            <v/>
          </cell>
        </row>
        <row r="11102">
          <cell r="A11102" t="str">
            <v/>
          </cell>
        </row>
        <row r="11103">
          <cell r="A11103" t="str">
            <v/>
          </cell>
        </row>
        <row r="11104">
          <cell r="A11104" t="str">
            <v/>
          </cell>
        </row>
        <row r="11105">
          <cell r="A11105" t="str">
            <v/>
          </cell>
        </row>
        <row r="11106">
          <cell r="A11106" t="str">
            <v/>
          </cell>
        </row>
        <row r="11107">
          <cell r="A11107" t="str">
            <v/>
          </cell>
        </row>
        <row r="11108">
          <cell r="A11108" t="str">
            <v/>
          </cell>
        </row>
        <row r="11109">
          <cell r="A11109" t="str">
            <v/>
          </cell>
        </row>
        <row r="11110">
          <cell r="A11110" t="str">
            <v/>
          </cell>
        </row>
        <row r="11111">
          <cell r="A11111" t="str">
            <v/>
          </cell>
        </row>
        <row r="11112">
          <cell r="A11112" t="str">
            <v/>
          </cell>
        </row>
        <row r="11113">
          <cell r="A11113" t="str">
            <v/>
          </cell>
        </row>
        <row r="11114">
          <cell r="A11114" t="str">
            <v/>
          </cell>
        </row>
        <row r="11115">
          <cell r="A11115" t="str">
            <v/>
          </cell>
        </row>
        <row r="11116">
          <cell r="A11116" t="str">
            <v/>
          </cell>
        </row>
        <row r="11117">
          <cell r="A11117" t="str">
            <v/>
          </cell>
        </row>
        <row r="11118">
          <cell r="A11118" t="str">
            <v/>
          </cell>
        </row>
        <row r="11119">
          <cell r="A11119" t="str">
            <v/>
          </cell>
        </row>
        <row r="11120">
          <cell r="A11120" t="str">
            <v/>
          </cell>
        </row>
        <row r="11121">
          <cell r="A11121" t="str">
            <v/>
          </cell>
        </row>
        <row r="11122">
          <cell r="A11122" t="str">
            <v/>
          </cell>
        </row>
        <row r="11123">
          <cell r="A11123" t="str">
            <v/>
          </cell>
        </row>
        <row r="11124">
          <cell r="A11124" t="str">
            <v/>
          </cell>
        </row>
        <row r="11125">
          <cell r="A11125" t="str">
            <v/>
          </cell>
        </row>
        <row r="11126">
          <cell r="A11126" t="str">
            <v/>
          </cell>
        </row>
        <row r="11127">
          <cell r="A11127" t="str">
            <v/>
          </cell>
        </row>
        <row r="11128">
          <cell r="A11128" t="str">
            <v/>
          </cell>
        </row>
        <row r="11129">
          <cell r="A11129" t="str">
            <v/>
          </cell>
        </row>
        <row r="11130">
          <cell r="A11130" t="str">
            <v/>
          </cell>
        </row>
        <row r="11131">
          <cell r="A11131" t="str">
            <v/>
          </cell>
        </row>
        <row r="11132">
          <cell r="A11132" t="str">
            <v/>
          </cell>
        </row>
        <row r="11133">
          <cell r="A11133" t="str">
            <v/>
          </cell>
        </row>
        <row r="11134">
          <cell r="A11134" t="str">
            <v/>
          </cell>
        </row>
        <row r="11135">
          <cell r="A11135" t="str">
            <v/>
          </cell>
        </row>
        <row r="11136">
          <cell r="A11136" t="str">
            <v/>
          </cell>
        </row>
        <row r="11137">
          <cell r="A11137" t="str">
            <v/>
          </cell>
        </row>
        <row r="11138">
          <cell r="A11138" t="str">
            <v/>
          </cell>
        </row>
        <row r="11139">
          <cell r="A11139" t="str">
            <v/>
          </cell>
        </row>
        <row r="11140">
          <cell r="A11140" t="str">
            <v/>
          </cell>
        </row>
        <row r="11141">
          <cell r="A11141" t="str">
            <v/>
          </cell>
        </row>
        <row r="11142">
          <cell r="A11142" t="str">
            <v/>
          </cell>
        </row>
        <row r="11143">
          <cell r="A11143" t="str">
            <v/>
          </cell>
        </row>
        <row r="11144">
          <cell r="A11144" t="str">
            <v/>
          </cell>
        </row>
        <row r="11145">
          <cell r="A11145" t="str">
            <v/>
          </cell>
        </row>
        <row r="11146">
          <cell r="A11146" t="str">
            <v/>
          </cell>
        </row>
        <row r="11147">
          <cell r="A11147" t="str">
            <v/>
          </cell>
        </row>
        <row r="11148">
          <cell r="A11148" t="str">
            <v/>
          </cell>
        </row>
        <row r="11149">
          <cell r="A11149" t="str">
            <v/>
          </cell>
        </row>
        <row r="11150">
          <cell r="A11150" t="str">
            <v/>
          </cell>
        </row>
        <row r="11151">
          <cell r="A11151" t="str">
            <v/>
          </cell>
        </row>
        <row r="11152">
          <cell r="A11152" t="str">
            <v/>
          </cell>
        </row>
        <row r="11153">
          <cell r="A11153" t="str">
            <v/>
          </cell>
        </row>
        <row r="11154">
          <cell r="A11154" t="str">
            <v/>
          </cell>
        </row>
        <row r="11155">
          <cell r="A11155" t="str">
            <v/>
          </cell>
        </row>
        <row r="11156">
          <cell r="A11156" t="str">
            <v/>
          </cell>
        </row>
        <row r="11157">
          <cell r="A11157" t="str">
            <v/>
          </cell>
        </row>
        <row r="11158">
          <cell r="A11158" t="str">
            <v/>
          </cell>
        </row>
        <row r="11159">
          <cell r="A11159" t="str">
            <v/>
          </cell>
        </row>
        <row r="11160">
          <cell r="A11160" t="str">
            <v/>
          </cell>
        </row>
        <row r="11161">
          <cell r="A11161" t="str">
            <v/>
          </cell>
        </row>
        <row r="11162">
          <cell r="A11162" t="str">
            <v/>
          </cell>
        </row>
        <row r="11163">
          <cell r="A11163" t="str">
            <v/>
          </cell>
        </row>
        <row r="11164">
          <cell r="A11164" t="str">
            <v/>
          </cell>
        </row>
        <row r="11165">
          <cell r="A11165" t="str">
            <v/>
          </cell>
        </row>
        <row r="11166">
          <cell r="A11166" t="str">
            <v/>
          </cell>
        </row>
        <row r="11167">
          <cell r="A11167" t="str">
            <v/>
          </cell>
        </row>
        <row r="11168">
          <cell r="A11168" t="str">
            <v/>
          </cell>
        </row>
        <row r="11169">
          <cell r="A11169" t="str">
            <v/>
          </cell>
        </row>
        <row r="11170">
          <cell r="A11170" t="str">
            <v/>
          </cell>
        </row>
        <row r="11171">
          <cell r="A11171" t="str">
            <v/>
          </cell>
        </row>
        <row r="11172">
          <cell r="A11172" t="str">
            <v/>
          </cell>
        </row>
        <row r="11173">
          <cell r="A11173" t="str">
            <v/>
          </cell>
        </row>
        <row r="11174">
          <cell r="A11174" t="str">
            <v/>
          </cell>
        </row>
        <row r="11175">
          <cell r="A11175" t="str">
            <v/>
          </cell>
        </row>
        <row r="11176">
          <cell r="A11176" t="str">
            <v/>
          </cell>
        </row>
        <row r="11177">
          <cell r="A11177" t="str">
            <v/>
          </cell>
        </row>
        <row r="11178">
          <cell r="A11178" t="str">
            <v/>
          </cell>
        </row>
        <row r="11179">
          <cell r="A11179" t="str">
            <v/>
          </cell>
        </row>
        <row r="11180">
          <cell r="A11180" t="str">
            <v/>
          </cell>
        </row>
        <row r="11181">
          <cell r="A11181" t="str">
            <v/>
          </cell>
        </row>
        <row r="11182">
          <cell r="A11182" t="str">
            <v/>
          </cell>
        </row>
        <row r="11183">
          <cell r="A11183" t="str">
            <v/>
          </cell>
        </row>
        <row r="11184">
          <cell r="A11184" t="str">
            <v/>
          </cell>
        </row>
        <row r="11185">
          <cell r="A11185" t="str">
            <v/>
          </cell>
        </row>
        <row r="11186">
          <cell r="A11186" t="str">
            <v/>
          </cell>
        </row>
        <row r="11187">
          <cell r="A11187" t="str">
            <v/>
          </cell>
        </row>
        <row r="11188">
          <cell r="A11188" t="str">
            <v/>
          </cell>
        </row>
        <row r="11189">
          <cell r="A11189" t="str">
            <v/>
          </cell>
        </row>
        <row r="11190">
          <cell r="A11190" t="str">
            <v/>
          </cell>
        </row>
        <row r="11191">
          <cell r="A11191" t="str">
            <v/>
          </cell>
        </row>
        <row r="11192">
          <cell r="A11192" t="str">
            <v/>
          </cell>
        </row>
        <row r="11193">
          <cell r="A11193" t="str">
            <v/>
          </cell>
        </row>
        <row r="11194">
          <cell r="A11194" t="str">
            <v/>
          </cell>
        </row>
        <row r="11195">
          <cell r="A11195" t="str">
            <v/>
          </cell>
        </row>
        <row r="11196">
          <cell r="A11196" t="str">
            <v/>
          </cell>
        </row>
        <row r="11197">
          <cell r="A11197" t="str">
            <v/>
          </cell>
        </row>
        <row r="11198">
          <cell r="A11198" t="str">
            <v/>
          </cell>
        </row>
        <row r="11199">
          <cell r="A11199" t="str">
            <v/>
          </cell>
        </row>
        <row r="11200">
          <cell r="A11200" t="str">
            <v/>
          </cell>
        </row>
        <row r="11201">
          <cell r="A11201" t="str">
            <v/>
          </cell>
        </row>
        <row r="11202">
          <cell r="A11202" t="str">
            <v/>
          </cell>
        </row>
        <row r="11203">
          <cell r="A11203" t="str">
            <v/>
          </cell>
        </row>
        <row r="11204">
          <cell r="A11204" t="str">
            <v/>
          </cell>
        </row>
        <row r="11205">
          <cell r="A11205" t="str">
            <v/>
          </cell>
        </row>
        <row r="11206">
          <cell r="A11206" t="str">
            <v/>
          </cell>
        </row>
        <row r="11207">
          <cell r="A11207" t="str">
            <v/>
          </cell>
        </row>
        <row r="11208">
          <cell r="A11208" t="str">
            <v/>
          </cell>
        </row>
        <row r="11209">
          <cell r="A11209" t="str">
            <v/>
          </cell>
        </row>
        <row r="11210">
          <cell r="A11210" t="str">
            <v/>
          </cell>
        </row>
        <row r="11211">
          <cell r="A11211" t="str">
            <v/>
          </cell>
        </row>
        <row r="11212">
          <cell r="A11212" t="str">
            <v/>
          </cell>
        </row>
        <row r="11213">
          <cell r="A11213" t="str">
            <v/>
          </cell>
        </row>
        <row r="11214">
          <cell r="A11214" t="str">
            <v/>
          </cell>
        </row>
        <row r="11215">
          <cell r="A11215" t="str">
            <v/>
          </cell>
        </row>
        <row r="11216">
          <cell r="A11216" t="str">
            <v/>
          </cell>
        </row>
        <row r="11217">
          <cell r="A11217" t="str">
            <v/>
          </cell>
        </row>
        <row r="11218">
          <cell r="A11218" t="str">
            <v/>
          </cell>
        </row>
        <row r="11219">
          <cell r="A11219" t="str">
            <v/>
          </cell>
        </row>
        <row r="11220">
          <cell r="A11220" t="str">
            <v/>
          </cell>
        </row>
        <row r="11221">
          <cell r="A11221" t="str">
            <v/>
          </cell>
        </row>
        <row r="11222">
          <cell r="A11222" t="str">
            <v/>
          </cell>
        </row>
        <row r="11223">
          <cell r="A11223" t="str">
            <v/>
          </cell>
        </row>
        <row r="11224">
          <cell r="A11224" t="str">
            <v/>
          </cell>
        </row>
        <row r="11225">
          <cell r="A11225" t="str">
            <v/>
          </cell>
        </row>
        <row r="11226">
          <cell r="A11226" t="str">
            <v/>
          </cell>
        </row>
        <row r="11227">
          <cell r="A11227" t="str">
            <v/>
          </cell>
        </row>
        <row r="11228">
          <cell r="A11228" t="str">
            <v/>
          </cell>
        </row>
        <row r="11229">
          <cell r="A11229" t="str">
            <v/>
          </cell>
        </row>
        <row r="11230">
          <cell r="A11230" t="str">
            <v/>
          </cell>
        </row>
        <row r="11231">
          <cell r="A11231" t="str">
            <v/>
          </cell>
        </row>
        <row r="11232">
          <cell r="A11232" t="str">
            <v/>
          </cell>
        </row>
        <row r="11233">
          <cell r="A11233" t="str">
            <v/>
          </cell>
        </row>
        <row r="11234">
          <cell r="A11234" t="str">
            <v/>
          </cell>
        </row>
        <row r="11235">
          <cell r="A11235" t="str">
            <v/>
          </cell>
        </row>
        <row r="11236">
          <cell r="A11236" t="str">
            <v/>
          </cell>
        </row>
        <row r="11237">
          <cell r="A11237" t="str">
            <v/>
          </cell>
        </row>
        <row r="11238">
          <cell r="A11238" t="str">
            <v/>
          </cell>
        </row>
        <row r="11239">
          <cell r="A11239" t="str">
            <v/>
          </cell>
        </row>
        <row r="11240">
          <cell r="A11240" t="str">
            <v/>
          </cell>
        </row>
        <row r="11241">
          <cell r="A11241" t="str">
            <v/>
          </cell>
        </row>
        <row r="11242">
          <cell r="A11242" t="str">
            <v/>
          </cell>
        </row>
        <row r="11243">
          <cell r="A11243" t="str">
            <v/>
          </cell>
        </row>
        <row r="11244">
          <cell r="A11244" t="str">
            <v/>
          </cell>
        </row>
        <row r="11245">
          <cell r="A11245" t="str">
            <v/>
          </cell>
        </row>
        <row r="11246">
          <cell r="A11246" t="str">
            <v/>
          </cell>
        </row>
        <row r="11247">
          <cell r="A11247" t="str">
            <v/>
          </cell>
        </row>
        <row r="11248">
          <cell r="A11248" t="str">
            <v/>
          </cell>
        </row>
        <row r="11249">
          <cell r="A11249" t="str">
            <v/>
          </cell>
        </row>
        <row r="11250">
          <cell r="A11250" t="str">
            <v/>
          </cell>
        </row>
        <row r="11251">
          <cell r="A11251" t="str">
            <v/>
          </cell>
        </row>
        <row r="11252">
          <cell r="A11252" t="str">
            <v/>
          </cell>
        </row>
        <row r="11253">
          <cell r="A11253" t="str">
            <v/>
          </cell>
        </row>
        <row r="11254">
          <cell r="A11254" t="str">
            <v/>
          </cell>
        </row>
        <row r="11255">
          <cell r="A11255" t="str">
            <v/>
          </cell>
        </row>
        <row r="11256">
          <cell r="A11256" t="str">
            <v/>
          </cell>
        </row>
        <row r="11257">
          <cell r="A11257" t="str">
            <v/>
          </cell>
        </row>
        <row r="11258">
          <cell r="A11258" t="str">
            <v/>
          </cell>
        </row>
        <row r="11259">
          <cell r="A11259" t="str">
            <v/>
          </cell>
        </row>
        <row r="11260">
          <cell r="A11260" t="str">
            <v/>
          </cell>
        </row>
        <row r="11261">
          <cell r="A11261" t="str">
            <v/>
          </cell>
        </row>
        <row r="11262">
          <cell r="A11262" t="str">
            <v/>
          </cell>
        </row>
        <row r="11263">
          <cell r="A11263" t="str">
            <v/>
          </cell>
        </row>
        <row r="11264">
          <cell r="A11264" t="str">
            <v/>
          </cell>
        </row>
        <row r="11265">
          <cell r="A11265" t="str">
            <v/>
          </cell>
        </row>
        <row r="11266">
          <cell r="A11266" t="str">
            <v/>
          </cell>
        </row>
        <row r="11267">
          <cell r="A11267" t="str">
            <v/>
          </cell>
        </row>
        <row r="11268">
          <cell r="A11268" t="str">
            <v/>
          </cell>
        </row>
        <row r="11269">
          <cell r="A11269" t="str">
            <v/>
          </cell>
        </row>
        <row r="11270">
          <cell r="A11270" t="str">
            <v/>
          </cell>
        </row>
        <row r="11271">
          <cell r="A11271" t="str">
            <v/>
          </cell>
        </row>
        <row r="11272">
          <cell r="A11272" t="str">
            <v/>
          </cell>
        </row>
        <row r="11273">
          <cell r="A11273" t="str">
            <v/>
          </cell>
        </row>
        <row r="11274">
          <cell r="A11274" t="str">
            <v/>
          </cell>
        </row>
        <row r="11275">
          <cell r="A11275" t="str">
            <v/>
          </cell>
        </row>
        <row r="11276">
          <cell r="A11276" t="str">
            <v/>
          </cell>
        </row>
        <row r="11277">
          <cell r="A11277" t="str">
            <v/>
          </cell>
        </row>
        <row r="11278">
          <cell r="A11278" t="str">
            <v/>
          </cell>
        </row>
        <row r="11279">
          <cell r="A11279" t="str">
            <v/>
          </cell>
        </row>
        <row r="11280">
          <cell r="A11280" t="str">
            <v/>
          </cell>
        </row>
        <row r="11281">
          <cell r="A11281" t="str">
            <v/>
          </cell>
        </row>
        <row r="11282">
          <cell r="A11282" t="str">
            <v/>
          </cell>
        </row>
        <row r="11283">
          <cell r="A11283" t="str">
            <v/>
          </cell>
        </row>
        <row r="11284">
          <cell r="A11284" t="str">
            <v/>
          </cell>
        </row>
        <row r="11285">
          <cell r="A11285" t="str">
            <v/>
          </cell>
        </row>
        <row r="11286">
          <cell r="A11286" t="str">
            <v/>
          </cell>
        </row>
        <row r="11287">
          <cell r="A11287" t="str">
            <v/>
          </cell>
        </row>
        <row r="11288">
          <cell r="A11288" t="str">
            <v/>
          </cell>
        </row>
        <row r="11289">
          <cell r="A11289" t="str">
            <v/>
          </cell>
        </row>
        <row r="11290">
          <cell r="A11290" t="str">
            <v/>
          </cell>
        </row>
        <row r="11291">
          <cell r="A11291" t="str">
            <v/>
          </cell>
        </row>
        <row r="11292">
          <cell r="A11292" t="str">
            <v/>
          </cell>
        </row>
        <row r="11293">
          <cell r="A11293" t="str">
            <v/>
          </cell>
        </row>
        <row r="11294">
          <cell r="A11294" t="str">
            <v/>
          </cell>
        </row>
        <row r="11295">
          <cell r="A11295" t="str">
            <v/>
          </cell>
        </row>
        <row r="11296">
          <cell r="A11296" t="str">
            <v/>
          </cell>
        </row>
        <row r="11297">
          <cell r="A11297" t="str">
            <v/>
          </cell>
        </row>
        <row r="11298">
          <cell r="A11298" t="str">
            <v/>
          </cell>
        </row>
        <row r="11299">
          <cell r="A11299" t="str">
            <v/>
          </cell>
        </row>
        <row r="11300">
          <cell r="A11300" t="str">
            <v/>
          </cell>
        </row>
        <row r="11301">
          <cell r="A11301" t="str">
            <v/>
          </cell>
        </row>
        <row r="11302">
          <cell r="A11302" t="str">
            <v/>
          </cell>
        </row>
        <row r="11303">
          <cell r="A11303" t="str">
            <v/>
          </cell>
        </row>
        <row r="11304">
          <cell r="A11304" t="str">
            <v/>
          </cell>
        </row>
        <row r="11305">
          <cell r="A11305" t="str">
            <v/>
          </cell>
        </row>
        <row r="11306">
          <cell r="A11306" t="str">
            <v/>
          </cell>
        </row>
        <row r="11307">
          <cell r="A11307" t="str">
            <v/>
          </cell>
        </row>
        <row r="11308">
          <cell r="A11308" t="str">
            <v/>
          </cell>
        </row>
        <row r="11309">
          <cell r="A11309" t="str">
            <v/>
          </cell>
        </row>
        <row r="11310">
          <cell r="A11310" t="str">
            <v/>
          </cell>
        </row>
        <row r="11311">
          <cell r="A11311" t="str">
            <v/>
          </cell>
        </row>
        <row r="11312">
          <cell r="A11312" t="str">
            <v/>
          </cell>
        </row>
        <row r="11313">
          <cell r="A11313" t="str">
            <v/>
          </cell>
        </row>
        <row r="11314">
          <cell r="A11314" t="str">
            <v/>
          </cell>
        </row>
        <row r="11315">
          <cell r="A11315" t="str">
            <v/>
          </cell>
        </row>
        <row r="11316">
          <cell r="A11316" t="str">
            <v/>
          </cell>
        </row>
        <row r="11317">
          <cell r="A11317" t="str">
            <v/>
          </cell>
        </row>
        <row r="11318">
          <cell r="A11318" t="str">
            <v/>
          </cell>
        </row>
        <row r="11319">
          <cell r="A11319" t="str">
            <v/>
          </cell>
        </row>
        <row r="11320">
          <cell r="A11320" t="str">
            <v/>
          </cell>
        </row>
        <row r="11321">
          <cell r="A11321" t="str">
            <v/>
          </cell>
        </row>
        <row r="11322">
          <cell r="A11322" t="str">
            <v/>
          </cell>
        </row>
        <row r="11323">
          <cell r="A11323" t="str">
            <v/>
          </cell>
        </row>
        <row r="11324">
          <cell r="A11324" t="str">
            <v/>
          </cell>
        </row>
        <row r="11325">
          <cell r="A11325" t="str">
            <v/>
          </cell>
        </row>
        <row r="11326">
          <cell r="A11326" t="str">
            <v/>
          </cell>
        </row>
        <row r="11327">
          <cell r="A11327" t="str">
            <v/>
          </cell>
        </row>
        <row r="11328">
          <cell r="A11328" t="str">
            <v/>
          </cell>
        </row>
        <row r="11329">
          <cell r="A11329" t="str">
            <v/>
          </cell>
        </row>
        <row r="11330">
          <cell r="A11330" t="str">
            <v/>
          </cell>
        </row>
        <row r="11331">
          <cell r="A11331" t="str">
            <v/>
          </cell>
        </row>
        <row r="11332">
          <cell r="A11332" t="str">
            <v/>
          </cell>
        </row>
        <row r="11333">
          <cell r="A11333" t="str">
            <v/>
          </cell>
        </row>
        <row r="11334">
          <cell r="A11334" t="str">
            <v/>
          </cell>
        </row>
        <row r="11335">
          <cell r="A11335" t="str">
            <v/>
          </cell>
        </row>
        <row r="11336">
          <cell r="A11336" t="str">
            <v/>
          </cell>
        </row>
        <row r="11337">
          <cell r="A11337" t="str">
            <v/>
          </cell>
        </row>
        <row r="11338">
          <cell r="A11338" t="str">
            <v/>
          </cell>
        </row>
        <row r="11339">
          <cell r="A11339" t="str">
            <v/>
          </cell>
        </row>
        <row r="11340">
          <cell r="A11340" t="str">
            <v/>
          </cell>
        </row>
        <row r="11341">
          <cell r="A11341" t="str">
            <v/>
          </cell>
        </row>
        <row r="11342">
          <cell r="A11342" t="str">
            <v/>
          </cell>
        </row>
        <row r="11343">
          <cell r="A11343" t="str">
            <v/>
          </cell>
        </row>
        <row r="11344">
          <cell r="A11344" t="str">
            <v/>
          </cell>
        </row>
        <row r="11345">
          <cell r="A11345" t="str">
            <v/>
          </cell>
        </row>
        <row r="11346">
          <cell r="A11346" t="str">
            <v/>
          </cell>
        </row>
        <row r="11347">
          <cell r="A11347" t="str">
            <v/>
          </cell>
        </row>
        <row r="11348">
          <cell r="A11348" t="str">
            <v/>
          </cell>
        </row>
        <row r="11349">
          <cell r="A11349" t="str">
            <v/>
          </cell>
        </row>
        <row r="11350">
          <cell r="A11350" t="str">
            <v/>
          </cell>
        </row>
        <row r="11351">
          <cell r="A11351" t="str">
            <v/>
          </cell>
        </row>
        <row r="11352">
          <cell r="A11352" t="str">
            <v/>
          </cell>
        </row>
        <row r="11353">
          <cell r="A11353" t="str">
            <v/>
          </cell>
        </row>
        <row r="11354">
          <cell r="A11354" t="str">
            <v/>
          </cell>
        </row>
        <row r="11355">
          <cell r="A11355" t="str">
            <v/>
          </cell>
        </row>
        <row r="11356">
          <cell r="A11356" t="str">
            <v/>
          </cell>
        </row>
        <row r="11357">
          <cell r="A11357" t="str">
            <v/>
          </cell>
        </row>
        <row r="11358">
          <cell r="A11358" t="str">
            <v/>
          </cell>
        </row>
        <row r="11359">
          <cell r="A11359" t="str">
            <v/>
          </cell>
        </row>
        <row r="11360">
          <cell r="A11360" t="str">
            <v/>
          </cell>
        </row>
        <row r="11361">
          <cell r="A11361" t="str">
            <v/>
          </cell>
        </row>
        <row r="11362">
          <cell r="A11362" t="str">
            <v/>
          </cell>
        </row>
        <row r="11363">
          <cell r="A11363" t="str">
            <v/>
          </cell>
        </row>
        <row r="11364">
          <cell r="A11364" t="str">
            <v/>
          </cell>
        </row>
        <row r="11365">
          <cell r="A11365" t="str">
            <v/>
          </cell>
        </row>
        <row r="11366">
          <cell r="A11366" t="str">
            <v/>
          </cell>
        </row>
        <row r="11367">
          <cell r="A11367" t="str">
            <v/>
          </cell>
        </row>
        <row r="11368">
          <cell r="A11368" t="str">
            <v/>
          </cell>
        </row>
        <row r="11369">
          <cell r="A11369" t="str">
            <v/>
          </cell>
        </row>
        <row r="11370">
          <cell r="A11370" t="str">
            <v/>
          </cell>
        </row>
        <row r="11371">
          <cell r="A11371" t="str">
            <v/>
          </cell>
        </row>
        <row r="11372">
          <cell r="A11372" t="str">
            <v/>
          </cell>
        </row>
        <row r="11373">
          <cell r="A11373" t="str">
            <v/>
          </cell>
        </row>
        <row r="11374">
          <cell r="A11374" t="str">
            <v/>
          </cell>
        </row>
        <row r="11375">
          <cell r="A11375" t="str">
            <v/>
          </cell>
        </row>
        <row r="11376">
          <cell r="A11376" t="str">
            <v/>
          </cell>
        </row>
        <row r="11377">
          <cell r="A11377" t="str">
            <v/>
          </cell>
        </row>
        <row r="11378">
          <cell r="A11378" t="str">
            <v/>
          </cell>
        </row>
        <row r="11379">
          <cell r="A11379" t="str">
            <v/>
          </cell>
        </row>
        <row r="11380">
          <cell r="A11380" t="str">
            <v/>
          </cell>
        </row>
        <row r="11381">
          <cell r="A11381" t="str">
            <v/>
          </cell>
        </row>
        <row r="11382">
          <cell r="A11382" t="str">
            <v/>
          </cell>
        </row>
        <row r="11383">
          <cell r="A11383" t="str">
            <v/>
          </cell>
        </row>
        <row r="11384">
          <cell r="A11384" t="str">
            <v/>
          </cell>
        </row>
        <row r="11385">
          <cell r="A11385" t="str">
            <v/>
          </cell>
        </row>
        <row r="11386">
          <cell r="A11386" t="str">
            <v/>
          </cell>
        </row>
        <row r="11387">
          <cell r="A11387" t="str">
            <v/>
          </cell>
        </row>
        <row r="11388">
          <cell r="A11388" t="str">
            <v/>
          </cell>
        </row>
        <row r="11389">
          <cell r="A11389" t="str">
            <v/>
          </cell>
        </row>
        <row r="11390">
          <cell r="A11390" t="str">
            <v/>
          </cell>
        </row>
        <row r="11391">
          <cell r="A11391" t="str">
            <v/>
          </cell>
        </row>
        <row r="11392">
          <cell r="A11392" t="str">
            <v/>
          </cell>
        </row>
        <row r="11393">
          <cell r="A11393" t="str">
            <v/>
          </cell>
        </row>
        <row r="11394">
          <cell r="A11394" t="str">
            <v/>
          </cell>
        </row>
        <row r="11395">
          <cell r="A11395" t="str">
            <v/>
          </cell>
        </row>
        <row r="11396">
          <cell r="A11396" t="str">
            <v/>
          </cell>
        </row>
        <row r="11397">
          <cell r="A11397" t="str">
            <v/>
          </cell>
        </row>
        <row r="11398">
          <cell r="A11398" t="str">
            <v/>
          </cell>
        </row>
        <row r="11399">
          <cell r="A11399" t="str">
            <v/>
          </cell>
        </row>
        <row r="11400">
          <cell r="A11400" t="str">
            <v/>
          </cell>
        </row>
        <row r="11401">
          <cell r="A11401" t="str">
            <v/>
          </cell>
        </row>
        <row r="11402">
          <cell r="A11402" t="str">
            <v/>
          </cell>
        </row>
        <row r="11403">
          <cell r="A11403" t="str">
            <v/>
          </cell>
        </row>
        <row r="11404">
          <cell r="A11404" t="str">
            <v/>
          </cell>
        </row>
        <row r="11405">
          <cell r="A11405" t="str">
            <v/>
          </cell>
        </row>
        <row r="11406">
          <cell r="A11406" t="str">
            <v/>
          </cell>
        </row>
        <row r="11407">
          <cell r="A11407" t="str">
            <v/>
          </cell>
        </row>
        <row r="11408">
          <cell r="A11408" t="str">
            <v/>
          </cell>
        </row>
        <row r="11409">
          <cell r="A11409" t="str">
            <v/>
          </cell>
        </row>
        <row r="11410">
          <cell r="A11410" t="str">
            <v/>
          </cell>
        </row>
        <row r="11411">
          <cell r="A11411" t="str">
            <v/>
          </cell>
        </row>
        <row r="11412">
          <cell r="A11412" t="str">
            <v/>
          </cell>
        </row>
        <row r="11413">
          <cell r="A11413" t="str">
            <v/>
          </cell>
        </row>
        <row r="11414">
          <cell r="A11414" t="str">
            <v/>
          </cell>
        </row>
        <row r="11415">
          <cell r="A11415" t="str">
            <v/>
          </cell>
        </row>
        <row r="11416">
          <cell r="A11416" t="str">
            <v/>
          </cell>
        </row>
        <row r="11417">
          <cell r="A11417" t="str">
            <v/>
          </cell>
        </row>
        <row r="11418">
          <cell r="A11418" t="str">
            <v/>
          </cell>
        </row>
        <row r="11419">
          <cell r="A11419" t="str">
            <v/>
          </cell>
        </row>
        <row r="11420">
          <cell r="A11420" t="str">
            <v/>
          </cell>
        </row>
        <row r="11421">
          <cell r="A11421" t="str">
            <v/>
          </cell>
        </row>
        <row r="11422">
          <cell r="A11422" t="str">
            <v/>
          </cell>
        </row>
        <row r="11423">
          <cell r="A11423" t="str">
            <v/>
          </cell>
        </row>
        <row r="11424">
          <cell r="A11424" t="str">
            <v/>
          </cell>
        </row>
        <row r="11425">
          <cell r="A11425" t="str">
            <v/>
          </cell>
        </row>
        <row r="11426">
          <cell r="A11426" t="str">
            <v/>
          </cell>
        </row>
        <row r="11427">
          <cell r="A11427" t="str">
            <v/>
          </cell>
        </row>
        <row r="11428">
          <cell r="A11428" t="str">
            <v/>
          </cell>
        </row>
        <row r="11429">
          <cell r="A11429" t="str">
            <v/>
          </cell>
        </row>
        <row r="11430">
          <cell r="A11430" t="str">
            <v/>
          </cell>
        </row>
        <row r="11431">
          <cell r="A11431" t="str">
            <v/>
          </cell>
        </row>
        <row r="11432">
          <cell r="A11432" t="str">
            <v/>
          </cell>
        </row>
        <row r="11433">
          <cell r="A11433" t="str">
            <v/>
          </cell>
        </row>
        <row r="11434">
          <cell r="A11434" t="str">
            <v/>
          </cell>
        </row>
        <row r="11435">
          <cell r="A11435" t="str">
            <v/>
          </cell>
        </row>
        <row r="11436">
          <cell r="A11436" t="str">
            <v/>
          </cell>
        </row>
        <row r="11437">
          <cell r="A11437" t="str">
            <v/>
          </cell>
        </row>
        <row r="11438">
          <cell r="A11438" t="str">
            <v/>
          </cell>
        </row>
        <row r="11439">
          <cell r="A11439" t="str">
            <v/>
          </cell>
        </row>
        <row r="11440">
          <cell r="A11440" t="str">
            <v/>
          </cell>
        </row>
        <row r="11441">
          <cell r="A11441" t="str">
            <v/>
          </cell>
        </row>
        <row r="11442">
          <cell r="A11442" t="str">
            <v/>
          </cell>
        </row>
        <row r="11443">
          <cell r="A11443" t="str">
            <v/>
          </cell>
        </row>
        <row r="11444">
          <cell r="A11444" t="str">
            <v/>
          </cell>
        </row>
        <row r="11445">
          <cell r="A11445" t="str">
            <v/>
          </cell>
        </row>
        <row r="11446">
          <cell r="A11446" t="str">
            <v/>
          </cell>
        </row>
        <row r="11447">
          <cell r="A11447" t="str">
            <v/>
          </cell>
        </row>
        <row r="11448">
          <cell r="A11448" t="str">
            <v/>
          </cell>
        </row>
        <row r="11449">
          <cell r="A11449" t="str">
            <v/>
          </cell>
        </row>
        <row r="11450">
          <cell r="A11450" t="str">
            <v/>
          </cell>
        </row>
        <row r="11451">
          <cell r="A11451" t="str">
            <v/>
          </cell>
        </row>
        <row r="11452">
          <cell r="A11452" t="str">
            <v/>
          </cell>
        </row>
        <row r="11453">
          <cell r="A11453" t="str">
            <v/>
          </cell>
        </row>
        <row r="11454">
          <cell r="A11454" t="str">
            <v/>
          </cell>
        </row>
        <row r="11455">
          <cell r="A11455" t="str">
            <v/>
          </cell>
        </row>
        <row r="11456">
          <cell r="A11456" t="str">
            <v/>
          </cell>
        </row>
        <row r="11457">
          <cell r="A11457" t="str">
            <v/>
          </cell>
        </row>
        <row r="11458">
          <cell r="A11458" t="str">
            <v/>
          </cell>
        </row>
        <row r="11459">
          <cell r="A11459" t="str">
            <v/>
          </cell>
        </row>
        <row r="11460">
          <cell r="A11460" t="str">
            <v/>
          </cell>
        </row>
        <row r="11461">
          <cell r="A11461" t="str">
            <v/>
          </cell>
        </row>
        <row r="11462">
          <cell r="A11462" t="str">
            <v/>
          </cell>
        </row>
        <row r="11463">
          <cell r="A11463" t="str">
            <v/>
          </cell>
        </row>
        <row r="11464">
          <cell r="A11464" t="str">
            <v/>
          </cell>
        </row>
        <row r="11465">
          <cell r="A11465" t="str">
            <v/>
          </cell>
        </row>
        <row r="11466">
          <cell r="A11466" t="str">
            <v/>
          </cell>
        </row>
        <row r="11467">
          <cell r="A11467" t="str">
            <v/>
          </cell>
        </row>
        <row r="11468">
          <cell r="A11468" t="str">
            <v/>
          </cell>
        </row>
        <row r="11469">
          <cell r="A11469" t="str">
            <v/>
          </cell>
        </row>
        <row r="11470">
          <cell r="A11470" t="str">
            <v/>
          </cell>
        </row>
        <row r="11471">
          <cell r="A11471" t="str">
            <v/>
          </cell>
        </row>
        <row r="11472">
          <cell r="A11472" t="str">
            <v/>
          </cell>
        </row>
        <row r="11473">
          <cell r="A11473" t="str">
            <v/>
          </cell>
        </row>
        <row r="11474">
          <cell r="A11474" t="str">
            <v/>
          </cell>
        </row>
        <row r="11475">
          <cell r="A11475" t="str">
            <v/>
          </cell>
        </row>
        <row r="11476">
          <cell r="A11476" t="str">
            <v/>
          </cell>
        </row>
        <row r="11477">
          <cell r="A11477" t="str">
            <v/>
          </cell>
        </row>
        <row r="11478">
          <cell r="A11478" t="str">
            <v/>
          </cell>
        </row>
        <row r="11479">
          <cell r="A11479" t="str">
            <v/>
          </cell>
        </row>
        <row r="11480">
          <cell r="A11480" t="str">
            <v/>
          </cell>
        </row>
        <row r="11481">
          <cell r="A11481" t="str">
            <v/>
          </cell>
        </row>
        <row r="11482">
          <cell r="A11482" t="str">
            <v/>
          </cell>
        </row>
        <row r="11483">
          <cell r="A11483" t="str">
            <v/>
          </cell>
        </row>
        <row r="11484">
          <cell r="A11484" t="str">
            <v/>
          </cell>
        </row>
        <row r="11485">
          <cell r="A11485" t="str">
            <v/>
          </cell>
        </row>
        <row r="11486">
          <cell r="A11486" t="str">
            <v/>
          </cell>
        </row>
        <row r="11487">
          <cell r="A11487" t="str">
            <v/>
          </cell>
        </row>
        <row r="11488">
          <cell r="A11488" t="str">
            <v/>
          </cell>
        </row>
        <row r="11489">
          <cell r="A11489" t="str">
            <v/>
          </cell>
        </row>
        <row r="11490">
          <cell r="A11490" t="str">
            <v/>
          </cell>
        </row>
        <row r="11491">
          <cell r="A11491" t="str">
            <v/>
          </cell>
        </row>
        <row r="11492">
          <cell r="A11492" t="str">
            <v/>
          </cell>
        </row>
        <row r="11493">
          <cell r="A11493" t="str">
            <v/>
          </cell>
        </row>
        <row r="11494">
          <cell r="A11494" t="str">
            <v/>
          </cell>
        </row>
        <row r="11495">
          <cell r="A11495" t="str">
            <v/>
          </cell>
        </row>
        <row r="11496">
          <cell r="A11496" t="str">
            <v/>
          </cell>
        </row>
        <row r="11497">
          <cell r="A11497" t="str">
            <v/>
          </cell>
        </row>
        <row r="11498">
          <cell r="A11498" t="str">
            <v/>
          </cell>
        </row>
        <row r="11499">
          <cell r="A11499" t="str">
            <v/>
          </cell>
        </row>
        <row r="11500">
          <cell r="A11500" t="str">
            <v/>
          </cell>
        </row>
        <row r="11501">
          <cell r="A11501" t="str">
            <v/>
          </cell>
        </row>
        <row r="11502">
          <cell r="A11502" t="str">
            <v/>
          </cell>
        </row>
        <row r="11503">
          <cell r="A11503" t="str">
            <v/>
          </cell>
        </row>
        <row r="11504">
          <cell r="A11504" t="str">
            <v/>
          </cell>
        </row>
        <row r="11505">
          <cell r="A11505" t="str">
            <v/>
          </cell>
        </row>
        <row r="11506">
          <cell r="A11506" t="str">
            <v/>
          </cell>
        </row>
        <row r="11507">
          <cell r="A11507" t="str">
            <v/>
          </cell>
        </row>
        <row r="11508">
          <cell r="A11508" t="str">
            <v/>
          </cell>
        </row>
        <row r="11509">
          <cell r="A11509" t="str">
            <v/>
          </cell>
        </row>
        <row r="11510">
          <cell r="A11510" t="str">
            <v/>
          </cell>
        </row>
        <row r="11511">
          <cell r="A11511" t="str">
            <v/>
          </cell>
        </row>
        <row r="11512">
          <cell r="A11512" t="str">
            <v/>
          </cell>
        </row>
        <row r="11513">
          <cell r="A11513" t="str">
            <v/>
          </cell>
        </row>
        <row r="11514">
          <cell r="A11514" t="str">
            <v/>
          </cell>
        </row>
        <row r="11515">
          <cell r="A11515" t="str">
            <v/>
          </cell>
        </row>
        <row r="11516">
          <cell r="A11516" t="str">
            <v/>
          </cell>
        </row>
        <row r="11517">
          <cell r="A11517" t="str">
            <v/>
          </cell>
        </row>
        <row r="11518">
          <cell r="A11518" t="str">
            <v/>
          </cell>
        </row>
        <row r="11519">
          <cell r="A11519" t="str">
            <v/>
          </cell>
        </row>
        <row r="11520">
          <cell r="A11520" t="str">
            <v/>
          </cell>
        </row>
        <row r="11521">
          <cell r="A11521" t="str">
            <v/>
          </cell>
        </row>
        <row r="11522">
          <cell r="A11522" t="str">
            <v/>
          </cell>
        </row>
        <row r="11523">
          <cell r="A11523" t="str">
            <v/>
          </cell>
        </row>
        <row r="11524">
          <cell r="A11524" t="str">
            <v/>
          </cell>
        </row>
        <row r="11525">
          <cell r="A11525" t="str">
            <v/>
          </cell>
        </row>
        <row r="11526">
          <cell r="A11526" t="str">
            <v/>
          </cell>
        </row>
        <row r="11527">
          <cell r="A11527" t="str">
            <v/>
          </cell>
        </row>
        <row r="11528">
          <cell r="A11528" t="str">
            <v/>
          </cell>
        </row>
        <row r="11529">
          <cell r="A11529" t="str">
            <v/>
          </cell>
        </row>
        <row r="11530">
          <cell r="A11530" t="str">
            <v/>
          </cell>
        </row>
        <row r="11531">
          <cell r="A11531" t="str">
            <v/>
          </cell>
        </row>
        <row r="11532">
          <cell r="A11532" t="str">
            <v/>
          </cell>
        </row>
        <row r="11533">
          <cell r="A11533" t="str">
            <v/>
          </cell>
        </row>
        <row r="11534">
          <cell r="A11534" t="str">
            <v/>
          </cell>
        </row>
        <row r="11535">
          <cell r="A11535" t="str">
            <v/>
          </cell>
        </row>
        <row r="11536">
          <cell r="A11536" t="str">
            <v/>
          </cell>
        </row>
        <row r="11537">
          <cell r="A11537" t="str">
            <v/>
          </cell>
        </row>
        <row r="11538">
          <cell r="A11538" t="str">
            <v/>
          </cell>
        </row>
        <row r="11539">
          <cell r="A11539" t="str">
            <v/>
          </cell>
        </row>
        <row r="11540">
          <cell r="A11540" t="str">
            <v/>
          </cell>
        </row>
        <row r="11541">
          <cell r="A11541" t="str">
            <v/>
          </cell>
        </row>
        <row r="11542">
          <cell r="A11542" t="str">
            <v/>
          </cell>
        </row>
        <row r="11543">
          <cell r="A11543" t="str">
            <v/>
          </cell>
        </row>
        <row r="11544">
          <cell r="A11544" t="str">
            <v/>
          </cell>
        </row>
        <row r="11545">
          <cell r="A11545" t="str">
            <v/>
          </cell>
        </row>
        <row r="11546">
          <cell r="A11546" t="str">
            <v/>
          </cell>
        </row>
        <row r="11547">
          <cell r="A11547" t="str">
            <v/>
          </cell>
        </row>
        <row r="11548">
          <cell r="A11548" t="str">
            <v/>
          </cell>
        </row>
        <row r="11549">
          <cell r="A11549" t="str">
            <v/>
          </cell>
        </row>
        <row r="11550">
          <cell r="A11550" t="str">
            <v/>
          </cell>
        </row>
        <row r="11551">
          <cell r="A11551" t="str">
            <v/>
          </cell>
        </row>
        <row r="11552">
          <cell r="A11552" t="str">
            <v/>
          </cell>
        </row>
        <row r="11553">
          <cell r="A11553" t="str">
            <v/>
          </cell>
        </row>
        <row r="11554">
          <cell r="A11554" t="str">
            <v/>
          </cell>
        </row>
        <row r="11555">
          <cell r="A11555" t="str">
            <v/>
          </cell>
        </row>
        <row r="11556">
          <cell r="A11556" t="str">
            <v/>
          </cell>
        </row>
        <row r="11557">
          <cell r="A11557" t="str">
            <v/>
          </cell>
        </row>
        <row r="11558">
          <cell r="A11558" t="str">
            <v/>
          </cell>
        </row>
        <row r="11559">
          <cell r="A11559" t="str">
            <v/>
          </cell>
        </row>
        <row r="11560">
          <cell r="A11560" t="str">
            <v/>
          </cell>
        </row>
        <row r="11561">
          <cell r="A11561" t="str">
            <v/>
          </cell>
        </row>
        <row r="11562">
          <cell r="A11562" t="str">
            <v/>
          </cell>
        </row>
        <row r="11563">
          <cell r="A11563" t="str">
            <v/>
          </cell>
        </row>
        <row r="11564">
          <cell r="A11564" t="str">
            <v/>
          </cell>
        </row>
        <row r="11565">
          <cell r="A11565" t="str">
            <v/>
          </cell>
        </row>
        <row r="11566">
          <cell r="A11566" t="str">
            <v/>
          </cell>
        </row>
        <row r="11567">
          <cell r="A11567" t="str">
            <v/>
          </cell>
        </row>
        <row r="11568">
          <cell r="A11568" t="str">
            <v/>
          </cell>
        </row>
        <row r="11569">
          <cell r="A11569" t="str">
            <v/>
          </cell>
        </row>
        <row r="11570">
          <cell r="A11570" t="str">
            <v/>
          </cell>
        </row>
        <row r="11571">
          <cell r="A11571" t="str">
            <v/>
          </cell>
        </row>
        <row r="11572">
          <cell r="A11572" t="str">
            <v/>
          </cell>
        </row>
        <row r="11573">
          <cell r="A11573" t="str">
            <v/>
          </cell>
        </row>
        <row r="11574">
          <cell r="A11574" t="str">
            <v/>
          </cell>
        </row>
        <row r="11575">
          <cell r="A11575" t="str">
            <v/>
          </cell>
        </row>
        <row r="11576">
          <cell r="A11576" t="str">
            <v/>
          </cell>
        </row>
        <row r="11577">
          <cell r="A11577" t="str">
            <v/>
          </cell>
        </row>
        <row r="11578">
          <cell r="A11578" t="str">
            <v/>
          </cell>
        </row>
        <row r="11579">
          <cell r="A11579" t="str">
            <v/>
          </cell>
        </row>
        <row r="11580">
          <cell r="A11580" t="str">
            <v/>
          </cell>
        </row>
        <row r="11581">
          <cell r="A11581" t="str">
            <v/>
          </cell>
        </row>
        <row r="11582">
          <cell r="A11582" t="str">
            <v/>
          </cell>
        </row>
        <row r="11583">
          <cell r="A11583" t="str">
            <v/>
          </cell>
        </row>
        <row r="11584">
          <cell r="A11584" t="str">
            <v/>
          </cell>
        </row>
        <row r="11585">
          <cell r="A11585" t="str">
            <v/>
          </cell>
        </row>
        <row r="11586">
          <cell r="A11586" t="str">
            <v/>
          </cell>
        </row>
        <row r="11587">
          <cell r="A11587" t="str">
            <v/>
          </cell>
        </row>
        <row r="11588">
          <cell r="A11588" t="str">
            <v/>
          </cell>
        </row>
        <row r="11589">
          <cell r="A11589" t="str">
            <v/>
          </cell>
        </row>
        <row r="11590">
          <cell r="A11590" t="str">
            <v/>
          </cell>
        </row>
        <row r="11591">
          <cell r="A11591" t="str">
            <v/>
          </cell>
        </row>
        <row r="11592">
          <cell r="A11592" t="str">
            <v/>
          </cell>
        </row>
        <row r="11593">
          <cell r="A11593" t="str">
            <v/>
          </cell>
        </row>
        <row r="11594">
          <cell r="A11594" t="str">
            <v/>
          </cell>
        </row>
        <row r="11595">
          <cell r="A11595" t="str">
            <v/>
          </cell>
        </row>
        <row r="11596">
          <cell r="A11596" t="str">
            <v/>
          </cell>
        </row>
        <row r="11597">
          <cell r="A11597" t="str">
            <v/>
          </cell>
        </row>
        <row r="11598">
          <cell r="A11598" t="str">
            <v/>
          </cell>
        </row>
        <row r="11599">
          <cell r="A11599" t="str">
            <v/>
          </cell>
        </row>
        <row r="11600">
          <cell r="A11600" t="str">
            <v/>
          </cell>
        </row>
        <row r="11601">
          <cell r="A11601" t="str">
            <v/>
          </cell>
        </row>
        <row r="11602">
          <cell r="A11602" t="str">
            <v/>
          </cell>
        </row>
        <row r="11603">
          <cell r="A11603" t="str">
            <v/>
          </cell>
        </row>
        <row r="11604">
          <cell r="A11604" t="str">
            <v/>
          </cell>
        </row>
        <row r="11605">
          <cell r="A11605" t="str">
            <v/>
          </cell>
        </row>
        <row r="11606">
          <cell r="A11606" t="str">
            <v/>
          </cell>
        </row>
        <row r="11607">
          <cell r="A11607" t="str">
            <v/>
          </cell>
        </row>
        <row r="11608">
          <cell r="A11608" t="str">
            <v/>
          </cell>
        </row>
        <row r="11609">
          <cell r="A11609" t="str">
            <v/>
          </cell>
        </row>
        <row r="11610">
          <cell r="A11610" t="str">
            <v/>
          </cell>
        </row>
        <row r="11611">
          <cell r="A11611" t="str">
            <v/>
          </cell>
        </row>
        <row r="11612">
          <cell r="A11612" t="str">
            <v/>
          </cell>
        </row>
        <row r="11613">
          <cell r="A11613" t="str">
            <v/>
          </cell>
        </row>
        <row r="11614">
          <cell r="A11614" t="str">
            <v/>
          </cell>
        </row>
        <row r="11615">
          <cell r="A11615" t="str">
            <v/>
          </cell>
        </row>
        <row r="11616">
          <cell r="A11616" t="str">
            <v/>
          </cell>
        </row>
        <row r="11617">
          <cell r="A11617" t="str">
            <v/>
          </cell>
        </row>
        <row r="11618">
          <cell r="A11618" t="str">
            <v/>
          </cell>
        </row>
        <row r="11619">
          <cell r="A11619" t="str">
            <v/>
          </cell>
        </row>
        <row r="11620">
          <cell r="A11620" t="str">
            <v/>
          </cell>
        </row>
        <row r="11621">
          <cell r="A11621" t="str">
            <v/>
          </cell>
        </row>
        <row r="11622">
          <cell r="A11622" t="str">
            <v/>
          </cell>
        </row>
        <row r="11623">
          <cell r="A11623" t="str">
            <v/>
          </cell>
        </row>
        <row r="11624">
          <cell r="A11624" t="str">
            <v/>
          </cell>
        </row>
        <row r="11625">
          <cell r="A11625" t="str">
            <v/>
          </cell>
        </row>
        <row r="11626">
          <cell r="A11626" t="str">
            <v/>
          </cell>
        </row>
        <row r="11627">
          <cell r="A11627" t="str">
            <v/>
          </cell>
        </row>
        <row r="11628">
          <cell r="A11628" t="str">
            <v/>
          </cell>
        </row>
        <row r="11629">
          <cell r="A11629" t="str">
            <v/>
          </cell>
        </row>
        <row r="11630">
          <cell r="A11630" t="str">
            <v/>
          </cell>
        </row>
        <row r="11631">
          <cell r="A11631" t="str">
            <v/>
          </cell>
        </row>
        <row r="11632">
          <cell r="A11632" t="str">
            <v/>
          </cell>
        </row>
        <row r="11633">
          <cell r="A11633" t="str">
            <v/>
          </cell>
        </row>
        <row r="11634">
          <cell r="A11634" t="str">
            <v/>
          </cell>
        </row>
        <row r="11635">
          <cell r="A11635" t="str">
            <v/>
          </cell>
        </row>
        <row r="11636">
          <cell r="A11636" t="str">
            <v/>
          </cell>
        </row>
        <row r="11637">
          <cell r="A11637" t="str">
            <v/>
          </cell>
        </row>
        <row r="11638">
          <cell r="A11638" t="str">
            <v/>
          </cell>
        </row>
        <row r="11639">
          <cell r="A11639" t="str">
            <v/>
          </cell>
        </row>
        <row r="11640">
          <cell r="A11640" t="str">
            <v/>
          </cell>
        </row>
        <row r="11641">
          <cell r="A11641" t="str">
            <v/>
          </cell>
        </row>
        <row r="11642">
          <cell r="A11642" t="str">
            <v/>
          </cell>
        </row>
        <row r="11643">
          <cell r="A11643" t="str">
            <v/>
          </cell>
        </row>
        <row r="11644">
          <cell r="A11644" t="str">
            <v/>
          </cell>
        </row>
        <row r="11645">
          <cell r="A11645" t="str">
            <v/>
          </cell>
        </row>
        <row r="11646">
          <cell r="A11646" t="str">
            <v/>
          </cell>
        </row>
        <row r="11647">
          <cell r="A11647" t="str">
            <v/>
          </cell>
        </row>
        <row r="11648">
          <cell r="A11648" t="str">
            <v/>
          </cell>
        </row>
        <row r="11649">
          <cell r="A11649" t="str">
            <v/>
          </cell>
        </row>
        <row r="11650">
          <cell r="A11650" t="str">
            <v/>
          </cell>
        </row>
        <row r="11651">
          <cell r="A11651" t="str">
            <v/>
          </cell>
        </row>
        <row r="11652">
          <cell r="A11652" t="str">
            <v/>
          </cell>
        </row>
        <row r="11653">
          <cell r="A11653" t="str">
            <v/>
          </cell>
        </row>
        <row r="11654">
          <cell r="A11654" t="str">
            <v/>
          </cell>
        </row>
        <row r="11655">
          <cell r="A11655" t="str">
            <v/>
          </cell>
        </row>
        <row r="11656">
          <cell r="A11656" t="str">
            <v/>
          </cell>
        </row>
        <row r="11657">
          <cell r="A11657" t="str">
            <v/>
          </cell>
        </row>
        <row r="11658">
          <cell r="A11658" t="str">
            <v/>
          </cell>
        </row>
        <row r="11659">
          <cell r="A11659" t="str">
            <v/>
          </cell>
        </row>
        <row r="11660">
          <cell r="A11660" t="str">
            <v/>
          </cell>
        </row>
        <row r="11661">
          <cell r="A11661" t="str">
            <v/>
          </cell>
        </row>
        <row r="11662">
          <cell r="A11662" t="str">
            <v/>
          </cell>
        </row>
        <row r="11663">
          <cell r="A11663" t="str">
            <v/>
          </cell>
        </row>
        <row r="11664">
          <cell r="A11664" t="str">
            <v/>
          </cell>
        </row>
        <row r="11665">
          <cell r="A11665" t="str">
            <v/>
          </cell>
        </row>
        <row r="11666">
          <cell r="A11666" t="str">
            <v/>
          </cell>
        </row>
        <row r="11667">
          <cell r="A11667" t="str">
            <v/>
          </cell>
        </row>
        <row r="11668">
          <cell r="A11668" t="str">
            <v/>
          </cell>
        </row>
        <row r="11669">
          <cell r="A11669" t="str">
            <v/>
          </cell>
        </row>
        <row r="11670">
          <cell r="A11670" t="str">
            <v/>
          </cell>
        </row>
        <row r="11671">
          <cell r="A11671" t="str">
            <v/>
          </cell>
        </row>
        <row r="11672">
          <cell r="A11672" t="str">
            <v/>
          </cell>
        </row>
        <row r="11673">
          <cell r="A11673" t="str">
            <v/>
          </cell>
        </row>
        <row r="11674">
          <cell r="A11674" t="str">
            <v/>
          </cell>
        </row>
        <row r="11675">
          <cell r="A11675" t="str">
            <v/>
          </cell>
        </row>
        <row r="11676">
          <cell r="A11676" t="str">
            <v/>
          </cell>
        </row>
        <row r="11677">
          <cell r="A11677" t="str">
            <v/>
          </cell>
        </row>
        <row r="11678">
          <cell r="A11678" t="str">
            <v/>
          </cell>
        </row>
        <row r="11679">
          <cell r="A11679" t="str">
            <v/>
          </cell>
        </row>
        <row r="11680">
          <cell r="A11680" t="str">
            <v/>
          </cell>
        </row>
        <row r="11681">
          <cell r="A11681" t="str">
            <v/>
          </cell>
        </row>
        <row r="11682">
          <cell r="A11682" t="str">
            <v/>
          </cell>
        </row>
        <row r="11683">
          <cell r="A11683" t="str">
            <v/>
          </cell>
        </row>
        <row r="11684">
          <cell r="A11684" t="str">
            <v/>
          </cell>
        </row>
        <row r="11685">
          <cell r="A11685" t="str">
            <v/>
          </cell>
        </row>
        <row r="11686">
          <cell r="A11686" t="str">
            <v/>
          </cell>
        </row>
        <row r="11687">
          <cell r="A11687" t="str">
            <v/>
          </cell>
        </row>
        <row r="11688">
          <cell r="A11688" t="str">
            <v/>
          </cell>
        </row>
        <row r="11689">
          <cell r="A11689" t="str">
            <v/>
          </cell>
        </row>
        <row r="11690">
          <cell r="A11690" t="str">
            <v/>
          </cell>
        </row>
        <row r="11691">
          <cell r="A11691" t="str">
            <v/>
          </cell>
        </row>
        <row r="11692">
          <cell r="A11692" t="str">
            <v/>
          </cell>
        </row>
        <row r="11693">
          <cell r="A11693" t="str">
            <v/>
          </cell>
        </row>
        <row r="11694">
          <cell r="A11694" t="str">
            <v/>
          </cell>
        </row>
        <row r="11695">
          <cell r="A11695" t="str">
            <v/>
          </cell>
        </row>
        <row r="11696">
          <cell r="A11696" t="str">
            <v/>
          </cell>
        </row>
        <row r="11697">
          <cell r="A11697" t="str">
            <v/>
          </cell>
        </row>
        <row r="11698">
          <cell r="A11698" t="str">
            <v/>
          </cell>
        </row>
        <row r="11699">
          <cell r="A11699" t="str">
            <v/>
          </cell>
        </row>
        <row r="11700">
          <cell r="A11700" t="str">
            <v/>
          </cell>
        </row>
        <row r="11701">
          <cell r="A11701" t="str">
            <v/>
          </cell>
        </row>
        <row r="11702">
          <cell r="A11702" t="str">
            <v/>
          </cell>
        </row>
        <row r="11703">
          <cell r="A11703" t="str">
            <v/>
          </cell>
        </row>
        <row r="11704">
          <cell r="A11704" t="str">
            <v/>
          </cell>
        </row>
        <row r="11705">
          <cell r="A11705" t="str">
            <v/>
          </cell>
        </row>
        <row r="11706">
          <cell r="A11706" t="str">
            <v/>
          </cell>
        </row>
        <row r="11707">
          <cell r="A11707" t="str">
            <v/>
          </cell>
        </row>
        <row r="11708">
          <cell r="A11708" t="str">
            <v/>
          </cell>
        </row>
        <row r="11709">
          <cell r="A11709" t="str">
            <v/>
          </cell>
        </row>
        <row r="11710">
          <cell r="A11710" t="str">
            <v/>
          </cell>
        </row>
        <row r="11711">
          <cell r="A11711" t="str">
            <v/>
          </cell>
        </row>
        <row r="11712">
          <cell r="A11712" t="str">
            <v/>
          </cell>
        </row>
        <row r="11713">
          <cell r="A11713" t="str">
            <v/>
          </cell>
        </row>
        <row r="11714">
          <cell r="A11714" t="str">
            <v/>
          </cell>
        </row>
        <row r="11715">
          <cell r="A11715" t="str">
            <v/>
          </cell>
        </row>
        <row r="11716">
          <cell r="A11716" t="str">
            <v/>
          </cell>
        </row>
        <row r="11717">
          <cell r="A11717" t="str">
            <v/>
          </cell>
        </row>
        <row r="11718">
          <cell r="A11718" t="str">
            <v/>
          </cell>
        </row>
        <row r="11719">
          <cell r="A11719" t="str">
            <v/>
          </cell>
        </row>
        <row r="11720">
          <cell r="A11720" t="str">
            <v/>
          </cell>
        </row>
        <row r="11721">
          <cell r="A11721" t="str">
            <v/>
          </cell>
        </row>
        <row r="11722">
          <cell r="A11722" t="str">
            <v/>
          </cell>
        </row>
        <row r="11723">
          <cell r="A11723" t="str">
            <v/>
          </cell>
        </row>
        <row r="11724">
          <cell r="A11724" t="str">
            <v/>
          </cell>
        </row>
        <row r="11725">
          <cell r="A11725" t="str">
            <v/>
          </cell>
        </row>
        <row r="11726">
          <cell r="A11726" t="str">
            <v/>
          </cell>
        </row>
        <row r="11727">
          <cell r="A11727" t="str">
            <v/>
          </cell>
        </row>
        <row r="11728">
          <cell r="A11728" t="str">
            <v/>
          </cell>
        </row>
        <row r="11729">
          <cell r="A11729" t="str">
            <v/>
          </cell>
        </row>
        <row r="11730">
          <cell r="A11730" t="str">
            <v/>
          </cell>
        </row>
        <row r="11731">
          <cell r="A11731" t="str">
            <v/>
          </cell>
        </row>
        <row r="11732">
          <cell r="A11732" t="str">
            <v/>
          </cell>
        </row>
        <row r="11733">
          <cell r="A11733" t="str">
            <v/>
          </cell>
        </row>
        <row r="11734">
          <cell r="A11734" t="str">
            <v/>
          </cell>
        </row>
        <row r="11735">
          <cell r="A11735" t="str">
            <v/>
          </cell>
        </row>
        <row r="11736">
          <cell r="A11736" t="str">
            <v/>
          </cell>
        </row>
        <row r="11737">
          <cell r="A11737" t="str">
            <v/>
          </cell>
        </row>
        <row r="11738">
          <cell r="A11738" t="str">
            <v/>
          </cell>
        </row>
        <row r="11739">
          <cell r="A11739" t="str">
            <v/>
          </cell>
        </row>
        <row r="11740">
          <cell r="A11740" t="str">
            <v/>
          </cell>
        </row>
        <row r="11741">
          <cell r="A11741" t="str">
            <v/>
          </cell>
        </row>
        <row r="11742">
          <cell r="A11742" t="str">
            <v/>
          </cell>
        </row>
        <row r="11743">
          <cell r="A11743" t="str">
            <v/>
          </cell>
        </row>
        <row r="11744">
          <cell r="A11744" t="str">
            <v/>
          </cell>
        </row>
        <row r="11745">
          <cell r="A11745" t="str">
            <v/>
          </cell>
        </row>
        <row r="11746">
          <cell r="A11746" t="str">
            <v/>
          </cell>
        </row>
        <row r="11747">
          <cell r="A11747" t="str">
            <v/>
          </cell>
        </row>
        <row r="11748">
          <cell r="A11748" t="str">
            <v/>
          </cell>
        </row>
        <row r="11749">
          <cell r="A11749" t="str">
            <v/>
          </cell>
        </row>
        <row r="11750">
          <cell r="A11750" t="str">
            <v/>
          </cell>
        </row>
        <row r="11751">
          <cell r="A11751" t="str">
            <v/>
          </cell>
        </row>
        <row r="11752">
          <cell r="A11752" t="str">
            <v/>
          </cell>
        </row>
        <row r="11753">
          <cell r="A11753" t="str">
            <v/>
          </cell>
        </row>
        <row r="11754">
          <cell r="A11754" t="str">
            <v/>
          </cell>
        </row>
        <row r="11755">
          <cell r="A11755" t="str">
            <v/>
          </cell>
        </row>
        <row r="11756">
          <cell r="A11756" t="str">
            <v/>
          </cell>
        </row>
        <row r="11757">
          <cell r="A11757" t="str">
            <v/>
          </cell>
        </row>
        <row r="11758">
          <cell r="A11758" t="str">
            <v/>
          </cell>
        </row>
        <row r="11759">
          <cell r="A11759" t="str">
            <v/>
          </cell>
        </row>
        <row r="11760">
          <cell r="A11760" t="str">
            <v/>
          </cell>
        </row>
        <row r="11761">
          <cell r="A11761" t="str">
            <v/>
          </cell>
        </row>
        <row r="11762">
          <cell r="A11762" t="str">
            <v/>
          </cell>
        </row>
        <row r="11763">
          <cell r="A11763" t="str">
            <v/>
          </cell>
        </row>
        <row r="11764">
          <cell r="A11764" t="str">
            <v/>
          </cell>
        </row>
        <row r="11765">
          <cell r="A11765" t="str">
            <v/>
          </cell>
        </row>
        <row r="11766">
          <cell r="A11766" t="str">
            <v/>
          </cell>
        </row>
        <row r="11767">
          <cell r="A11767" t="str">
            <v/>
          </cell>
        </row>
        <row r="11768">
          <cell r="A11768" t="str">
            <v/>
          </cell>
        </row>
        <row r="11769">
          <cell r="A11769" t="str">
            <v/>
          </cell>
        </row>
        <row r="11770">
          <cell r="A11770" t="str">
            <v/>
          </cell>
        </row>
        <row r="11771">
          <cell r="A11771" t="str">
            <v/>
          </cell>
        </row>
        <row r="11772">
          <cell r="A11772" t="str">
            <v/>
          </cell>
        </row>
        <row r="11773">
          <cell r="A11773" t="str">
            <v/>
          </cell>
        </row>
        <row r="11774">
          <cell r="A11774" t="str">
            <v/>
          </cell>
        </row>
        <row r="11775">
          <cell r="A11775" t="str">
            <v/>
          </cell>
        </row>
        <row r="11776">
          <cell r="A11776" t="str">
            <v/>
          </cell>
        </row>
        <row r="11777">
          <cell r="A11777" t="str">
            <v/>
          </cell>
        </row>
        <row r="11778">
          <cell r="A11778" t="str">
            <v/>
          </cell>
        </row>
        <row r="11779">
          <cell r="A11779" t="str">
            <v/>
          </cell>
        </row>
        <row r="11780">
          <cell r="A11780" t="str">
            <v/>
          </cell>
        </row>
        <row r="11781">
          <cell r="A11781" t="str">
            <v/>
          </cell>
        </row>
        <row r="11782">
          <cell r="A11782" t="str">
            <v/>
          </cell>
        </row>
        <row r="11783">
          <cell r="A11783" t="str">
            <v/>
          </cell>
        </row>
        <row r="11784">
          <cell r="A11784" t="str">
            <v/>
          </cell>
        </row>
        <row r="11785">
          <cell r="A11785" t="str">
            <v/>
          </cell>
        </row>
        <row r="11786">
          <cell r="A11786" t="str">
            <v/>
          </cell>
        </row>
        <row r="11787">
          <cell r="A11787" t="str">
            <v/>
          </cell>
        </row>
        <row r="11788">
          <cell r="A11788" t="str">
            <v/>
          </cell>
        </row>
        <row r="11789">
          <cell r="A11789" t="str">
            <v/>
          </cell>
        </row>
        <row r="11790">
          <cell r="A11790" t="str">
            <v/>
          </cell>
        </row>
        <row r="11791">
          <cell r="A11791" t="str">
            <v/>
          </cell>
        </row>
        <row r="11792">
          <cell r="A11792" t="str">
            <v/>
          </cell>
        </row>
        <row r="11793">
          <cell r="A11793" t="str">
            <v/>
          </cell>
        </row>
        <row r="11794">
          <cell r="A11794" t="str">
            <v/>
          </cell>
        </row>
        <row r="11795">
          <cell r="A11795" t="str">
            <v/>
          </cell>
        </row>
        <row r="11796">
          <cell r="A11796" t="str">
            <v/>
          </cell>
        </row>
        <row r="11797">
          <cell r="A11797" t="str">
            <v/>
          </cell>
        </row>
        <row r="11798">
          <cell r="A11798" t="str">
            <v/>
          </cell>
        </row>
        <row r="11799">
          <cell r="A11799" t="str">
            <v/>
          </cell>
        </row>
        <row r="11800">
          <cell r="A11800" t="str">
            <v/>
          </cell>
        </row>
        <row r="11801">
          <cell r="A11801" t="str">
            <v/>
          </cell>
        </row>
        <row r="11802">
          <cell r="A11802" t="str">
            <v/>
          </cell>
        </row>
        <row r="11803">
          <cell r="A11803" t="str">
            <v/>
          </cell>
        </row>
        <row r="11804">
          <cell r="A11804" t="str">
            <v/>
          </cell>
        </row>
        <row r="11805">
          <cell r="A11805" t="str">
            <v/>
          </cell>
        </row>
        <row r="11806">
          <cell r="A11806" t="str">
            <v/>
          </cell>
        </row>
        <row r="11807">
          <cell r="A11807" t="str">
            <v/>
          </cell>
        </row>
        <row r="11808">
          <cell r="A11808" t="str">
            <v/>
          </cell>
        </row>
        <row r="11809">
          <cell r="A11809" t="str">
            <v/>
          </cell>
        </row>
        <row r="11810">
          <cell r="A11810" t="str">
            <v/>
          </cell>
        </row>
        <row r="11811">
          <cell r="A11811" t="str">
            <v/>
          </cell>
        </row>
        <row r="11812">
          <cell r="A11812" t="str">
            <v/>
          </cell>
        </row>
        <row r="11813">
          <cell r="A11813" t="str">
            <v/>
          </cell>
        </row>
        <row r="11814">
          <cell r="A11814" t="str">
            <v/>
          </cell>
        </row>
        <row r="11815">
          <cell r="A11815" t="str">
            <v/>
          </cell>
        </row>
        <row r="11816">
          <cell r="A11816" t="str">
            <v/>
          </cell>
        </row>
        <row r="11817">
          <cell r="A11817" t="str">
            <v/>
          </cell>
        </row>
        <row r="11818">
          <cell r="A11818" t="str">
            <v/>
          </cell>
        </row>
        <row r="11819">
          <cell r="A11819" t="str">
            <v/>
          </cell>
        </row>
        <row r="11820">
          <cell r="A11820" t="str">
            <v/>
          </cell>
        </row>
        <row r="11821">
          <cell r="A11821" t="str">
            <v/>
          </cell>
        </row>
        <row r="11822">
          <cell r="A11822" t="str">
            <v/>
          </cell>
        </row>
        <row r="11823">
          <cell r="A11823" t="str">
            <v/>
          </cell>
        </row>
        <row r="11824">
          <cell r="A11824" t="str">
            <v/>
          </cell>
        </row>
        <row r="11825">
          <cell r="A11825" t="str">
            <v/>
          </cell>
        </row>
        <row r="11826">
          <cell r="A11826" t="str">
            <v/>
          </cell>
        </row>
        <row r="11827">
          <cell r="A11827" t="str">
            <v/>
          </cell>
        </row>
        <row r="11828">
          <cell r="A11828" t="str">
            <v/>
          </cell>
        </row>
        <row r="11829">
          <cell r="A11829" t="str">
            <v/>
          </cell>
        </row>
        <row r="11830">
          <cell r="A11830" t="str">
            <v/>
          </cell>
        </row>
        <row r="11831">
          <cell r="A11831" t="str">
            <v/>
          </cell>
        </row>
        <row r="11832">
          <cell r="A11832" t="str">
            <v/>
          </cell>
        </row>
        <row r="11833">
          <cell r="A11833" t="str">
            <v/>
          </cell>
        </row>
        <row r="11834">
          <cell r="A11834" t="str">
            <v/>
          </cell>
        </row>
        <row r="11835">
          <cell r="A11835" t="str">
            <v/>
          </cell>
        </row>
        <row r="11836">
          <cell r="A11836" t="str">
            <v/>
          </cell>
        </row>
        <row r="11837">
          <cell r="A11837" t="str">
            <v/>
          </cell>
        </row>
        <row r="11838">
          <cell r="A11838" t="str">
            <v/>
          </cell>
        </row>
        <row r="11839">
          <cell r="A11839" t="str">
            <v/>
          </cell>
        </row>
        <row r="11840">
          <cell r="A11840" t="str">
            <v/>
          </cell>
        </row>
        <row r="11841">
          <cell r="A11841" t="str">
            <v/>
          </cell>
        </row>
        <row r="11842">
          <cell r="A11842" t="str">
            <v/>
          </cell>
        </row>
        <row r="11843">
          <cell r="A11843" t="str">
            <v/>
          </cell>
        </row>
        <row r="11844">
          <cell r="A11844" t="str">
            <v/>
          </cell>
        </row>
        <row r="11845">
          <cell r="A11845" t="str">
            <v/>
          </cell>
        </row>
        <row r="11846">
          <cell r="A11846" t="str">
            <v/>
          </cell>
        </row>
        <row r="11847">
          <cell r="A11847" t="str">
            <v/>
          </cell>
        </row>
        <row r="11848">
          <cell r="A11848" t="str">
            <v/>
          </cell>
        </row>
        <row r="11849">
          <cell r="A11849" t="str">
            <v/>
          </cell>
        </row>
        <row r="11850">
          <cell r="A11850" t="str">
            <v/>
          </cell>
        </row>
        <row r="11851">
          <cell r="A11851" t="str">
            <v/>
          </cell>
        </row>
        <row r="11852">
          <cell r="A11852" t="str">
            <v/>
          </cell>
        </row>
        <row r="11853">
          <cell r="A11853" t="str">
            <v/>
          </cell>
        </row>
        <row r="11854">
          <cell r="A11854" t="str">
            <v/>
          </cell>
        </row>
        <row r="11855">
          <cell r="A11855" t="str">
            <v/>
          </cell>
        </row>
        <row r="11856">
          <cell r="A11856" t="str">
            <v/>
          </cell>
        </row>
        <row r="11857">
          <cell r="A11857" t="str">
            <v/>
          </cell>
        </row>
        <row r="11858">
          <cell r="A11858" t="str">
            <v/>
          </cell>
        </row>
        <row r="11859">
          <cell r="A11859" t="str">
            <v/>
          </cell>
        </row>
        <row r="11860">
          <cell r="A11860" t="str">
            <v/>
          </cell>
        </row>
        <row r="11861">
          <cell r="A11861" t="str">
            <v/>
          </cell>
        </row>
        <row r="11862">
          <cell r="A11862" t="str">
            <v/>
          </cell>
        </row>
        <row r="11863">
          <cell r="A11863" t="str">
            <v/>
          </cell>
        </row>
        <row r="11864">
          <cell r="A11864" t="str">
            <v/>
          </cell>
        </row>
        <row r="11865">
          <cell r="A11865" t="str">
            <v/>
          </cell>
        </row>
        <row r="11866">
          <cell r="A11866" t="str">
            <v/>
          </cell>
        </row>
        <row r="11867">
          <cell r="A11867" t="str">
            <v/>
          </cell>
        </row>
        <row r="11868">
          <cell r="A11868" t="str">
            <v/>
          </cell>
        </row>
        <row r="11869">
          <cell r="A11869" t="str">
            <v/>
          </cell>
        </row>
        <row r="11870">
          <cell r="A11870" t="str">
            <v/>
          </cell>
        </row>
        <row r="11871">
          <cell r="A11871" t="str">
            <v/>
          </cell>
        </row>
        <row r="11872">
          <cell r="A11872" t="str">
            <v/>
          </cell>
        </row>
        <row r="11873">
          <cell r="A11873" t="str">
            <v/>
          </cell>
        </row>
        <row r="11874">
          <cell r="A11874" t="str">
            <v/>
          </cell>
        </row>
        <row r="11875">
          <cell r="A11875" t="str">
            <v/>
          </cell>
        </row>
        <row r="11876">
          <cell r="A11876" t="str">
            <v/>
          </cell>
        </row>
        <row r="11877">
          <cell r="A11877" t="str">
            <v/>
          </cell>
        </row>
        <row r="11878">
          <cell r="A11878" t="str">
            <v/>
          </cell>
        </row>
        <row r="11879">
          <cell r="A11879" t="str">
            <v/>
          </cell>
        </row>
        <row r="11880">
          <cell r="A11880" t="str">
            <v/>
          </cell>
        </row>
        <row r="11881">
          <cell r="A11881" t="str">
            <v/>
          </cell>
        </row>
        <row r="11882">
          <cell r="A11882" t="str">
            <v/>
          </cell>
        </row>
        <row r="11883">
          <cell r="A11883" t="str">
            <v/>
          </cell>
        </row>
        <row r="11884">
          <cell r="A11884" t="str">
            <v/>
          </cell>
        </row>
        <row r="11885">
          <cell r="A11885" t="str">
            <v/>
          </cell>
        </row>
        <row r="11886">
          <cell r="A11886" t="str">
            <v/>
          </cell>
        </row>
        <row r="11887">
          <cell r="A11887" t="str">
            <v/>
          </cell>
        </row>
        <row r="11888">
          <cell r="A11888" t="str">
            <v/>
          </cell>
        </row>
        <row r="11889">
          <cell r="A11889" t="str">
            <v/>
          </cell>
        </row>
        <row r="11890">
          <cell r="A11890" t="str">
            <v/>
          </cell>
        </row>
        <row r="11891">
          <cell r="A11891" t="str">
            <v/>
          </cell>
        </row>
        <row r="11892">
          <cell r="A11892" t="str">
            <v/>
          </cell>
        </row>
        <row r="11893">
          <cell r="A11893" t="str">
            <v/>
          </cell>
        </row>
        <row r="11894">
          <cell r="A11894" t="str">
            <v/>
          </cell>
        </row>
        <row r="11895">
          <cell r="A11895" t="str">
            <v/>
          </cell>
        </row>
        <row r="11896">
          <cell r="A11896" t="str">
            <v/>
          </cell>
        </row>
        <row r="11897">
          <cell r="A11897" t="str">
            <v/>
          </cell>
        </row>
        <row r="11898">
          <cell r="A11898" t="str">
            <v/>
          </cell>
        </row>
        <row r="11899">
          <cell r="A11899" t="str">
            <v/>
          </cell>
        </row>
        <row r="11900">
          <cell r="A11900" t="str">
            <v/>
          </cell>
        </row>
        <row r="11901">
          <cell r="A11901" t="str">
            <v/>
          </cell>
        </row>
        <row r="11902">
          <cell r="A11902" t="str">
            <v/>
          </cell>
        </row>
        <row r="11903">
          <cell r="A11903" t="str">
            <v/>
          </cell>
        </row>
        <row r="11904">
          <cell r="A11904" t="str">
            <v/>
          </cell>
        </row>
        <row r="11905">
          <cell r="A11905" t="str">
            <v/>
          </cell>
        </row>
        <row r="11906">
          <cell r="A11906" t="str">
            <v/>
          </cell>
        </row>
        <row r="11907">
          <cell r="A11907" t="str">
            <v/>
          </cell>
        </row>
        <row r="11908">
          <cell r="A11908" t="str">
            <v/>
          </cell>
        </row>
        <row r="11909">
          <cell r="A11909" t="str">
            <v/>
          </cell>
        </row>
        <row r="11910">
          <cell r="A11910" t="str">
            <v/>
          </cell>
        </row>
        <row r="11911">
          <cell r="A11911" t="str">
            <v/>
          </cell>
        </row>
        <row r="11912">
          <cell r="A11912" t="str">
            <v/>
          </cell>
        </row>
        <row r="11913">
          <cell r="A11913" t="str">
            <v/>
          </cell>
        </row>
        <row r="11914">
          <cell r="A11914" t="str">
            <v/>
          </cell>
        </row>
        <row r="11915">
          <cell r="A11915" t="str">
            <v/>
          </cell>
        </row>
        <row r="11916">
          <cell r="A11916" t="str">
            <v/>
          </cell>
        </row>
        <row r="11917">
          <cell r="A11917" t="str">
            <v/>
          </cell>
        </row>
        <row r="11918">
          <cell r="A11918" t="str">
            <v/>
          </cell>
        </row>
        <row r="11919">
          <cell r="A11919" t="str">
            <v/>
          </cell>
        </row>
        <row r="11920">
          <cell r="A11920" t="str">
            <v/>
          </cell>
        </row>
        <row r="11921">
          <cell r="A11921" t="str">
            <v/>
          </cell>
        </row>
        <row r="11922">
          <cell r="A11922" t="str">
            <v/>
          </cell>
        </row>
        <row r="11923">
          <cell r="A11923" t="str">
            <v/>
          </cell>
        </row>
        <row r="11924">
          <cell r="A11924" t="str">
            <v/>
          </cell>
        </row>
        <row r="11925">
          <cell r="A11925" t="str">
            <v/>
          </cell>
        </row>
        <row r="11926">
          <cell r="A11926" t="str">
            <v/>
          </cell>
        </row>
        <row r="11927">
          <cell r="A11927" t="str">
            <v/>
          </cell>
        </row>
        <row r="11928">
          <cell r="A11928" t="str">
            <v/>
          </cell>
        </row>
        <row r="11929">
          <cell r="A11929" t="str">
            <v/>
          </cell>
        </row>
        <row r="11930">
          <cell r="A11930" t="str">
            <v/>
          </cell>
        </row>
        <row r="11931">
          <cell r="A11931" t="str">
            <v/>
          </cell>
        </row>
        <row r="11932">
          <cell r="A11932" t="str">
            <v/>
          </cell>
        </row>
        <row r="11933">
          <cell r="A11933" t="str">
            <v/>
          </cell>
        </row>
        <row r="11934">
          <cell r="A11934" t="str">
            <v/>
          </cell>
        </row>
        <row r="11935">
          <cell r="A11935" t="str">
            <v/>
          </cell>
        </row>
        <row r="11936">
          <cell r="A11936" t="str">
            <v/>
          </cell>
        </row>
        <row r="11937">
          <cell r="A11937" t="str">
            <v/>
          </cell>
        </row>
        <row r="11938">
          <cell r="A11938" t="str">
            <v/>
          </cell>
        </row>
        <row r="11939">
          <cell r="A11939" t="str">
            <v/>
          </cell>
        </row>
        <row r="11940">
          <cell r="A11940" t="str">
            <v/>
          </cell>
        </row>
        <row r="11941">
          <cell r="A11941" t="str">
            <v/>
          </cell>
        </row>
        <row r="11942">
          <cell r="A11942" t="str">
            <v/>
          </cell>
        </row>
        <row r="11943">
          <cell r="A11943" t="str">
            <v/>
          </cell>
        </row>
        <row r="11944">
          <cell r="A11944" t="str">
            <v/>
          </cell>
        </row>
        <row r="11945">
          <cell r="A11945" t="str">
            <v/>
          </cell>
        </row>
        <row r="11946">
          <cell r="A11946" t="str">
            <v/>
          </cell>
        </row>
        <row r="11947">
          <cell r="A11947" t="str">
            <v/>
          </cell>
        </row>
        <row r="11948">
          <cell r="A11948" t="str">
            <v/>
          </cell>
        </row>
        <row r="11949">
          <cell r="A11949" t="str">
            <v/>
          </cell>
        </row>
        <row r="11950">
          <cell r="A11950" t="str">
            <v/>
          </cell>
        </row>
        <row r="11951">
          <cell r="A11951" t="str">
            <v/>
          </cell>
        </row>
        <row r="11952">
          <cell r="A11952" t="str">
            <v/>
          </cell>
        </row>
        <row r="11953">
          <cell r="A11953" t="str">
            <v/>
          </cell>
        </row>
        <row r="11954">
          <cell r="A11954" t="str">
            <v/>
          </cell>
        </row>
        <row r="11955">
          <cell r="A11955" t="str">
            <v/>
          </cell>
        </row>
        <row r="11956">
          <cell r="A11956" t="str">
            <v/>
          </cell>
        </row>
        <row r="11957">
          <cell r="A11957" t="str">
            <v/>
          </cell>
        </row>
        <row r="11958">
          <cell r="A11958" t="str">
            <v/>
          </cell>
        </row>
        <row r="11959">
          <cell r="A11959" t="str">
            <v/>
          </cell>
        </row>
        <row r="11960">
          <cell r="A11960" t="str">
            <v/>
          </cell>
        </row>
        <row r="11961">
          <cell r="A11961" t="str">
            <v/>
          </cell>
        </row>
        <row r="11962">
          <cell r="A11962" t="str">
            <v/>
          </cell>
        </row>
        <row r="11963">
          <cell r="A11963" t="str">
            <v/>
          </cell>
        </row>
        <row r="11964">
          <cell r="A11964" t="str">
            <v/>
          </cell>
        </row>
        <row r="11965">
          <cell r="A11965" t="str">
            <v/>
          </cell>
        </row>
        <row r="11966">
          <cell r="A11966" t="str">
            <v/>
          </cell>
        </row>
        <row r="11967">
          <cell r="A11967" t="str">
            <v/>
          </cell>
        </row>
        <row r="11968">
          <cell r="A11968" t="str">
            <v/>
          </cell>
        </row>
        <row r="11969">
          <cell r="A11969" t="str">
            <v/>
          </cell>
        </row>
        <row r="11970">
          <cell r="A11970" t="str">
            <v/>
          </cell>
        </row>
        <row r="11971">
          <cell r="A11971" t="str">
            <v/>
          </cell>
        </row>
        <row r="11972">
          <cell r="A11972" t="str">
            <v/>
          </cell>
        </row>
        <row r="11973">
          <cell r="A11973" t="str">
            <v/>
          </cell>
        </row>
        <row r="11974">
          <cell r="A11974" t="str">
            <v/>
          </cell>
        </row>
        <row r="11975">
          <cell r="A11975" t="str">
            <v/>
          </cell>
        </row>
        <row r="11976">
          <cell r="A11976" t="str">
            <v/>
          </cell>
        </row>
        <row r="11977">
          <cell r="A11977" t="str">
            <v/>
          </cell>
        </row>
        <row r="11978">
          <cell r="A11978" t="str">
            <v/>
          </cell>
        </row>
        <row r="11979">
          <cell r="A11979" t="str">
            <v/>
          </cell>
        </row>
        <row r="11980">
          <cell r="A11980" t="str">
            <v/>
          </cell>
        </row>
        <row r="11981">
          <cell r="A11981" t="str">
            <v/>
          </cell>
        </row>
        <row r="11982">
          <cell r="A11982" t="str">
            <v/>
          </cell>
        </row>
        <row r="11983">
          <cell r="A11983" t="str">
            <v/>
          </cell>
        </row>
        <row r="11984">
          <cell r="A11984" t="str">
            <v/>
          </cell>
        </row>
        <row r="11985">
          <cell r="A11985" t="str">
            <v/>
          </cell>
        </row>
        <row r="11986">
          <cell r="A11986" t="str">
            <v/>
          </cell>
        </row>
        <row r="11987">
          <cell r="A11987" t="str">
            <v/>
          </cell>
        </row>
        <row r="11988">
          <cell r="A11988" t="str">
            <v/>
          </cell>
        </row>
        <row r="11989">
          <cell r="A11989" t="str">
            <v/>
          </cell>
        </row>
        <row r="11990">
          <cell r="A11990" t="str">
            <v/>
          </cell>
        </row>
        <row r="11991">
          <cell r="A11991" t="str">
            <v/>
          </cell>
        </row>
        <row r="11992">
          <cell r="A11992" t="str">
            <v/>
          </cell>
        </row>
        <row r="11993">
          <cell r="A11993" t="str">
            <v/>
          </cell>
        </row>
        <row r="11994">
          <cell r="A11994" t="str">
            <v/>
          </cell>
        </row>
        <row r="11995">
          <cell r="A11995" t="str">
            <v/>
          </cell>
        </row>
        <row r="11996">
          <cell r="A11996" t="str">
            <v/>
          </cell>
        </row>
        <row r="11997">
          <cell r="A11997" t="str">
            <v/>
          </cell>
        </row>
        <row r="11998">
          <cell r="A11998" t="str">
            <v/>
          </cell>
        </row>
        <row r="11999">
          <cell r="A11999" t="str">
            <v/>
          </cell>
        </row>
        <row r="12000">
          <cell r="A12000" t="str">
            <v/>
          </cell>
        </row>
        <row r="12001">
          <cell r="A12001" t="str">
            <v/>
          </cell>
        </row>
        <row r="12002">
          <cell r="A12002" t="str">
            <v/>
          </cell>
        </row>
        <row r="12003">
          <cell r="A12003" t="str">
            <v/>
          </cell>
        </row>
        <row r="12004">
          <cell r="A12004" t="str">
            <v/>
          </cell>
        </row>
        <row r="12005">
          <cell r="A12005" t="str">
            <v/>
          </cell>
        </row>
        <row r="12006">
          <cell r="A12006" t="str">
            <v/>
          </cell>
        </row>
        <row r="12007">
          <cell r="A12007" t="str">
            <v/>
          </cell>
        </row>
        <row r="12008">
          <cell r="A12008" t="str">
            <v/>
          </cell>
        </row>
        <row r="12009">
          <cell r="A12009" t="str">
            <v/>
          </cell>
        </row>
        <row r="12010">
          <cell r="A12010" t="str">
            <v/>
          </cell>
        </row>
        <row r="12011">
          <cell r="A12011" t="str">
            <v/>
          </cell>
        </row>
        <row r="12012">
          <cell r="A12012" t="str">
            <v/>
          </cell>
        </row>
        <row r="12013">
          <cell r="A12013" t="str">
            <v/>
          </cell>
        </row>
        <row r="12014">
          <cell r="A12014" t="str">
            <v/>
          </cell>
        </row>
        <row r="12015">
          <cell r="A12015" t="str">
            <v/>
          </cell>
        </row>
        <row r="12016">
          <cell r="A12016" t="str">
            <v/>
          </cell>
        </row>
        <row r="12017">
          <cell r="A12017" t="str">
            <v/>
          </cell>
        </row>
        <row r="12018">
          <cell r="A12018" t="str">
            <v/>
          </cell>
        </row>
        <row r="12019">
          <cell r="A12019" t="str">
            <v/>
          </cell>
        </row>
        <row r="12020">
          <cell r="A12020" t="str">
            <v/>
          </cell>
        </row>
        <row r="12021">
          <cell r="A12021" t="str">
            <v/>
          </cell>
        </row>
        <row r="12022">
          <cell r="A12022" t="str">
            <v/>
          </cell>
        </row>
        <row r="12023">
          <cell r="A12023" t="str">
            <v/>
          </cell>
        </row>
        <row r="12024">
          <cell r="A12024" t="str">
            <v/>
          </cell>
        </row>
        <row r="12025">
          <cell r="A12025" t="str">
            <v/>
          </cell>
        </row>
        <row r="12026">
          <cell r="A12026" t="str">
            <v/>
          </cell>
        </row>
        <row r="12027">
          <cell r="A12027" t="str">
            <v/>
          </cell>
        </row>
        <row r="12028">
          <cell r="A12028" t="str">
            <v/>
          </cell>
        </row>
        <row r="12029">
          <cell r="A12029" t="str">
            <v/>
          </cell>
        </row>
        <row r="12030">
          <cell r="A12030" t="str">
            <v/>
          </cell>
        </row>
        <row r="12031">
          <cell r="A12031" t="str">
            <v/>
          </cell>
        </row>
        <row r="12032">
          <cell r="A12032" t="str">
            <v/>
          </cell>
        </row>
        <row r="12033">
          <cell r="A12033" t="str">
            <v/>
          </cell>
        </row>
        <row r="12034">
          <cell r="A12034" t="str">
            <v/>
          </cell>
        </row>
        <row r="12035">
          <cell r="A12035" t="str">
            <v/>
          </cell>
        </row>
        <row r="12036">
          <cell r="A12036" t="str">
            <v/>
          </cell>
        </row>
        <row r="12037">
          <cell r="A12037" t="str">
            <v/>
          </cell>
        </row>
        <row r="12038">
          <cell r="A12038" t="str">
            <v/>
          </cell>
        </row>
        <row r="12039">
          <cell r="A12039" t="str">
            <v/>
          </cell>
        </row>
        <row r="12040">
          <cell r="A12040" t="str">
            <v/>
          </cell>
        </row>
        <row r="12041">
          <cell r="A12041" t="str">
            <v/>
          </cell>
        </row>
        <row r="12042">
          <cell r="A12042" t="str">
            <v/>
          </cell>
        </row>
        <row r="12043">
          <cell r="A12043" t="str">
            <v/>
          </cell>
        </row>
        <row r="12044">
          <cell r="A12044" t="str">
            <v/>
          </cell>
        </row>
        <row r="12045">
          <cell r="A12045" t="str">
            <v/>
          </cell>
        </row>
        <row r="12046">
          <cell r="A12046" t="str">
            <v/>
          </cell>
        </row>
        <row r="12047">
          <cell r="A12047" t="str">
            <v/>
          </cell>
        </row>
        <row r="12048">
          <cell r="A12048" t="str">
            <v/>
          </cell>
        </row>
        <row r="12049">
          <cell r="A12049" t="str">
            <v/>
          </cell>
        </row>
        <row r="12050">
          <cell r="A12050" t="str">
            <v/>
          </cell>
        </row>
        <row r="12051">
          <cell r="A12051" t="str">
            <v/>
          </cell>
        </row>
        <row r="12052">
          <cell r="A12052" t="str">
            <v/>
          </cell>
        </row>
        <row r="12053">
          <cell r="A12053" t="str">
            <v/>
          </cell>
        </row>
        <row r="12054">
          <cell r="A12054" t="str">
            <v/>
          </cell>
        </row>
        <row r="12055">
          <cell r="A12055" t="str">
            <v/>
          </cell>
        </row>
        <row r="12056">
          <cell r="A12056" t="str">
            <v/>
          </cell>
        </row>
        <row r="12057">
          <cell r="A12057" t="str">
            <v/>
          </cell>
        </row>
        <row r="12058">
          <cell r="A12058" t="str">
            <v/>
          </cell>
        </row>
        <row r="12059">
          <cell r="A12059" t="str">
            <v/>
          </cell>
        </row>
        <row r="12060">
          <cell r="A12060" t="str">
            <v/>
          </cell>
        </row>
        <row r="12061">
          <cell r="A12061" t="str">
            <v/>
          </cell>
        </row>
        <row r="12062">
          <cell r="A12062" t="str">
            <v/>
          </cell>
        </row>
        <row r="12063">
          <cell r="A12063" t="str">
            <v/>
          </cell>
        </row>
        <row r="12064">
          <cell r="A12064" t="str">
            <v/>
          </cell>
        </row>
        <row r="12065">
          <cell r="A12065" t="str">
            <v/>
          </cell>
        </row>
        <row r="12066">
          <cell r="A12066" t="str">
            <v/>
          </cell>
        </row>
        <row r="12067">
          <cell r="A12067" t="str">
            <v/>
          </cell>
        </row>
        <row r="12068">
          <cell r="A12068" t="str">
            <v/>
          </cell>
        </row>
        <row r="12069">
          <cell r="A12069" t="str">
            <v/>
          </cell>
        </row>
        <row r="12070">
          <cell r="A12070" t="str">
            <v/>
          </cell>
        </row>
        <row r="12071">
          <cell r="A12071" t="str">
            <v/>
          </cell>
        </row>
        <row r="12072">
          <cell r="A12072" t="str">
            <v/>
          </cell>
        </row>
        <row r="12073">
          <cell r="A12073" t="str">
            <v/>
          </cell>
        </row>
        <row r="12074">
          <cell r="A12074" t="str">
            <v/>
          </cell>
        </row>
        <row r="12075">
          <cell r="A12075" t="str">
            <v/>
          </cell>
        </row>
        <row r="12076">
          <cell r="A12076" t="str">
            <v/>
          </cell>
        </row>
        <row r="12077">
          <cell r="A12077" t="str">
            <v/>
          </cell>
        </row>
        <row r="12078">
          <cell r="A12078" t="str">
            <v/>
          </cell>
        </row>
        <row r="12079">
          <cell r="A12079" t="str">
            <v/>
          </cell>
        </row>
        <row r="12080">
          <cell r="A12080" t="str">
            <v/>
          </cell>
        </row>
        <row r="12081">
          <cell r="A12081" t="str">
            <v/>
          </cell>
        </row>
        <row r="12082">
          <cell r="A12082" t="str">
            <v/>
          </cell>
        </row>
        <row r="12083">
          <cell r="A12083" t="str">
            <v/>
          </cell>
        </row>
        <row r="12084">
          <cell r="A12084" t="str">
            <v/>
          </cell>
        </row>
        <row r="12085">
          <cell r="A12085" t="str">
            <v/>
          </cell>
        </row>
        <row r="12086">
          <cell r="A12086" t="str">
            <v/>
          </cell>
        </row>
        <row r="12087">
          <cell r="A12087" t="str">
            <v/>
          </cell>
        </row>
        <row r="12088">
          <cell r="A12088" t="str">
            <v/>
          </cell>
        </row>
        <row r="12089">
          <cell r="A12089" t="str">
            <v/>
          </cell>
        </row>
        <row r="12090">
          <cell r="A12090" t="str">
            <v/>
          </cell>
        </row>
        <row r="12091">
          <cell r="A12091" t="str">
            <v/>
          </cell>
        </row>
        <row r="12092">
          <cell r="A12092" t="str">
            <v/>
          </cell>
        </row>
        <row r="12093">
          <cell r="A12093" t="str">
            <v/>
          </cell>
        </row>
        <row r="12094">
          <cell r="A12094" t="str">
            <v/>
          </cell>
        </row>
        <row r="12095">
          <cell r="A12095" t="str">
            <v/>
          </cell>
        </row>
        <row r="12096">
          <cell r="A12096" t="str">
            <v/>
          </cell>
        </row>
        <row r="12097">
          <cell r="A12097" t="str">
            <v/>
          </cell>
        </row>
        <row r="12098">
          <cell r="A12098" t="str">
            <v/>
          </cell>
        </row>
        <row r="12099">
          <cell r="A12099" t="str">
            <v/>
          </cell>
        </row>
        <row r="12100">
          <cell r="A12100" t="str">
            <v/>
          </cell>
        </row>
        <row r="12101">
          <cell r="A12101" t="str">
            <v/>
          </cell>
        </row>
        <row r="12102">
          <cell r="A12102" t="str">
            <v/>
          </cell>
        </row>
        <row r="12103">
          <cell r="A12103" t="str">
            <v/>
          </cell>
        </row>
        <row r="12104">
          <cell r="A12104" t="str">
            <v/>
          </cell>
        </row>
        <row r="12105">
          <cell r="A12105" t="str">
            <v/>
          </cell>
        </row>
        <row r="12106">
          <cell r="A12106" t="str">
            <v/>
          </cell>
        </row>
        <row r="12107">
          <cell r="A12107" t="str">
            <v/>
          </cell>
        </row>
        <row r="12108">
          <cell r="A12108" t="str">
            <v/>
          </cell>
        </row>
        <row r="12109">
          <cell r="A12109" t="str">
            <v/>
          </cell>
        </row>
        <row r="12110">
          <cell r="A12110" t="str">
            <v/>
          </cell>
        </row>
        <row r="12111">
          <cell r="A12111" t="str">
            <v/>
          </cell>
        </row>
        <row r="12112">
          <cell r="A12112" t="str">
            <v/>
          </cell>
        </row>
        <row r="12113">
          <cell r="A12113" t="str">
            <v/>
          </cell>
        </row>
        <row r="12114">
          <cell r="A12114" t="str">
            <v/>
          </cell>
        </row>
        <row r="12115">
          <cell r="A12115" t="str">
            <v/>
          </cell>
        </row>
        <row r="12116">
          <cell r="A12116" t="str">
            <v/>
          </cell>
        </row>
        <row r="12117">
          <cell r="A12117" t="str">
            <v/>
          </cell>
        </row>
        <row r="12118">
          <cell r="A12118" t="str">
            <v/>
          </cell>
        </row>
        <row r="12119">
          <cell r="A12119" t="str">
            <v/>
          </cell>
        </row>
        <row r="12120">
          <cell r="A12120" t="str">
            <v/>
          </cell>
        </row>
        <row r="12121">
          <cell r="A12121" t="str">
            <v/>
          </cell>
        </row>
        <row r="12122">
          <cell r="A12122" t="str">
            <v/>
          </cell>
        </row>
        <row r="12123">
          <cell r="A12123" t="str">
            <v/>
          </cell>
        </row>
        <row r="12124">
          <cell r="A12124" t="str">
            <v/>
          </cell>
        </row>
        <row r="12125">
          <cell r="A12125" t="str">
            <v/>
          </cell>
        </row>
        <row r="12126">
          <cell r="A12126" t="str">
            <v/>
          </cell>
        </row>
        <row r="12127">
          <cell r="A12127" t="str">
            <v/>
          </cell>
        </row>
        <row r="12128">
          <cell r="A12128" t="str">
            <v/>
          </cell>
        </row>
        <row r="12129">
          <cell r="A12129" t="str">
            <v/>
          </cell>
        </row>
        <row r="12130">
          <cell r="A12130" t="str">
            <v/>
          </cell>
        </row>
        <row r="12131">
          <cell r="A12131" t="str">
            <v/>
          </cell>
        </row>
        <row r="12132">
          <cell r="A12132" t="str">
            <v/>
          </cell>
        </row>
        <row r="12133">
          <cell r="A12133" t="str">
            <v/>
          </cell>
        </row>
        <row r="12134">
          <cell r="A12134" t="str">
            <v/>
          </cell>
        </row>
        <row r="12135">
          <cell r="A12135" t="str">
            <v/>
          </cell>
        </row>
        <row r="12136">
          <cell r="A12136" t="str">
            <v/>
          </cell>
        </row>
        <row r="12137">
          <cell r="A12137" t="str">
            <v/>
          </cell>
        </row>
        <row r="12138">
          <cell r="A12138" t="str">
            <v/>
          </cell>
        </row>
        <row r="12139">
          <cell r="A12139" t="str">
            <v/>
          </cell>
        </row>
        <row r="12140">
          <cell r="A12140" t="str">
            <v/>
          </cell>
        </row>
        <row r="12141">
          <cell r="A12141" t="str">
            <v/>
          </cell>
        </row>
        <row r="12142">
          <cell r="A12142" t="str">
            <v/>
          </cell>
        </row>
        <row r="12143">
          <cell r="A12143" t="str">
            <v/>
          </cell>
        </row>
        <row r="12144">
          <cell r="A12144" t="str">
            <v/>
          </cell>
        </row>
        <row r="12145">
          <cell r="A12145" t="str">
            <v/>
          </cell>
        </row>
        <row r="12146">
          <cell r="A12146" t="str">
            <v/>
          </cell>
        </row>
        <row r="12147">
          <cell r="A12147" t="str">
            <v/>
          </cell>
        </row>
        <row r="12148">
          <cell r="A12148" t="str">
            <v/>
          </cell>
        </row>
        <row r="12149">
          <cell r="A12149" t="str">
            <v/>
          </cell>
        </row>
        <row r="12150">
          <cell r="A12150" t="str">
            <v/>
          </cell>
        </row>
        <row r="12151">
          <cell r="A12151" t="str">
            <v/>
          </cell>
        </row>
        <row r="12152">
          <cell r="A12152" t="str">
            <v/>
          </cell>
        </row>
        <row r="12153">
          <cell r="A12153" t="str">
            <v/>
          </cell>
        </row>
        <row r="12154">
          <cell r="A12154" t="str">
            <v/>
          </cell>
        </row>
        <row r="12155">
          <cell r="A12155" t="str">
            <v/>
          </cell>
        </row>
        <row r="12156">
          <cell r="A12156" t="str">
            <v/>
          </cell>
        </row>
        <row r="12157">
          <cell r="A12157" t="str">
            <v/>
          </cell>
        </row>
        <row r="12158">
          <cell r="A12158" t="str">
            <v/>
          </cell>
        </row>
        <row r="12159">
          <cell r="A12159" t="str">
            <v/>
          </cell>
        </row>
        <row r="12160">
          <cell r="A12160" t="str">
            <v/>
          </cell>
        </row>
        <row r="12161">
          <cell r="A12161" t="str">
            <v/>
          </cell>
        </row>
        <row r="12162">
          <cell r="A12162" t="str">
            <v/>
          </cell>
        </row>
        <row r="12163">
          <cell r="A12163" t="str">
            <v/>
          </cell>
        </row>
        <row r="12164">
          <cell r="A12164" t="str">
            <v/>
          </cell>
        </row>
        <row r="12165">
          <cell r="A12165" t="str">
            <v/>
          </cell>
        </row>
        <row r="12166">
          <cell r="A12166" t="str">
            <v/>
          </cell>
        </row>
        <row r="12167">
          <cell r="A12167" t="str">
            <v/>
          </cell>
        </row>
        <row r="12168">
          <cell r="A12168" t="str">
            <v/>
          </cell>
        </row>
        <row r="12169">
          <cell r="A12169" t="str">
            <v/>
          </cell>
        </row>
        <row r="12170">
          <cell r="A12170" t="str">
            <v/>
          </cell>
        </row>
        <row r="12171">
          <cell r="A12171" t="str">
            <v/>
          </cell>
        </row>
        <row r="12172">
          <cell r="A12172" t="str">
            <v/>
          </cell>
        </row>
        <row r="12173">
          <cell r="A12173" t="str">
            <v/>
          </cell>
        </row>
        <row r="12174">
          <cell r="A12174" t="str">
            <v/>
          </cell>
        </row>
        <row r="12175">
          <cell r="A12175" t="str">
            <v/>
          </cell>
        </row>
        <row r="12176">
          <cell r="A12176" t="str">
            <v/>
          </cell>
        </row>
        <row r="12177">
          <cell r="A12177" t="str">
            <v/>
          </cell>
        </row>
        <row r="12178">
          <cell r="A12178" t="str">
            <v/>
          </cell>
        </row>
        <row r="12179">
          <cell r="A12179" t="str">
            <v/>
          </cell>
        </row>
        <row r="12180">
          <cell r="A12180" t="str">
            <v/>
          </cell>
        </row>
        <row r="12181">
          <cell r="A12181" t="str">
            <v/>
          </cell>
        </row>
        <row r="12182">
          <cell r="A12182" t="str">
            <v/>
          </cell>
        </row>
        <row r="12183">
          <cell r="A12183" t="str">
            <v/>
          </cell>
        </row>
        <row r="12184">
          <cell r="A12184" t="str">
            <v/>
          </cell>
        </row>
        <row r="12185">
          <cell r="A12185" t="str">
            <v/>
          </cell>
        </row>
        <row r="12186">
          <cell r="A12186" t="str">
            <v/>
          </cell>
        </row>
        <row r="12187">
          <cell r="A12187" t="str">
            <v/>
          </cell>
        </row>
        <row r="12188">
          <cell r="A12188" t="str">
            <v/>
          </cell>
        </row>
        <row r="12189">
          <cell r="A12189" t="str">
            <v/>
          </cell>
        </row>
        <row r="12190">
          <cell r="A12190" t="str">
            <v/>
          </cell>
        </row>
        <row r="12191">
          <cell r="A12191" t="str">
            <v/>
          </cell>
        </row>
        <row r="12192">
          <cell r="A12192" t="str">
            <v/>
          </cell>
        </row>
        <row r="12193">
          <cell r="A12193" t="str">
            <v/>
          </cell>
        </row>
        <row r="12194">
          <cell r="A12194" t="str">
            <v/>
          </cell>
        </row>
        <row r="12195">
          <cell r="A12195" t="str">
            <v/>
          </cell>
        </row>
        <row r="12196">
          <cell r="A12196" t="str">
            <v/>
          </cell>
        </row>
        <row r="12197">
          <cell r="A12197" t="str">
            <v/>
          </cell>
        </row>
        <row r="12198">
          <cell r="A12198" t="str">
            <v/>
          </cell>
        </row>
        <row r="12199">
          <cell r="A12199" t="str">
            <v/>
          </cell>
        </row>
        <row r="12200">
          <cell r="A12200" t="str">
            <v/>
          </cell>
        </row>
        <row r="12201">
          <cell r="A12201" t="str">
            <v/>
          </cell>
        </row>
        <row r="12202">
          <cell r="A12202" t="str">
            <v/>
          </cell>
        </row>
        <row r="12203">
          <cell r="A12203" t="str">
            <v/>
          </cell>
        </row>
        <row r="12204">
          <cell r="A12204" t="str">
            <v/>
          </cell>
        </row>
        <row r="12205">
          <cell r="A12205" t="str">
            <v/>
          </cell>
        </row>
        <row r="12206">
          <cell r="A12206" t="str">
            <v/>
          </cell>
        </row>
        <row r="12207">
          <cell r="A12207" t="str">
            <v/>
          </cell>
        </row>
        <row r="12208">
          <cell r="A12208" t="str">
            <v/>
          </cell>
        </row>
        <row r="12209">
          <cell r="A12209" t="str">
            <v/>
          </cell>
        </row>
        <row r="12210">
          <cell r="A12210" t="str">
            <v/>
          </cell>
        </row>
        <row r="12211">
          <cell r="A12211" t="str">
            <v/>
          </cell>
        </row>
        <row r="12212">
          <cell r="A12212" t="str">
            <v/>
          </cell>
        </row>
        <row r="12213">
          <cell r="A12213" t="str">
            <v/>
          </cell>
        </row>
        <row r="12214">
          <cell r="A12214" t="str">
            <v/>
          </cell>
        </row>
        <row r="12215">
          <cell r="A12215" t="str">
            <v/>
          </cell>
        </row>
        <row r="12216">
          <cell r="A12216" t="str">
            <v/>
          </cell>
        </row>
        <row r="12217">
          <cell r="A12217" t="str">
            <v/>
          </cell>
        </row>
        <row r="12218">
          <cell r="A12218" t="str">
            <v/>
          </cell>
        </row>
        <row r="12219">
          <cell r="A12219" t="str">
            <v/>
          </cell>
        </row>
        <row r="12220">
          <cell r="A12220" t="str">
            <v/>
          </cell>
        </row>
        <row r="12221">
          <cell r="A12221" t="str">
            <v/>
          </cell>
        </row>
        <row r="12222">
          <cell r="A12222" t="str">
            <v/>
          </cell>
        </row>
        <row r="12223">
          <cell r="A12223" t="str">
            <v/>
          </cell>
        </row>
        <row r="12224">
          <cell r="A12224" t="str">
            <v/>
          </cell>
        </row>
        <row r="12225">
          <cell r="A12225" t="str">
            <v/>
          </cell>
        </row>
        <row r="12226">
          <cell r="A12226" t="str">
            <v/>
          </cell>
        </row>
        <row r="12227">
          <cell r="A12227" t="str">
            <v/>
          </cell>
        </row>
        <row r="12228">
          <cell r="A12228" t="str">
            <v/>
          </cell>
        </row>
        <row r="12229">
          <cell r="A12229" t="str">
            <v/>
          </cell>
        </row>
        <row r="12230">
          <cell r="A12230" t="str">
            <v/>
          </cell>
        </row>
        <row r="12231">
          <cell r="A12231" t="str">
            <v/>
          </cell>
        </row>
        <row r="12232">
          <cell r="A12232" t="str">
            <v/>
          </cell>
        </row>
        <row r="12233">
          <cell r="A12233" t="str">
            <v/>
          </cell>
        </row>
        <row r="12234">
          <cell r="A12234" t="str">
            <v/>
          </cell>
        </row>
        <row r="12235">
          <cell r="A12235" t="str">
            <v/>
          </cell>
        </row>
        <row r="12236">
          <cell r="A12236" t="str">
            <v/>
          </cell>
        </row>
        <row r="12237">
          <cell r="A12237" t="str">
            <v/>
          </cell>
        </row>
        <row r="12238">
          <cell r="A12238" t="str">
            <v/>
          </cell>
        </row>
        <row r="12239">
          <cell r="A12239" t="str">
            <v/>
          </cell>
        </row>
        <row r="12240">
          <cell r="A12240" t="str">
            <v/>
          </cell>
        </row>
        <row r="12241">
          <cell r="A12241" t="str">
            <v/>
          </cell>
        </row>
        <row r="12242">
          <cell r="A12242" t="str">
            <v/>
          </cell>
        </row>
        <row r="12243">
          <cell r="A12243" t="str">
            <v/>
          </cell>
        </row>
        <row r="12244">
          <cell r="A12244" t="str">
            <v/>
          </cell>
        </row>
        <row r="12245">
          <cell r="A12245" t="str">
            <v/>
          </cell>
        </row>
        <row r="12246">
          <cell r="A12246" t="str">
            <v/>
          </cell>
        </row>
        <row r="12247">
          <cell r="A12247" t="str">
            <v/>
          </cell>
        </row>
        <row r="12248">
          <cell r="A12248" t="str">
            <v/>
          </cell>
        </row>
        <row r="12249">
          <cell r="A12249" t="str">
            <v/>
          </cell>
        </row>
        <row r="12250">
          <cell r="A12250" t="str">
            <v/>
          </cell>
        </row>
        <row r="12251">
          <cell r="A12251" t="str">
            <v/>
          </cell>
        </row>
        <row r="12252">
          <cell r="A12252" t="str">
            <v/>
          </cell>
        </row>
        <row r="12253">
          <cell r="A12253" t="str">
            <v/>
          </cell>
        </row>
        <row r="12254">
          <cell r="A12254" t="str">
            <v/>
          </cell>
        </row>
        <row r="12255">
          <cell r="A12255" t="str">
            <v/>
          </cell>
        </row>
        <row r="12256">
          <cell r="A12256" t="str">
            <v/>
          </cell>
        </row>
        <row r="12257">
          <cell r="A12257" t="str">
            <v/>
          </cell>
        </row>
        <row r="12258">
          <cell r="A12258" t="str">
            <v/>
          </cell>
        </row>
        <row r="12259">
          <cell r="A12259" t="str">
            <v/>
          </cell>
        </row>
        <row r="12260">
          <cell r="A12260" t="str">
            <v/>
          </cell>
        </row>
        <row r="12261">
          <cell r="A12261" t="str">
            <v/>
          </cell>
        </row>
        <row r="12262">
          <cell r="A12262" t="str">
            <v/>
          </cell>
        </row>
        <row r="12263">
          <cell r="A12263" t="str">
            <v/>
          </cell>
        </row>
        <row r="12264">
          <cell r="A12264" t="str">
            <v/>
          </cell>
        </row>
        <row r="12265">
          <cell r="A12265" t="str">
            <v/>
          </cell>
        </row>
        <row r="12266">
          <cell r="A12266" t="str">
            <v/>
          </cell>
        </row>
        <row r="12267">
          <cell r="A12267" t="str">
            <v/>
          </cell>
        </row>
        <row r="12268">
          <cell r="A12268" t="str">
            <v/>
          </cell>
        </row>
        <row r="12269">
          <cell r="A12269" t="str">
            <v/>
          </cell>
        </row>
        <row r="12270">
          <cell r="A12270" t="str">
            <v/>
          </cell>
        </row>
        <row r="12271">
          <cell r="A12271" t="str">
            <v/>
          </cell>
        </row>
        <row r="12272">
          <cell r="A12272" t="str">
            <v/>
          </cell>
        </row>
        <row r="12273">
          <cell r="A12273" t="str">
            <v/>
          </cell>
        </row>
        <row r="12274">
          <cell r="A12274" t="str">
            <v/>
          </cell>
        </row>
        <row r="12275">
          <cell r="A12275" t="str">
            <v/>
          </cell>
        </row>
        <row r="12276">
          <cell r="A12276" t="str">
            <v/>
          </cell>
        </row>
        <row r="12277">
          <cell r="A12277" t="str">
            <v/>
          </cell>
        </row>
        <row r="12278">
          <cell r="A12278" t="str">
            <v/>
          </cell>
        </row>
        <row r="12279">
          <cell r="A12279" t="str">
            <v/>
          </cell>
        </row>
        <row r="12280">
          <cell r="A12280" t="str">
            <v/>
          </cell>
        </row>
        <row r="12281">
          <cell r="A12281" t="str">
            <v/>
          </cell>
        </row>
        <row r="12282">
          <cell r="A12282" t="str">
            <v/>
          </cell>
        </row>
        <row r="12283">
          <cell r="A12283" t="str">
            <v/>
          </cell>
        </row>
        <row r="12284">
          <cell r="A12284" t="str">
            <v/>
          </cell>
        </row>
        <row r="12285">
          <cell r="A12285" t="str">
            <v/>
          </cell>
        </row>
        <row r="12286">
          <cell r="A12286" t="str">
            <v/>
          </cell>
        </row>
        <row r="12287">
          <cell r="A12287" t="str">
            <v/>
          </cell>
        </row>
        <row r="12288">
          <cell r="A12288" t="str">
            <v/>
          </cell>
        </row>
        <row r="12289">
          <cell r="A12289" t="str">
            <v/>
          </cell>
        </row>
        <row r="12290">
          <cell r="A12290" t="str">
            <v/>
          </cell>
        </row>
        <row r="12291">
          <cell r="A12291" t="str">
            <v/>
          </cell>
        </row>
        <row r="12292">
          <cell r="A12292" t="str">
            <v/>
          </cell>
        </row>
        <row r="12293">
          <cell r="A12293" t="str">
            <v/>
          </cell>
        </row>
        <row r="12294">
          <cell r="A12294" t="str">
            <v/>
          </cell>
        </row>
        <row r="12295">
          <cell r="A12295" t="str">
            <v/>
          </cell>
        </row>
        <row r="12296">
          <cell r="A12296" t="str">
            <v/>
          </cell>
        </row>
        <row r="12297">
          <cell r="A12297" t="str">
            <v/>
          </cell>
        </row>
        <row r="12298">
          <cell r="A12298" t="str">
            <v/>
          </cell>
        </row>
        <row r="12299">
          <cell r="A12299" t="str">
            <v/>
          </cell>
        </row>
        <row r="12300">
          <cell r="A12300" t="str">
            <v/>
          </cell>
        </row>
        <row r="12301">
          <cell r="A12301" t="str">
            <v/>
          </cell>
        </row>
        <row r="12302">
          <cell r="A12302" t="str">
            <v/>
          </cell>
        </row>
        <row r="12303">
          <cell r="A12303" t="str">
            <v/>
          </cell>
        </row>
        <row r="12304">
          <cell r="A12304" t="str">
            <v/>
          </cell>
        </row>
        <row r="12305">
          <cell r="A12305" t="str">
            <v/>
          </cell>
        </row>
        <row r="12306">
          <cell r="A12306" t="str">
            <v/>
          </cell>
        </row>
        <row r="12307">
          <cell r="A12307" t="str">
            <v/>
          </cell>
        </row>
        <row r="12308">
          <cell r="A12308" t="str">
            <v/>
          </cell>
        </row>
        <row r="12309">
          <cell r="A12309" t="str">
            <v/>
          </cell>
        </row>
        <row r="12310">
          <cell r="A12310" t="str">
            <v/>
          </cell>
        </row>
        <row r="12311">
          <cell r="A12311" t="str">
            <v/>
          </cell>
        </row>
        <row r="12312">
          <cell r="A12312" t="str">
            <v/>
          </cell>
        </row>
        <row r="12313">
          <cell r="A12313" t="str">
            <v/>
          </cell>
        </row>
        <row r="12314">
          <cell r="A12314" t="str">
            <v/>
          </cell>
        </row>
        <row r="12315">
          <cell r="A12315" t="str">
            <v/>
          </cell>
        </row>
        <row r="12316">
          <cell r="A12316" t="str">
            <v/>
          </cell>
        </row>
        <row r="12317">
          <cell r="A12317" t="str">
            <v/>
          </cell>
        </row>
        <row r="12318">
          <cell r="A12318" t="str">
            <v/>
          </cell>
        </row>
        <row r="12319">
          <cell r="A12319" t="str">
            <v/>
          </cell>
        </row>
        <row r="12320">
          <cell r="A12320" t="str">
            <v/>
          </cell>
        </row>
        <row r="12321">
          <cell r="A12321" t="str">
            <v/>
          </cell>
        </row>
        <row r="12322">
          <cell r="A12322" t="str">
            <v/>
          </cell>
        </row>
        <row r="12323">
          <cell r="A12323" t="str">
            <v/>
          </cell>
        </row>
        <row r="12324">
          <cell r="A12324" t="str">
            <v/>
          </cell>
        </row>
        <row r="12325">
          <cell r="A12325" t="str">
            <v/>
          </cell>
        </row>
        <row r="12326">
          <cell r="A12326" t="str">
            <v/>
          </cell>
        </row>
        <row r="12327">
          <cell r="A12327" t="str">
            <v/>
          </cell>
        </row>
        <row r="12328">
          <cell r="A12328" t="str">
            <v/>
          </cell>
        </row>
        <row r="12329">
          <cell r="A12329" t="str">
            <v/>
          </cell>
        </row>
        <row r="12330">
          <cell r="A12330" t="str">
            <v/>
          </cell>
        </row>
        <row r="12331">
          <cell r="A12331" t="str">
            <v/>
          </cell>
        </row>
        <row r="12332">
          <cell r="A12332" t="str">
            <v/>
          </cell>
        </row>
        <row r="12333">
          <cell r="A12333" t="str">
            <v/>
          </cell>
        </row>
        <row r="12334">
          <cell r="A12334" t="str">
            <v/>
          </cell>
        </row>
        <row r="12335">
          <cell r="A12335" t="str">
            <v/>
          </cell>
        </row>
        <row r="12336">
          <cell r="A12336" t="str">
            <v/>
          </cell>
        </row>
        <row r="12337">
          <cell r="A12337" t="str">
            <v/>
          </cell>
        </row>
        <row r="12338">
          <cell r="A12338" t="str">
            <v/>
          </cell>
        </row>
        <row r="12339">
          <cell r="A12339" t="str">
            <v/>
          </cell>
        </row>
        <row r="12340">
          <cell r="A12340" t="str">
            <v/>
          </cell>
        </row>
        <row r="12341">
          <cell r="A12341" t="str">
            <v/>
          </cell>
        </row>
        <row r="12342">
          <cell r="A12342" t="str">
            <v/>
          </cell>
        </row>
        <row r="12343">
          <cell r="A12343" t="str">
            <v/>
          </cell>
        </row>
        <row r="12344">
          <cell r="A12344" t="str">
            <v/>
          </cell>
        </row>
        <row r="12345">
          <cell r="A12345" t="str">
            <v/>
          </cell>
        </row>
        <row r="12346">
          <cell r="A12346" t="str">
            <v/>
          </cell>
        </row>
        <row r="12347">
          <cell r="A12347" t="str">
            <v/>
          </cell>
        </row>
        <row r="12348">
          <cell r="A12348" t="str">
            <v/>
          </cell>
        </row>
        <row r="12349">
          <cell r="A12349" t="str">
            <v/>
          </cell>
        </row>
        <row r="12350">
          <cell r="A12350" t="str">
            <v/>
          </cell>
        </row>
        <row r="12351">
          <cell r="A12351" t="str">
            <v/>
          </cell>
        </row>
        <row r="12352">
          <cell r="A12352" t="str">
            <v/>
          </cell>
        </row>
        <row r="12353">
          <cell r="A12353" t="str">
            <v/>
          </cell>
        </row>
        <row r="12354">
          <cell r="A12354" t="str">
            <v/>
          </cell>
        </row>
        <row r="12355">
          <cell r="A12355" t="str">
            <v/>
          </cell>
        </row>
        <row r="12356">
          <cell r="A12356" t="str">
            <v/>
          </cell>
        </row>
        <row r="12357">
          <cell r="A12357" t="str">
            <v/>
          </cell>
        </row>
        <row r="12358">
          <cell r="A12358" t="str">
            <v/>
          </cell>
        </row>
        <row r="12359">
          <cell r="A12359" t="str">
            <v/>
          </cell>
        </row>
        <row r="12360">
          <cell r="A12360" t="str">
            <v/>
          </cell>
        </row>
        <row r="12361">
          <cell r="A12361" t="str">
            <v/>
          </cell>
        </row>
        <row r="12362">
          <cell r="A12362" t="str">
            <v/>
          </cell>
        </row>
        <row r="12363">
          <cell r="A12363" t="str">
            <v/>
          </cell>
        </row>
        <row r="12364">
          <cell r="A12364" t="str">
            <v/>
          </cell>
        </row>
        <row r="12365">
          <cell r="A12365" t="str">
            <v/>
          </cell>
        </row>
        <row r="12366">
          <cell r="A12366" t="str">
            <v/>
          </cell>
        </row>
        <row r="12367">
          <cell r="A12367" t="str">
            <v/>
          </cell>
        </row>
        <row r="12368">
          <cell r="A12368" t="str">
            <v/>
          </cell>
        </row>
        <row r="12369">
          <cell r="A12369" t="str">
            <v/>
          </cell>
        </row>
        <row r="12370">
          <cell r="A12370" t="str">
            <v/>
          </cell>
        </row>
        <row r="12371">
          <cell r="A12371" t="str">
            <v/>
          </cell>
        </row>
        <row r="12372">
          <cell r="A12372" t="str">
            <v/>
          </cell>
        </row>
        <row r="12373">
          <cell r="A12373" t="str">
            <v/>
          </cell>
        </row>
        <row r="12374">
          <cell r="A12374" t="str">
            <v/>
          </cell>
        </row>
        <row r="12375">
          <cell r="A12375" t="str">
            <v/>
          </cell>
        </row>
        <row r="12376">
          <cell r="A12376" t="str">
            <v/>
          </cell>
        </row>
        <row r="12377">
          <cell r="A12377" t="str">
            <v/>
          </cell>
        </row>
        <row r="12378">
          <cell r="A12378" t="str">
            <v/>
          </cell>
        </row>
        <row r="12379">
          <cell r="A12379" t="str">
            <v/>
          </cell>
        </row>
        <row r="12380">
          <cell r="A12380" t="str">
            <v/>
          </cell>
        </row>
        <row r="12381">
          <cell r="A12381" t="str">
            <v/>
          </cell>
        </row>
        <row r="12382">
          <cell r="A12382" t="str">
            <v/>
          </cell>
        </row>
        <row r="12383">
          <cell r="A12383" t="str">
            <v/>
          </cell>
        </row>
        <row r="12384">
          <cell r="A12384" t="str">
            <v/>
          </cell>
        </row>
        <row r="12385">
          <cell r="A12385" t="str">
            <v/>
          </cell>
        </row>
        <row r="12386">
          <cell r="A12386" t="str">
            <v/>
          </cell>
        </row>
        <row r="12387">
          <cell r="A12387" t="str">
            <v/>
          </cell>
        </row>
        <row r="12388">
          <cell r="A12388" t="str">
            <v/>
          </cell>
        </row>
        <row r="12389">
          <cell r="A12389" t="str">
            <v/>
          </cell>
        </row>
        <row r="12390">
          <cell r="A12390" t="str">
            <v/>
          </cell>
        </row>
        <row r="12391">
          <cell r="A12391" t="str">
            <v/>
          </cell>
        </row>
        <row r="12392">
          <cell r="A12392" t="str">
            <v/>
          </cell>
        </row>
        <row r="12393">
          <cell r="A12393" t="str">
            <v/>
          </cell>
        </row>
        <row r="12394">
          <cell r="A12394" t="str">
            <v/>
          </cell>
        </row>
        <row r="12395">
          <cell r="A12395" t="str">
            <v/>
          </cell>
        </row>
        <row r="12396">
          <cell r="A12396" t="str">
            <v/>
          </cell>
        </row>
        <row r="12397">
          <cell r="A12397" t="str">
            <v/>
          </cell>
        </row>
        <row r="12398">
          <cell r="A12398" t="str">
            <v/>
          </cell>
        </row>
        <row r="12399">
          <cell r="A12399" t="str">
            <v/>
          </cell>
        </row>
        <row r="12400">
          <cell r="A12400" t="str">
            <v/>
          </cell>
        </row>
        <row r="12401">
          <cell r="A12401" t="str">
            <v/>
          </cell>
        </row>
        <row r="12402">
          <cell r="A12402" t="str">
            <v/>
          </cell>
        </row>
        <row r="12403">
          <cell r="A12403" t="str">
            <v/>
          </cell>
        </row>
        <row r="12404">
          <cell r="A12404" t="str">
            <v/>
          </cell>
        </row>
        <row r="12405">
          <cell r="A12405" t="str">
            <v/>
          </cell>
        </row>
        <row r="12406">
          <cell r="A12406" t="str">
            <v/>
          </cell>
        </row>
        <row r="12407">
          <cell r="A12407" t="str">
            <v/>
          </cell>
        </row>
        <row r="12408">
          <cell r="A12408" t="str">
            <v/>
          </cell>
        </row>
        <row r="12409">
          <cell r="A12409" t="str">
            <v/>
          </cell>
        </row>
        <row r="12410">
          <cell r="A12410" t="str">
            <v/>
          </cell>
        </row>
        <row r="12411">
          <cell r="A12411" t="str">
            <v/>
          </cell>
        </row>
        <row r="12412">
          <cell r="A12412" t="str">
            <v/>
          </cell>
        </row>
        <row r="12413">
          <cell r="A12413" t="str">
            <v/>
          </cell>
        </row>
        <row r="12414">
          <cell r="A12414" t="str">
            <v/>
          </cell>
        </row>
        <row r="12415">
          <cell r="A12415" t="str">
            <v/>
          </cell>
        </row>
        <row r="12416">
          <cell r="A12416" t="str">
            <v/>
          </cell>
        </row>
        <row r="12417">
          <cell r="A12417" t="str">
            <v/>
          </cell>
        </row>
        <row r="12418">
          <cell r="A12418" t="str">
            <v/>
          </cell>
        </row>
        <row r="12419">
          <cell r="A12419" t="str">
            <v/>
          </cell>
        </row>
        <row r="12420">
          <cell r="A12420" t="str">
            <v/>
          </cell>
        </row>
        <row r="12421">
          <cell r="A12421" t="str">
            <v/>
          </cell>
        </row>
        <row r="12422">
          <cell r="A12422" t="str">
            <v/>
          </cell>
        </row>
        <row r="12423">
          <cell r="A12423" t="str">
            <v/>
          </cell>
        </row>
        <row r="12424">
          <cell r="A12424" t="str">
            <v/>
          </cell>
        </row>
        <row r="12425">
          <cell r="A12425" t="str">
            <v/>
          </cell>
        </row>
        <row r="12426">
          <cell r="A12426" t="str">
            <v/>
          </cell>
        </row>
        <row r="12427">
          <cell r="A12427" t="str">
            <v/>
          </cell>
        </row>
        <row r="12428">
          <cell r="A12428" t="str">
            <v/>
          </cell>
        </row>
        <row r="12429">
          <cell r="A12429" t="str">
            <v/>
          </cell>
        </row>
        <row r="12430">
          <cell r="A12430" t="str">
            <v/>
          </cell>
        </row>
        <row r="12431">
          <cell r="A12431" t="str">
            <v/>
          </cell>
        </row>
        <row r="12432">
          <cell r="A12432" t="str">
            <v/>
          </cell>
        </row>
        <row r="12433">
          <cell r="A12433" t="str">
            <v/>
          </cell>
        </row>
        <row r="12434">
          <cell r="A12434" t="str">
            <v/>
          </cell>
        </row>
        <row r="12435">
          <cell r="A12435" t="str">
            <v/>
          </cell>
        </row>
        <row r="12436">
          <cell r="A12436" t="str">
            <v/>
          </cell>
        </row>
        <row r="12437">
          <cell r="A12437" t="str">
            <v/>
          </cell>
        </row>
        <row r="12438">
          <cell r="A12438" t="str">
            <v/>
          </cell>
        </row>
        <row r="12439">
          <cell r="A12439" t="str">
            <v/>
          </cell>
        </row>
        <row r="12440">
          <cell r="A12440" t="str">
            <v/>
          </cell>
        </row>
        <row r="12441">
          <cell r="A12441" t="str">
            <v/>
          </cell>
        </row>
        <row r="12442">
          <cell r="A12442" t="str">
            <v/>
          </cell>
        </row>
        <row r="12443">
          <cell r="A12443" t="str">
            <v/>
          </cell>
        </row>
        <row r="12444">
          <cell r="A12444" t="str">
            <v/>
          </cell>
        </row>
        <row r="12445">
          <cell r="A12445" t="str">
            <v/>
          </cell>
        </row>
        <row r="12446">
          <cell r="A12446" t="str">
            <v/>
          </cell>
        </row>
        <row r="12447">
          <cell r="A12447" t="str">
            <v/>
          </cell>
        </row>
        <row r="12448">
          <cell r="A12448" t="str">
            <v/>
          </cell>
        </row>
        <row r="12449">
          <cell r="A12449" t="str">
            <v/>
          </cell>
        </row>
        <row r="12450">
          <cell r="A12450" t="str">
            <v/>
          </cell>
        </row>
        <row r="12451">
          <cell r="A12451" t="str">
            <v/>
          </cell>
        </row>
        <row r="12452">
          <cell r="A12452" t="str">
            <v/>
          </cell>
        </row>
        <row r="12453">
          <cell r="A12453" t="str">
            <v/>
          </cell>
        </row>
        <row r="12454">
          <cell r="A12454" t="str">
            <v/>
          </cell>
        </row>
        <row r="12455">
          <cell r="A12455" t="str">
            <v/>
          </cell>
        </row>
        <row r="12456">
          <cell r="A12456" t="str">
            <v/>
          </cell>
        </row>
        <row r="12457">
          <cell r="A12457" t="str">
            <v/>
          </cell>
        </row>
        <row r="12458">
          <cell r="A12458" t="str">
            <v/>
          </cell>
        </row>
        <row r="12459">
          <cell r="A12459" t="str">
            <v/>
          </cell>
        </row>
        <row r="12460">
          <cell r="A12460" t="str">
            <v/>
          </cell>
        </row>
        <row r="12461">
          <cell r="A12461" t="str">
            <v/>
          </cell>
        </row>
        <row r="12462">
          <cell r="A12462" t="str">
            <v/>
          </cell>
        </row>
        <row r="12463">
          <cell r="A12463" t="str">
            <v/>
          </cell>
        </row>
        <row r="12464">
          <cell r="A12464" t="str">
            <v/>
          </cell>
        </row>
        <row r="12465">
          <cell r="A12465" t="str">
            <v/>
          </cell>
        </row>
        <row r="12466">
          <cell r="A12466" t="str">
            <v/>
          </cell>
        </row>
        <row r="12467">
          <cell r="A12467" t="str">
            <v/>
          </cell>
        </row>
        <row r="12468">
          <cell r="A12468" t="str">
            <v/>
          </cell>
        </row>
        <row r="12469">
          <cell r="A12469" t="str">
            <v/>
          </cell>
        </row>
        <row r="12470">
          <cell r="A12470" t="str">
            <v/>
          </cell>
        </row>
        <row r="12471">
          <cell r="A12471" t="str">
            <v/>
          </cell>
        </row>
        <row r="12472">
          <cell r="A12472" t="str">
            <v/>
          </cell>
        </row>
        <row r="12473">
          <cell r="A12473" t="str">
            <v/>
          </cell>
        </row>
        <row r="12474">
          <cell r="A12474" t="str">
            <v/>
          </cell>
        </row>
        <row r="12475">
          <cell r="A12475" t="str">
            <v/>
          </cell>
        </row>
        <row r="12476">
          <cell r="A12476" t="str">
            <v/>
          </cell>
        </row>
        <row r="12477">
          <cell r="A12477" t="str">
            <v/>
          </cell>
        </row>
        <row r="12478">
          <cell r="A12478" t="str">
            <v/>
          </cell>
        </row>
        <row r="12479">
          <cell r="A12479" t="str">
            <v/>
          </cell>
        </row>
        <row r="12480">
          <cell r="A12480" t="str">
            <v/>
          </cell>
        </row>
        <row r="12481">
          <cell r="A12481" t="str">
            <v/>
          </cell>
        </row>
        <row r="12482">
          <cell r="A12482" t="str">
            <v/>
          </cell>
        </row>
        <row r="12483">
          <cell r="A12483" t="str">
            <v/>
          </cell>
        </row>
        <row r="12484">
          <cell r="A12484" t="str">
            <v/>
          </cell>
        </row>
        <row r="12485">
          <cell r="A12485" t="str">
            <v/>
          </cell>
        </row>
        <row r="12486">
          <cell r="A12486" t="str">
            <v/>
          </cell>
        </row>
        <row r="12487">
          <cell r="A12487" t="str">
            <v/>
          </cell>
        </row>
        <row r="12488">
          <cell r="A12488" t="str">
            <v/>
          </cell>
        </row>
        <row r="12489">
          <cell r="A12489" t="str">
            <v/>
          </cell>
        </row>
        <row r="12490">
          <cell r="A12490" t="str">
            <v/>
          </cell>
        </row>
        <row r="12491">
          <cell r="A12491" t="str">
            <v/>
          </cell>
        </row>
        <row r="12492">
          <cell r="A12492" t="str">
            <v/>
          </cell>
        </row>
        <row r="12493">
          <cell r="A12493" t="str">
            <v/>
          </cell>
        </row>
        <row r="12494">
          <cell r="A12494" t="str">
            <v/>
          </cell>
        </row>
        <row r="12495">
          <cell r="A12495" t="str">
            <v/>
          </cell>
        </row>
        <row r="12496">
          <cell r="A12496" t="str">
            <v/>
          </cell>
        </row>
        <row r="12497">
          <cell r="A12497" t="str">
            <v/>
          </cell>
        </row>
        <row r="12498">
          <cell r="A12498" t="str">
            <v/>
          </cell>
        </row>
        <row r="12499">
          <cell r="A12499" t="str">
            <v/>
          </cell>
        </row>
        <row r="12500">
          <cell r="A12500" t="str">
            <v/>
          </cell>
        </row>
        <row r="12501">
          <cell r="A12501" t="str">
            <v/>
          </cell>
        </row>
        <row r="12502">
          <cell r="A12502" t="str">
            <v/>
          </cell>
        </row>
        <row r="12503">
          <cell r="A12503" t="str">
            <v/>
          </cell>
        </row>
        <row r="12504">
          <cell r="A12504" t="str">
            <v/>
          </cell>
        </row>
        <row r="12505">
          <cell r="A12505" t="str">
            <v/>
          </cell>
        </row>
        <row r="12506">
          <cell r="A12506" t="str">
            <v/>
          </cell>
        </row>
        <row r="12507">
          <cell r="A12507" t="str">
            <v/>
          </cell>
        </row>
        <row r="12508">
          <cell r="A12508" t="str">
            <v/>
          </cell>
        </row>
        <row r="12509">
          <cell r="A12509" t="str">
            <v/>
          </cell>
        </row>
        <row r="12510">
          <cell r="A12510" t="str">
            <v/>
          </cell>
        </row>
        <row r="12511">
          <cell r="A12511" t="str">
            <v/>
          </cell>
        </row>
        <row r="12512">
          <cell r="A12512" t="str">
            <v/>
          </cell>
        </row>
        <row r="12513">
          <cell r="A12513" t="str">
            <v/>
          </cell>
        </row>
        <row r="12514">
          <cell r="A12514" t="str">
            <v/>
          </cell>
        </row>
        <row r="12515">
          <cell r="A12515" t="str">
            <v/>
          </cell>
        </row>
        <row r="12516">
          <cell r="A12516" t="str">
            <v/>
          </cell>
        </row>
        <row r="12517">
          <cell r="A12517" t="str">
            <v/>
          </cell>
        </row>
        <row r="12518">
          <cell r="A12518" t="str">
            <v/>
          </cell>
        </row>
        <row r="12519">
          <cell r="A12519" t="str">
            <v/>
          </cell>
        </row>
        <row r="12520">
          <cell r="A12520" t="str">
            <v/>
          </cell>
        </row>
        <row r="12521">
          <cell r="A12521" t="str">
            <v/>
          </cell>
        </row>
        <row r="12522">
          <cell r="A12522" t="str">
            <v/>
          </cell>
        </row>
        <row r="12523">
          <cell r="A12523" t="str">
            <v/>
          </cell>
        </row>
        <row r="12524">
          <cell r="A12524" t="str">
            <v/>
          </cell>
        </row>
        <row r="12525">
          <cell r="A12525" t="str">
            <v/>
          </cell>
        </row>
        <row r="12526">
          <cell r="A12526" t="str">
            <v/>
          </cell>
        </row>
        <row r="12527">
          <cell r="A12527" t="str">
            <v/>
          </cell>
        </row>
        <row r="12528">
          <cell r="A12528" t="str">
            <v/>
          </cell>
        </row>
        <row r="12529">
          <cell r="A12529" t="str">
            <v/>
          </cell>
        </row>
        <row r="12530">
          <cell r="A12530" t="str">
            <v/>
          </cell>
        </row>
        <row r="12531">
          <cell r="A12531" t="str">
            <v/>
          </cell>
        </row>
        <row r="12532">
          <cell r="A12532" t="str">
            <v/>
          </cell>
        </row>
        <row r="12533">
          <cell r="A12533" t="str">
            <v/>
          </cell>
        </row>
        <row r="12534">
          <cell r="A12534" t="str">
            <v/>
          </cell>
        </row>
        <row r="12535">
          <cell r="A12535" t="str">
            <v/>
          </cell>
        </row>
        <row r="12536">
          <cell r="A12536" t="str">
            <v/>
          </cell>
        </row>
        <row r="12537">
          <cell r="A12537" t="str">
            <v/>
          </cell>
        </row>
        <row r="12538">
          <cell r="A12538" t="str">
            <v/>
          </cell>
        </row>
        <row r="12539">
          <cell r="A12539" t="str">
            <v/>
          </cell>
        </row>
        <row r="12540">
          <cell r="A12540" t="str">
            <v/>
          </cell>
        </row>
        <row r="12541">
          <cell r="A12541" t="str">
            <v/>
          </cell>
        </row>
        <row r="12542">
          <cell r="A12542" t="str">
            <v/>
          </cell>
        </row>
        <row r="12543">
          <cell r="A12543" t="str">
            <v/>
          </cell>
        </row>
        <row r="12544">
          <cell r="A12544" t="str">
            <v/>
          </cell>
        </row>
        <row r="12545">
          <cell r="A12545" t="str">
            <v/>
          </cell>
        </row>
        <row r="12546">
          <cell r="A12546" t="str">
            <v/>
          </cell>
        </row>
        <row r="12547">
          <cell r="A12547" t="str">
            <v/>
          </cell>
        </row>
        <row r="12548">
          <cell r="A12548" t="str">
            <v/>
          </cell>
        </row>
        <row r="12549">
          <cell r="A12549" t="str">
            <v/>
          </cell>
        </row>
        <row r="12550">
          <cell r="A12550" t="str">
            <v/>
          </cell>
        </row>
        <row r="12551">
          <cell r="A12551" t="str">
            <v/>
          </cell>
        </row>
        <row r="12552">
          <cell r="A12552" t="str">
            <v/>
          </cell>
        </row>
        <row r="12553">
          <cell r="A12553" t="str">
            <v/>
          </cell>
        </row>
        <row r="12554">
          <cell r="A12554" t="str">
            <v/>
          </cell>
        </row>
        <row r="12555">
          <cell r="A12555" t="str">
            <v/>
          </cell>
        </row>
        <row r="12556">
          <cell r="A12556" t="str">
            <v/>
          </cell>
        </row>
        <row r="12557">
          <cell r="A12557" t="str">
            <v/>
          </cell>
        </row>
        <row r="12558">
          <cell r="A12558" t="str">
            <v/>
          </cell>
        </row>
        <row r="12559">
          <cell r="A12559" t="str">
            <v/>
          </cell>
        </row>
        <row r="12560">
          <cell r="A12560" t="str">
            <v/>
          </cell>
        </row>
        <row r="12561">
          <cell r="A12561" t="str">
            <v/>
          </cell>
        </row>
        <row r="12562">
          <cell r="A12562" t="str">
            <v/>
          </cell>
        </row>
        <row r="12563">
          <cell r="A12563" t="str">
            <v/>
          </cell>
        </row>
        <row r="12564">
          <cell r="A12564" t="str">
            <v/>
          </cell>
        </row>
        <row r="12565">
          <cell r="A12565" t="str">
            <v/>
          </cell>
        </row>
        <row r="12566">
          <cell r="A12566" t="str">
            <v/>
          </cell>
        </row>
        <row r="12567">
          <cell r="A12567" t="str">
            <v/>
          </cell>
        </row>
        <row r="12568">
          <cell r="A12568" t="str">
            <v/>
          </cell>
        </row>
        <row r="12569">
          <cell r="A12569" t="str">
            <v/>
          </cell>
        </row>
        <row r="12570">
          <cell r="A12570" t="str">
            <v/>
          </cell>
        </row>
        <row r="12571">
          <cell r="A12571" t="str">
            <v/>
          </cell>
        </row>
        <row r="12572">
          <cell r="A12572" t="str">
            <v/>
          </cell>
        </row>
        <row r="12573">
          <cell r="A12573" t="str">
            <v/>
          </cell>
        </row>
        <row r="12574">
          <cell r="A12574" t="str">
            <v/>
          </cell>
        </row>
        <row r="12575">
          <cell r="A12575" t="str">
            <v/>
          </cell>
        </row>
        <row r="12576">
          <cell r="A12576" t="str">
            <v/>
          </cell>
        </row>
        <row r="12577">
          <cell r="A12577" t="str">
            <v/>
          </cell>
        </row>
        <row r="12578">
          <cell r="A12578" t="str">
            <v/>
          </cell>
        </row>
        <row r="12579">
          <cell r="A12579" t="str">
            <v/>
          </cell>
        </row>
        <row r="12580">
          <cell r="A12580" t="str">
            <v/>
          </cell>
        </row>
        <row r="12581">
          <cell r="A12581" t="str">
            <v/>
          </cell>
        </row>
        <row r="12582">
          <cell r="A12582" t="str">
            <v/>
          </cell>
        </row>
        <row r="12583">
          <cell r="A12583" t="str">
            <v/>
          </cell>
        </row>
        <row r="12584">
          <cell r="A12584" t="str">
            <v/>
          </cell>
        </row>
        <row r="12585">
          <cell r="A12585" t="str">
            <v/>
          </cell>
        </row>
        <row r="12586">
          <cell r="A12586" t="str">
            <v/>
          </cell>
        </row>
        <row r="12587">
          <cell r="A12587" t="str">
            <v/>
          </cell>
        </row>
        <row r="12588">
          <cell r="A12588" t="str">
            <v/>
          </cell>
        </row>
        <row r="12589">
          <cell r="A12589" t="str">
            <v/>
          </cell>
        </row>
        <row r="12590">
          <cell r="A12590" t="str">
            <v/>
          </cell>
        </row>
        <row r="12591">
          <cell r="A12591" t="str">
            <v/>
          </cell>
        </row>
        <row r="12592">
          <cell r="A12592" t="str">
            <v/>
          </cell>
        </row>
        <row r="12593">
          <cell r="A12593" t="str">
            <v/>
          </cell>
        </row>
        <row r="12594">
          <cell r="A12594" t="str">
            <v/>
          </cell>
        </row>
        <row r="12595">
          <cell r="A12595" t="str">
            <v/>
          </cell>
        </row>
        <row r="12596">
          <cell r="A12596" t="str">
            <v/>
          </cell>
        </row>
        <row r="12597">
          <cell r="A12597" t="str">
            <v/>
          </cell>
        </row>
        <row r="12598">
          <cell r="A12598" t="str">
            <v/>
          </cell>
        </row>
        <row r="12599">
          <cell r="A12599" t="str">
            <v/>
          </cell>
        </row>
        <row r="12600">
          <cell r="A12600" t="str">
            <v/>
          </cell>
        </row>
        <row r="12601">
          <cell r="A12601" t="str">
            <v/>
          </cell>
        </row>
        <row r="12602">
          <cell r="A12602" t="str">
            <v/>
          </cell>
        </row>
        <row r="12603">
          <cell r="A12603" t="str">
            <v/>
          </cell>
        </row>
        <row r="12604">
          <cell r="A12604" t="str">
            <v/>
          </cell>
        </row>
        <row r="12605">
          <cell r="A12605" t="str">
            <v/>
          </cell>
        </row>
        <row r="12606">
          <cell r="A12606" t="str">
            <v/>
          </cell>
        </row>
        <row r="12607">
          <cell r="A12607" t="str">
            <v/>
          </cell>
        </row>
        <row r="12608">
          <cell r="A12608" t="str">
            <v/>
          </cell>
        </row>
        <row r="12609">
          <cell r="A12609" t="str">
            <v/>
          </cell>
        </row>
        <row r="12610">
          <cell r="A12610" t="str">
            <v/>
          </cell>
        </row>
        <row r="12611">
          <cell r="A12611" t="str">
            <v/>
          </cell>
        </row>
        <row r="12612">
          <cell r="A12612" t="str">
            <v/>
          </cell>
        </row>
        <row r="12613">
          <cell r="A12613" t="str">
            <v/>
          </cell>
        </row>
        <row r="12614">
          <cell r="A12614" t="str">
            <v/>
          </cell>
        </row>
        <row r="12615">
          <cell r="A12615" t="str">
            <v/>
          </cell>
        </row>
        <row r="12616">
          <cell r="A12616" t="str">
            <v/>
          </cell>
        </row>
        <row r="12617">
          <cell r="A12617" t="str">
            <v/>
          </cell>
        </row>
        <row r="12618">
          <cell r="A12618" t="str">
            <v/>
          </cell>
        </row>
        <row r="12619">
          <cell r="A12619" t="str">
            <v/>
          </cell>
        </row>
        <row r="12620">
          <cell r="A12620" t="str">
            <v/>
          </cell>
        </row>
        <row r="12621">
          <cell r="A12621" t="str">
            <v/>
          </cell>
        </row>
        <row r="12622">
          <cell r="A12622" t="str">
            <v/>
          </cell>
        </row>
        <row r="12623">
          <cell r="A12623" t="str">
            <v/>
          </cell>
        </row>
        <row r="12624">
          <cell r="A12624" t="str">
            <v/>
          </cell>
        </row>
        <row r="12625">
          <cell r="A12625" t="str">
            <v/>
          </cell>
        </row>
        <row r="12626">
          <cell r="A12626" t="str">
            <v/>
          </cell>
        </row>
        <row r="12627">
          <cell r="A12627" t="str">
            <v/>
          </cell>
        </row>
        <row r="12628">
          <cell r="A12628" t="str">
            <v/>
          </cell>
        </row>
        <row r="12629">
          <cell r="A12629" t="str">
            <v/>
          </cell>
        </row>
        <row r="12630">
          <cell r="A12630" t="str">
            <v/>
          </cell>
        </row>
        <row r="12631">
          <cell r="A12631" t="str">
            <v/>
          </cell>
        </row>
        <row r="12632">
          <cell r="A12632" t="str">
            <v/>
          </cell>
        </row>
        <row r="12633">
          <cell r="A12633" t="str">
            <v/>
          </cell>
        </row>
        <row r="12634">
          <cell r="A12634" t="str">
            <v/>
          </cell>
        </row>
        <row r="12635">
          <cell r="A12635" t="str">
            <v/>
          </cell>
        </row>
        <row r="12636">
          <cell r="A12636" t="str">
            <v/>
          </cell>
        </row>
        <row r="12637">
          <cell r="A12637" t="str">
            <v/>
          </cell>
        </row>
        <row r="12638">
          <cell r="A12638" t="str">
            <v/>
          </cell>
        </row>
        <row r="12639">
          <cell r="A12639" t="str">
            <v/>
          </cell>
        </row>
        <row r="12640">
          <cell r="A12640" t="str">
            <v/>
          </cell>
        </row>
        <row r="12641">
          <cell r="A12641" t="str">
            <v/>
          </cell>
        </row>
        <row r="12642">
          <cell r="A12642" t="str">
            <v/>
          </cell>
        </row>
        <row r="12643">
          <cell r="A12643" t="str">
            <v/>
          </cell>
        </row>
        <row r="12644">
          <cell r="A12644" t="str">
            <v/>
          </cell>
        </row>
        <row r="12645">
          <cell r="A12645" t="str">
            <v/>
          </cell>
        </row>
        <row r="12646">
          <cell r="A12646" t="str">
            <v/>
          </cell>
        </row>
        <row r="12647">
          <cell r="A12647" t="str">
            <v/>
          </cell>
        </row>
        <row r="12648">
          <cell r="A12648" t="str">
            <v/>
          </cell>
        </row>
        <row r="12649">
          <cell r="A12649" t="str">
            <v/>
          </cell>
        </row>
        <row r="12650">
          <cell r="A12650" t="str">
            <v/>
          </cell>
        </row>
        <row r="12651">
          <cell r="A12651" t="str">
            <v/>
          </cell>
        </row>
        <row r="12652">
          <cell r="A12652" t="str">
            <v/>
          </cell>
        </row>
        <row r="12653">
          <cell r="A12653" t="str">
            <v/>
          </cell>
        </row>
        <row r="12654">
          <cell r="A12654" t="str">
            <v/>
          </cell>
        </row>
        <row r="12655">
          <cell r="A12655" t="str">
            <v/>
          </cell>
        </row>
        <row r="12656">
          <cell r="A12656" t="str">
            <v/>
          </cell>
        </row>
        <row r="12657">
          <cell r="A12657" t="str">
            <v/>
          </cell>
        </row>
        <row r="12658">
          <cell r="A12658" t="str">
            <v/>
          </cell>
        </row>
        <row r="12659">
          <cell r="A12659" t="str">
            <v/>
          </cell>
        </row>
        <row r="12660">
          <cell r="A12660" t="str">
            <v/>
          </cell>
        </row>
        <row r="12661">
          <cell r="A12661" t="str">
            <v/>
          </cell>
        </row>
        <row r="12662">
          <cell r="A12662" t="str">
            <v/>
          </cell>
        </row>
        <row r="12663">
          <cell r="A12663" t="str">
            <v/>
          </cell>
        </row>
        <row r="12664">
          <cell r="A12664" t="str">
            <v/>
          </cell>
        </row>
        <row r="12665">
          <cell r="A12665" t="str">
            <v/>
          </cell>
        </row>
        <row r="12666">
          <cell r="A12666" t="str">
            <v/>
          </cell>
        </row>
        <row r="12667">
          <cell r="A12667" t="str">
            <v/>
          </cell>
        </row>
        <row r="12668">
          <cell r="A12668" t="str">
            <v/>
          </cell>
        </row>
        <row r="12669">
          <cell r="A12669" t="str">
            <v/>
          </cell>
        </row>
        <row r="12670">
          <cell r="A12670" t="str">
            <v/>
          </cell>
        </row>
        <row r="12671">
          <cell r="A12671" t="str">
            <v/>
          </cell>
        </row>
        <row r="12672">
          <cell r="A12672" t="str">
            <v/>
          </cell>
        </row>
        <row r="12673">
          <cell r="A12673" t="str">
            <v/>
          </cell>
        </row>
        <row r="12674">
          <cell r="A12674" t="str">
            <v/>
          </cell>
        </row>
        <row r="12675">
          <cell r="A12675" t="str">
            <v/>
          </cell>
        </row>
        <row r="12676">
          <cell r="A12676" t="str">
            <v/>
          </cell>
        </row>
        <row r="12677">
          <cell r="A12677" t="str">
            <v/>
          </cell>
        </row>
        <row r="12678">
          <cell r="A12678" t="str">
            <v/>
          </cell>
        </row>
        <row r="12679">
          <cell r="A12679" t="str">
            <v/>
          </cell>
        </row>
        <row r="12680">
          <cell r="A12680" t="str">
            <v/>
          </cell>
        </row>
        <row r="12681">
          <cell r="A12681" t="str">
            <v/>
          </cell>
        </row>
        <row r="12682">
          <cell r="A12682" t="str">
            <v/>
          </cell>
        </row>
        <row r="12683">
          <cell r="A12683" t="str">
            <v/>
          </cell>
        </row>
        <row r="12684">
          <cell r="A12684" t="str">
            <v/>
          </cell>
        </row>
        <row r="12685">
          <cell r="A12685" t="str">
            <v/>
          </cell>
        </row>
        <row r="12686">
          <cell r="A12686" t="str">
            <v/>
          </cell>
        </row>
        <row r="12687">
          <cell r="A12687" t="str">
            <v/>
          </cell>
        </row>
        <row r="12688">
          <cell r="A12688" t="str">
            <v/>
          </cell>
        </row>
        <row r="12689">
          <cell r="A12689" t="str">
            <v/>
          </cell>
        </row>
        <row r="12690">
          <cell r="A12690" t="str">
            <v/>
          </cell>
        </row>
        <row r="12691">
          <cell r="A12691" t="str">
            <v/>
          </cell>
        </row>
        <row r="12692">
          <cell r="A12692" t="str">
            <v/>
          </cell>
        </row>
        <row r="12693">
          <cell r="A12693" t="str">
            <v/>
          </cell>
        </row>
        <row r="12694">
          <cell r="A12694" t="str">
            <v/>
          </cell>
        </row>
        <row r="12695">
          <cell r="A12695" t="str">
            <v/>
          </cell>
        </row>
        <row r="12696">
          <cell r="A12696" t="str">
            <v/>
          </cell>
        </row>
        <row r="12697">
          <cell r="A12697" t="str">
            <v/>
          </cell>
        </row>
        <row r="12698">
          <cell r="A12698" t="str">
            <v/>
          </cell>
        </row>
        <row r="12699">
          <cell r="A12699" t="str">
            <v/>
          </cell>
        </row>
        <row r="12700">
          <cell r="A12700" t="str">
            <v/>
          </cell>
        </row>
        <row r="12701">
          <cell r="A12701" t="str">
            <v/>
          </cell>
        </row>
        <row r="12702">
          <cell r="A12702" t="str">
            <v/>
          </cell>
        </row>
        <row r="12703">
          <cell r="A12703" t="str">
            <v/>
          </cell>
        </row>
        <row r="12704">
          <cell r="A12704" t="str">
            <v/>
          </cell>
        </row>
        <row r="12705">
          <cell r="A12705" t="str">
            <v/>
          </cell>
        </row>
        <row r="12706">
          <cell r="A12706" t="str">
            <v/>
          </cell>
        </row>
        <row r="12707">
          <cell r="A12707" t="str">
            <v/>
          </cell>
        </row>
        <row r="12708">
          <cell r="A12708" t="str">
            <v/>
          </cell>
        </row>
        <row r="12709">
          <cell r="A12709" t="str">
            <v/>
          </cell>
        </row>
        <row r="12710">
          <cell r="A12710" t="str">
            <v/>
          </cell>
        </row>
        <row r="12711">
          <cell r="A12711" t="str">
            <v/>
          </cell>
        </row>
        <row r="12712">
          <cell r="A12712" t="str">
            <v/>
          </cell>
        </row>
        <row r="12713">
          <cell r="A12713" t="str">
            <v/>
          </cell>
        </row>
        <row r="12714">
          <cell r="A12714" t="str">
            <v/>
          </cell>
        </row>
        <row r="12715">
          <cell r="A12715" t="str">
            <v/>
          </cell>
        </row>
        <row r="12716">
          <cell r="A12716" t="str">
            <v/>
          </cell>
        </row>
        <row r="12717">
          <cell r="A12717" t="str">
            <v/>
          </cell>
        </row>
        <row r="12718">
          <cell r="A12718" t="str">
            <v/>
          </cell>
        </row>
        <row r="12719">
          <cell r="A12719" t="str">
            <v/>
          </cell>
        </row>
        <row r="12720">
          <cell r="A12720" t="str">
            <v/>
          </cell>
        </row>
        <row r="12721">
          <cell r="A12721" t="str">
            <v/>
          </cell>
        </row>
        <row r="12722">
          <cell r="A12722" t="str">
            <v/>
          </cell>
        </row>
        <row r="12723">
          <cell r="A12723" t="str">
            <v/>
          </cell>
        </row>
        <row r="12724">
          <cell r="A12724" t="str">
            <v/>
          </cell>
        </row>
        <row r="12725">
          <cell r="A12725" t="str">
            <v/>
          </cell>
        </row>
        <row r="12726">
          <cell r="A12726" t="str">
            <v/>
          </cell>
        </row>
        <row r="12727">
          <cell r="A12727" t="str">
            <v/>
          </cell>
        </row>
        <row r="12728">
          <cell r="A12728" t="str">
            <v/>
          </cell>
        </row>
        <row r="12729">
          <cell r="A12729" t="str">
            <v/>
          </cell>
        </row>
        <row r="12730">
          <cell r="A12730" t="str">
            <v/>
          </cell>
        </row>
        <row r="12731">
          <cell r="A12731" t="str">
            <v/>
          </cell>
        </row>
        <row r="12732">
          <cell r="A12732" t="str">
            <v/>
          </cell>
        </row>
        <row r="12733">
          <cell r="A12733" t="str">
            <v/>
          </cell>
        </row>
        <row r="12734">
          <cell r="A12734" t="str">
            <v/>
          </cell>
        </row>
        <row r="12735">
          <cell r="A12735" t="str">
            <v/>
          </cell>
        </row>
        <row r="12736">
          <cell r="A12736" t="str">
            <v/>
          </cell>
        </row>
        <row r="12737">
          <cell r="A12737" t="str">
            <v/>
          </cell>
        </row>
        <row r="12738">
          <cell r="A12738" t="str">
            <v/>
          </cell>
        </row>
        <row r="12739">
          <cell r="A12739" t="str">
            <v/>
          </cell>
        </row>
        <row r="12740">
          <cell r="A12740" t="str">
            <v/>
          </cell>
        </row>
        <row r="12741">
          <cell r="A12741" t="str">
            <v/>
          </cell>
        </row>
        <row r="12742">
          <cell r="A12742" t="str">
            <v/>
          </cell>
        </row>
        <row r="12743">
          <cell r="A12743" t="str">
            <v/>
          </cell>
        </row>
        <row r="12744">
          <cell r="A12744" t="str">
            <v/>
          </cell>
        </row>
        <row r="12745">
          <cell r="A12745" t="str">
            <v/>
          </cell>
        </row>
        <row r="12746">
          <cell r="A12746" t="str">
            <v/>
          </cell>
        </row>
        <row r="12747">
          <cell r="A12747" t="str">
            <v/>
          </cell>
        </row>
        <row r="12748">
          <cell r="A12748" t="str">
            <v/>
          </cell>
        </row>
        <row r="12749">
          <cell r="A12749" t="str">
            <v/>
          </cell>
        </row>
        <row r="12750">
          <cell r="A12750" t="str">
            <v/>
          </cell>
        </row>
        <row r="12751">
          <cell r="A12751" t="str">
            <v/>
          </cell>
        </row>
        <row r="12752">
          <cell r="A12752" t="str">
            <v/>
          </cell>
        </row>
        <row r="12753">
          <cell r="A12753" t="str">
            <v/>
          </cell>
        </row>
        <row r="12754">
          <cell r="A12754" t="str">
            <v/>
          </cell>
        </row>
        <row r="12755">
          <cell r="A12755" t="str">
            <v/>
          </cell>
        </row>
        <row r="12756">
          <cell r="A12756" t="str">
            <v/>
          </cell>
        </row>
        <row r="12757">
          <cell r="A12757" t="str">
            <v/>
          </cell>
        </row>
        <row r="12758">
          <cell r="A12758" t="str">
            <v/>
          </cell>
        </row>
        <row r="12759">
          <cell r="A12759" t="str">
            <v/>
          </cell>
        </row>
        <row r="12760">
          <cell r="A12760" t="str">
            <v/>
          </cell>
        </row>
        <row r="12761">
          <cell r="A12761" t="str">
            <v/>
          </cell>
        </row>
        <row r="12762">
          <cell r="A12762" t="str">
            <v/>
          </cell>
        </row>
        <row r="12763">
          <cell r="A12763" t="str">
            <v/>
          </cell>
        </row>
        <row r="12764">
          <cell r="A12764" t="str">
            <v/>
          </cell>
        </row>
        <row r="12765">
          <cell r="A12765" t="str">
            <v/>
          </cell>
        </row>
        <row r="12766">
          <cell r="A12766" t="str">
            <v/>
          </cell>
        </row>
        <row r="12767">
          <cell r="A12767" t="str">
            <v/>
          </cell>
        </row>
        <row r="12768">
          <cell r="A12768" t="str">
            <v/>
          </cell>
        </row>
        <row r="12769">
          <cell r="A12769" t="str">
            <v/>
          </cell>
        </row>
        <row r="12770">
          <cell r="A12770" t="str">
            <v/>
          </cell>
        </row>
        <row r="12771">
          <cell r="A12771" t="str">
            <v/>
          </cell>
        </row>
        <row r="12772">
          <cell r="A12772" t="str">
            <v/>
          </cell>
        </row>
        <row r="12773">
          <cell r="A12773" t="str">
            <v/>
          </cell>
        </row>
        <row r="12774">
          <cell r="A12774" t="str">
            <v/>
          </cell>
        </row>
        <row r="12775">
          <cell r="A12775" t="str">
            <v/>
          </cell>
        </row>
        <row r="12776">
          <cell r="A12776" t="str">
            <v/>
          </cell>
        </row>
        <row r="12777">
          <cell r="A12777" t="str">
            <v/>
          </cell>
        </row>
        <row r="12778">
          <cell r="A12778" t="str">
            <v/>
          </cell>
        </row>
        <row r="12779">
          <cell r="A12779" t="str">
            <v/>
          </cell>
        </row>
        <row r="12780">
          <cell r="A12780" t="str">
            <v/>
          </cell>
        </row>
        <row r="12781">
          <cell r="A12781" t="str">
            <v/>
          </cell>
        </row>
        <row r="12782">
          <cell r="A12782" t="str">
            <v/>
          </cell>
        </row>
        <row r="12783">
          <cell r="A12783" t="str">
            <v/>
          </cell>
        </row>
        <row r="12784">
          <cell r="A12784" t="str">
            <v/>
          </cell>
        </row>
        <row r="12785">
          <cell r="A12785" t="str">
            <v/>
          </cell>
        </row>
        <row r="12786">
          <cell r="A12786" t="str">
            <v/>
          </cell>
        </row>
        <row r="12787">
          <cell r="A12787" t="str">
            <v/>
          </cell>
        </row>
        <row r="12788">
          <cell r="A12788" t="str">
            <v/>
          </cell>
        </row>
        <row r="12789">
          <cell r="A12789" t="str">
            <v/>
          </cell>
        </row>
        <row r="12790">
          <cell r="A12790" t="str">
            <v/>
          </cell>
        </row>
        <row r="12791">
          <cell r="A12791" t="str">
            <v/>
          </cell>
        </row>
        <row r="12792">
          <cell r="A12792" t="str">
            <v/>
          </cell>
        </row>
        <row r="12793">
          <cell r="A12793" t="str">
            <v/>
          </cell>
        </row>
        <row r="12794">
          <cell r="A12794" t="str">
            <v/>
          </cell>
        </row>
        <row r="12795">
          <cell r="A12795" t="str">
            <v/>
          </cell>
        </row>
        <row r="12796">
          <cell r="A12796" t="str">
            <v/>
          </cell>
        </row>
        <row r="12797">
          <cell r="A12797" t="str">
            <v/>
          </cell>
        </row>
        <row r="12798">
          <cell r="A12798" t="str">
            <v/>
          </cell>
        </row>
        <row r="12799">
          <cell r="A12799" t="str">
            <v/>
          </cell>
        </row>
        <row r="12800">
          <cell r="A12800" t="str">
            <v/>
          </cell>
        </row>
        <row r="12801">
          <cell r="A12801" t="str">
            <v/>
          </cell>
        </row>
        <row r="12802">
          <cell r="A12802" t="str">
            <v/>
          </cell>
        </row>
        <row r="12803">
          <cell r="A12803" t="str">
            <v/>
          </cell>
        </row>
        <row r="12804">
          <cell r="A12804" t="str">
            <v/>
          </cell>
        </row>
        <row r="12805">
          <cell r="A12805" t="str">
            <v/>
          </cell>
        </row>
        <row r="12806">
          <cell r="A12806" t="str">
            <v/>
          </cell>
        </row>
        <row r="12807">
          <cell r="A12807" t="str">
            <v/>
          </cell>
        </row>
        <row r="12808">
          <cell r="A12808" t="str">
            <v/>
          </cell>
        </row>
        <row r="12809">
          <cell r="A12809" t="str">
            <v/>
          </cell>
        </row>
        <row r="12810">
          <cell r="A12810" t="str">
            <v/>
          </cell>
        </row>
        <row r="12811">
          <cell r="A12811" t="str">
            <v/>
          </cell>
        </row>
        <row r="12812">
          <cell r="A12812" t="str">
            <v/>
          </cell>
        </row>
        <row r="12813">
          <cell r="A12813" t="str">
            <v/>
          </cell>
        </row>
        <row r="12814">
          <cell r="A12814" t="str">
            <v/>
          </cell>
        </row>
        <row r="12815">
          <cell r="A12815" t="str">
            <v/>
          </cell>
        </row>
        <row r="12816">
          <cell r="A12816" t="str">
            <v/>
          </cell>
        </row>
        <row r="12817">
          <cell r="A12817" t="str">
            <v/>
          </cell>
        </row>
        <row r="12818">
          <cell r="A12818" t="str">
            <v/>
          </cell>
        </row>
        <row r="12819">
          <cell r="A12819" t="str">
            <v/>
          </cell>
        </row>
        <row r="12820">
          <cell r="A12820" t="str">
            <v/>
          </cell>
        </row>
        <row r="12821">
          <cell r="A12821" t="str">
            <v/>
          </cell>
        </row>
        <row r="12822">
          <cell r="A12822" t="str">
            <v/>
          </cell>
        </row>
        <row r="12823">
          <cell r="A12823" t="str">
            <v/>
          </cell>
        </row>
        <row r="12824">
          <cell r="A12824" t="str">
            <v/>
          </cell>
        </row>
        <row r="12825">
          <cell r="A12825" t="str">
            <v/>
          </cell>
        </row>
        <row r="12826">
          <cell r="A12826" t="str">
            <v/>
          </cell>
        </row>
        <row r="12827">
          <cell r="A12827" t="str">
            <v/>
          </cell>
        </row>
        <row r="12828">
          <cell r="A12828" t="str">
            <v/>
          </cell>
        </row>
        <row r="12829">
          <cell r="A12829" t="str">
            <v/>
          </cell>
        </row>
        <row r="12830">
          <cell r="A12830" t="str">
            <v/>
          </cell>
        </row>
        <row r="12831">
          <cell r="A12831" t="str">
            <v/>
          </cell>
        </row>
        <row r="12832">
          <cell r="A12832" t="str">
            <v/>
          </cell>
        </row>
        <row r="12833">
          <cell r="A12833" t="str">
            <v/>
          </cell>
        </row>
        <row r="12834">
          <cell r="A12834" t="str">
            <v/>
          </cell>
        </row>
        <row r="12835">
          <cell r="A12835" t="str">
            <v/>
          </cell>
        </row>
        <row r="12836">
          <cell r="A12836" t="str">
            <v/>
          </cell>
        </row>
        <row r="12837">
          <cell r="A12837" t="str">
            <v/>
          </cell>
        </row>
        <row r="12838">
          <cell r="A12838" t="str">
            <v/>
          </cell>
        </row>
        <row r="12839">
          <cell r="A12839" t="str">
            <v/>
          </cell>
        </row>
        <row r="12840">
          <cell r="A12840" t="str">
            <v/>
          </cell>
        </row>
        <row r="12841">
          <cell r="A12841" t="str">
            <v/>
          </cell>
        </row>
        <row r="12842">
          <cell r="A12842" t="str">
            <v/>
          </cell>
        </row>
        <row r="12843">
          <cell r="A12843" t="str">
            <v/>
          </cell>
        </row>
        <row r="12844">
          <cell r="A12844" t="str">
            <v/>
          </cell>
        </row>
        <row r="12845">
          <cell r="A12845" t="str">
            <v/>
          </cell>
        </row>
        <row r="12846">
          <cell r="A12846" t="str">
            <v/>
          </cell>
        </row>
        <row r="12847">
          <cell r="A12847" t="str">
            <v/>
          </cell>
        </row>
        <row r="12848">
          <cell r="A12848" t="str">
            <v/>
          </cell>
        </row>
        <row r="12849">
          <cell r="A12849" t="str">
            <v/>
          </cell>
        </row>
        <row r="12850">
          <cell r="A12850" t="str">
            <v/>
          </cell>
        </row>
        <row r="12851">
          <cell r="A12851" t="str">
            <v/>
          </cell>
        </row>
        <row r="12852">
          <cell r="A12852" t="str">
            <v/>
          </cell>
        </row>
        <row r="12853">
          <cell r="A12853" t="str">
            <v/>
          </cell>
        </row>
        <row r="12854">
          <cell r="A12854" t="str">
            <v/>
          </cell>
        </row>
        <row r="12855">
          <cell r="A12855" t="str">
            <v/>
          </cell>
        </row>
        <row r="12856">
          <cell r="A12856" t="str">
            <v/>
          </cell>
        </row>
        <row r="12857">
          <cell r="A12857" t="str">
            <v/>
          </cell>
        </row>
        <row r="12858">
          <cell r="A12858" t="str">
            <v/>
          </cell>
        </row>
        <row r="12859">
          <cell r="A12859" t="str">
            <v/>
          </cell>
        </row>
        <row r="12860">
          <cell r="A12860" t="str">
            <v/>
          </cell>
        </row>
        <row r="12861">
          <cell r="A12861" t="str">
            <v/>
          </cell>
        </row>
        <row r="12862">
          <cell r="A12862" t="str">
            <v/>
          </cell>
        </row>
        <row r="12863">
          <cell r="A12863" t="str">
            <v/>
          </cell>
        </row>
        <row r="12864">
          <cell r="A12864" t="str">
            <v/>
          </cell>
        </row>
        <row r="12865">
          <cell r="A12865" t="str">
            <v/>
          </cell>
        </row>
        <row r="12866">
          <cell r="A12866" t="str">
            <v/>
          </cell>
        </row>
        <row r="12867">
          <cell r="A12867" t="str">
            <v/>
          </cell>
        </row>
        <row r="12868">
          <cell r="A12868" t="str">
            <v/>
          </cell>
        </row>
        <row r="12869">
          <cell r="A12869" t="str">
            <v/>
          </cell>
        </row>
        <row r="12870">
          <cell r="A12870" t="str">
            <v/>
          </cell>
        </row>
        <row r="12871">
          <cell r="A12871" t="str">
            <v/>
          </cell>
        </row>
        <row r="12872">
          <cell r="A12872" t="str">
            <v/>
          </cell>
        </row>
        <row r="12873">
          <cell r="A12873" t="str">
            <v/>
          </cell>
        </row>
        <row r="12874">
          <cell r="A12874" t="str">
            <v/>
          </cell>
        </row>
        <row r="12875">
          <cell r="A12875" t="str">
            <v/>
          </cell>
        </row>
        <row r="12876">
          <cell r="A12876" t="str">
            <v/>
          </cell>
        </row>
        <row r="12877">
          <cell r="A12877" t="str">
            <v/>
          </cell>
        </row>
        <row r="12878">
          <cell r="A12878" t="str">
            <v/>
          </cell>
        </row>
        <row r="12879">
          <cell r="A12879" t="str">
            <v/>
          </cell>
        </row>
        <row r="12880">
          <cell r="A12880" t="str">
            <v/>
          </cell>
        </row>
        <row r="12881">
          <cell r="A12881" t="str">
            <v/>
          </cell>
        </row>
        <row r="12882">
          <cell r="A12882" t="str">
            <v/>
          </cell>
        </row>
        <row r="12883">
          <cell r="A12883" t="str">
            <v/>
          </cell>
        </row>
        <row r="12884">
          <cell r="A12884" t="str">
            <v/>
          </cell>
        </row>
        <row r="12885">
          <cell r="A12885" t="str">
            <v/>
          </cell>
        </row>
        <row r="12886">
          <cell r="A12886" t="str">
            <v/>
          </cell>
        </row>
        <row r="12887">
          <cell r="A12887" t="str">
            <v/>
          </cell>
        </row>
        <row r="12888">
          <cell r="A12888" t="str">
            <v/>
          </cell>
        </row>
        <row r="12889">
          <cell r="A12889" t="str">
            <v/>
          </cell>
        </row>
        <row r="12890">
          <cell r="A12890" t="str">
            <v/>
          </cell>
        </row>
        <row r="12891">
          <cell r="A12891" t="str">
            <v/>
          </cell>
        </row>
        <row r="12892">
          <cell r="A12892" t="str">
            <v/>
          </cell>
        </row>
        <row r="12893">
          <cell r="A12893" t="str">
            <v/>
          </cell>
        </row>
        <row r="12894">
          <cell r="A12894" t="str">
            <v/>
          </cell>
        </row>
        <row r="12895">
          <cell r="A12895" t="str">
            <v/>
          </cell>
        </row>
        <row r="12896">
          <cell r="A12896" t="str">
            <v/>
          </cell>
        </row>
        <row r="12897">
          <cell r="A12897" t="str">
            <v/>
          </cell>
        </row>
        <row r="12898">
          <cell r="A12898" t="str">
            <v/>
          </cell>
        </row>
        <row r="12899">
          <cell r="A12899" t="str">
            <v/>
          </cell>
        </row>
        <row r="12900">
          <cell r="A12900" t="str">
            <v/>
          </cell>
        </row>
        <row r="12901">
          <cell r="A12901" t="str">
            <v/>
          </cell>
        </row>
        <row r="12902">
          <cell r="A12902" t="str">
            <v/>
          </cell>
        </row>
        <row r="12903">
          <cell r="A12903" t="str">
            <v/>
          </cell>
        </row>
        <row r="12904">
          <cell r="A12904" t="str">
            <v/>
          </cell>
        </row>
        <row r="12905">
          <cell r="A12905" t="str">
            <v/>
          </cell>
        </row>
        <row r="12906">
          <cell r="A12906" t="str">
            <v/>
          </cell>
        </row>
        <row r="12907">
          <cell r="A12907" t="str">
            <v/>
          </cell>
        </row>
        <row r="12908">
          <cell r="A12908" t="str">
            <v/>
          </cell>
        </row>
        <row r="12909">
          <cell r="A12909" t="str">
            <v/>
          </cell>
        </row>
        <row r="12910">
          <cell r="A12910" t="str">
            <v/>
          </cell>
        </row>
        <row r="12911">
          <cell r="A12911" t="str">
            <v/>
          </cell>
        </row>
        <row r="12912">
          <cell r="A12912" t="str">
            <v/>
          </cell>
        </row>
        <row r="12913">
          <cell r="A12913" t="str">
            <v/>
          </cell>
        </row>
        <row r="12914">
          <cell r="A12914" t="str">
            <v/>
          </cell>
        </row>
        <row r="12915">
          <cell r="A12915" t="str">
            <v/>
          </cell>
        </row>
        <row r="12916">
          <cell r="A12916" t="str">
            <v/>
          </cell>
        </row>
        <row r="12917">
          <cell r="A12917" t="str">
            <v/>
          </cell>
        </row>
        <row r="12918">
          <cell r="A12918" t="str">
            <v/>
          </cell>
        </row>
        <row r="12919">
          <cell r="A12919" t="str">
            <v/>
          </cell>
        </row>
        <row r="12920">
          <cell r="A12920" t="str">
            <v/>
          </cell>
        </row>
        <row r="12921">
          <cell r="A12921" t="str">
            <v/>
          </cell>
        </row>
        <row r="12922">
          <cell r="A12922" t="str">
            <v/>
          </cell>
        </row>
        <row r="12923">
          <cell r="A12923" t="str">
            <v/>
          </cell>
        </row>
        <row r="12924">
          <cell r="A12924" t="str">
            <v/>
          </cell>
        </row>
        <row r="12925">
          <cell r="A12925" t="str">
            <v/>
          </cell>
        </row>
        <row r="12926">
          <cell r="A12926" t="str">
            <v/>
          </cell>
        </row>
        <row r="12927">
          <cell r="A12927" t="str">
            <v/>
          </cell>
        </row>
        <row r="12928">
          <cell r="A12928" t="str">
            <v/>
          </cell>
        </row>
        <row r="12929">
          <cell r="A12929" t="str">
            <v/>
          </cell>
        </row>
        <row r="12930">
          <cell r="A12930" t="str">
            <v/>
          </cell>
        </row>
        <row r="12931">
          <cell r="A12931" t="str">
            <v/>
          </cell>
        </row>
        <row r="12932">
          <cell r="A12932" t="str">
            <v/>
          </cell>
        </row>
        <row r="12933">
          <cell r="A12933" t="str">
            <v/>
          </cell>
        </row>
        <row r="12934">
          <cell r="A12934" t="str">
            <v/>
          </cell>
        </row>
        <row r="12935">
          <cell r="A12935" t="str">
            <v/>
          </cell>
        </row>
        <row r="12936">
          <cell r="A12936" t="str">
            <v/>
          </cell>
        </row>
        <row r="12937">
          <cell r="A12937" t="str">
            <v/>
          </cell>
        </row>
        <row r="12938">
          <cell r="A12938" t="str">
            <v/>
          </cell>
        </row>
        <row r="12939">
          <cell r="A12939" t="str">
            <v/>
          </cell>
        </row>
        <row r="12940">
          <cell r="A12940" t="str">
            <v/>
          </cell>
        </row>
        <row r="12941">
          <cell r="A12941" t="str">
            <v/>
          </cell>
        </row>
        <row r="12942">
          <cell r="A12942" t="str">
            <v/>
          </cell>
        </row>
        <row r="12943">
          <cell r="A12943" t="str">
            <v/>
          </cell>
        </row>
        <row r="12944">
          <cell r="A12944" t="str">
            <v/>
          </cell>
        </row>
        <row r="12945">
          <cell r="A12945" t="str">
            <v/>
          </cell>
        </row>
        <row r="12946">
          <cell r="A12946" t="str">
            <v/>
          </cell>
        </row>
        <row r="12947">
          <cell r="A12947" t="str">
            <v/>
          </cell>
        </row>
        <row r="12948">
          <cell r="A12948" t="str">
            <v/>
          </cell>
        </row>
        <row r="12949">
          <cell r="A12949" t="str">
            <v/>
          </cell>
        </row>
        <row r="12950">
          <cell r="A12950" t="str">
            <v/>
          </cell>
        </row>
        <row r="12951">
          <cell r="A12951" t="str">
            <v/>
          </cell>
        </row>
        <row r="12952">
          <cell r="A12952" t="str">
            <v/>
          </cell>
        </row>
        <row r="12953">
          <cell r="A12953" t="str">
            <v/>
          </cell>
        </row>
        <row r="12954">
          <cell r="A12954" t="str">
            <v/>
          </cell>
        </row>
        <row r="12955">
          <cell r="A12955" t="str">
            <v/>
          </cell>
        </row>
        <row r="12956">
          <cell r="A12956" t="str">
            <v/>
          </cell>
        </row>
        <row r="12957">
          <cell r="A12957" t="str">
            <v/>
          </cell>
        </row>
        <row r="12958">
          <cell r="A12958" t="str">
            <v/>
          </cell>
        </row>
        <row r="12959">
          <cell r="A12959" t="str">
            <v/>
          </cell>
        </row>
        <row r="12960">
          <cell r="A12960" t="str">
            <v/>
          </cell>
        </row>
        <row r="12961">
          <cell r="A12961" t="str">
            <v/>
          </cell>
        </row>
        <row r="12962">
          <cell r="A12962" t="str">
            <v/>
          </cell>
        </row>
        <row r="12963">
          <cell r="A12963" t="str">
            <v/>
          </cell>
        </row>
        <row r="12964">
          <cell r="A12964" t="str">
            <v/>
          </cell>
        </row>
        <row r="12965">
          <cell r="A12965" t="str">
            <v/>
          </cell>
        </row>
        <row r="12966">
          <cell r="A12966" t="str">
            <v/>
          </cell>
        </row>
        <row r="12967">
          <cell r="A12967" t="str">
            <v/>
          </cell>
        </row>
        <row r="12968">
          <cell r="A12968" t="str">
            <v/>
          </cell>
        </row>
        <row r="12969">
          <cell r="A12969" t="str">
            <v/>
          </cell>
        </row>
        <row r="12970">
          <cell r="A12970" t="str">
            <v/>
          </cell>
        </row>
        <row r="12971">
          <cell r="A12971" t="str">
            <v/>
          </cell>
        </row>
        <row r="12972">
          <cell r="A12972" t="str">
            <v/>
          </cell>
        </row>
        <row r="12973">
          <cell r="A12973" t="str">
            <v/>
          </cell>
        </row>
        <row r="12974">
          <cell r="A12974" t="str">
            <v/>
          </cell>
        </row>
        <row r="12975">
          <cell r="A12975" t="str">
            <v/>
          </cell>
        </row>
        <row r="12976">
          <cell r="A12976" t="str">
            <v/>
          </cell>
        </row>
        <row r="12977">
          <cell r="A12977" t="str">
            <v/>
          </cell>
        </row>
        <row r="12978">
          <cell r="A12978" t="str">
            <v/>
          </cell>
        </row>
        <row r="12979">
          <cell r="A12979" t="str">
            <v/>
          </cell>
        </row>
        <row r="12980">
          <cell r="A12980" t="str">
            <v/>
          </cell>
        </row>
        <row r="12981">
          <cell r="A12981" t="str">
            <v/>
          </cell>
        </row>
        <row r="12982">
          <cell r="A12982" t="str">
            <v/>
          </cell>
        </row>
        <row r="12983">
          <cell r="A12983" t="str">
            <v/>
          </cell>
        </row>
        <row r="12984">
          <cell r="A12984" t="str">
            <v/>
          </cell>
        </row>
        <row r="12985">
          <cell r="A12985" t="str">
            <v/>
          </cell>
        </row>
        <row r="12986">
          <cell r="A12986" t="str">
            <v/>
          </cell>
        </row>
        <row r="12987">
          <cell r="A12987" t="str">
            <v/>
          </cell>
        </row>
        <row r="12988">
          <cell r="A12988" t="str">
            <v/>
          </cell>
        </row>
        <row r="12989">
          <cell r="A12989" t="str">
            <v/>
          </cell>
        </row>
        <row r="12990">
          <cell r="A12990" t="str">
            <v/>
          </cell>
        </row>
        <row r="12991">
          <cell r="A12991" t="str">
            <v/>
          </cell>
        </row>
        <row r="12992">
          <cell r="A12992" t="str">
            <v/>
          </cell>
        </row>
        <row r="12993">
          <cell r="A12993" t="str">
            <v/>
          </cell>
        </row>
        <row r="12994">
          <cell r="A12994" t="str">
            <v/>
          </cell>
        </row>
        <row r="12995">
          <cell r="A12995" t="str">
            <v/>
          </cell>
        </row>
        <row r="12996">
          <cell r="A12996" t="str">
            <v/>
          </cell>
        </row>
        <row r="12997">
          <cell r="A12997" t="str">
            <v/>
          </cell>
        </row>
        <row r="12998">
          <cell r="A12998" t="str">
            <v/>
          </cell>
        </row>
        <row r="12999">
          <cell r="A12999" t="str">
            <v/>
          </cell>
        </row>
        <row r="13000">
          <cell r="A13000" t="str">
            <v/>
          </cell>
        </row>
        <row r="13001">
          <cell r="A13001" t="str">
            <v/>
          </cell>
        </row>
        <row r="13002">
          <cell r="A13002" t="str">
            <v/>
          </cell>
        </row>
        <row r="13003">
          <cell r="A13003" t="str">
            <v/>
          </cell>
        </row>
        <row r="13004">
          <cell r="A13004" t="str">
            <v/>
          </cell>
        </row>
        <row r="13005">
          <cell r="A13005" t="str">
            <v/>
          </cell>
        </row>
        <row r="13006">
          <cell r="A13006" t="str">
            <v/>
          </cell>
        </row>
        <row r="13007">
          <cell r="A13007" t="str">
            <v/>
          </cell>
        </row>
        <row r="13008">
          <cell r="A13008" t="str">
            <v/>
          </cell>
        </row>
        <row r="13009">
          <cell r="A13009" t="str">
            <v/>
          </cell>
        </row>
        <row r="13010">
          <cell r="A13010" t="str">
            <v/>
          </cell>
        </row>
        <row r="13011">
          <cell r="A13011" t="str">
            <v/>
          </cell>
        </row>
        <row r="13012">
          <cell r="A13012" t="str">
            <v/>
          </cell>
        </row>
        <row r="13013">
          <cell r="A13013" t="str">
            <v/>
          </cell>
        </row>
        <row r="13014">
          <cell r="A13014" t="str">
            <v/>
          </cell>
        </row>
        <row r="13015">
          <cell r="A13015" t="str">
            <v/>
          </cell>
        </row>
        <row r="13016">
          <cell r="A13016" t="str">
            <v/>
          </cell>
        </row>
        <row r="13017">
          <cell r="A13017" t="str">
            <v/>
          </cell>
        </row>
        <row r="13018">
          <cell r="A13018" t="str">
            <v/>
          </cell>
        </row>
        <row r="13019">
          <cell r="A13019" t="str">
            <v/>
          </cell>
        </row>
        <row r="13020">
          <cell r="A13020" t="str">
            <v/>
          </cell>
        </row>
        <row r="13021">
          <cell r="A13021" t="str">
            <v/>
          </cell>
        </row>
        <row r="13022">
          <cell r="A13022" t="str">
            <v/>
          </cell>
        </row>
        <row r="13023">
          <cell r="A13023" t="str">
            <v/>
          </cell>
        </row>
        <row r="13024">
          <cell r="A13024" t="str">
            <v/>
          </cell>
        </row>
        <row r="13025">
          <cell r="A13025" t="str">
            <v/>
          </cell>
        </row>
        <row r="13026">
          <cell r="A13026" t="str">
            <v/>
          </cell>
        </row>
        <row r="13027">
          <cell r="A13027" t="str">
            <v/>
          </cell>
        </row>
        <row r="13028">
          <cell r="A13028" t="str">
            <v/>
          </cell>
        </row>
        <row r="13029">
          <cell r="A13029" t="str">
            <v/>
          </cell>
        </row>
        <row r="13030">
          <cell r="A13030" t="str">
            <v/>
          </cell>
        </row>
        <row r="13031">
          <cell r="A13031" t="str">
            <v/>
          </cell>
        </row>
        <row r="13032">
          <cell r="A13032" t="str">
            <v/>
          </cell>
        </row>
        <row r="13033">
          <cell r="A13033" t="str">
            <v/>
          </cell>
        </row>
        <row r="13034">
          <cell r="A13034" t="str">
            <v/>
          </cell>
        </row>
        <row r="13035">
          <cell r="A13035" t="str">
            <v/>
          </cell>
        </row>
        <row r="13036">
          <cell r="A13036" t="str">
            <v/>
          </cell>
        </row>
        <row r="13037">
          <cell r="A13037" t="str">
            <v/>
          </cell>
        </row>
        <row r="13038">
          <cell r="A13038" t="str">
            <v/>
          </cell>
        </row>
        <row r="13039">
          <cell r="A13039" t="str">
            <v/>
          </cell>
        </row>
        <row r="13040">
          <cell r="A13040" t="str">
            <v/>
          </cell>
        </row>
        <row r="13041">
          <cell r="A13041" t="str">
            <v/>
          </cell>
        </row>
        <row r="13042">
          <cell r="A13042" t="str">
            <v/>
          </cell>
        </row>
        <row r="13043">
          <cell r="A13043" t="str">
            <v/>
          </cell>
        </row>
        <row r="13044">
          <cell r="A13044" t="str">
            <v/>
          </cell>
        </row>
        <row r="13045">
          <cell r="A13045" t="str">
            <v/>
          </cell>
        </row>
        <row r="13046">
          <cell r="A13046" t="str">
            <v/>
          </cell>
        </row>
        <row r="13047">
          <cell r="A13047" t="str">
            <v/>
          </cell>
        </row>
        <row r="13048">
          <cell r="A13048" t="str">
            <v/>
          </cell>
        </row>
        <row r="13049">
          <cell r="A13049" t="str">
            <v/>
          </cell>
        </row>
        <row r="13050">
          <cell r="A13050" t="str">
            <v/>
          </cell>
        </row>
        <row r="13051">
          <cell r="A13051" t="str">
            <v/>
          </cell>
        </row>
        <row r="13052">
          <cell r="A13052" t="str">
            <v/>
          </cell>
        </row>
        <row r="13053">
          <cell r="A13053" t="str">
            <v/>
          </cell>
        </row>
        <row r="13054">
          <cell r="A13054" t="str">
            <v/>
          </cell>
        </row>
        <row r="13055">
          <cell r="A13055" t="str">
            <v/>
          </cell>
        </row>
        <row r="13056">
          <cell r="A13056" t="str">
            <v/>
          </cell>
        </row>
        <row r="13057">
          <cell r="A13057" t="str">
            <v/>
          </cell>
        </row>
        <row r="13058">
          <cell r="A13058" t="str">
            <v/>
          </cell>
        </row>
        <row r="13059">
          <cell r="A13059" t="str">
            <v/>
          </cell>
        </row>
        <row r="13060">
          <cell r="A13060" t="str">
            <v/>
          </cell>
        </row>
        <row r="13061">
          <cell r="A13061" t="str">
            <v/>
          </cell>
        </row>
        <row r="13062">
          <cell r="A13062" t="str">
            <v/>
          </cell>
        </row>
        <row r="13063">
          <cell r="A13063" t="str">
            <v/>
          </cell>
        </row>
        <row r="13064">
          <cell r="A13064" t="str">
            <v/>
          </cell>
        </row>
        <row r="13065">
          <cell r="A13065" t="str">
            <v/>
          </cell>
        </row>
        <row r="13066">
          <cell r="A13066" t="str">
            <v/>
          </cell>
        </row>
        <row r="13067">
          <cell r="A13067" t="str">
            <v/>
          </cell>
        </row>
        <row r="13068">
          <cell r="A13068" t="str">
            <v/>
          </cell>
        </row>
        <row r="13069">
          <cell r="A13069" t="str">
            <v/>
          </cell>
        </row>
        <row r="13070">
          <cell r="A13070" t="str">
            <v/>
          </cell>
        </row>
        <row r="13071">
          <cell r="A13071" t="str">
            <v/>
          </cell>
        </row>
        <row r="13072">
          <cell r="A13072" t="str">
            <v/>
          </cell>
        </row>
        <row r="13073">
          <cell r="A13073" t="str">
            <v/>
          </cell>
        </row>
        <row r="13074">
          <cell r="A13074" t="str">
            <v/>
          </cell>
        </row>
        <row r="13075">
          <cell r="A13075" t="str">
            <v/>
          </cell>
        </row>
        <row r="13076">
          <cell r="A13076" t="str">
            <v/>
          </cell>
        </row>
        <row r="13077">
          <cell r="A13077" t="str">
            <v/>
          </cell>
        </row>
        <row r="13078">
          <cell r="A13078" t="str">
            <v/>
          </cell>
        </row>
        <row r="13079">
          <cell r="A13079" t="str">
            <v/>
          </cell>
        </row>
        <row r="13080">
          <cell r="A13080" t="str">
            <v/>
          </cell>
        </row>
        <row r="13081">
          <cell r="A13081" t="str">
            <v/>
          </cell>
        </row>
        <row r="13082">
          <cell r="A13082" t="str">
            <v/>
          </cell>
        </row>
        <row r="13083">
          <cell r="A13083" t="str">
            <v/>
          </cell>
        </row>
        <row r="13084">
          <cell r="A13084" t="str">
            <v/>
          </cell>
        </row>
        <row r="13085">
          <cell r="A13085" t="str">
            <v/>
          </cell>
        </row>
        <row r="13086">
          <cell r="A13086" t="str">
            <v/>
          </cell>
        </row>
        <row r="13087">
          <cell r="A13087" t="str">
            <v/>
          </cell>
        </row>
        <row r="13088">
          <cell r="A13088" t="str">
            <v/>
          </cell>
        </row>
        <row r="13089">
          <cell r="A13089" t="str">
            <v/>
          </cell>
        </row>
        <row r="13090">
          <cell r="A13090" t="str">
            <v/>
          </cell>
        </row>
        <row r="13091">
          <cell r="A13091" t="str">
            <v/>
          </cell>
        </row>
        <row r="13092">
          <cell r="A13092" t="str">
            <v/>
          </cell>
        </row>
        <row r="13093">
          <cell r="A13093" t="str">
            <v/>
          </cell>
        </row>
        <row r="13094">
          <cell r="A13094" t="str">
            <v/>
          </cell>
        </row>
        <row r="13095">
          <cell r="A13095" t="str">
            <v/>
          </cell>
        </row>
        <row r="13096">
          <cell r="A13096" t="str">
            <v/>
          </cell>
        </row>
        <row r="13097">
          <cell r="A13097" t="str">
            <v/>
          </cell>
        </row>
        <row r="13098">
          <cell r="A13098" t="str">
            <v/>
          </cell>
        </row>
        <row r="13099">
          <cell r="A13099" t="str">
            <v/>
          </cell>
        </row>
        <row r="13100">
          <cell r="A13100" t="str">
            <v/>
          </cell>
        </row>
        <row r="13101">
          <cell r="A13101" t="str">
            <v/>
          </cell>
        </row>
        <row r="13102">
          <cell r="A13102" t="str">
            <v/>
          </cell>
        </row>
        <row r="13103">
          <cell r="A13103" t="str">
            <v/>
          </cell>
        </row>
        <row r="13104">
          <cell r="A13104" t="str">
            <v/>
          </cell>
        </row>
        <row r="13105">
          <cell r="A13105" t="str">
            <v/>
          </cell>
        </row>
        <row r="13106">
          <cell r="A13106" t="str">
            <v/>
          </cell>
        </row>
        <row r="13107">
          <cell r="A13107" t="str">
            <v/>
          </cell>
        </row>
        <row r="13108">
          <cell r="A13108" t="str">
            <v/>
          </cell>
        </row>
        <row r="13109">
          <cell r="A13109" t="str">
            <v/>
          </cell>
        </row>
        <row r="13110">
          <cell r="A13110" t="str">
            <v/>
          </cell>
        </row>
        <row r="13111">
          <cell r="A13111" t="str">
            <v/>
          </cell>
        </row>
        <row r="13112">
          <cell r="A13112" t="str">
            <v/>
          </cell>
        </row>
        <row r="13113">
          <cell r="A13113" t="str">
            <v/>
          </cell>
        </row>
        <row r="13114">
          <cell r="A13114" t="str">
            <v/>
          </cell>
        </row>
        <row r="13115">
          <cell r="A13115" t="str">
            <v/>
          </cell>
        </row>
        <row r="13116">
          <cell r="A13116" t="str">
            <v/>
          </cell>
        </row>
        <row r="13117">
          <cell r="A13117" t="str">
            <v/>
          </cell>
        </row>
        <row r="13118">
          <cell r="A13118" t="str">
            <v/>
          </cell>
        </row>
        <row r="13119">
          <cell r="A13119" t="str">
            <v/>
          </cell>
        </row>
        <row r="13120">
          <cell r="A13120" t="str">
            <v/>
          </cell>
        </row>
        <row r="13121">
          <cell r="A13121" t="str">
            <v/>
          </cell>
        </row>
        <row r="13122">
          <cell r="A13122" t="str">
            <v/>
          </cell>
        </row>
        <row r="13123">
          <cell r="A13123" t="str">
            <v/>
          </cell>
        </row>
        <row r="13124">
          <cell r="A13124" t="str">
            <v/>
          </cell>
        </row>
        <row r="13125">
          <cell r="A13125" t="str">
            <v/>
          </cell>
        </row>
        <row r="13126">
          <cell r="A13126" t="str">
            <v/>
          </cell>
        </row>
        <row r="13127">
          <cell r="A13127" t="str">
            <v/>
          </cell>
        </row>
        <row r="13128">
          <cell r="A13128" t="str">
            <v/>
          </cell>
        </row>
        <row r="13129">
          <cell r="A13129" t="str">
            <v/>
          </cell>
        </row>
        <row r="13130">
          <cell r="A13130" t="str">
            <v/>
          </cell>
        </row>
        <row r="13131">
          <cell r="A13131" t="str">
            <v/>
          </cell>
        </row>
        <row r="13132">
          <cell r="A13132" t="str">
            <v/>
          </cell>
        </row>
        <row r="13133">
          <cell r="A13133" t="str">
            <v/>
          </cell>
        </row>
        <row r="13134">
          <cell r="A13134" t="str">
            <v/>
          </cell>
        </row>
        <row r="13135">
          <cell r="A13135" t="str">
            <v/>
          </cell>
        </row>
        <row r="13136">
          <cell r="A13136" t="str">
            <v/>
          </cell>
        </row>
        <row r="13137">
          <cell r="A13137" t="str">
            <v/>
          </cell>
        </row>
        <row r="13138">
          <cell r="A13138" t="str">
            <v/>
          </cell>
        </row>
        <row r="13139">
          <cell r="A13139" t="str">
            <v/>
          </cell>
        </row>
        <row r="13140">
          <cell r="A13140" t="str">
            <v/>
          </cell>
        </row>
        <row r="13141">
          <cell r="A13141" t="str">
            <v/>
          </cell>
        </row>
        <row r="13142">
          <cell r="A13142" t="str">
            <v/>
          </cell>
        </row>
        <row r="13143">
          <cell r="A13143" t="str">
            <v/>
          </cell>
        </row>
        <row r="13144">
          <cell r="A13144" t="str">
            <v/>
          </cell>
        </row>
        <row r="13145">
          <cell r="A13145" t="str">
            <v/>
          </cell>
        </row>
        <row r="13146">
          <cell r="A13146" t="str">
            <v/>
          </cell>
        </row>
        <row r="13147">
          <cell r="A13147" t="str">
            <v/>
          </cell>
        </row>
        <row r="13148">
          <cell r="A13148" t="str">
            <v/>
          </cell>
        </row>
        <row r="13149">
          <cell r="A13149" t="str">
            <v/>
          </cell>
        </row>
        <row r="13150">
          <cell r="A13150" t="str">
            <v/>
          </cell>
        </row>
        <row r="13151">
          <cell r="A13151" t="str">
            <v/>
          </cell>
        </row>
        <row r="13152">
          <cell r="A13152" t="str">
            <v/>
          </cell>
        </row>
        <row r="13153">
          <cell r="A13153" t="str">
            <v/>
          </cell>
        </row>
        <row r="13154">
          <cell r="A13154" t="str">
            <v/>
          </cell>
        </row>
        <row r="13155">
          <cell r="A13155" t="str">
            <v/>
          </cell>
        </row>
        <row r="13156">
          <cell r="A13156" t="str">
            <v/>
          </cell>
        </row>
        <row r="13157">
          <cell r="A13157" t="str">
            <v/>
          </cell>
        </row>
        <row r="13158">
          <cell r="A13158" t="str">
            <v/>
          </cell>
        </row>
        <row r="13159">
          <cell r="A13159" t="str">
            <v/>
          </cell>
        </row>
        <row r="13160">
          <cell r="A13160" t="str">
            <v/>
          </cell>
        </row>
        <row r="13161">
          <cell r="A13161" t="str">
            <v/>
          </cell>
        </row>
        <row r="13162">
          <cell r="A13162" t="str">
            <v/>
          </cell>
        </row>
        <row r="13163">
          <cell r="A13163" t="str">
            <v/>
          </cell>
        </row>
        <row r="13164">
          <cell r="A13164" t="str">
            <v/>
          </cell>
        </row>
        <row r="13165">
          <cell r="A13165" t="str">
            <v/>
          </cell>
        </row>
        <row r="13166">
          <cell r="A13166" t="str">
            <v/>
          </cell>
        </row>
        <row r="13167">
          <cell r="A13167" t="str">
            <v/>
          </cell>
        </row>
        <row r="13168">
          <cell r="A13168" t="str">
            <v/>
          </cell>
        </row>
        <row r="13169">
          <cell r="A13169" t="str">
            <v/>
          </cell>
        </row>
        <row r="13170">
          <cell r="A13170" t="str">
            <v/>
          </cell>
        </row>
        <row r="13171">
          <cell r="A13171" t="str">
            <v/>
          </cell>
        </row>
        <row r="13172">
          <cell r="A13172" t="str">
            <v/>
          </cell>
        </row>
        <row r="13173">
          <cell r="A13173" t="str">
            <v/>
          </cell>
        </row>
        <row r="13174">
          <cell r="A13174" t="str">
            <v/>
          </cell>
        </row>
        <row r="13175">
          <cell r="A13175" t="str">
            <v/>
          </cell>
        </row>
        <row r="13176">
          <cell r="A13176" t="str">
            <v/>
          </cell>
        </row>
        <row r="13177">
          <cell r="A13177" t="str">
            <v/>
          </cell>
        </row>
        <row r="13178">
          <cell r="A13178" t="str">
            <v/>
          </cell>
        </row>
        <row r="13179">
          <cell r="A13179" t="str">
            <v/>
          </cell>
        </row>
        <row r="13180">
          <cell r="A13180" t="str">
            <v/>
          </cell>
        </row>
        <row r="13181">
          <cell r="A13181" t="str">
            <v/>
          </cell>
        </row>
        <row r="13182">
          <cell r="A13182" t="str">
            <v/>
          </cell>
        </row>
        <row r="13183">
          <cell r="A13183" t="str">
            <v/>
          </cell>
        </row>
        <row r="13184">
          <cell r="A13184" t="str">
            <v/>
          </cell>
        </row>
        <row r="13185">
          <cell r="A13185" t="str">
            <v/>
          </cell>
        </row>
        <row r="13186">
          <cell r="A13186" t="str">
            <v/>
          </cell>
        </row>
        <row r="13187">
          <cell r="A13187" t="str">
            <v/>
          </cell>
        </row>
        <row r="13188">
          <cell r="A13188" t="str">
            <v/>
          </cell>
        </row>
        <row r="13189">
          <cell r="A13189" t="str">
            <v/>
          </cell>
        </row>
        <row r="13190">
          <cell r="A13190" t="str">
            <v/>
          </cell>
        </row>
        <row r="13191">
          <cell r="A13191" t="str">
            <v/>
          </cell>
        </row>
        <row r="13192">
          <cell r="A13192" t="str">
            <v/>
          </cell>
        </row>
        <row r="13193">
          <cell r="A13193" t="str">
            <v/>
          </cell>
        </row>
        <row r="13194">
          <cell r="A13194" t="str">
            <v/>
          </cell>
        </row>
        <row r="13195">
          <cell r="A13195" t="str">
            <v/>
          </cell>
        </row>
        <row r="13196">
          <cell r="A13196" t="str">
            <v/>
          </cell>
        </row>
        <row r="13197">
          <cell r="A13197" t="str">
            <v/>
          </cell>
        </row>
        <row r="13198">
          <cell r="A13198" t="str">
            <v/>
          </cell>
        </row>
        <row r="13199">
          <cell r="A13199" t="str">
            <v/>
          </cell>
        </row>
        <row r="13200">
          <cell r="A13200" t="str">
            <v/>
          </cell>
        </row>
        <row r="13201">
          <cell r="A13201" t="str">
            <v/>
          </cell>
        </row>
        <row r="13202">
          <cell r="A13202" t="str">
            <v/>
          </cell>
        </row>
        <row r="13203">
          <cell r="A13203" t="str">
            <v/>
          </cell>
        </row>
        <row r="13204">
          <cell r="A13204" t="str">
            <v/>
          </cell>
        </row>
        <row r="13205">
          <cell r="A13205" t="str">
            <v/>
          </cell>
        </row>
        <row r="13206">
          <cell r="A13206" t="str">
            <v/>
          </cell>
        </row>
        <row r="13207">
          <cell r="A13207" t="str">
            <v/>
          </cell>
        </row>
        <row r="13208">
          <cell r="A13208" t="str">
            <v/>
          </cell>
        </row>
        <row r="13209">
          <cell r="A13209" t="str">
            <v/>
          </cell>
        </row>
        <row r="13210">
          <cell r="A13210" t="str">
            <v/>
          </cell>
        </row>
        <row r="13211">
          <cell r="A13211" t="str">
            <v/>
          </cell>
        </row>
        <row r="13212">
          <cell r="A13212" t="str">
            <v/>
          </cell>
        </row>
        <row r="13213">
          <cell r="A13213" t="str">
            <v/>
          </cell>
        </row>
        <row r="13214">
          <cell r="A13214" t="str">
            <v/>
          </cell>
        </row>
        <row r="13215">
          <cell r="A13215" t="str">
            <v/>
          </cell>
        </row>
        <row r="13216">
          <cell r="A13216" t="str">
            <v/>
          </cell>
        </row>
        <row r="13217">
          <cell r="A13217" t="str">
            <v/>
          </cell>
        </row>
        <row r="13218">
          <cell r="A13218" t="str">
            <v/>
          </cell>
        </row>
        <row r="13219">
          <cell r="A13219" t="str">
            <v/>
          </cell>
        </row>
        <row r="13220">
          <cell r="A13220" t="str">
            <v/>
          </cell>
        </row>
        <row r="13221">
          <cell r="A13221" t="str">
            <v/>
          </cell>
        </row>
        <row r="13222">
          <cell r="A13222" t="str">
            <v/>
          </cell>
        </row>
        <row r="13223">
          <cell r="A13223" t="str">
            <v/>
          </cell>
        </row>
        <row r="13224">
          <cell r="A13224" t="str">
            <v/>
          </cell>
        </row>
        <row r="13225">
          <cell r="A13225" t="str">
            <v/>
          </cell>
        </row>
        <row r="13226">
          <cell r="A13226" t="str">
            <v/>
          </cell>
        </row>
        <row r="13227">
          <cell r="A13227" t="str">
            <v/>
          </cell>
        </row>
        <row r="13228">
          <cell r="A13228" t="str">
            <v/>
          </cell>
        </row>
        <row r="13229">
          <cell r="A13229" t="str">
            <v/>
          </cell>
        </row>
        <row r="13230">
          <cell r="A13230" t="str">
            <v/>
          </cell>
        </row>
        <row r="13231">
          <cell r="A13231" t="str">
            <v/>
          </cell>
        </row>
        <row r="13232">
          <cell r="A13232" t="str">
            <v/>
          </cell>
        </row>
        <row r="13233">
          <cell r="A13233" t="str">
            <v/>
          </cell>
        </row>
        <row r="13234">
          <cell r="A13234" t="str">
            <v/>
          </cell>
        </row>
        <row r="13235">
          <cell r="A13235" t="str">
            <v/>
          </cell>
        </row>
        <row r="13236">
          <cell r="A13236" t="str">
            <v/>
          </cell>
        </row>
        <row r="13237">
          <cell r="A13237" t="str">
            <v/>
          </cell>
        </row>
        <row r="13238">
          <cell r="A13238" t="str">
            <v/>
          </cell>
        </row>
        <row r="13239">
          <cell r="A13239" t="str">
            <v/>
          </cell>
        </row>
        <row r="13240">
          <cell r="A13240" t="str">
            <v/>
          </cell>
        </row>
        <row r="13241">
          <cell r="A13241" t="str">
            <v/>
          </cell>
        </row>
        <row r="13242">
          <cell r="A13242" t="str">
            <v/>
          </cell>
        </row>
        <row r="13243">
          <cell r="A13243" t="str">
            <v/>
          </cell>
        </row>
        <row r="13244">
          <cell r="A13244" t="str">
            <v/>
          </cell>
        </row>
        <row r="13245">
          <cell r="A13245" t="str">
            <v/>
          </cell>
        </row>
        <row r="13246">
          <cell r="A13246" t="str">
            <v/>
          </cell>
        </row>
        <row r="13247">
          <cell r="A13247" t="str">
            <v/>
          </cell>
        </row>
        <row r="13248">
          <cell r="A13248" t="str">
            <v/>
          </cell>
        </row>
        <row r="13249">
          <cell r="A13249" t="str">
            <v/>
          </cell>
        </row>
        <row r="13250">
          <cell r="A13250" t="str">
            <v/>
          </cell>
        </row>
        <row r="13251">
          <cell r="A13251" t="str">
            <v/>
          </cell>
        </row>
        <row r="13252">
          <cell r="A13252" t="str">
            <v/>
          </cell>
        </row>
        <row r="13253">
          <cell r="A13253" t="str">
            <v/>
          </cell>
        </row>
        <row r="13254">
          <cell r="A13254" t="str">
            <v/>
          </cell>
        </row>
        <row r="13255">
          <cell r="A13255" t="str">
            <v/>
          </cell>
        </row>
        <row r="13256">
          <cell r="A13256" t="str">
            <v/>
          </cell>
        </row>
        <row r="13257">
          <cell r="A13257" t="str">
            <v/>
          </cell>
        </row>
        <row r="13258">
          <cell r="A13258" t="str">
            <v/>
          </cell>
        </row>
        <row r="13259">
          <cell r="A13259" t="str">
            <v/>
          </cell>
        </row>
        <row r="13260">
          <cell r="A13260" t="str">
            <v/>
          </cell>
        </row>
        <row r="13261">
          <cell r="A13261" t="str">
            <v/>
          </cell>
        </row>
        <row r="13262">
          <cell r="A13262" t="str">
            <v/>
          </cell>
        </row>
        <row r="13263">
          <cell r="A13263" t="str">
            <v/>
          </cell>
        </row>
        <row r="13264">
          <cell r="A13264" t="str">
            <v/>
          </cell>
        </row>
        <row r="13265">
          <cell r="A13265" t="str">
            <v/>
          </cell>
        </row>
        <row r="13266">
          <cell r="A13266" t="str">
            <v/>
          </cell>
        </row>
        <row r="13267">
          <cell r="A13267" t="str">
            <v/>
          </cell>
        </row>
        <row r="13268">
          <cell r="A13268" t="str">
            <v/>
          </cell>
        </row>
        <row r="13269">
          <cell r="A13269" t="str">
            <v/>
          </cell>
        </row>
        <row r="13270">
          <cell r="A13270" t="str">
            <v/>
          </cell>
        </row>
        <row r="13271">
          <cell r="A13271" t="str">
            <v/>
          </cell>
        </row>
        <row r="13272">
          <cell r="A13272" t="str">
            <v/>
          </cell>
        </row>
        <row r="13273">
          <cell r="A13273" t="str">
            <v/>
          </cell>
        </row>
        <row r="13274">
          <cell r="A13274" t="str">
            <v/>
          </cell>
        </row>
        <row r="13275">
          <cell r="A13275" t="str">
            <v/>
          </cell>
        </row>
        <row r="13276">
          <cell r="A13276" t="str">
            <v/>
          </cell>
        </row>
        <row r="13277">
          <cell r="A13277" t="str">
            <v/>
          </cell>
        </row>
        <row r="13278">
          <cell r="A13278" t="str">
            <v/>
          </cell>
        </row>
        <row r="13279">
          <cell r="A13279" t="str">
            <v/>
          </cell>
        </row>
        <row r="13280">
          <cell r="A13280" t="str">
            <v/>
          </cell>
        </row>
        <row r="13281">
          <cell r="A13281" t="str">
            <v/>
          </cell>
        </row>
        <row r="13282">
          <cell r="A13282" t="str">
            <v/>
          </cell>
        </row>
        <row r="13283">
          <cell r="A13283" t="str">
            <v/>
          </cell>
        </row>
        <row r="13284">
          <cell r="A13284" t="str">
            <v/>
          </cell>
        </row>
        <row r="13285">
          <cell r="A13285" t="str">
            <v/>
          </cell>
        </row>
        <row r="13286">
          <cell r="A13286" t="str">
            <v/>
          </cell>
        </row>
        <row r="13287">
          <cell r="A13287" t="str">
            <v/>
          </cell>
        </row>
        <row r="13288">
          <cell r="A13288" t="str">
            <v/>
          </cell>
        </row>
        <row r="13289">
          <cell r="A13289" t="str">
            <v/>
          </cell>
        </row>
        <row r="13290">
          <cell r="A13290" t="str">
            <v/>
          </cell>
        </row>
        <row r="13291">
          <cell r="A13291" t="str">
            <v/>
          </cell>
        </row>
        <row r="13292">
          <cell r="A13292" t="str">
            <v/>
          </cell>
        </row>
        <row r="13293">
          <cell r="A13293" t="str">
            <v/>
          </cell>
        </row>
        <row r="13294">
          <cell r="A13294" t="str">
            <v/>
          </cell>
        </row>
        <row r="13295">
          <cell r="A13295" t="str">
            <v/>
          </cell>
        </row>
        <row r="13296">
          <cell r="A13296" t="str">
            <v/>
          </cell>
        </row>
        <row r="13297">
          <cell r="A13297" t="str">
            <v/>
          </cell>
        </row>
        <row r="13298">
          <cell r="A13298" t="str">
            <v/>
          </cell>
        </row>
        <row r="13299">
          <cell r="A13299" t="str">
            <v/>
          </cell>
        </row>
        <row r="13300">
          <cell r="A13300" t="str">
            <v/>
          </cell>
        </row>
        <row r="13301">
          <cell r="A13301" t="str">
            <v/>
          </cell>
        </row>
        <row r="13302">
          <cell r="A13302" t="str">
            <v/>
          </cell>
        </row>
        <row r="13303">
          <cell r="A13303" t="str">
            <v/>
          </cell>
        </row>
        <row r="13304">
          <cell r="A13304" t="str">
            <v/>
          </cell>
        </row>
        <row r="13305">
          <cell r="A13305" t="str">
            <v/>
          </cell>
        </row>
        <row r="13306">
          <cell r="A13306" t="str">
            <v/>
          </cell>
        </row>
        <row r="13307">
          <cell r="A13307" t="str">
            <v/>
          </cell>
        </row>
        <row r="13308">
          <cell r="A13308" t="str">
            <v/>
          </cell>
        </row>
        <row r="13309">
          <cell r="A13309" t="str">
            <v/>
          </cell>
        </row>
        <row r="13310">
          <cell r="A13310" t="str">
            <v/>
          </cell>
        </row>
        <row r="13311">
          <cell r="A13311" t="str">
            <v/>
          </cell>
        </row>
        <row r="13312">
          <cell r="A13312" t="str">
            <v/>
          </cell>
        </row>
        <row r="13313">
          <cell r="A13313" t="str">
            <v/>
          </cell>
        </row>
        <row r="13314">
          <cell r="A13314" t="str">
            <v/>
          </cell>
        </row>
        <row r="13315">
          <cell r="A13315" t="str">
            <v/>
          </cell>
        </row>
        <row r="13316">
          <cell r="A13316" t="str">
            <v/>
          </cell>
        </row>
        <row r="13317">
          <cell r="A13317" t="str">
            <v/>
          </cell>
        </row>
        <row r="13318">
          <cell r="A13318" t="str">
            <v/>
          </cell>
        </row>
        <row r="13319">
          <cell r="A13319" t="str">
            <v/>
          </cell>
        </row>
        <row r="13320">
          <cell r="A13320" t="str">
            <v/>
          </cell>
        </row>
        <row r="13321">
          <cell r="A13321" t="str">
            <v/>
          </cell>
        </row>
        <row r="13322">
          <cell r="A13322" t="str">
            <v/>
          </cell>
        </row>
        <row r="13323">
          <cell r="A13323" t="str">
            <v/>
          </cell>
        </row>
        <row r="13324">
          <cell r="A13324" t="str">
            <v/>
          </cell>
        </row>
        <row r="13325">
          <cell r="A13325" t="str">
            <v/>
          </cell>
        </row>
        <row r="13326">
          <cell r="A13326" t="str">
            <v/>
          </cell>
        </row>
        <row r="13327">
          <cell r="A13327" t="str">
            <v/>
          </cell>
        </row>
        <row r="13328">
          <cell r="A13328" t="str">
            <v/>
          </cell>
        </row>
        <row r="13329">
          <cell r="A13329" t="str">
            <v/>
          </cell>
        </row>
        <row r="13330">
          <cell r="A13330" t="str">
            <v/>
          </cell>
        </row>
        <row r="13331">
          <cell r="A13331" t="str">
            <v/>
          </cell>
        </row>
        <row r="13332">
          <cell r="A13332" t="str">
            <v/>
          </cell>
        </row>
        <row r="13333">
          <cell r="A13333" t="str">
            <v/>
          </cell>
        </row>
        <row r="13334">
          <cell r="A13334" t="str">
            <v/>
          </cell>
        </row>
        <row r="13335">
          <cell r="A13335" t="str">
            <v/>
          </cell>
        </row>
        <row r="13336">
          <cell r="A13336" t="str">
            <v/>
          </cell>
        </row>
        <row r="13337">
          <cell r="A13337" t="str">
            <v/>
          </cell>
        </row>
        <row r="13338">
          <cell r="A13338" t="str">
            <v/>
          </cell>
        </row>
        <row r="13339">
          <cell r="A13339" t="str">
            <v/>
          </cell>
        </row>
        <row r="13340">
          <cell r="A13340" t="str">
            <v/>
          </cell>
        </row>
        <row r="13341">
          <cell r="A13341" t="str">
            <v/>
          </cell>
        </row>
        <row r="13342">
          <cell r="A13342" t="str">
            <v/>
          </cell>
        </row>
        <row r="13343">
          <cell r="A13343" t="str">
            <v/>
          </cell>
        </row>
        <row r="13344">
          <cell r="A13344" t="str">
            <v/>
          </cell>
        </row>
        <row r="13345">
          <cell r="A13345" t="str">
            <v/>
          </cell>
        </row>
        <row r="13346">
          <cell r="A13346" t="str">
            <v/>
          </cell>
        </row>
        <row r="13347">
          <cell r="A13347" t="str">
            <v/>
          </cell>
        </row>
        <row r="13348">
          <cell r="A13348" t="str">
            <v/>
          </cell>
        </row>
        <row r="13349">
          <cell r="A13349" t="str">
            <v/>
          </cell>
        </row>
        <row r="13350">
          <cell r="A13350" t="str">
            <v/>
          </cell>
        </row>
        <row r="13351">
          <cell r="A13351" t="str">
            <v/>
          </cell>
        </row>
        <row r="13352">
          <cell r="A13352" t="str">
            <v/>
          </cell>
        </row>
        <row r="13353">
          <cell r="A13353" t="str">
            <v/>
          </cell>
        </row>
        <row r="13354">
          <cell r="A13354" t="str">
            <v/>
          </cell>
        </row>
        <row r="13355">
          <cell r="A13355" t="str">
            <v/>
          </cell>
        </row>
        <row r="13356">
          <cell r="A13356" t="str">
            <v/>
          </cell>
        </row>
        <row r="13357">
          <cell r="A13357" t="str">
            <v/>
          </cell>
        </row>
        <row r="13358">
          <cell r="A13358" t="str">
            <v/>
          </cell>
        </row>
        <row r="13359">
          <cell r="A13359" t="str">
            <v/>
          </cell>
        </row>
        <row r="13360">
          <cell r="A13360" t="str">
            <v/>
          </cell>
        </row>
        <row r="13361">
          <cell r="A13361" t="str">
            <v/>
          </cell>
        </row>
        <row r="13362">
          <cell r="A13362" t="str">
            <v/>
          </cell>
        </row>
        <row r="13363">
          <cell r="A13363" t="str">
            <v/>
          </cell>
        </row>
        <row r="13364">
          <cell r="A13364" t="str">
            <v/>
          </cell>
        </row>
        <row r="13365">
          <cell r="A13365" t="str">
            <v/>
          </cell>
        </row>
        <row r="13366">
          <cell r="A13366" t="str">
            <v/>
          </cell>
        </row>
        <row r="13367">
          <cell r="A13367" t="str">
            <v/>
          </cell>
        </row>
        <row r="13368">
          <cell r="A13368" t="str">
            <v/>
          </cell>
        </row>
        <row r="13369">
          <cell r="A13369" t="str">
            <v/>
          </cell>
        </row>
        <row r="13370">
          <cell r="A13370" t="str">
            <v/>
          </cell>
        </row>
        <row r="13371">
          <cell r="A13371" t="str">
            <v/>
          </cell>
        </row>
        <row r="13372">
          <cell r="A13372" t="str">
            <v/>
          </cell>
        </row>
        <row r="13373">
          <cell r="A13373" t="str">
            <v/>
          </cell>
        </row>
        <row r="13374">
          <cell r="A13374" t="str">
            <v/>
          </cell>
        </row>
        <row r="13375">
          <cell r="A13375" t="str">
            <v/>
          </cell>
        </row>
        <row r="13376">
          <cell r="A13376" t="str">
            <v/>
          </cell>
        </row>
        <row r="13377">
          <cell r="A13377" t="str">
            <v/>
          </cell>
        </row>
        <row r="13378">
          <cell r="A13378" t="str">
            <v/>
          </cell>
        </row>
        <row r="13379">
          <cell r="A13379" t="str">
            <v/>
          </cell>
        </row>
        <row r="13380">
          <cell r="A13380" t="str">
            <v/>
          </cell>
        </row>
        <row r="13381">
          <cell r="A13381" t="str">
            <v/>
          </cell>
        </row>
        <row r="13382">
          <cell r="A13382" t="str">
            <v/>
          </cell>
        </row>
        <row r="13383">
          <cell r="A13383" t="str">
            <v/>
          </cell>
        </row>
        <row r="13384">
          <cell r="A13384" t="str">
            <v/>
          </cell>
        </row>
        <row r="13385">
          <cell r="A13385" t="str">
            <v/>
          </cell>
        </row>
        <row r="13386">
          <cell r="A13386" t="str">
            <v/>
          </cell>
        </row>
        <row r="13387">
          <cell r="A13387" t="str">
            <v/>
          </cell>
        </row>
        <row r="13388">
          <cell r="A13388" t="str">
            <v/>
          </cell>
        </row>
        <row r="13389">
          <cell r="A13389" t="str">
            <v/>
          </cell>
        </row>
        <row r="13390">
          <cell r="A13390" t="str">
            <v/>
          </cell>
        </row>
        <row r="13391">
          <cell r="A13391" t="str">
            <v/>
          </cell>
        </row>
        <row r="13392">
          <cell r="A13392" t="str">
            <v/>
          </cell>
        </row>
        <row r="13393">
          <cell r="A13393" t="str">
            <v/>
          </cell>
        </row>
        <row r="13394">
          <cell r="A13394" t="str">
            <v/>
          </cell>
        </row>
        <row r="13395">
          <cell r="A13395" t="str">
            <v/>
          </cell>
        </row>
        <row r="13396">
          <cell r="A13396" t="str">
            <v/>
          </cell>
        </row>
        <row r="13397">
          <cell r="A13397" t="str">
            <v/>
          </cell>
        </row>
        <row r="13398">
          <cell r="A13398" t="str">
            <v/>
          </cell>
        </row>
        <row r="13399">
          <cell r="A13399" t="str">
            <v/>
          </cell>
        </row>
        <row r="13400">
          <cell r="A13400" t="str">
            <v/>
          </cell>
        </row>
        <row r="13401">
          <cell r="A13401" t="str">
            <v/>
          </cell>
        </row>
        <row r="13402">
          <cell r="A13402" t="str">
            <v/>
          </cell>
        </row>
        <row r="13403">
          <cell r="A13403" t="str">
            <v/>
          </cell>
        </row>
        <row r="13404">
          <cell r="A13404" t="str">
            <v/>
          </cell>
        </row>
        <row r="13405">
          <cell r="A13405" t="str">
            <v/>
          </cell>
        </row>
        <row r="13406">
          <cell r="A13406" t="str">
            <v/>
          </cell>
        </row>
        <row r="13407">
          <cell r="A13407" t="str">
            <v/>
          </cell>
        </row>
        <row r="13408">
          <cell r="A13408" t="str">
            <v/>
          </cell>
        </row>
        <row r="13409">
          <cell r="A13409" t="str">
            <v/>
          </cell>
        </row>
        <row r="13410">
          <cell r="A13410" t="str">
            <v/>
          </cell>
        </row>
        <row r="13411">
          <cell r="A13411" t="str">
            <v/>
          </cell>
        </row>
        <row r="13412">
          <cell r="A13412" t="str">
            <v/>
          </cell>
        </row>
        <row r="13413">
          <cell r="A13413" t="str">
            <v/>
          </cell>
        </row>
        <row r="13414">
          <cell r="A13414" t="str">
            <v/>
          </cell>
        </row>
        <row r="13415">
          <cell r="A13415" t="str">
            <v/>
          </cell>
        </row>
        <row r="13416">
          <cell r="A13416" t="str">
            <v/>
          </cell>
        </row>
        <row r="13417">
          <cell r="A13417" t="str">
            <v/>
          </cell>
        </row>
        <row r="13418">
          <cell r="A13418" t="str">
            <v/>
          </cell>
        </row>
        <row r="13419">
          <cell r="A13419" t="str">
            <v/>
          </cell>
        </row>
        <row r="13420">
          <cell r="A13420" t="str">
            <v/>
          </cell>
        </row>
        <row r="13421">
          <cell r="A13421" t="str">
            <v/>
          </cell>
        </row>
        <row r="13422">
          <cell r="A13422" t="str">
            <v/>
          </cell>
        </row>
        <row r="13423">
          <cell r="A13423" t="str">
            <v/>
          </cell>
        </row>
        <row r="13424">
          <cell r="A13424" t="str">
            <v/>
          </cell>
        </row>
        <row r="13425">
          <cell r="A13425" t="str">
            <v/>
          </cell>
        </row>
        <row r="13426">
          <cell r="A13426" t="str">
            <v/>
          </cell>
        </row>
        <row r="13427">
          <cell r="A13427" t="str">
            <v/>
          </cell>
        </row>
        <row r="13428">
          <cell r="A13428" t="str">
            <v/>
          </cell>
        </row>
        <row r="13429">
          <cell r="A13429" t="str">
            <v/>
          </cell>
        </row>
        <row r="13430">
          <cell r="A13430" t="str">
            <v/>
          </cell>
        </row>
        <row r="13431">
          <cell r="A13431" t="str">
            <v/>
          </cell>
        </row>
        <row r="13432">
          <cell r="A13432" t="str">
            <v/>
          </cell>
        </row>
        <row r="13433">
          <cell r="A13433" t="str">
            <v/>
          </cell>
        </row>
        <row r="13434">
          <cell r="A13434" t="str">
            <v/>
          </cell>
        </row>
        <row r="13435">
          <cell r="A13435" t="str">
            <v/>
          </cell>
        </row>
        <row r="13436">
          <cell r="A13436" t="str">
            <v/>
          </cell>
        </row>
        <row r="13437">
          <cell r="A13437" t="str">
            <v/>
          </cell>
        </row>
        <row r="13438">
          <cell r="A13438" t="str">
            <v/>
          </cell>
        </row>
        <row r="13439">
          <cell r="A13439" t="str">
            <v/>
          </cell>
        </row>
        <row r="13440">
          <cell r="A13440" t="str">
            <v/>
          </cell>
        </row>
        <row r="13441">
          <cell r="A13441" t="str">
            <v/>
          </cell>
        </row>
        <row r="13442">
          <cell r="A13442" t="str">
            <v/>
          </cell>
        </row>
        <row r="13443">
          <cell r="A13443" t="str">
            <v/>
          </cell>
        </row>
        <row r="13444">
          <cell r="A13444" t="str">
            <v/>
          </cell>
        </row>
        <row r="13445">
          <cell r="A13445" t="str">
            <v/>
          </cell>
        </row>
        <row r="13446">
          <cell r="A13446" t="str">
            <v/>
          </cell>
        </row>
        <row r="13447">
          <cell r="A13447" t="str">
            <v/>
          </cell>
        </row>
        <row r="13448">
          <cell r="A13448" t="str">
            <v/>
          </cell>
        </row>
        <row r="13449">
          <cell r="A13449" t="str">
            <v/>
          </cell>
        </row>
        <row r="13450">
          <cell r="A13450" t="str">
            <v/>
          </cell>
        </row>
        <row r="13451">
          <cell r="A13451" t="str">
            <v/>
          </cell>
        </row>
        <row r="13452">
          <cell r="A13452" t="str">
            <v/>
          </cell>
        </row>
        <row r="13453">
          <cell r="A13453" t="str">
            <v/>
          </cell>
        </row>
        <row r="13454">
          <cell r="A13454" t="str">
            <v/>
          </cell>
        </row>
        <row r="13455">
          <cell r="A13455" t="str">
            <v/>
          </cell>
        </row>
        <row r="13456">
          <cell r="A13456" t="str">
            <v/>
          </cell>
        </row>
        <row r="13457">
          <cell r="A13457" t="str">
            <v/>
          </cell>
        </row>
        <row r="13458">
          <cell r="A13458" t="str">
            <v/>
          </cell>
        </row>
        <row r="13459">
          <cell r="A13459" t="str">
            <v/>
          </cell>
        </row>
        <row r="13460">
          <cell r="A13460" t="str">
            <v/>
          </cell>
        </row>
        <row r="13461">
          <cell r="A13461" t="str">
            <v/>
          </cell>
        </row>
        <row r="13462">
          <cell r="A13462" t="str">
            <v/>
          </cell>
        </row>
        <row r="13463">
          <cell r="A13463" t="str">
            <v/>
          </cell>
        </row>
        <row r="13464">
          <cell r="A13464" t="str">
            <v/>
          </cell>
        </row>
        <row r="13465">
          <cell r="A13465" t="str">
            <v/>
          </cell>
        </row>
        <row r="13466">
          <cell r="A13466" t="str">
            <v/>
          </cell>
        </row>
        <row r="13467">
          <cell r="A13467" t="str">
            <v/>
          </cell>
        </row>
        <row r="13468">
          <cell r="A13468" t="str">
            <v/>
          </cell>
        </row>
        <row r="13469">
          <cell r="A13469" t="str">
            <v/>
          </cell>
        </row>
        <row r="13470">
          <cell r="A13470" t="str">
            <v/>
          </cell>
        </row>
        <row r="13471">
          <cell r="A13471" t="str">
            <v/>
          </cell>
        </row>
        <row r="13472">
          <cell r="A13472" t="str">
            <v/>
          </cell>
        </row>
        <row r="13473">
          <cell r="A13473" t="str">
            <v/>
          </cell>
        </row>
        <row r="13474">
          <cell r="A13474" t="str">
            <v/>
          </cell>
        </row>
        <row r="13475">
          <cell r="A13475" t="str">
            <v/>
          </cell>
        </row>
        <row r="13476">
          <cell r="A13476" t="str">
            <v/>
          </cell>
        </row>
        <row r="13477">
          <cell r="A13477" t="str">
            <v/>
          </cell>
        </row>
        <row r="13478">
          <cell r="A13478" t="str">
            <v/>
          </cell>
        </row>
        <row r="13479">
          <cell r="A13479" t="str">
            <v/>
          </cell>
        </row>
        <row r="13480">
          <cell r="A13480" t="str">
            <v/>
          </cell>
        </row>
        <row r="13481">
          <cell r="A13481" t="str">
            <v/>
          </cell>
        </row>
        <row r="13482">
          <cell r="A13482" t="str">
            <v/>
          </cell>
        </row>
        <row r="13483">
          <cell r="A13483" t="str">
            <v/>
          </cell>
        </row>
        <row r="13484">
          <cell r="A13484" t="str">
            <v/>
          </cell>
        </row>
        <row r="13485">
          <cell r="A13485" t="str">
            <v/>
          </cell>
        </row>
        <row r="13486">
          <cell r="A13486" t="str">
            <v/>
          </cell>
        </row>
        <row r="13487">
          <cell r="A13487" t="str">
            <v/>
          </cell>
        </row>
        <row r="13488">
          <cell r="A13488" t="str">
            <v/>
          </cell>
        </row>
        <row r="13489">
          <cell r="A13489" t="str">
            <v/>
          </cell>
        </row>
        <row r="13490">
          <cell r="A13490" t="str">
            <v/>
          </cell>
        </row>
        <row r="13491">
          <cell r="A13491" t="str">
            <v/>
          </cell>
        </row>
        <row r="13492">
          <cell r="A13492" t="str">
            <v/>
          </cell>
        </row>
        <row r="13493">
          <cell r="A13493" t="str">
            <v/>
          </cell>
        </row>
        <row r="13494">
          <cell r="A13494" t="str">
            <v/>
          </cell>
        </row>
        <row r="13495">
          <cell r="A13495" t="str">
            <v/>
          </cell>
        </row>
        <row r="13496">
          <cell r="A13496" t="str">
            <v/>
          </cell>
        </row>
        <row r="13497">
          <cell r="A13497" t="str">
            <v/>
          </cell>
        </row>
        <row r="13498">
          <cell r="A13498" t="str">
            <v/>
          </cell>
        </row>
        <row r="13499">
          <cell r="A13499" t="str">
            <v/>
          </cell>
        </row>
        <row r="13500">
          <cell r="A13500" t="str">
            <v/>
          </cell>
        </row>
        <row r="13501">
          <cell r="A13501" t="str">
            <v/>
          </cell>
        </row>
        <row r="13502">
          <cell r="A13502" t="str">
            <v/>
          </cell>
        </row>
        <row r="13503">
          <cell r="A13503" t="str">
            <v/>
          </cell>
        </row>
        <row r="13504">
          <cell r="A13504" t="str">
            <v/>
          </cell>
        </row>
        <row r="13505">
          <cell r="A13505" t="str">
            <v/>
          </cell>
        </row>
        <row r="13506">
          <cell r="A13506" t="str">
            <v/>
          </cell>
        </row>
        <row r="13507">
          <cell r="A13507" t="str">
            <v/>
          </cell>
        </row>
        <row r="13508">
          <cell r="A13508" t="str">
            <v/>
          </cell>
        </row>
        <row r="13509">
          <cell r="A13509" t="str">
            <v/>
          </cell>
        </row>
        <row r="13510">
          <cell r="A13510" t="str">
            <v/>
          </cell>
        </row>
        <row r="13511">
          <cell r="A13511" t="str">
            <v/>
          </cell>
        </row>
        <row r="13512">
          <cell r="A13512" t="str">
            <v/>
          </cell>
        </row>
        <row r="13513">
          <cell r="A13513" t="str">
            <v/>
          </cell>
        </row>
        <row r="13514">
          <cell r="A13514" t="str">
            <v/>
          </cell>
        </row>
        <row r="13515">
          <cell r="A13515" t="str">
            <v/>
          </cell>
        </row>
        <row r="13516">
          <cell r="A13516" t="str">
            <v/>
          </cell>
        </row>
        <row r="13517">
          <cell r="A13517" t="str">
            <v/>
          </cell>
        </row>
        <row r="13518">
          <cell r="A13518" t="str">
            <v/>
          </cell>
        </row>
        <row r="13519">
          <cell r="A13519" t="str">
            <v/>
          </cell>
        </row>
        <row r="13520">
          <cell r="A13520" t="str">
            <v/>
          </cell>
        </row>
        <row r="13521">
          <cell r="A13521" t="str">
            <v/>
          </cell>
        </row>
        <row r="13522">
          <cell r="A13522" t="str">
            <v/>
          </cell>
        </row>
        <row r="13523">
          <cell r="A13523" t="str">
            <v/>
          </cell>
        </row>
        <row r="13524">
          <cell r="A13524" t="str">
            <v/>
          </cell>
        </row>
        <row r="13525">
          <cell r="A13525" t="str">
            <v/>
          </cell>
        </row>
        <row r="13526">
          <cell r="A13526" t="str">
            <v/>
          </cell>
        </row>
        <row r="13527">
          <cell r="A13527" t="str">
            <v/>
          </cell>
        </row>
        <row r="13528">
          <cell r="A13528" t="str">
            <v/>
          </cell>
        </row>
        <row r="13529">
          <cell r="A13529" t="str">
            <v/>
          </cell>
        </row>
        <row r="13530">
          <cell r="A13530" t="str">
            <v/>
          </cell>
        </row>
        <row r="13531">
          <cell r="A13531" t="str">
            <v/>
          </cell>
        </row>
        <row r="13532">
          <cell r="A13532" t="str">
            <v/>
          </cell>
        </row>
        <row r="13533">
          <cell r="A13533" t="str">
            <v/>
          </cell>
        </row>
        <row r="13534">
          <cell r="A13534" t="str">
            <v/>
          </cell>
        </row>
        <row r="13535">
          <cell r="A13535" t="str">
            <v/>
          </cell>
        </row>
        <row r="13536">
          <cell r="A13536" t="str">
            <v/>
          </cell>
        </row>
        <row r="13537">
          <cell r="A13537" t="str">
            <v/>
          </cell>
        </row>
        <row r="13538">
          <cell r="A13538" t="str">
            <v/>
          </cell>
        </row>
        <row r="13539">
          <cell r="A13539" t="str">
            <v/>
          </cell>
        </row>
        <row r="13540">
          <cell r="A13540" t="str">
            <v/>
          </cell>
        </row>
        <row r="13541">
          <cell r="A13541" t="str">
            <v/>
          </cell>
        </row>
      </sheetData>
      <sheetData sheetId="1" refreshError="1">
        <row r="4">
          <cell r="B4">
            <v>37257</v>
          </cell>
          <cell r="C4">
            <v>3.528</v>
          </cell>
          <cell r="D4">
            <v>3.4369999999999998</v>
          </cell>
          <cell r="E4">
            <v>3.3370000000000002</v>
          </cell>
          <cell r="F4">
            <v>3.1549999999999998</v>
          </cell>
          <cell r="G4">
            <v>3.1579999999999999</v>
          </cell>
          <cell r="H4">
            <v>3.198</v>
          </cell>
          <cell r="I4">
            <v>3.238</v>
          </cell>
          <cell r="J4">
            <v>3.2879999999999998</v>
          </cell>
          <cell r="K4">
            <v>3.2730000000000001</v>
          </cell>
          <cell r="L4">
            <v>3.2879999999999998</v>
          </cell>
          <cell r="M4">
            <v>3.4329999999999998</v>
          </cell>
          <cell r="N4">
            <v>3.5680000000000001</v>
          </cell>
        </row>
        <row r="5">
          <cell r="B5">
            <v>37258</v>
          </cell>
          <cell r="C5">
            <v>3.45</v>
          </cell>
          <cell r="D5">
            <v>3.3559999999999999</v>
          </cell>
          <cell r="E5">
            <v>3.2559999999999998</v>
          </cell>
          <cell r="F5">
            <v>3.0739999999999998</v>
          </cell>
          <cell r="G5">
            <v>3.077</v>
          </cell>
          <cell r="H5">
            <v>3.117</v>
          </cell>
          <cell r="I5">
            <v>3.157</v>
          </cell>
          <cell r="J5">
            <v>3.2069999999999999</v>
          </cell>
          <cell r="K5">
            <v>3.1920000000000002</v>
          </cell>
          <cell r="L5">
            <v>3.2069999999999999</v>
          </cell>
          <cell r="M5">
            <v>3.3519999999999999</v>
          </cell>
          <cell r="N5">
            <v>3.4870000000000001</v>
          </cell>
        </row>
        <row r="6">
          <cell r="B6">
            <v>37259</v>
          </cell>
          <cell r="C6">
            <v>3.395</v>
          </cell>
          <cell r="D6">
            <v>3.3010000000000002</v>
          </cell>
          <cell r="E6">
            <v>3.2010000000000001</v>
          </cell>
          <cell r="F6">
            <v>3.0310000000000001</v>
          </cell>
          <cell r="G6">
            <v>3.0339999999999998</v>
          </cell>
          <cell r="H6">
            <v>3.0739999999999998</v>
          </cell>
          <cell r="I6">
            <v>3.1139999999999999</v>
          </cell>
          <cell r="J6">
            <v>3.1640000000000001</v>
          </cell>
          <cell r="K6">
            <v>3.149</v>
          </cell>
          <cell r="L6">
            <v>3.1640000000000001</v>
          </cell>
          <cell r="M6">
            <v>3.3090000000000002</v>
          </cell>
          <cell r="N6">
            <v>3.444</v>
          </cell>
        </row>
        <row r="7">
          <cell r="B7">
            <v>37260</v>
          </cell>
          <cell r="C7">
            <v>3.444</v>
          </cell>
          <cell r="D7">
            <v>3.35</v>
          </cell>
          <cell r="E7">
            <v>3.25</v>
          </cell>
          <cell r="F7">
            <v>3.08</v>
          </cell>
          <cell r="G7">
            <v>3.0830000000000002</v>
          </cell>
          <cell r="H7">
            <v>3.1230000000000002</v>
          </cell>
          <cell r="I7">
            <v>3.1629999999999998</v>
          </cell>
          <cell r="J7">
            <v>3.2130000000000001</v>
          </cell>
          <cell r="K7">
            <v>3.198</v>
          </cell>
          <cell r="L7">
            <v>3.2130000000000001</v>
          </cell>
          <cell r="M7">
            <v>3.3580000000000001</v>
          </cell>
          <cell r="N7">
            <v>3.4929999999999999</v>
          </cell>
        </row>
        <row r="8">
          <cell r="B8">
            <v>37261</v>
          </cell>
          <cell r="C8">
            <v>3.444</v>
          </cell>
          <cell r="D8">
            <v>3.35</v>
          </cell>
          <cell r="E8">
            <v>3.25</v>
          </cell>
          <cell r="F8">
            <v>3.08</v>
          </cell>
          <cell r="G8">
            <v>3.0830000000000002</v>
          </cell>
          <cell r="H8">
            <v>3.1230000000000002</v>
          </cell>
          <cell r="I8">
            <v>3.1629999999999998</v>
          </cell>
          <cell r="J8">
            <v>3.2130000000000001</v>
          </cell>
          <cell r="K8">
            <v>3.198</v>
          </cell>
          <cell r="L8">
            <v>3.2130000000000001</v>
          </cell>
          <cell r="M8">
            <v>3.3580000000000001</v>
          </cell>
          <cell r="N8">
            <v>3.4929999999999999</v>
          </cell>
        </row>
        <row r="9">
          <cell r="B9">
            <v>37262</v>
          </cell>
          <cell r="C9">
            <v>3.444</v>
          </cell>
          <cell r="D9">
            <v>3.35</v>
          </cell>
          <cell r="E9">
            <v>3.25</v>
          </cell>
          <cell r="F9">
            <v>3.08</v>
          </cell>
          <cell r="G9">
            <v>3.0830000000000002</v>
          </cell>
          <cell r="H9">
            <v>3.1230000000000002</v>
          </cell>
          <cell r="I9">
            <v>3.1629999999999998</v>
          </cell>
          <cell r="J9">
            <v>3.2130000000000001</v>
          </cell>
          <cell r="K9">
            <v>3.198</v>
          </cell>
          <cell r="L9">
            <v>3.2130000000000001</v>
          </cell>
          <cell r="M9">
            <v>3.3580000000000001</v>
          </cell>
          <cell r="N9">
            <v>3.4929999999999999</v>
          </cell>
        </row>
        <row r="10">
          <cell r="B10">
            <v>37263</v>
          </cell>
          <cell r="C10">
            <v>3.4470000000000001</v>
          </cell>
          <cell r="D10">
            <v>3.3519999999999999</v>
          </cell>
          <cell r="E10">
            <v>3.25</v>
          </cell>
          <cell r="F10">
            <v>3.0779999999999998</v>
          </cell>
          <cell r="G10">
            <v>3.081</v>
          </cell>
          <cell r="H10">
            <v>3.121</v>
          </cell>
          <cell r="I10">
            <v>3.165</v>
          </cell>
          <cell r="J10">
            <v>3.2149999999999999</v>
          </cell>
          <cell r="K10">
            <v>3.2</v>
          </cell>
          <cell r="L10">
            <v>3.2149999999999999</v>
          </cell>
          <cell r="M10">
            <v>3.36</v>
          </cell>
          <cell r="N10">
            <v>3.4950000000000001</v>
          </cell>
        </row>
        <row r="11">
          <cell r="B11">
            <v>37264</v>
          </cell>
          <cell r="C11">
            <v>3.484</v>
          </cell>
          <cell r="D11">
            <v>3.3889999999999998</v>
          </cell>
          <cell r="E11">
            <v>3.28</v>
          </cell>
          <cell r="F11">
            <v>3.1040000000000001</v>
          </cell>
          <cell r="G11">
            <v>3.1040000000000001</v>
          </cell>
          <cell r="H11">
            <v>3.1440000000000001</v>
          </cell>
          <cell r="I11">
            <v>3.1880000000000002</v>
          </cell>
          <cell r="J11">
            <v>3.238</v>
          </cell>
          <cell r="K11">
            <v>3.2229999999999999</v>
          </cell>
          <cell r="L11">
            <v>3.238</v>
          </cell>
          <cell r="M11">
            <v>3.383</v>
          </cell>
          <cell r="N11">
            <v>3.5179999999999998</v>
          </cell>
        </row>
        <row r="12">
          <cell r="B12">
            <v>37265</v>
          </cell>
          <cell r="C12">
            <v>3.4390000000000001</v>
          </cell>
          <cell r="D12">
            <v>3.3439999999999999</v>
          </cell>
          <cell r="E12">
            <v>3.2349999999999999</v>
          </cell>
          <cell r="F12">
            <v>3.0649999999999999</v>
          </cell>
          <cell r="G12">
            <v>3.0649999999999999</v>
          </cell>
          <cell r="H12">
            <v>3.105</v>
          </cell>
          <cell r="I12">
            <v>3.149</v>
          </cell>
          <cell r="J12">
            <v>3.1989999999999998</v>
          </cell>
          <cell r="K12">
            <v>3.18</v>
          </cell>
          <cell r="L12">
            <v>3.1949999999999998</v>
          </cell>
          <cell r="M12">
            <v>3.34</v>
          </cell>
          <cell r="N12">
            <v>3.4750000000000001</v>
          </cell>
        </row>
        <row r="13">
          <cell r="B13">
            <v>37266</v>
          </cell>
          <cell r="C13">
            <v>3.37</v>
          </cell>
          <cell r="D13">
            <v>3.2749999999999999</v>
          </cell>
          <cell r="E13">
            <v>3.1659999999999999</v>
          </cell>
          <cell r="F13">
            <v>2.9910000000000001</v>
          </cell>
          <cell r="G13">
            <v>2.9910000000000001</v>
          </cell>
          <cell r="H13">
            <v>3.0310000000000001</v>
          </cell>
          <cell r="I13">
            <v>3.0750000000000002</v>
          </cell>
          <cell r="J13">
            <v>3.125</v>
          </cell>
          <cell r="K13">
            <v>3.1059999999999999</v>
          </cell>
          <cell r="L13">
            <v>3.121</v>
          </cell>
          <cell r="M13">
            <v>3.266</v>
          </cell>
          <cell r="N13">
            <v>3.4009999999999998</v>
          </cell>
        </row>
        <row r="14">
          <cell r="B14">
            <v>37267</v>
          </cell>
          <cell r="C14">
            <v>3.335</v>
          </cell>
          <cell r="D14">
            <v>3.24</v>
          </cell>
          <cell r="E14">
            <v>3.14</v>
          </cell>
          <cell r="F14">
            <v>2.97</v>
          </cell>
          <cell r="G14">
            <v>2.9750000000000001</v>
          </cell>
          <cell r="H14">
            <v>3.0150000000000001</v>
          </cell>
          <cell r="I14">
            <v>3.0590000000000002</v>
          </cell>
          <cell r="J14">
            <v>3.109</v>
          </cell>
          <cell r="K14">
            <v>3.09</v>
          </cell>
          <cell r="L14">
            <v>3.105</v>
          </cell>
          <cell r="M14">
            <v>3.25</v>
          </cell>
          <cell r="N14">
            <v>3.3849999999999998</v>
          </cell>
        </row>
        <row r="15">
          <cell r="B15">
            <v>37268</v>
          </cell>
          <cell r="C15">
            <v>3.335</v>
          </cell>
          <cell r="D15">
            <v>3.24</v>
          </cell>
          <cell r="E15">
            <v>3.14</v>
          </cell>
          <cell r="F15">
            <v>2.97</v>
          </cell>
          <cell r="G15">
            <v>2.9750000000000001</v>
          </cell>
          <cell r="H15">
            <v>3.0150000000000001</v>
          </cell>
          <cell r="I15">
            <v>3.0590000000000002</v>
          </cell>
          <cell r="J15">
            <v>3.109</v>
          </cell>
          <cell r="K15">
            <v>3.09</v>
          </cell>
          <cell r="L15">
            <v>3.105</v>
          </cell>
          <cell r="M15">
            <v>3.25</v>
          </cell>
          <cell r="N15">
            <v>3.3849999999999998</v>
          </cell>
        </row>
        <row r="16">
          <cell r="B16">
            <v>37269</v>
          </cell>
          <cell r="C16">
            <v>3.335</v>
          </cell>
          <cell r="D16">
            <v>3.24</v>
          </cell>
          <cell r="E16">
            <v>3.14</v>
          </cell>
          <cell r="F16">
            <v>2.97</v>
          </cell>
          <cell r="G16">
            <v>2.9750000000000001</v>
          </cell>
          <cell r="H16">
            <v>3.0150000000000001</v>
          </cell>
          <cell r="I16">
            <v>3.0590000000000002</v>
          </cell>
          <cell r="J16">
            <v>3.109</v>
          </cell>
          <cell r="K16">
            <v>3.09</v>
          </cell>
          <cell r="L16">
            <v>3.105</v>
          </cell>
          <cell r="M16">
            <v>3.25</v>
          </cell>
          <cell r="N16">
            <v>3.3849999999999998</v>
          </cell>
        </row>
        <row r="17">
          <cell r="B17">
            <v>37270</v>
          </cell>
          <cell r="C17">
            <v>3.3519999999999999</v>
          </cell>
          <cell r="D17">
            <v>3.2570000000000001</v>
          </cell>
          <cell r="E17">
            <v>3.157</v>
          </cell>
          <cell r="F17">
            <v>2.9870000000000001</v>
          </cell>
          <cell r="G17">
            <v>2.9969999999999999</v>
          </cell>
          <cell r="H17">
            <v>3.0430000000000001</v>
          </cell>
          <cell r="I17">
            <v>3.0870000000000002</v>
          </cell>
          <cell r="J17">
            <v>3.137</v>
          </cell>
          <cell r="K17">
            <v>3.1179999999999999</v>
          </cell>
          <cell r="L17">
            <v>3.133</v>
          </cell>
          <cell r="M17">
            <v>3.278</v>
          </cell>
          <cell r="N17">
            <v>3.4129999999999998</v>
          </cell>
        </row>
        <row r="18">
          <cell r="B18">
            <v>37271</v>
          </cell>
          <cell r="C18">
            <v>3.31</v>
          </cell>
          <cell r="D18">
            <v>3.2149999999999999</v>
          </cell>
          <cell r="E18">
            <v>3.1150000000000002</v>
          </cell>
          <cell r="F18">
            <v>2.9449999999999998</v>
          </cell>
          <cell r="G18">
            <v>2.956</v>
          </cell>
          <cell r="H18">
            <v>3.0059999999999998</v>
          </cell>
          <cell r="I18">
            <v>3.0550000000000002</v>
          </cell>
          <cell r="J18">
            <v>3.11</v>
          </cell>
          <cell r="K18">
            <v>3.08</v>
          </cell>
          <cell r="L18">
            <v>3.085</v>
          </cell>
          <cell r="M18">
            <v>3.23</v>
          </cell>
          <cell r="N18">
            <v>3.3650000000000002</v>
          </cell>
        </row>
        <row r="19">
          <cell r="B19">
            <v>37272</v>
          </cell>
          <cell r="C19">
            <v>3.3490000000000002</v>
          </cell>
          <cell r="D19">
            <v>3.2589999999999999</v>
          </cell>
          <cell r="E19">
            <v>3.1589999999999998</v>
          </cell>
          <cell r="F19">
            <v>2.9889999999999999</v>
          </cell>
          <cell r="G19">
            <v>3</v>
          </cell>
          <cell r="H19">
            <v>3.05</v>
          </cell>
          <cell r="I19">
            <v>3.0990000000000002</v>
          </cell>
          <cell r="J19">
            <v>3.1440000000000001</v>
          </cell>
          <cell r="K19">
            <v>3.1190000000000002</v>
          </cell>
          <cell r="L19">
            <v>3.1240000000000001</v>
          </cell>
          <cell r="M19">
            <v>3.2719999999999998</v>
          </cell>
          <cell r="N19">
            <v>3.419</v>
          </cell>
        </row>
        <row r="20">
          <cell r="B20">
            <v>37273</v>
          </cell>
          <cell r="C20">
            <v>3.3319999999999999</v>
          </cell>
          <cell r="D20">
            <v>3.242</v>
          </cell>
          <cell r="E20">
            <v>3.1419999999999999</v>
          </cell>
          <cell r="F20">
            <v>2.9769999999999999</v>
          </cell>
          <cell r="G20">
            <v>2.988</v>
          </cell>
          <cell r="H20">
            <v>3.0390000000000001</v>
          </cell>
          <cell r="I20">
            <v>3.09</v>
          </cell>
          <cell r="J20">
            <v>3.137</v>
          </cell>
          <cell r="K20">
            <v>3.117</v>
          </cell>
          <cell r="L20">
            <v>3.1219999999999999</v>
          </cell>
          <cell r="M20">
            <v>3.27</v>
          </cell>
          <cell r="N20">
            <v>3.4169999999999998</v>
          </cell>
        </row>
        <row r="21">
          <cell r="B21">
            <v>37274</v>
          </cell>
          <cell r="C21">
            <v>3.3580000000000001</v>
          </cell>
          <cell r="D21">
            <v>3.2719999999999998</v>
          </cell>
          <cell r="E21">
            <v>3.1720000000000002</v>
          </cell>
          <cell r="F21">
            <v>3.0070000000000001</v>
          </cell>
          <cell r="G21">
            <v>3.0179999999999998</v>
          </cell>
          <cell r="H21">
            <v>3.069</v>
          </cell>
          <cell r="I21">
            <v>3.12</v>
          </cell>
          <cell r="J21">
            <v>3.1669999999999998</v>
          </cell>
          <cell r="K21">
            <v>3.1469999999999998</v>
          </cell>
          <cell r="L21">
            <v>3.1520000000000001</v>
          </cell>
          <cell r="M21">
            <v>3.3</v>
          </cell>
          <cell r="N21">
            <v>3.4470000000000001</v>
          </cell>
        </row>
        <row r="22">
          <cell r="B22">
            <v>37275</v>
          </cell>
          <cell r="C22">
            <v>3.3580000000000001</v>
          </cell>
          <cell r="D22">
            <v>3.2719999999999998</v>
          </cell>
          <cell r="E22">
            <v>3.1720000000000002</v>
          </cell>
          <cell r="F22">
            <v>3.0070000000000001</v>
          </cell>
          <cell r="G22">
            <v>3.0179999999999998</v>
          </cell>
          <cell r="H22">
            <v>3.069</v>
          </cell>
          <cell r="I22">
            <v>3.12</v>
          </cell>
          <cell r="J22">
            <v>3.1669999999999998</v>
          </cell>
          <cell r="K22">
            <v>3.1469999999999998</v>
          </cell>
          <cell r="L22">
            <v>3.1520000000000001</v>
          </cell>
          <cell r="M22">
            <v>3.3</v>
          </cell>
          <cell r="N22">
            <v>3.4470000000000001</v>
          </cell>
        </row>
        <row r="23">
          <cell r="B23">
            <v>37276</v>
          </cell>
          <cell r="C23">
            <v>3.3580000000000001</v>
          </cell>
          <cell r="D23">
            <v>3.2719999999999998</v>
          </cell>
          <cell r="E23">
            <v>3.1720000000000002</v>
          </cell>
          <cell r="F23">
            <v>3.0070000000000001</v>
          </cell>
          <cell r="G23">
            <v>3.0179999999999998</v>
          </cell>
          <cell r="H23">
            <v>3.069</v>
          </cell>
          <cell r="I23">
            <v>3.12</v>
          </cell>
          <cell r="J23">
            <v>3.1669999999999998</v>
          </cell>
          <cell r="K23">
            <v>3.1469999999999998</v>
          </cell>
          <cell r="L23">
            <v>3.1520000000000001</v>
          </cell>
          <cell r="M23">
            <v>3.3</v>
          </cell>
          <cell r="N23">
            <v>3.4470000000000001</v>
          </cell>
        </row>
        <row r="24">
          <cell r="B24">
            <v>37277</v>
          </cell>
          <cell r="C24">
            <v>3.3580000000000001</v>
          </cell>
          <cell r="D24">
            <v>3.2719999999999998</v>
          </cell>
          <cell r="E24">
            <v>3.1720000000000002</v>
          </cell>
          <cell r="F24">
            <v>3.0070000000000001</v>
          </cell>
          <cell r="G24">
            <v>3.0179999999999998</v>
          </cell>
          <cell r="H24">
            <v>3.069</v>
          </cell>
          <cell r="I24">
            <v>3.12</v>
          </cell>
          <cell r="J24">
            <v>3.1669999999999998</v>
          </cell>
          <cell r="K24">
            <v>3.1469999999999998</v>
          </cell>
          <cell r="L24">
            <v>3.1520000000000001</v>
          </cell>
          <cell r="M24">
            <v>3.3</v>
          </cell>
          <cell r="N24">
            <v>3.4470000000000001</v>
          </cell>
        </row>
        <row r="25">
          <cell r="B25">
            <v>37278</v>
          </cell>
          <cell r="C25">
            <v>3.3690000000000002</v>
          </cell>
          <cell r="D25">
            <v>3.2829999999999999</v>
          </cell>
          <cell r="E25">
            <v>3.1680000000000001</v>
          </cell>
          <cell r="F25">
            <v>3.0030000000000001</v>
          </cell>
          <cell r="G25">
            <v>3.0169999999999999</v>
          </cell>
          <cell r="H25">
            <v>3.0640000000000001</v>
          </cell>
          <cell r="I25">
            <v>3.1110000000000002</v>
          </cell>
          <cell r="J25">
            <v>3.1579999999999999</v>
          </cell>
          <cell r="K25">
            <v>3.1379999999999999</v>
          </cell>
          <cell r="L25">
            <v>3.1429999999999998</v>
          </cell>
          <cell r="M25">
            <v>3.306</v>
          </cell>
          <cell r="N25">
            <v>3.468</v>
          </cell>
        </row>
        <row r="26">
          <cell r="B26">
            <v>37279</v>
          </cell>
          <cell r="C26">
            <v>3.4</v>
          </cell>
          <cell r="D26">
            <v>3.3140000000000001</v>
          </cell>
          <cell r="E26">
            <v>3.1989999999999998</v>
          </cell>
          <cell r="F26">
            <v>3.0390000000000001</v>
          </cell>
          <cell r="G26">
            <v>3.0529999999999999</v>
          </cell>
          <cell r="H26">
            <v>3.0950000000000002</v>
          </cell>
          <cell r="I26">
            <v>3.1419999999999999</v>
          </cell>
          <cell r="J26">
            <v>3.1890000000000001</v>
          </cell>
          <cell r="K26">
            <v>3.169</v>
          </cell>
          <cell r="L26">
            <v>3.1739999999999999</v>
          </cell>
          <cell r="M26">
            <v>3.3370000000000002</v>
          </cell>
          <cell r="N26">
            <v>3.4990000000000001</v>
          </cell>
        </row>
        <row r="27">
          <cell r="B27">
            <v>37280</v>
          </cell>
          <cell r="C27">
            <v>3.4359999999999999</v>
          </cell>
          <cell r="D27">
            <v>3.35</v>
          </cell>
          <cell r="E27">
            <v>3.2250000000000001</v>
          </cell>
          <cell r="F27">
            <v>3.0649999999999999</v>
          </cell>
          <cell r="G27">
            <v>3.0790000000000002</v>
          </cell>
          <cell r="H27">
            <v>3.121</v>
          </cell>
          <cell r="I27">
            <v>3.1680000000000001</v>
          </cell>
          <cell r="J27">
            <v>3.2149999999999999</v>
          </cell>
          <cell r="K27">
            <v>3.1949999999999998</v>
          </cell>
          <cell r="L27">
            <v>3.2</v>
          </cell>
          <cell r="M27">
            <v>3.363</v>
          </cell>
          <cell r="N27">
            <v>3.5249999999999999</v>
          </cell>
        </row>
        <row r="28">
          <cell r="B28">
            <v>37281</v>
          </cell>
          <cell r="C28">
            <v>3.415</v>
          </cell>
          <cell r="D28">
            <v>3.3290000000000002</v>
          </cell>
          <cell r="E28">
            <v>3.2069999999999999</v>
          </cell>
          <cell r="F28">
            <v>3.0470000000000002</v>
          </cell>
          <cell r="G28">
            <v>3.0630000000000002</v>
          </cell>
          <cell r="H28">
            <v>3.105</v>
          </cell>
          <cell r="I28">
            <v>3.1520000000000001</v>
          </cell>
          <cell r="J28">
            <v>3.1989999999999998</v>
          </cell>
          <cell r="K28">
            <v>3.1789999999999998</v>
          </cell>
          <cell r="L28">
            <v>3.1840000000000002</v>
          </cell>
          <cell r="M28">
            <v>3.3540000000000001</v>
          </cell>
          <cell r="N28">
            <v>3.524</v>
          </cell>
        </row>
        <row r="29">
          <cell r="B29">
            <v>37282</v>
          </cell>
          <cell r="C29">
            <v>3.415</v>
          </cell>
          <cell r="D29">
            <v>3.3290000000000002</v>
          </cell>
          <cell r="E29">
            <v>3.2069999999999999</v>
          </cell>
          <cell r="F29">
            <v>3.0470000000000002</v>
          </cell>
          <cell r="G29">
            <v>3.0630000000000002</v>
          </cell>
          <cell r="H29">
            <v>3.105</v>
          </cell>
          <cell r="I29">
            <v>3.1520000000000001</v>
          </cell>
          <cell r="J29">
            <v>3.1989999999999998</v>
          </cell>
          <cell r="K29">
            <v>3.1789999999999998</v>
          </cell>
          <cell r="L29">
            <v>3.1840000000000002</v>
          </cell>
          <cell r="M29">
            <v>3.3540000000000001</v>
          </cell>
          <cell r="N29">
            <v>3.524</v>
          </cell>
        </row>
        <row r="30">
          <cell r="B30">
            <v>37283</v>
          </cell>
          <cell r="C30">
            <v>3.415</v>
          </cell>
          <cell r="D30">
            <v>3.3290000000000002</v>
          </cell>
          <cell r="E30">
            <v>3.2069999999999999</v>
          </cell>
          <cell r="F30">
            <v>3.0470000000000002</v>
          </cell>
          <cell r="G30">
            <v>3.0630000000000002</v>
          </cell>
          <cell r="H30">
            <v>3.105</v>
          </cell>
          <cell r="I30">
            <v>3.1520000000000001</v>
          </cell>
          <cell r="J30">
            <v>3.1989999999999998</v>
          </cell>
          <cell r="K30">
            <v>3.1789999999999998</v>
          </cell>
          <cell r="L30">
            <v>3.1840000000000002</v>
          </cell>
          <cell r="M30">
            <v>3.3540000000000001</v>
          </cell>
          <cell r="N30">
            <v>3.524</v>
          </cell>
        </row>
        <row r="31">
          <cell r="B31">
            <v>37284</v>
          </cell>
          <cell r="C31">
            <v>3.34</v>
          </cell>
          <cell r="D31">
            <v>3.254</v>
          </cell>
          <cell r="E31">
            <v>3.1320000000000001</v>
          </cell>
          <cell r="F31">
            <v>2.972</v>
          </cell>
          <cell r="G31">
            <v>2.988</v>
          </cell>
          <cell r="H31">
            <v>3.03</v>
          </cell>
          <cell r="I31">
            <v>3.077</v>
          </cell>
          <cell r="J31">
            <v>3.1240000000000001</v>
          </cell>
          <cell r="K31">
            <v>3.1040000000000001</v>
          </cell>
          <cell r="L31">
            <v>3.12</v>
          </cell>
          <cell r="M31">
            <v>3.29</v>
          </cell>
          <cell r="N31">
            <v>3.46</v>
          </cell>
        </row>
        <row r="32">
          <cell r="B32">
            <v>37285</v>
          </cell>
          <cell r="C32">
            <v>3.4159999999999999</v>
          </cell>
          <cell r="D32">
            <v>3.33</v>
          </cell>
          <cell r="E32">
            <v>3.2010000000000001</v>
          </cell>
          <cell r="F32">
            <v>3.0409999999999999</v>
          </cell>
          <cell r="G32">
            <v>3.0569999999999999</v>
          </cell>
          <cell r="H32">
            <v>3.0990000000000002</v>
          </cell>
          <cell r="I32">
            <v>3.1459999999999999</v>
          </cell>
          <cell r="J32">
            <v>3.1930000000000001</v>
          </cell>
          <cell r="K32">
            <v>3.173</v>
          </cell>
          <cell r="L32">
            <v>3.1989999999999998</v>
          </cell>
          <cell r="M32">
            <v>3.3690000000000002</v>
          </cell>
          <cell r="N32">
            <v>3.5470000000000002</v>
          </cell>
        </row>
        <row r="33">
          <cell r="B33">
            <v>37286</v>
          </cell>
          <cell r="C33">
            <v>3.3769999999999998</v>
          </cell>
          <cell r="D33">
            <v>3.3010000000000002</v>
          </cell>
          <cell r="E33">
            <v>3.1720000000000002</v>
          </cell>
          <cell r="F33">
            <v>3.004</v>
          </cell>
          <cell r="G33">
            <v>3.02</v>
          </cell>
          <cell r="H33">
            <v>3.06</v>
          </cell>
          <cell r="I33">
            <v>3.1070000000000002</v>
          </cell>
          <cell r="J33">
            <v>3.1589999999999998</v>
          </cell>
          <cell r="K33">
            <v>3.1389999999999998</v>
          </cell>
          <cell r="L33">
            <v>3.165</v>
          </cell>
          <cell r="M33">
            <v>3.335</v>
          </cell>
          <cell r="N33">
            <v>3.5129999999999999</v>
          </cell>
        </row>
        <row r="34">
          <cell r="B34">
            <v>37287</v>
          </cell>
          <cell r="C34">
            <v>3.335</v>
          </cell>
          <cell r="D34">
            <v>3.2589999999999999</v>
          </cell>
          <cell r="E34">
            <v>3.125</v>
          </cell>
          <cell r="F34">
            <v>2.952</v>
          </cell>
          <cell r="G34">
            <v>2.9630000000000001</v>
          </cell>
          <cell r="H34">
            <v>2.9980000000000002</v>
          </cell>
          <cell r="I34">
            <v>3.0449999999999999</v>
          </cell>
          <cell r="J34">
            <v>3.0950000000000002</v>
          </cell>
          <cell r="K34">
            <v>3.0750000000000002</v>
          </cell>
          <cell r="L34">
            <v>3.0950000000000002</v>
          </cell>
          <cell r="M34">
            <v>3.2650000000000001</v>
          </cell>
          <cell r="N34">
            <v>3.4430000000000001</v>
          </cell>
        </row>
        <row r="35">
          <cell r="B35">
            <v>37288</v>
          </cell>
          <cell r="C35">
            <v>3.3210000000000002</v>
          </cell>
          <cell r="D35">
            <v>3.2450000000000001</v>
          </cell>
          <cell r="E35">
            <v>3.1110000000000002</v>
          </cell>
          <cell r="F35">
            <v>2.9380000000000002</v>
          </cell>
          <cell r="G35">
            <v>2.9489999999999998</v>
          </cell>
          <cell r="H35">
            <v>2.984</v>
          </cell>
          <cell r="I35">
            <v>3.0310000000000001</v>
          </cell>
          <cell r="J35">
            <v>3.081</v>
          </cell>
          <cell r="K35">
            <v>3.0609999999999999</v>
          </cell>
          <cell r="L35">
            <v>3.081</v>
          </cell>
          <cell r="M35">
            <v>3.2509999999999999</v>
          </cell>
          <cell r="N35">
            <v>3.4289999999999998</v>
          </cell>
        </row>
        <row r="36">
          <cell r="B36">
            <v>37289</v>
          </cell>
          <cell r="C36">
            <v>3.3210000000000002</v>
          </cell>
          <cell r="D36">
            <v>3.2450000000000001</v>
          </cell>
          <cell r="E36">
            <v>3.1110000000000002</v>
          </cell>
          <cell r="F36">
            <v>2.9380000000000002</v>
          </cell>
          <cell r="G36">
            <v>2.9489999999999998</v>
          </cell>
          <cell r="H36">
            <v>2.984</v>
          </cell>
          <cell r="I36">
            <v>3.0310000000000001</v>
          </cell>
          <cell r="J36">
            <v>3.081</v>
          </cell>
          <cell r="K36">
            <v>3.0609999999999999</v>
          </cell>
          <cell r="L36">
            <v>3.081</v>
          </cell>
          <cell r="M36">
            <v>3.2509999999999999</v>
          </cell>
          <cell r="N36">
            <v>3.4289999999999998</v>
          </cell>
        </row>
        <row r="37">
          <cell r="B37">
            <v>37290</v>
          </cell>
          <cell r="C37">
            <v>3.3210000000000002</v>
          </cell>
          <cell r="D37">
            <v>3.2450000000000001</v>
          </cell>
          <cell r="E37">
            <v>3.1110000000000002</v>
          </cell>
          <cell r="F37">
            <v>2.9380000000000002</v>
          </cell>
          <cell r="G37">
            <v>2.9489999999999998</v>
          </cell>
          <cell r="H37">
            <v>2.984</v>
          </cell>
          <cell r="I37">
            <v>3.0310000000000001</v>
          </cell>
          <cell r="J37">
            <v>3.081</v>
          </cell>
          <cell r="K37">
            <v>3.0609999999999999</v>
          </cell>
          <cell r="L37">
            <v>3.081</v>
          </cell>
          <cell r="M37">
            <v>3.2509999999999999</v>
          </cell>
          <cell r="N37">
            <v>3.4289999999999998</v>
          </cell>
        </row>
        <row r="38">
          <cell r="B38">
            <v>37291</v>
          </cell>
          <cell r="C38">
            <v>3.3260000000000001</v>
          </cell>
          <cell r="D38">
            <v>3.2559999999999998</v>
          </cell>
          <cell r="E38">
            <v>3.1219999999999999</v>
          </cell>
          <cell r="F38">
            <v>2.9529999999999998</v>
          </cell>
          <cell r="G38">
            <v>2.964</v>
          </cell>
          <cell r="H38">
            <v>2.9990000000000001</v>
          </cell>
          <cell r="I38">
            <v>3.044</v>
          </cell>
          <cell r="J38">
            <v>3.089</v>
          </cell>
          <cell r="K38">
            <v>3.0710000000000002</v>
          </cell>
          <cell r="L38">
            <v>3.089</v>
          </cell>
          <cell r="M38">
            <v>3.258</v>
          </cell>
          <cell r="N38">
            <v>3.4359999999999999</v>
          </cell>
        </row>
        <row r="39">
          <cell r="B39">
            <v>37292</v>
          </cell>
          <cell r="C39">
            <v>3.3450000000000002</v>
          </cell>
          <cell r="D39">
            <v>3.27</v>
          </cell>
          <cell r="E39">
            <v>3.1360000000000001</v>
          </cell>
          <cell r="F39">
            <v>2.9670000000000001</v>
          </cell>
          <cell r="G39">
            <v>2.9780000000000002</v>
          </cell>
          <cell r="H39">
            <v>3.008</v>
          </cell>
          <cell r="I39">
            <v>3.0529999999999999</v>
          </cell>
          <cell r="J39">
            <v>3.0979999999999999</v>
          </cell>
          <cell r="K39">
            <v>3.0939999999999999</v>
          </cell>
          <cell r="L39">
            <v>3.1120000000000001</v>
          </cell>
          <cell r="M39">
            <v>3.2759999999999998</v>
          </cell>
          <cell r="N39">
            <v>3.4540000000000002</v>
          </cell>
        </row>
        <row r="40">
          <cell r="B40">
            <v>37293</v>
          </cell>
          <cell r="C40">
            <v>3.3340000000000001</v>
          </cell>
          <cell r="D40">
            <v>3.258</v>
          </cell>
          <cell r="E40">
            <v>3.1179999999999999</v>
          </cell>
          <cell r="F40">
            <v>2.9470000000000001</v>
          </cell>
          <cell r="G40">
            <v>2.96</v>
          </cell>
          <cell r="H40">
            <v>2.988</v>
          </cell>
          <cell r="I40">
            <v>3.0310000000000001</v>
          </cell>
          <cell r="J40">
            <v>3.0739999999999998</v>
          </cell>
          <cell r="K40">
            <v>3.0739999999999998</v>
          </cell>
          <cell r="L40">
            <v>3.0920000000000001</v>
          </cell>
          <cell r="M40">
            <v>3.2519999999999998</v>
          </cell>
          <cell r="N40">
            <v>3.43</v>
          </cell>
        </row>
        <row r="41">
          <cell r="B41">
            <v>37294</v>
          </cell>
          <cell r="C41">
            <v>3.3650000000000002</v>
          </cell>
          <cell r="D41">
            <v>3.2850000000000001</v>
          </cell>
          <cell r="E41">
            <v>3.17</v>
          </cell>
          <cell r="F41">
            <v>2.99</v>
          </cell>
          <cell r="G41">
            <v>2.9969999999999999</v>
          </cell>
          <cell r="H41">
            <v>3.012</v>
          </cell>
          <cell r="I41">
            <v>3.052</v>
          </cell>
          <cell r="J41">
            <v>3.0920000000000001</v>
          </cell>
          <cell r="K41">
            <v>3.0939999999999999</v>
          </cell>
          <cell r="L41">
            <v>3.1019999999999999</v>
          </cell>
          <cell r="M41">
            <v>3.262</v>
          </cell>
          <cell r="N41">
            <v>3.44</v>
          </cell>
        </row>
        <row r="42">
          <cell r="B42">
            <v>37295</v>
          </cell>
          <cell r="C42">
            <v>3.3839999999999999</v>
          </cell>
          <cell r="D42">
            <v>3.3010000000000002</v>
          </cell>
          <cell r="E42">
            <v>3.1819999999999999</v>
          </cell>
          <cell r="F42">
            <v>3.0019999999999998</v>
          </cell>
          <cell r="G42">
            <v>3.0089999999999999</v>
          </cell>
          <cell r="H42">
            <v>3.024</v>
          </cell>
          <cell r="I42">
            <v>3.0640000000000001</v>
          </cell>
          <cell r="J42">
            <v>3.1120000000000001</v>
          </cell>
          <cell r="K42">
            <v>3.1120000000000001</v>
          </cell>
          <cell r="L42">
            <v>3.12</v>
          </cell>
          <cell r="M42">
            <v>3.28</v>
          </cell>
          <cell r="N42">
            <v>3.4580000000000002</v>
          </cell>
        </row>
        <row r="43">
          <cell r="B43">
            <v>37296</v>
          </cell>
          <cell r="C43">
            <v>3.3839999999999999</v>
          </cell>
          <cell r="D43">
            <v>3.3010000000000002</v>
          </cell>
          <cell r="E43">
            <v>3.1819999999999999</v>
          </cell>
          <cell r="F43">
            <v>3.0019999999999998</v>
          </cell>
          <cell r="G43">
            <v>3.0089999999999999</v>
          </cell>
          <cell r="H43">
            <v>3.024</v>
          </cell>
          <cell r="I43">
            <v>3.0640000000000001</v>
          </cell>
          <cell r="J43">
            <v>3.1120000000000001</v>
          </cell>
          <cell r="K43">
            <v>3.1120000000000001</v>
          </cell>
          <cell r="L43">
            <v>3.12</v>
          </cell>
          <cell r="M43">
            <v>3.28</v>
          </cell>
          <cell r="N43">
            <v>3.4580000000000002</v>
          </cell>
        </row>
        <row r="44">
          <cell r="B44">
            <v>37297</v>
          </cell>
          <cell r="C44">
            <v>3.3839999999999999</v>
          </cell>
          <cell r="D44">
            <v>3.3010000000000002</v>
          </cell>
          <cell r="E44">
            <v>3.1819999999999999</v>
          </cell>
          <cell r="F44">
            <v>3.0019999999999998</v>
          </cell>
          <cell r="G44">
            <v>3.0089999999999999</v>
          </cell>
          <cell r="H44">
            <v>3.024</v>
          </cell>
          <cell r="I44">
            <v>3.0640000000000001</v>
          </cell>
          <cell r="J44">
            <v>3.1120000000000001</v>
          </cell>
          <cell r="K44">
            <v>3.1120000000000001</v>
          </cell>
          <cell r="L44">
            <v>3.12</v>
          </cell>
          <cell r="M44">
            <v>3.28</v>
          </cell>
          <cell r="N44">
            <v>3.4580000000000002</v>
          </cell>
        </row>
        <row r="45">
          <cell r="B45">
            <v>37298</v>
          </cell>
          <cell r="C45">
            <v>3.403</v>
          </cell>
          <cell r="D45">
            <v>3.3149999999999999</v>
          </cell>
          <cell r="E45">
            <v>3.1960000000000002</v>
          </cell>
          <cell r="F45">
            <v>3.016</v>
          </cell>
          <cell r="G45">
            <v>3.0230000000000001</v>
          </cell>
          <cell r="H45">
            <v>3.0379999999999998</v>
          </cell>
          <cell r="I45">
            <v>3.0779999999999998</v>
          </cell>
          <cell r="J45">
            <v>3.113</v>
          </cell>
          <cell r="K45">
            <v>3.1110000000000002</v>
          </cell>
          <cell r="L45">
            <v>3.1179999999999999</v>
          </cell>
          <cell r="M45">
            <v>3.278</v>
          </cell>
          <cell r="N45">
            <v>3.456</v>
          </cell>
        </row>
        <row r="46">
          <cell r="B46">
            <v>37299</v>
          </cell>
          <cell r="C46">
            <v>3.4409999999999998</v>
          </cell>
          <cell r="D46">
            <v>3.3530000000000002</v>
          </cell>
          <cell r="E46">
            <v>3.2240000000000002</v>
          </cell>
          <cell r="F46">
            <v>3.044</v>
          </cell>
          <cell r="G46">
            <v>3.0510000000000002</v>
          </cell>
          <cell r="H46">
            <v>3.0760000000000001</v>
          </cell>
          <cell r="I46">
            <v>3.1160000000000001</v>
          </cell>
          <cell r="J46">
            <v>3.1509999999999998</v>
          </cell>
          <cell r="K46">
            <v>3.149</v>
          </cell>
          <cell r="L46">
            <v>3.1560000000000001</v>
          </cell>
          <cell r="M46">
            <v>3.3159999999999998</v>
          </cell>
          <cell r="N46">
            <v>3.4940000000000002</v>
          </cell>
        </row>
        <row r="47">
          <cell r="B47">
            <v>37300</v>
          </cell>
          <cell r="C47">
            <v>3.41</v>
          </cell>
          <cell r="D47">
            <v>3.3220000000000001</v>
          </cell>
          <cell r="E47">
            <v>3.1930000000000001</v>
          </cell>
          <cell r="F47">
            <v>3.0129999999999999</v>
          </cell>
          <cell r="G47">
            <v>3.02</v>
          </cell>
          <cell r="H47">
            <v>3.0449999999999999</v>
          </cell>
          <cell r="I47">
            <v>3.085</v>
          </cell>
          <cell r="J47">
            <v>3.12</v>
          </cell>
          <cell r="K47">
            <v>3.1179999999999999</v>
          </cell>
          <cell r="L47">
            <v>3.125</v>
          </cell>
          <cell r="M47">
            <v>3.2850000000000001</v>
          </cell>
          <cell r="N47">
            <v>3.4630000000000001</v>
          </cell>
        </row>
        <row r="48">
          <cell r="B48">
            <v>37301</v>
          </cell>
          <cell r="C48">
            <v>3.3929999999999998</v>
          </cell>
          <cell r="D48">
            <v>3.3069999999999999</v>
          </cell>
          <cell r="E48">
            <v>3.1789999999999998</v>
          </cell>
          <cell r="F48">
            <v>3.0019999999999998</v>
          </cell>
          <cell r="G48">
            <v>2.9980000000000002</v>
          </cell>
          <cell r="H48">
            <v>3.028</v>
          </cell>
          <cell r="I48">
            <v>3.0680000000000001</v>
          </cell>
          <cell r="J48">
            <v>3.1080000000000001</v>
          </cell>
          <cell r="K48">
            <v>3.1059999999999999</v>
          </cell>
          <cell r="L48">
            <v>3.113</v>
          </cell>
          <cell r="M48">
            <v>3.2730000000000001</v>
          </cell>
          <cell r="N48">
            <v>3.4510000000000001</v>
          </cell>
        </row>
        <row r="49">
          <cell r="B49">
            <v>37302</v>
          </cell>
          <cell r="C49">
            <v>3.4329999999999998</v>
          </cell>
          <cell r="D49">
            <v>3.3450000000000002</v>
          </cell>
          <cell r="E49">
            <v>3.2170000000000001</v>
          </cell>
          <cell r="F49">
            <v>3.04</v>
          </cell>
          <cell r="G49">
            <v>3.036</v>
          </cell>
          <cell r="H49">
            <v>3.0630000000000002</v>
          </cell>
          <cell r="I49">
            <v>3.1030000000000002</v>
          </cell>
          <cell r="J49">
            <v>3.1480000000000001</v>
          </cell>
          <cell r="K49">
            <v>3.1459999999999999</v>
          </cell>
          <cell r="L49">
            <v>3.1589999999999998</v>
          </cell>
          <cell r="M49">
            <v>3.319</v>
          </cell>
          <cell r="N49">
            <v>3.4969999999999999</v>
          </cell>
        </row>
        <row r="50">
          <cell r="B50">
            <v>37303</v>
          </cell>
          <cell r="C50">
            <v>3.4329999999999998</v>
          </cell>
          <cell r="D50">
            <v>3.3450000000000002</v>
          </cell>
          <cell r="E50">
            <v>3.2170000000000001</v>
          </cell>
          <cell r="F50">
            <v>3.04</v>
          </cell>
          <cell r="G50">
            <v>3.036</v>
          </cell>
          <cell r="H50">
            <v>3.0630000000000002</v>
          </cell>
          <cell r="I50">
            <v>3.1030000000000002</v>
          </cell>
          <cell r="J50">
            <v>3.1480000000000001</v>
          </cell>
          <cell r="K50">
            <v>3.1459999999999999</v>
          </cell>
          <cell r="L50">
            <v>3.1589999999999998</v>
          </cell>
          <cell r="M50">
            <v>3.319</v>
          </cell>
          <cell r="N50">
            <v>3.4969999999999999</v>
          </cell>
        </row>
        <row r="51">
          <cell r="B51">
            <v>37304</v>
          </cell>
          <cell r="C51">
            <v>3.4329999999999998</v>
          </cell>
          <cell r="D51">
            <v>3.3450000000000002</v>
          </cell>
          <cell r="E51">
            <v>3.2170000000000001</v>
          </cell>
          <cell r="F51">
            <v>3.04</v>
          </cell>
          <cell r="G51">
            <v>3.036</v>
          </cell>
          <cell r="H51">
            <v>3.0630000000000002</v>
          </cell>
          <cell r="I51">
            <v>3.1030000000000002</v>
          </cell>
          <cell r="J51">
            <v>3.1480000000000001</v>
          </cell>
          <cell r="K51">
            <v>3.1459999999999999</v>
          </cell>
          <cell r="L51">
            <v>3.1589999999999998</v>
          </cell>
          <cell r="M51">
            <v>3.319</v>
          </cell>
          <cell r="N51">
            <v>3.4969999999999999</v>
          </cell>
        </row>
        <row r="52">
          <cell r="B52">
            <v>37305</v>
          </cell>
          <cell r="C52">
            <v>3.4329999999999998</v>
          </cell>
          <cell r="D52">
            <v>3.3450000000000002</v>
          </cell>
          <cell r="E52">
            <v>3.2170000000000001</v>
          </cell>
          <cell r="F52">
            <v>3.04</v>
          </cell>
          <cell r="G52">
            <v>3.036</v>
          </cell>
          <cell r="H52">
            <v>3.0630000000000002</v>
          </cell>
          <cell r="I52">
            <v>3.1030000000000002</v>
          </cell>
          <cell r="J52">
            <v>3.1480000000000001</v>
          </cell>
          <cell r="K52">
            <v>3.1459999999999999</v>
          </cell>
          <cell r="L52">
            <v>3.1589999999999998</v>
          </cell>
          <cell r="M52">
            <v>3.319</v>
          </cell>
          <cell r="N52">
            <v>3.4969999999999999</v>
          </cell>
        </row>
        <row r="53">
          <cell r="B53">
            <v>37306</v>
          </cell>
          <cell r="C53">
            <v>3.5310000000000001</v>
          </cell>
          <cell r="D53">
            <v>3.431</v>
          </cell>
          <cell r="E53">
            <v>3.302</v>
          </cell>
          <cell r="F53">
            <v>3.1219999999999999</v>
          </cell>
          <cell r="G53">
            <v>3.1179999999999999</v>
          </cell>
          <cell r="H53">
            <v>3.1459999999999999</v>
          </cell>
          <cell r="I53">
            <v>3.1859999999999999</v>
          </cell>
          <cell r="J53">
            <v>3.2309999999999999</v>
          </cell>
          <cell r="K53">
            <v>3.2290000000000001</v>
          </cell>
          <cell r="L53">
            <v>3.242</v>
          </cell>
          <cell r="M53">
            <v>3.4020000000000001</v>
          </cell>
          <cell r="N53">
            <v>3.58</v>
          </cell>
        </row>
        <row r="54">
          <cell r="B54">
            <v>37307</v>
          </cell>
          <cell r="C54">
            <v>3.55</v>
          </cell>
          <cell r="D54">
            <v>3.45</v>
          </cell>
          <cell r="E54">
            <v>3.3260000000000001</v>
          </cell>
          <cell r="F54">
            <v>3.1509999999999998</v>
          </cell>
          <cell r="G54">
            <v>3.1469999999999998</v>
          </cell>
          <cell r="H54">
            <v>3.1749999999999998</v>
          </cell>
          <cell r="I54">
            <v>3.2149999999999999</v>
          </cell>
          <cell r="J54">
            <v>3.26</v>
          </cell>
          <cell r="K54">
            <v>3.258</v>
          </cell>
          <cell r="L54">
            <v>3.2709999999999999</v>
          </cell>
          <cell r="M54">
            <v>3.4209999999999998</v>
          </cell>
          <cell r="N54">
            <v>3.5960000000000001</v>
          </cell>
        </row>
        <row r="55">
          <cell r="B55">
            <v>37308</v>
          </cell>
          <cell r="C55">
            <v>3.5779999999999998</v>
          </cell>
          <cell r="D55">
            <v>3.4780000000000002</v>
          </cell>
          <cell r="E55">
            <v>3.3540000000000001</v>
          </cell>
          <cell r="F55">
            <v>3.1739999999999999</v>
          </cell>
          <cell r="G55">
            <v>3.1739999999999999</v>
          </cell>
          <cell r="H55">
            <v>3.202</v>
          </cell>
          <cell r="I55">
            <v>3.242</v>
          </cell>
          <cell r="J55">
            <v>3.2869999999999999</v>
          </cell>
          <cell r="K55">
            <v>3.286</v>
          </cell>
          <cell r="L55">
            <v>3.2989999999999999</v>
          </cell>
          <cell r="M55">
            <v>3.4449999999999998</v>
          </cell>
          <cell r="N55">
            <v>3.62</v>
          </cell>
        </row>
        <row r="56">
          <cell r="B56">
            <v>37309</v>
          </cell>
          <cell r="C56">
            <v>3.625</v>
          </cell>
          <cell r="D56">
            <v>3.5259999999999998</v>
          </cell>
          <cell r="E56">
            <v>3.4039999999999999</v>
          </cell>
          <cell r="F56">
            <v>3.2189999999999999</v>
          </cell>
          <cell r="G56">
            <v>3.2189999999999999</v>
          </cell>
          <cell r="H56">
            <v>3.2469999999999999</v>
          </cell>
          <cell r="I56">
            <v>3.2869999999999999</v>
          </cell>
          <cell r="J56">
            <v>3.331</v>
          </cell>
          <cell r="K56">
            <v>3.33</v>
          </cell>
          <cell r="L56">
            <v>3.3439999999999999</v>
          </cell>
          <cell r="M56">
            <v>3.49</v>
          </cell>
          <cell r="N56">
            <v>3.665</v>
          </cell>
        </row>
        <row r="57">
          <cell r="B57">
            <v>37310</v>
          </cell>
          <cell r="C57">
            <v>3.625</v>
          </cell>
          <cell r="D57">
            <v>3.5259999999999998</v>
          </cell>
          <cell r="E57">
            <v>3.4039999999999999</v>
          </cell>
          <cell r="F57">
            <v>3.2189999999999999</v>
          </cell>
          <cell r="G57">
            <v>3.2189999999999999</v>
          </cell>
          <cell r="H57">
            <v>3.2469999999999999</v>
          </cell>
          <cell r="I57">
            <v>3.2869999999999999</v>
          </cell>
          <cell r="J57">
            <v>3.331</v>
          </cell>
          <cell r="K57">
            <v>3.33</v>
          </cell>
          <cell r="L57">
            <v>3.3439999999999999</v>
          </cell>
          <cell r="M57">
            <v>3.49</v>
          </cell>
          <cell r="N57">
            <v>3.665</v>
          </cell>
        </row>
        <row r="58">
          <cell r="B58">
            <v>37311</v>
          </cell>
          <cell r="C58">
            <v>3.625</v>
          </cell>
          <cell r="D58">
            <v>3.5259999999999998</v>
          </cell>
          <cell r="E58">
            <v>3.4039999999999999</v>
          </cell>
          <cell r="F58">
            <v>3.2189999999999999</v>
          </cell>
          <cell r="G58">
            <v>3.2189999999999999</v>
          </cell>
          <cell r="H58">
            <v>3.2469999999999999</v>
          </cell>
          <cell r="I58">
            <v>3.2869999999999999</v>
          </cell>
          <cell r="J58">
            <v>3.331</v>
          </cell>
          <cell r="K58">
            <v>3.33</v>
          </cell>
          <cell r="L58">
            <v>3.3439999999999999</v>
          </cell>
          <cell r="M58">
            <v>3.49</v>
          </cell>
          <cell r="N58">
            <v>3.665</v>
          </cell>
        </row>
        <row r="59">
          <cell r="B59">
            <v>37312</v>
          </cell>
          <cell r="C59">
            <v>3.5720000000000001</v>
          </cell>
          <cell r="D59">
            <v>3.4820000000000002</v>
          </cell>
          <cell r="E59">
            <v>3.36</v>
          </cell>
          <cell r="F59">
            <v>3.1749999999999998</v>
          </cell>
          <cell r="G59">
            <v>3.1760000000000002</v>
          </cell>
          <cell r="H59">
            <v>3.2109999999999999</v>
          </cell>
          <cell r="I59">
            <v>3.2509999999999999</v>
          </cell>
          <cell r="J59">
            <v>3.2949999999999999</v>
          </cell>
          <cell r="K59">
            <v>3.29</v>
          </cell>
          <cell r="L59">
            <v>3.3039999999999998</v>
          </cell>
          <cell r="M59">
            <v>3.4540000000000002</v>
          </cell>
          <cell r="N59">
            <v>3.6240000000000001</v>
          </cell>
        </row>
        <row r="60">
          <cell r="B60">
            <v>37313</v>
          </cell>
          <cell r="C60">
            <v>3.6040000000000001</v>
          </cell>
          <cell r="D60">
            <v>3.5139999999999998</v>
          </cell>
          <cell r="E60">
            <v>3.3889999999999998</v>
          </cell>
          <cell r="F60">
            <v>3.1960000000000002</v>
          </cell>
          <cell r="G60">
            <v>3.194</v>
          </cell>
          <cell r="H60">
            <v>3.2290000000000001</v>
          </cell>
          <cell r="I60">
            <v>3.2690000000000001</v>
          </cell>
          <cell r="J60">
            <v>3.3130000000000002</v>
          </cell>
          <cell r="K60">
            <v>3.3079999999999998</v>
          </cell>
          <cell r="L60">
            <v>3.3220000000000001</v>
          </cell>
          <cell r="M60">
            <v>3.472</v>
          </cell>
          <cell r="N60">
            <v>3.6419999999999999</v>
          </cell>
        </row>
        <row r="61">
          <cell r="B61">
            <v>37314</v>
          </cell>
          <cell r="C61">
            <v>3.6779999999999999</v>
          </cell>
          <cell r="D61">
            <v>3.5880000000000001</v>
          </cell>
          <cell r="E61">
            <v>3.4630000000000001</v>
          </cell>
          <cell r="F61">
            <v>3.2669999999999999</v>
          </cell>
          <cell r="G61">
            <v>3.2650000000000001</v>
          </cell>
          <cell r="H61">
            <v>3.3</v>
          </cell>
          <cell r="I61">
            <v>3.335</v>
          </cell>
          <cell r="J61">
            <v>3.3740000000000001</v>
          </cell>
          <cell r="K61">
            <v>3.371</v>
          </cell>
          <cell r="L61">
            <v>3.383</v>
          </cell>
          <cell r="M61">
            <v>3.54</v>
          </cell>
          <cell r="N61">
            <v>3.7149999999999999</v>
          </cell>
        </row>
        <row r="62">
          <cell r="B62">
            <v>37315</v>
          </cell>
          <cell r="C62">
            <v>3.6619999999999999</v>
          </cell>
          <cell r="D62">
            <v>3.5720000000000001</v>
          </cell>
          <cell r="E62">
            <v>3.4470000000000001</v>
          </cell>
          <cell r="F62">
            <v>3.2509999999999999</v>
          </cell>
          <cell r="G62">
            <v>3.2490000000000001</v>
          </cell>
          <cell r="H62">
            <v>3.2839999999999998</v>
          </cell>
          <cell r="I62">
            <v>3.3090000000000002</v>
          </cell>
          <cell r="J62">
            <v>3.3439999999999999</v>
          </cell>
          <cell r="K62">
            <v>3.3410000000000002</v>
          </cell>
          <cell r="L62">
            <v>3.3530000000000002</v>
          </cell>
          <cell r="M62">
            <v>3.512</v>
          </cell>
          <cell r="N62">
            <v>3.6920000000000002</v>
          </cell>
        </row>
        <row r="63">
          <cell r="B63">
            <v>37316</v>
          </cell>
          <cell r="C63">
            <v>3.6539999999999999</v>
          </cell>
          <cell r="D63">
            <v>3.5640000000000001</v>
          </cell>
          <cell r="E63">
            <v>3.4390000000000001</v>
          </cell>
          <cell r="F63">
            <v>3.246</v>
          </cell>
          <cell r="G63">
            <v>3.2490000000000001</v>
          </cell>
          <cell r="H63">
            <v>3.2839999999999998</v>
          </cell>
          <cell r="I63">
            <v>3.3039999999999998</v>
          </cell>
          <cell r="J63">
            <v>3.335</v>
          </cell>
          <cell r="K63">
            <v>3.3319999999999999</v>
          </cell>
          <cell r="L63">
            <v>3.3439999999999999</v>
          </cell>
          <cell r="M63">
            <v>3.5030000000000001</v>
          </cell>
          <cell r="N63">
            <v>3.6829999999999998</v>
          </cell>
        </row>
        <row r="64">
          <cell r="B64">
            <v>37317</v>
          </cell>
          <cell r="C64">
            <v>3.6539999999999999</v>
          </cell>
          <cell r="D64">
            <v>3.5640000000000001</v>
          </cell>
          <cell r="E64">
            <v>3.4390000000000001</v>
          </cell>
          <cell r="F64">
            <v>3.246</v>
          </cell>
          <cell r="G64">
            <v>3.2490000000000001</v>
          </cell>
          <cell r="H64">
            <v>3.2839999999999998</v>
          </cell>
          <cell r="I64">
            <v>3.3039999999999998</v>
          </cell>
          <cell r="J64">
            <v>3.335</v>
          </cell>
          <cell r="K64">
            <v>3.3319999999999999</v>
          </cell>
          <cell r="L64">
            <v>3.3439999999999999</v>
          </cell>
          <cell r="M64">
            <v>3.5030000000000001</v>
          </cell>
          <cell r="N64">
            <v>3.6829999999999998</v>
          </cell>
        </row>
        <row r="65">
          <cell r="B65">
            <v>37318</v>
          </cell>
          <cell r="C65">
            <v>3.6539999999999999</v>
          </cell>
          <cell r="D65">
            <v>3.5640000000000001</v>
          </cell>
          <cell r="E65">
            <v>3.4390000000000001</v>
          </cell>
          <cell r="F65">
            <v>3.246</v>
          </cell>
          <cell r="G65">
            <v>3.2490000000000001</v>
          </cell>
          <cell r="H65">
            <v>3.2839999999999998</v>
          </cell>
          <cell r="I65">
            <v>3.3039999999999998</v>
          </cell>
          <cell r="J65">
            <v>3.335</v>
          </cell>
          <cell r="K65">
            <v>3.3319999999999999</v>
          </cell>
          <cell r="L65">
            <v>3.3439999999999999</v>
          </cell>
          <cell r="M65">
            <v>3.5030000000000001</v>
          </cell>
          <cell r="N65">
            <v>3.6829999999999998</v>
          </cell>
        </row>
        <row r="66">
          <cell r="B66">
            <v>37319</v>
          </cell>
          <cell r="C66">
            <v>3.6840000000000002</v>
          </cell>
          <cell r="D66">
            <v>3.589</v>
          </cell>
          <cell r="E66">
            <v>3.464</v>
          </cell>
          <cell r="F66">
            <v>3.2709999999999999</v>
          </cell>
          <cell r="G66">
            <v>3.274</v>
          </cell>
          <cell r="H66">
            <v>3.3090000000000002</v>
          </cell>
          <cell r="I66">
            <v>3.3290000000000002</v>
          </cell>
          <cell r="J66">
            <v>3.3559999999999999</v>
          </cell>
          <cell r="K66">
            <v>3.3530000000000002</v>
          </cell>
          <cell r="L66">
            <v>3.3650000000000002</v>
          </cell>
          <cell r="M66">
            <v>3.524</v>
          </cell>
          <cell r="N66">
            <v>3.7040000000000002</v>
          </cell>
        </row>
        <row r="67">
          <cell r="B67">
            <v>37320</v>
          </cell>
          <cell r="C67">
            <v>3.6509999999999998</v>
          </cell>
          <cell r="D67">
            <v>3.556</v>
          </cell>
          <cell r="E67">
            <v>3.431</v>
          </cell>
          <cell r="F67">
            <v>3.238</v>
          </cell>
          <cell r="G67">
            <v>3.2410000000000001</v>
          </cell>
          <cell r="H67">
            <v>3.2759999999999998</v>
          </cell>
          <cell r="I67">
            <v>3.3090000000000002</v>
          </cell>
          <cell r="J67">
            <v>3.3359999999999999</v>
          </cell>
          <cell r="K67">
            <v>3.3330000000000002</v>
          </cell>
          <cell r="L67">
            <v>3.339</v>
          </cell>
          <cell r="M67">
            <v>3.4980000000000002</v>
          </cell>
          <cell r="N67">
            <v>3.6760000000000002</v>
          </cell>
        </row>
        <row r="68">
          <cell r="B68">
            <v>37321</v>
          </cell>
          <cell r="C68">
            <v>3.6970000000000001</v>
          </cell>
          <cell r="D68">
            <v>3.597</v>
          </cell>
          <cell r="E68">
            <v>3.472</v>
          </cell>
          <cell r="F68">
            <v>3.2690000000000001</v>
          </cell>
          <cell r="G68">
            <v>3.2719999999999998</v>
          </cell>
          <cell r="H68">
            <v>3.3069999999999999</v>
          </cell>
          <cell r="I68">
            <v>3.3319999999999999</v>
          </cell>
          <cell r="J68">
            <v>3.359</v>
          </cell>
          <cell r="K68">
            <v>3.3559999999999999</v>
          </cell>
          <cell r="L68">
            <v>3.3759999999999999</v>
          </cell>
          <cell r="M68">
            <v>3.5409999999999999</v>
          </cell>
          <cell r="N68">
            <v>3.7189999999999999</v>
          </cell>
        </row>
        <row r="69">
          <cell r="B69">
            <v>37322</v>
          </cell>
          <cell r="C69">
            <v>3.8010000000000002</v>
          </cell>
          <cell r="D69">
            <v>3.6960000000000002</v>
          </cell>
          <cell r="E69">
            <v>3.5710000000000002</v>
          </cell>
          <cell r="F69">
            <v>3.3679999999999999</v>
          </cell>
          <cell r="G69">
            <v>3.371</v>
          </cell>
          <cell r="H69">
            <v>3.411</v>
          </cell>
          <cell r="I69">
            <v>3.4359999999999999</v>
          </cell>
          <cell r="J69">
            <v>3.4359999999999999</v>
          </cell>
          <cell r="K69">
            <v>3.4630000000000001</v>
          </cell>
          <cell r="L69">
            <v>3.4860000000000002</v>
          </cell>
          <cell r="M69">
            <v>3.6509999999999998</v>
          </cell>
          <cell r="N69">
            <v>3.8290000000000002</v>
          </cell>
        </row>
        <row r="70">
          <cell r="B70">
            <v>37323</v>
          </cell>
          <cell r="C70">
            <v>3.8820000000000001</v>
          </cell>
          <cell r="D70">
            <v>3.7770000000000001</v>
          </cell>
          <cell r="E70">
            <v>3.6469999999999998</v>
          </cell>
          <cell r="F70">
            <v>3.444</v>
          </cell>
          <cell r="G70">
            <v>3.4470000000000001</v>
          </cell>
          <cell r="H70">
            <v>3.4870000000000001</v>
          </cell>
          <cell r="I70">
            <v>3.51</v>
          </cell>
          <cell r="J70">
            <v>3.5369999999999999</v>
          </cell>
          <cell r="K70">
            <v>3.532</v>
          </cell>
          <cell r="L70">
            <v>3.5550000000000002</v>
          </cell>
          <cell r="M70">
            <v>3.7269999999999999</v>
          </cell>
          <cell r="N70">
            <v>3.9049999999999998</v>
          </cell>
        </row>
        <row r="71">
          <cell r="B71">
            <v>37324</v>
          </cell>
          <cell r="C71">
            <v>3.8820000000000001</v>
          </cell>
          <cell r="D71">
            <v>3.7770000000000001</v>
          </cell>
          <cell r="E71">
            <v>3.6469999999999998</v>
          </cell>
          <cell r="F71">
            <v>3.444</v>
          </cell>
          <cell r="G71">
            <v>3.4470000000000001</v>
          </cell>
          <cell r="H71">
            <v>3.4870000000000001</v>
          </cell>
          <cell r="I71">
            <v>3.51</v>
          </cell>
          <cell r="J71">
            <v>3.5369999999999999</v>
          </cell>
          <cell r="K71">
            <v>3.532</v>
          </cell>
          <cell r="L71">
            <v>3.5550000000000002</v>
          </cell>
          <cell r="M71">
            <v>3.7269999999999999</v>
          </cell>
          <cell r="N71">
            <v>3.9049999999999998</v>
          </cell>
        </row>
        <row r="72">
          <cell r="B72">
            <v>37325</v>
          </cell>
          <cell r="C72">
            <v>3.8820000000000001</v>
          </cell>
          <cell r="D72">
            <v>3.7770000000000001</v>
          </cell>
          <cell r="E72">
            <v>3.6469999999999998</v>
          </cell>
          <cell r="F72">
            <v>3.444</v>
          </cell>
          <cell r="G72">
            <v>3.4470000000000001</v>
          </cell>
          <cell r="H72">
            <v>3.4870000000000001</v>
          </cell>
          <cell r="I72">
            <v>3.51</v>
          </cell>
          <cell r="J72">
            <v>3.5369999999999999</v>
          </cell>
          <cell r="K72">
            <v>3.532</v>
          </cell>
          <cell r="L72">
            <v>3.5550000000000002</v>
          </cell>
          <cell r="M72">
            <v>3.7269999999999999</v>
          </cell>
          <cell r="N72">
            <v>3.9049999999999998</v>
          </cell>
        </row>
        <row r="73">
          <cell r="B73">
            <v>37326</v>
          </cell>
          <cell r="C73">
            <v>3.9950000000000001</v>
          </cell>
          <cell r="D73">
            <v>3.88</v>
          </cell>
          <cell r="E73">
            <v>3.75</v>
          </cell>
          <cell r="F73">
            <v>3.5470000000000002</v>
          </cell>
          <cell r="G73">
            <v>3.54</v>
          </cell>
          <cell r="H73">
            <v>3.57</v>
          </cell>
          <cell r="I73">
            <v>3.59</v>
          </cell>
          <cell r="J73">
            <v>3.617</v>
          </cell>
          <cell r="K73">
            <v>3.6120000000000001</v>
          </cell>
          <cell r="L73">
            <v>3.6349999999999998</v>
          </cell>
          <cell r="M73">
            <v>3.8069999999999999</v>
          </cell>
          <cell r="N73">
            <v>3.99</v>
          </cell>
        </row>
        <row r="74">
          <cell r="B74">
            <v>37327</v>
          </cell>
          <cell r="C74">
            <v>4.0220000000000002</v>
          </cell>
          <cell r="D74">
            <v>3.907</v>
          </cell>
          <cell r="E74">
            <v>3.7770000000000001</v>
          </cell>
          <cell r="F74">
            <v>3.5739999999999998</v>
          </cell>
          <cell r="G74">
            <v>3.5670000000000002</v>
          </cell>
          <cell r="H74">
            <v>3.597</v>
          </cell>
          <cell r="I74">
            <v>3.6219999999999999</v>
          </cell>
          <cell r="J74">
            <v>3.6459999999999999</v>
          </cell>
          <cell r="K74">
            <v>3.64</v>
          </cell>
          <cell r="L74">
            <v>3.67</v>
          </cell>
          <cell r="M74">
            <v>3.8420000000000001</v>
          </cell>
          <cell r="N74">
            <v>4.0170000000000003</v>
          </cell>
        </row>
        <row r="75">
          <cell r="B75">
            <v>37328</v>
          </cell>
          <cell r="C75">
            <v>3.8679999999999999</v>
          </cell>
          <cell r="D75">
            <v>3.7509999999999999</v>
          </cell>
          <cell r="E75">
            <v>3.621</v>
          </cell>
          <cell r="F75">
            <v>3.4180000000000001</v>
          </cell>
          <cell r="G75">
            <v>3.411</v>
          </cell>
          <cell r="H75">
            <v>3.4409999999999998</v>
          </cell>
          <cell r="I75">
            <v>3.4660000000000002</v>
          </cell>
          <cell r="J75">
            <v>3.4860000000000002</v>
          </cell>
          <cell r="K75">
            <v>3.4780000000000002</v>
          </cell>
          <cell r="L75">
            <v>3.508</v>
          </cell>
          <cell r="M75">
            <v>3.6880000000000002</v>
          </cell>
          <cell r="N75">
            <v>3.8679999999999999</v>
          </cell>
        </row>
        <row r="76">
          <cell r="B76">
            <v>37329</v>
          </cell>
          <cell r="C76">
            <v>3.9169999999999998</v>
          </cell>
          <cell r="D76">
            <v>3.8</v>
          </cell>
          <cell r="E76">
            <v>3.6709999999999998</v>
          </cell>
          <cell r="F76">
            <v>3.468</v>
          </cell>
          <cell r="G76">
            <v>3.4609999999999999</v>
          </cell>
          <cell r="H76">
            <v>3.4950000000000001</v>
          </cell>
          <cell r="I76">
            <v>3.52</v>
          </cell>
          <cell r="J76">
            <v>3.54</v>
          </cell>
          <cell r="K76">
            <v>3.5419999999999998</v>
          </cell>
          <cell r="L76">
            <v>3.5619999999999998</v>
          </cell>
          <cell r="M76">
            <v>3.742</v>
          </cell>
          <cell r="N76">
            <v>3.9220000000000002</v>
          </cell>
        </row>
        <row r="77">
          <cell r="B77">
            <v>37330</v>
          </cell>
          <cell r="C77">
            <v>3.9390000000000001</v>
          </cell>
          <cell r="D77">
            <v>3.8140000000000001</v>
          </cell>
          <cell r="E77">
            <v>3.6739999999999999</v>
          </cell>
          <cell r="F77">
            <v>3.4710000000000001</v>
          </cell>
          <cell r="G77">
            <v>3.464</v>
          </cell>
          <cell r="H77">
            <v>3.4980000000000002</v>
          </cell>
          <cell r="I77">
            <v>3.5230000000000001</v>
          </cell>
          <cell r="J77">
            <v>3.5430000000000001</v>
          </cell>
          <cell r="K77">
            <v>3.5329999999999999</v>
          </cell>
          <cell r="L77">
            <v>3.5529999999999999</v>
          </cell>
          <cell r="M77">
            <v>3.7330000000000001</v>
          </cell>
          <cell r="N77">
            <v>3.9129999999999998</v>
          </cell>
        </row>
        <row r="78">
          <cell r="B78">
            <v>37331</v>
          </cell>
          <cell r="C78">
            <v>3.9390000000000001</v>
          </cell>
          <cell r="D78">
            <v>3.8140000000000001</v>
          </cell>
          <cell r="E78">
            <v>3.6739999999999999</v>
          </cell>
          <cell r="F78">
            <v>3.4710000000000001</v>
          </cell>
          <cell r="G78">
            <v>3.464</v>
          </cell>
          <cell r="H78">
            <v>3.4980000000000002</v>
          </cell>
          <cell r="I78">
            <v>3.5230000000000001</v>
          </cell>
          <cell r="J78">
            <v>3.5430000000000001</v>
          </cell>
          <cell r="K78">
            <v>3.5329999999999999</v>
          </cell>
          <cell r="L78">
            <v>3.5529999999999999</v>
          </cell>
          <cell r="M78">
            <v>3.7330000000000001</v>
          </cell>
          <cell r="N78">
            <v>3.9129999999999998</v>
          </cell>
        </row>
        <row r="79">
          <cell r="B79">
            <v>37332</v>
          </cell>
          <cell r="C79">
            <v>3.9390000000000001</v>
          </cell>
          <cell r="D79">
            <v>3.8140000000000001</v>
          </cell>
          <cell r="E79">
            <v>3.6739999999999999</v>
          </cell>
          <cell r="F79">
            <v>3.4710000000000001</v>
          </cell>
          <cell r="G79">
            <v>3.464</v>
          </cell>
          <cell r="H79">
            <v>3.4980000000000002</v>
          </cell>
          <cell r="I79">
            <v>3.5230000000000001</v>
          </cell>
          <cell r="J79">
            <v>3.5430000000000001</v>
          </cell>
          <cell r="K79">
            <v>3.5329999999999999</v>
          </cell>
          <cell r="L79">
            <v>3.5529999999999999</v>
          </cell>
          <cell r="M79">
            <v>3.7330000000000001</v>
          </cell>
          <cell r="N79">
            <v>3.9129999999999998</v>
          </cell>
        </row>
        <row r="80">
          <cell r="B80">
            <v>37333</v>
          </cell>
          <cell r="C80">
            <v>4.0810000000000004</v>
          </cell>
          <cell r="D80">
            <v>3.956</v>
          </cell>
          <cell r="E80">
            <v>3.8159999999999998</v>
          </cell>
          <cell r="F80">
            <v>3.6059999999999999</v>
          </cell>
          <cell r="G80">
            <v>3.5920000000000001</v>
          </cell>
          <cell r="H80">
            <v>3.6259999999999999</v>
          </cell>
          <cell r="I80">
            <v>3.6509999999999998</v>
          </cell>
          <cell r="J80">
            <v>3.6709999999999998</v>
          </cell>
          <cell r="K80">
            <v>3.6560000000000001</v>
          </cell>
          <cell r="L80">
            <v>3.6760000000000002</v>
          </cell>
          <cell r="M80">
            <v>3.8559999999999999</v>
          </cell>
          <cell r="N80">
            <v>4.0359999999999996</v>
          </cell>
        </row>
        <row r="81">
          <cell r="B81">
            <v>37334</v>
          </cell>
          <cell r="C81">
            <v>4.0519999999999996</v>
          </cell>
          <cell r="D81">
            <v>3.927</v>
          </cell>
          <cell r="E81">
            <v>3.7869999999999999</v>
          </cell>
          <cell r="F81">
            <v>3.5790000000000002</v>
          </cell>
          <cell r="G81">
            <v>3.5649999999999999</v>
          </cell>
          <cell r="H81">
            <v>3.6040000000000001</v>
          </cell>
          <cell r="I81">
            <v>3.629</v>
          </cell>
          <cell r="J81">
            <v>3.649</v>
          </cell>
          <cell r="K81">
            <v>3.637</v>
          </cell>
          <cell r="L81">
            <v>3.6619999999999999</v>
          </cell>
          <cell r="M81">
            <v>3.8420000000000001</v>
          </cell>
          <cell r="N81">
            <v>4.0220000000000002</v>
          </cell>
        </row>
        <row r="82">
          <cell r="B82">
            <v>37335</v>
          </cell>
          <cell r="C82">
            <v>3.99</v>
          </cell>
          <cell r="D82">
            <v>3.8650000000000002</v>
          </cell>
          <cell r="E82">
            <v>3.7250000000000001</v>
          </cell>
          <cell r="F82">
            <v>3.5169999999999999</v>
          </cell>
          <cell r="G82">
            <v>3.5030000000000001</v>
          </cell>
          <cell r="H82">
            <v>3.5419999999999998</v>
          </cell>
          <cell r="I82">
            <v>3.5670000000000002</v>
          </cell>
          <cell r="J82">
            <v>3.5870000000000002</v>
          </cell>
          <cell r="K82">
            <v>3.5750000000000002</v>
          </cell>
          <cell r="L82">
            <v>3.6</v>
          </cell>
          <cell r="M82">
            <v>3.78</v>
          </cell>
          <cell r="N82">
            <v>3.96</v>
          </cell>
        </row>
        <row r="83">
          <cell r="B83">
            <v>37336</v>
          </cell>
          <cell r="C83">
            <v>4.1760000000000002</v>
          </cell>
          <cell r="D83">
            <v>4.0410000000000004</v>
          </cell>
          <cell r="E83">
            <v>3.8860000000000001</v>
          </cell>
          <cell r="F83">
            <v>3.6560000000000001</v>
          </cell>
          <cell r="G83">
            <v>3.6419999999999999</v>
          </cell>
          <cell r="H83">
            <v>3.677</v>
          </cell>
          <cell r="I83">
            <v>3.6970000000000001</v>
          </cell>
          <cell r="J83">
            <v>3.7170000000000001</v>
          </cell>
          <cell r="K83">
            <v>3.7050000000000001</v>
          </cell>
          <cell r="L83">
            <v>3.73</v>
          </cell>
          <cell r="M83">
            <v>3.91</v>
          </cell>
          <cell r="N83">
            <v>4.09</v>
          </cell>
        </row>
        <row r="84">
          <cell r="B84">
            <v>37337</v>
          </cell>
          <cell r="C84">
            <v>4.1109999999999998</v>
          </cell>
          <cell r="D84">
            <v>3.9790000000000001</v>
          </cell>
          <cell r="E84">
            <v>3.8290000000000002</v>
          </cell>
          <cell r="F84">
            <v>3.6019999999999999</v>
          </cell>
          <cell r="G84">
            <v>3.5870000000000002</v>
          </cell>
          <cell r="H84">
            <v>3.6309999999999998</v>
          </cell>
          <cell r="I84">
            <v>3.6440000000000001</v>
          </cell>
          <cell r="J84">
            <v>3.6589999999999998</v>
          </cell>
          <cell r="K84">
            <v>3.6469999999999998</v>
          </cell>
          <cell r="L84">
            <v>3.6859999999999999</v>
          </cell>
          <cell r="M84">
            <v>3.8660000000000001</v>
          </cell>
          <cell r="N84">
            <v>4.0460000000000003</v>
          </cell>
        </row>
        <row r="85">
          <cell r="B85">
            <v>37338</v>
          </cell>
          <cell r="C85">
            <v>4.1109999999999998</v>
          </cell>
          <cell r="D85">
            <v>3.9790000000000001</v>
          </cell>
          <cell r="E85">
            <v>3.8290000000000002</v>
          </cell>
          <cell r="F85">
            <v>3.6019999999999999</v>
          </cell>
          <cell r="G85">
            <v>3.5870000000000002</v>
          </cell>
          <cell r="H85">
            <v>3.6309999999999998</v>
          </cell>
          <cell r="I85">
            <v>3.6440000000000001</v>
          </cell>
          <cell r="J85">
            <v>3.6589999999999998</v>
          </cell>
          <cell r="K85">
            <v>3.6469999999999998</v>
          </cell>
          <cell r="L85">
            <v>3.6859999999999999</v>
          </cell>
          <cell r="M85">
            <v>3.8660000000000001</v>
          </cell>
          <cell r="N85">
            <v>4.0460000000000003</v>
          </cell>
        </row>
        <row r="86">
          <cell r="B86">
            <v>37339</v>
          </cell>
          <cell r="C86">
            <v>4.1109999999999998</v>
          </cell>
          <cell r="D86">
            <v>3.9790000000000001</v>
          </cell>
          <cell r="E86">
            <v>3.8290000000000002</v>
          </cell>
          <cell r="F86">
            <v>3.6019999999999999</v>
          </cell>
          <cell r="G86">
            <v>3.5870000000000002</v>
          </cell>
          <cell r="H86">
            <v>3.6309999999999998</v>
          </cell>
          <cell r="I86">
            <v>3.6440000000000001</v>
          </cell>
          <cell r="J86">
            <v>3.6589999999999998</v>
          </cell>
          <cell r="K86">
            <v>3.6469999999999998</v>
          </cell>
          <cell r="L86">
            <v>3.6859999999999999</v>
          </cell>
          <cell r="M86">
            <v>3.8660000000000001</v>
          </cell>
          <cell r="N86">
            <v>4.0460000000000003</v>
          </cell>
        </row>
        <row r="87">
          <cell r="B87">
            <v>37340</v>
          </cell>
          <cell r="C87">
            <v>4.1379999999999999</v>
          </cell>
          <cell r="D87">
            <v>4.008</v>
          </cell>
          <cell r="E87">
            <v>3.8580000000000001</v>
          </cell>
          <cell r="F87">
            <v>3.6080000000000001</v>
          </cell>
          <cell r="G87">
            <v>3.593</v>
          </cell>
          <cell r="H87">
            <v>3.6429999999999998</v>
          </cell>
          <cell r="I87">
            <v>3.66</v>
          </cell>
          <cell r="J87">
            <v>3.6779999999999999</v>
          </cell>
          <cell r="K87">
            <v>3.6629999999999998</v>
          </cell>
          <cell r="L87">
            <v>3.6880000000000002</v>
          </cell>
          <cell r="M87">
            <v>3.8679999999999999</v>
          </cell>
          <cell r="N87">
            <v>4.0430000000000001</v>
          </cell>
        </row>
        <row r="88">
          <cell r="B88">
            <v>37341</v>
          </cell>
          <cell r="C88">
            <v>4.1150000000000002</v>
          </cell>
          <cell r="D88">
            <v>3.9849999999999999</v>
          </cell>
          <cell r="E88">
            <v>3.83</v>
          </cell>
          <cell r="F88">
            <v>3.57</v>
          </cell>
          <cell r="G88">
            <v>3.5550000000000002</v>
          </cell>
          <cell r="H88">
            <v>3.605</v>
          </cell>
          <cell r="I88">
            <v>3.6190000000000002</v>
          </cell>
          <cell r="J88">
            <v>3.633</v>
          </cell>
          <cell r="K88">
            <v>3.613</v>
          </cell>
          <cell r="L88">
            <v>3.6349999999999998</v>
          </cell>
          <cell r="M88">
            <v>3.8149999999999999</v>
          </cell>
          <cell r="N88">
            <v>3.99</v>
          </cell>
        </row>
        <row r="89">
          <cell r="B89">
            <v>37342</v>
          </cell>
          <cell r="C89">
            <v>4.048</v>
          </cell>
          <cell r="D89">
            <v>3.9180000000000001</v>
          </cell>
          <cell r="E89">
            <v>3.7629999999999999</v>
          </cell>
          <cell r="F89">
            <v>3.5030000000000001</v>
          </cell>
          <cell r="G89">
            <v>3.4910000000000001</v>
          </cell>
          <cell r="H89">
            <v>3.5459999999999998</v>
          </cell>
          <cell r="I89">
            <v>3.5659999999999998</v>
          </cell>
          <cell r="J89">
            <v>3.5859999999999999</v>
          </cell>
          <cell r="K89">
            <v>3.5659999999999998</v>
          </cell>
          <cell r="L89">
            <v>3.5960000000000001</v>
          </cell>
          <cell r="M89">
            <v>3.786</v>
          </cell>
          <cell r="N89">
            <v>3.9609999999999999</v>
          </cell>
        </row>
        <row r="90">
          <cell r="B90">
            <v>37343</v>
          </cell>
          <cell r="C90">
            <v>4.0380000000000003</v>
          </cell>
          <cell r="D90">
            <v>3.903</v>
          </cell>
          <cell r="E90">
            <v>3.7429999999999999</v>
          </cell>
          <cell r="F90">
            <v>3.4830000000000001</v>
          </cell>
          <cell r="G90">
            <v>3.4710000000000001</v>
          </cell>
          <cell r="H90">
            <v>3.5259999999999998</v>
          </cell>
          <cell r="I90">
            <v>3.5459999999999998</v>
          </cell>
          <cell r="J90">
            <v>3.5659999999999998</v>
          </cell>
          <cell r="K90">
            <v>3.5459999999999998</v>
          </cell>
          <cell r="L90">
            <v>3.5760000000000001</v>
          </cell>
          <cell r="M90">
            <v>3.766</v>
          </cell>
          <cell r="N90">
            <v>3.9409999999999998</v>
          </cell>
        </row>
        <row r="91">
          <cell r="B91">
            <v>37344</v>
          </cell>
          <cell r="C91">
            <v>4.0380000000000003</v>
          </cell>
          <cell r="D91">
            <v>3.903</v>
          </cell>
          <cell r="E91">
            <v>3.7429999999999999</v>
          </cell>
          <cell r="F91">
            <v>3.4830000000000001</v>
          </cell>
          <cell r="G91">
            <v>3.4710000000000001</v>
          </cell>
          <cell r="H91">
            <v>3.5259999999999998</v>
          </cell>
          <cell r="I91">
            <v>3.5459999999999998</v>
          </cell>
          <cell r="J91">
            <v>3.5659999999999998</v>
          </cell>
          <cell r="K91">
            <v>3.5459999999999998</v>
          </cell>
          <cell r="L91">
            <v>3.5760000000000001</v>
          </cell>
          <cell r="M91">
            <v>3.766</v>
          </cell>
          <cell r="N91">
            <v>3.9409999999999998</v>
          </cell>
        </row>
        <row r="92">
          <cell r="B92">
            <v>37345</v>
          </cell>
          <cell r="C92">
            <v>4.0380000000000003</v>
          </cell>
          <cell r="D92">
            <v>3.903</v>
          </cell>
          <cell r="E92">
            <v>3.7429999999999999</v>
          </cell>
          <cell r="F92">
            <v>3.4830000000000001</v>
          </cell>
          <cell r="G92">
            <v>3.4710000000000001</v>
          </cell>
          <cell r="H92">
            <v>3.5259999999999998</v>
          </cell>
          <cell r="I92">
            <v>3.5459999999999998</v>
          </cell>
          <cell r="J92">
            <v>3.5659999999999998</v>
          </cell>
          <cell r="K92">
            <v>3.5459999999999998</v>
          </cell>
          <cell r="L92">
            <v>3.5760000000000001</v>
          </cell>
          <cell r="M92">
            <v>3.766</v>
          </cell>
          <cell r="N92">
            <v>3.9409999999999998</v>
          </cell>
        </row>
        <row r="93">
          <cell r="B93">
            <v>37346</v>
          </cell>
          <cell r="C93">
            <v>4.0380000000000003</v>
          </cell>
          <cell r="D93">
            <v>3.903</v>
          </cell>
          <cell r="E93">
            <v>3.7429999999999999</v>
          </cell>
          <cell r="F93">
            <v>3.4830000000000001</v>
          </cell>
          <cell r="G93">
            <v>3.4710000000000001</v>
          </cell>
          <cell r="H93">
            <v>3.5259999999999998</v>
          </cell>
          <cell r="I93">
            <v>3.5459999999999998</v>
          </cell>
          <cell r="J93">
            <v>3.5659999999999998</v>
          </cell>
          <cell r="K93">
            <v>3.5459999999999998</v>
          </cell>
          <cell r="L93">
            <v>3.5760000000000001</v>
          </cell>
          <cell r="M93">
            <v>3.766</v>
          </cell>
          <cell r="N93">
            <v>3.9409999999999998</v>
          </cell>
        </row>
        <row r="94">
          <cell r="B94">
            <v>37347</v>
          </cell>
          <cell r="C94">
            <v>4.0830000000000002</v>
          </cell>
          <cell r="D94">
            <v>3.948</v>
          </cell>
          <cell r="E94">
            <v>3.7829999999999999</v>
          </cell>
          <cell r="F94">
            <v>3.5179999999999998</v>
          </cell>
          <cell r="G94">
            <v>3.4929999999999999</v>
          </cell>
          <cell r="H94">
            <v>3.528</v>
          </cell>
          <cell r="I94">
            <v>3.548</v>
          </cell>
          <cell r="J94">
            <v>3.5680000000000001</v>
          </cell>
          <cell r="K94">
            <v>3.5430000000000001</v>
          </cell>
          <cell r="L94">
            <v>3.5680000000000001</v>
          </cell>
          <cell r="M94">
            <v>3.758</v>
          </cell>
          <cell r="N94">
            <v>3.9279999999999999</v>
          </cell>
        </row>
        <row r="95">
          <cell r="B95">
            <v>37348</v>
          </cell>
          <cell r="C95">
            <v>4.0990000000000002</v>
          </cell>
          <cell r="D95">
            <v>3.9609999999999999</v>
          </cell>
          <cell r="E95">
            <v>3.7959999999999998</v>
          </cell>
          <cell r="F95">
            <v>3.5259999999999998</v>
          </cell>
          <cell r="G95">
            <v>3.4910000000000001</v>
          </cell>
          <cell r="H95">
            <v>3.5259999999999998</v>
          </cell>
          <cell r="I95">
            <v>3.5459999999999998</v>
          </cell>
          <cell r="J95">
            <v>3.5659999999999998</v>
          </cell>
          <cell r="K95">
            <v>3.5310000000000001</v>
          </cell>
          <cell r="L95">
            <v>3.5459999999999998</v>
          </cell>
          <cell r="M95">
            <v>3.7309999999999999</v>
          </cell>
          <cell r="N95">
            <v>3.891</v>
          </cell>
        </row>
        <row r="96">
          <cell r="B96">
            <v>37349</v>
          </cell>
          <cell r="C96">
            <v>4.0060000000000002</v>
          </cell>
          <cell r="D96">
            <v>3.8679999999999999</v>
          </cell>
          <cell r="E96">
            <v>3.7029999999999998</v>
          </cell>
          <cell r="F96">
            <v>3.4329999999999998</v>
          </cell>
          <cell r="G96">
            <v>3.3980000000000001</v>
          </cell>
          <cell r="H96">
            <v>3.4329999999999998</v>
          </cell>
          <cell r="I96">
            <v>3.4529999999999998</v>
          </cell>
          <cell r="J96">
            <v>3.4729999999999999</v>
          </cell>
          <cell r="K96">
            <v>3.4380000000000002</v>
          </cell>
          <cell r="L96">
            <v>3.4529999999999998</v>
          </cell>
          <cell r="M96">
            <v>3.6379999999999999</v>
          </cell>
          <cell r="N96">
            <v>3.798</v>
          </cell>
        </row>
        <row r="97">
          <cell r="B97">
            <v>37350</v>
          </cell>
          <cell r="C97">
            <v>3.9470000000000001</v>
          </cell>
          <cell r="D97">
            <v>3.8170000000000002</v>
          </cell>
          <cell r="E97">
            <v>3.67</v>
          </cell>
          <cell r="F97">
            <v>3.42</v>
          </cell>
          <cell r="G97">
            <v>3.3849999999999998</v>
          </cell>
          <cell r="H97">
            <v>3.42</v>
          </cell>
          <cell r="I97">
            <v>3.4449999999999998</v>
          </cell>
          <cell r="J97">
            <v>3.4670000000000001</v>
          </cell>
          <cell r="K97">
            <v>3.4220000000000002</v>
          </cell>
          <cell r="L97">
            <v>3.4369999999999998</v>
          </cell>
          <cell r="M97">
            <v>3.6219999999999999</v>
          </cell>
          <cell r="N97">
            <v>3.782</v>
          </cell>
        </row>
        <row r="98">
          <cell r="B98">
            <v>37351</v>
          </cell>
          <cell r="C98">
            <v>3.9460000000000002</v>
          </cell>
          <cell r="D98">
            <v>3.8260000000000001</v>
          </cell>
          <cell r="E98">
            <v>3.6859999999999999</v>
          </cell>
          <cell r="F98">
            <v>3.4359999999999999</v>
          </cell>
          <cell r="G98">
            <v>3.4009999999999998</v>
          </cell>
          <cell r="H98">
            <v>3.4359999999999999</v>
          </cell>
          <cell r="I98">
            <v>3.4660000000000002</v>
          </cell>
          <cell r="J98">
            <v>3.4910000000000001</v>
          </cell>
          <cell r="K98">
            <v>3.4590000000000001</v>
          </cell>
          <cell r="L98">
            <v>3.4660000000000002</v>
          </cell>
          <cell r="M98">
            <v>3.6509999999999998</v>
          </cell>
          <cell r="N98">
            <v>3.8159999999999998</v>
          </cell>
        </row>
        <row r="99">
          <cell r="B99">
            <v>37352</v>
          </cell>
          <cell r="C99">
            <v>3.9460000000000002</v>
          </cell>
          <cell r="D99">
            <v>3.8260000000000001</v>
          </cell>
          <cell r="E99">
            <v>3.6859999999999999</v>
          </cell>
          <cell r="F99">
            <v>3.4359999999999999</v>
          </cell>
          <cell r="G99">
            <v>3.4009999999999998</v>
          </cell>
          <cell r="H99">
            <v>3.4359999999999999</v>
          </cell>
          <cell r="I99">
            <v>3.4660000000000002</v>
          </cell>
          <cell r="J99">
            <v>3.4910000000000001</v>
          </cell>
          <cell r="K99">
            <v>3.4590000000000001</v>
          </cell>
          <cell r="L99">
            <v>3.4660000000000002</v>
          </cell>
          <cell r="M99">
            <v>3.6509999999999998</v>
          </cell>
          <cell r="N99">
            <v>3.8159999999999998</v>
          </cell>
        </row>
        <row r="100">
          <cell r="B100">
            <v>37353</v>
          </cell>
          <cell r="C100">
            <v>3.9460000000000002</v>
          </cell>
          <cell r="D100">
            <v>3.8260000000000001</v>
          </cell>
          <cell r="E100">
            <v>3.6859999999999999</v>
          </cell>
          <cell r="F100">
            <v>3.4359999999999999</v>
          </cell>
          <cell r="G100">
            <v>3.4009999999999998</v>
          </cell>
          <cell r="H100">
            <v>3.4359999999999999</v>
          </cell>
          <cell r="I100">
            <v>3.4660000000000002</v>
          </cell>
          <cell r="J100">
            <v>3.4910000000000001</v>
          </cell>
          <cell r="K100">
            <v>3.4590000000000001</v>
          </cell>
          <cell r="L100">
            <v>3.4660000000000002</v>
          </cell>
          <cell r="M100">
            <v>3.6509999999999998</v>
          </cell>
          <cell r="N100">
            <v>3.8159999999999998</v>
          </cell>
        </row>
        <row r="101">
          <cell r="B101">
            <v>37354</v>
          </cell>
          <cell r="C101">
            <v>3.9990000000000001</v>
          </cell>
          <cell r="D101">
            <v>3.8839999999999999</v>
          </cell>
          <cell r="E101">
            <v>3.7370000000000001</v>
          </cell>
          <cell r="F101">
            <v>3.4790000000000001</v>
          </cell>
          <cell r="G101">
            <v>3.4489999999999998</v>
          </cell>
          <cell r="H101">
            <v>3.4790000000000001</v>
          </cell>
          <cell r="I101">
            <v>3.5089999999999999</v>
          </cell>
          <cell r="J101">
            <v>3.5339999999999998</v>
          </cell>
          <cell r="K101">
            <v>3.5139999999999998</v>
          </cell>
          <cell r="L101">
            <v>3.524</v>
          </cell>
          <cell r="M101">
            <v>3.7040000000000002</v>
          </cell>
          <cell r="N101">
            <v>3.8540000000000001</v>
          </cell>
        </row>
        <row r="102">
          <cell r="B102">
            <v>37355</v>
          </cell>
          <cell r="C102">
            <v>3.9159999999999999</v>
          </cell>
          <cell r="D102">
            <v>3.8010000000000002</v>
          </cell>
          <cell r="E102">
            <v>3.6509999999999998</v>
          </cell>
          <cell r="F102">
            <v>3.4009999999999998</v>
          </cell>
          <cell r="G102">
            <v>3.371</v>
          </cell>
          <cell r="H102">
            <v>3.3959999999999999</v>
          </cell>
          <cell r="I102">
            <v>3.4260000000000002</v>
          </cell>
          <cell r="J102">
            <v>3.4510000000000001</v>
          </cell>
          <cell r="K102">
            <v>3.431</v>
          </cell>
          <cell r="L102">
            <v>3.4409999999999998</v>
          </cell>
          <cell r="M102">
            <v>3.629</v>
          </cell>
          <cell r="N102">
            <v>3.786</v>
          </cell>
        </row>
        <row r="103">
          <cell r="B103">
            <v>37356</v>
          </cell>
          <cell r="C103">
            <v>3.92</v>
          </cell>
          <cell r="D103">
            <v>3.83</v>
          </cell>
          <cell r="E103">
            <v>3.67</v>
          </cell>
          <cell r="F103">
            <v>3.43</v>
          </cell>
          <cell r="G103">
            <v>3.41</v>
          </cell>
          <cell r="H103">
            <v>3.43</v>
          </cell>
          <cell r="I103">
            <v>3.46</v>
          </cell>
          <cell r="J103">
            <v>3.48</v>
          </cell>
          <cell r="K103">
            <v>3.46</v>
          </cell>
          <cell r="L103">
            <v>3.48</v>
          </cell>
          <cell r="M103">
            <v>3.68</v>
          </cell>
          <cell r="N103">
            <v>3.85</v>
          </cell>
        </row>
        <row r="104">
          <cell r="B104">
            <v>37357</v>
          </cell>
          <cell r="C104">
            <v>3.8610000000000002</v>
          </cell>
          <cell r="D104">
            <v>3.7709999999999999</v>
          </cell>
          <cell r="E104">
            <v>3.6309999999999998</v>
          </cell>
          <cell r="F104">
            <v>3.3959999999999999</v>
          </cell>
          <cell r="G104">
            <v>3.371</v>
          </cell>
          <cell r="H104">
            <v>3.391</v>
          </cell>
          <cell r="I104">
            <v>3.4209999999999998</v>
          </cell>
          <cell r="J104">
            <v>3.4460000000000002</v>
          </cell>
          <cell r="K104">
            <v>3.4260000000000002</v>
          </cell>
          <cell r="L104">
            <v>3.4260000000000002</v>
          </cell>
          <cell r="M104">
            <v>3.6160000000000001</v>
          </cell>
          <cell r="N104">
            <v>3.786</v>
          </cell>
        </row>
        <row r="105">
          <cell r="B105">
            <v>37358</v>
          </cell>
          <cell r="C105">
            <v>3.8929999999999998</v>
          </cell>
          <cell r="D105">
            <v>3.7930000000000001</v>
          </cell>
          <cell r="E105">
            <v>3.6480000000000001</v>
          </cell>
          <cell r="F105">
            <v>3.403</v>
          </cell>
          <cell r="G105">
            <v>3.3679999999999999</v>
          </cell>
          <cell r="H105">
            <v>3.3879999999999999</v>
          </cell>
          <cell r="I105">
            <v>3.4180000000000001</v>
          </cell>
          <cell r="J105">
            <v>3.4529999999999998</v>
          </cell>
          <cell r="K105">
            <v>3.4430000000000001</v>
          </cell>
          <cell r="L105">
            <v>3.4329999999999998</v>
          </cell>
          <cell r="M105">
            <v>3.6230000000000002</v>
          </cell>
          <cell r="N105">
            <v>3.7930000000000001</v>
          </cell>
        </row>
        <row r="106">
          <cell r="B106">
            <v>37359</v>
          </cell>
          <cell r="C106">
            <v>3.8929999999999998</v>
          </cell>
          <cell r="D106">
            <v>3.7930000000000001</v>
          </cell>
          <cell r="E106">
            <v>3.6480000000000001</v>
          </cell>
          <cell r="F106">
            <v>3.403</v>
          </cell>
          <cell r="G106">
            <v>3.3679999999999999</v>
          </cell>
          <cell r="H106">
            <v>3.3879999999999999</v>
          </cell>
          <cell r="I106">
            <v>3.4180000000000001</v>
          </cell>
          <cell r="J106">
            <v>3.4529999999999998</v>
          </cell>
          <cell r="K106">
            <v>3.4430000000000001</v>
          </cell>
          <cell r="L106">
            <v>3.4329999999999998</v>
          </cell>
          <cell r="M106">
            <v>3.6230000000000002</v>
          </cell>
          <cell r="N106">
            <v>3.7930000000000001</v>
          </cell>
        </row>
        <row r="107">
          <cell r="B107">
            <v>37360</v>
          </cell>
          <cell r="C107">
            <v>3.8929999999999998</v>
          </cell>
          <cell r="D107">
            <v>3.7930000000000001</v>
          </cell>
          <cell r="E107">
            <v>3.6480000000000001</v>
          </cell>
          <cell r="F107">
            <v>3.403</v>
          </cell>
          <cell r="G107">
            <v>3.3679999999999999</v>
          </cell>
          <cell r="H107">
            <v>3.3879999999999999</v>
          </cell>
          <cell r="I107">
            <v>3.4180000000000001</v>
          </cell>
          <cell r="J107">
            <v>3.4529999999999998</v>
          </cell>
          <cell r="K107">
            <v>3.4430000000000001</v>
          </cell>
          <cell r="L107">
            <v>3.4329999999999998</v>
          </cell>
          <cell r="M107">
            <v>3.6230000000000002</v>
          </cell>
          <cell r="N107">
            <v>3.7930000000000001</v>
          </cell>
        </row>
        <row r="108">
          <cell r="B108">
            <v>37361</v>
          </cell>
          <cell r="C108">
            <v>4.0919999999999996</v>
          </cell>
          <cell r="D108">
            <v>3.9820000000000002</v>
          </cell>
          <cell r="E108">
            <v>3.827</v>
          </cell>
          <cell r="F108">
            <v>3.5670000000000002</v>
          </cell>
          <cell r="G108">
            <v>3.532</v>
          </cell>
          <cell r="H108">
            <v>3.5419999999999998</v>
          </cell>
          <cell r="I108">
            <v>3.5569999999999999</v>
          </cell>
          <cell r="J108">
            <v>3.5870000000000002</v>
          </cell>
          <cell r="K108">
            <v>3.5720000000000001</v>
          </cell>
          <cell r="L108">
            <v>3.5619999999999998</v>
          </cell>
          <cell r="M108">
            <v>3.7519999999999998</v>
          </cell>
          <cell r="N108">
            <v>3.9220000000000002</v>
          </cell>
        </row>
        <row r="109">
          <cell r="B109">
            <v>37362</v>
          </cell>
          <cell r="C109">
            <v>4.0229999999999997</v>
          </cell>
          <cell r="D109">
            <v>3.9129999999999998</v>
          </cell>
          <cell r="E109">
            <v>3.7629999999999999</v>
          </cell>
          <cell r="F109">
            <v>3.5129999999999999</v>
          </cell>
          <cell r="G109">
            <v>3.4780000000000002</v>
          </cell>
          <cell r="H109">
            <v>3.4830000000000001</v>
          </cell>
          <cell r="I109">
            <v>3.5030000000000001</v>
          </cell>
          <cell r="J109">
            <v>3.5230000000000001</v>
          </cell>
          <cell r="K109">
            <v>3.508</v>
          </cell>
          <cell r="L109">
            <v>3.4980000000000002</v>
          </cell>
          <cell r="M109">
            <v>3.6880000000000002</v>
          </cell>
          <cell r="N109">
            <v>3.8679999999999999</v>
          </cell>
        </row>
        <row r="110">
          <cell r="B110">
            <v>37363</v>
          </cell>
          <cell r="C110">
            <v>4.0970000000000004</v>
          </cell>
          <cell r="D110">
            <v>3.9820000000000002</v>
          </cell>
          <cell r="E110">
            <v>3.827</v>
          </cell>
          <cell r="F110">
            <v>3.5619999999999998</v>
          </cell>
          <cell r="G110">
            <v>3.5219999999999998</v>
          </cell>
          <cell r="H110">
            <v>3.5270000000000001</v>
          </cell>
          <cell r="I110">
            <v>3.5470000000000002</v>
          </cell>
          <cell r="J110">
            <v>3.5720000000000001</v>
          </cell>
          <cell r="K110">
            <v>3.5619999999999998</v>
          </cell>
          <cell r="L110">
            <v>3.5720000000000001</v>
          </cell>
          <cell r="M110">
            <v>3.7549999999999999</v>
          </cell>
          <cell r="N110">
            <v>3.927</v>
          </cell>
        </row>
        <row r="111">
          <cell r="B111">
            <v>37364</v>
          </cell>
          <cell r="C111">
            <v>4.048</v>
          </cell>
          <cell r="D111">
            <v>3.9380000000000002</v>
          </cell>
          <cell r="E111">
            <v>3.778</v>
          </cell>
          <cell r="F111">
            <v>3.5030000000000001</v>
          </cell>
          <cell r="G111">
            <v>3.4580000000000002</v>
          </cell>
          <cell r="H111">
            <v>3.4630000000000001</v>
          </cell>
          <cell r="I111">
            <v>3.4830000000000001</v>
          </cell>
          <cell r="J111">
            <v>3.508</v>
          </cell>
          <cell r="K111">
            <v>3.4980000000000002</v>
          </cell>
          <cell r="L111">
            <v>3.5129999999999999</v>
          </cell>
          <cell r="M111">
            <v>3.6960000000000002</v>
          </cell>
          <cell r="N111">
            <v>3.8679999999999999</v>
          </cell>
        </row>
        <row r="112">
          <cell r="B112">
            <v>37365</v>
          </cell>
          <cell r="C112">
            <v>4.0629999999999997</v>
          </cell>
          <cell r="D112">
            <v>3.9580000000000002</v>
          </cell>
          <cell r="E112">
            <v>3.798</v>
          </cell>
          <cell r="F112">
            <v>3.5230000000000001</v>
          </cell>
          <cell r="G112">
            <v>3.4780000000000002</v>
          </cell>
          <cell r="H112">
            <v>3.4830000000000001</v>
          </cell>
          <cell r="I112">
            <v>3.5030000000000001</v>
          </cell>
          <cell r="J112">
            <v>3.528</v>
          </cell>
          <cell r="K112">
            <v>3.5179999999999998</v>
          </cell>
          <cell r="L112">
            <v>3.5379999999999998</v>
          </cell>
          <cell r="M112">
            <v>3.7210000000000001</v>
          </cell>
          <cell r="N112">
            <v>3.8929999999999998</v>
          </cell>
        </row>
        <row r="113">
          <cell r="B113">
            <v>37366</v>
          </cell>
          <cell r="C113">
            <v>4.0629999999999997</v>
          </cell>
          <cell r="D113">
            <v>3.9580000000000002</v>
          </cell>
          <cell r="E113">
            <v>3.798</v>
          </cell>
          <cell r="F113">
            <v>3.5230000000000001</v>
          </cell>
          <cell r="G113">
            <v>3.4780000000000002</v>
          </cell>
          <cell r="H113">
            <v>3.4830000000000001</v>
          </cell>
          <cell r="I113">
            <v>3.5030000000000001</v>
          </cell>
          <cell r="J113">
            <v>3.528</v>
          </cell>
          <cell r="K113">
            <v>3.5179999999999998</v>
          </cell>
          <cell r="L113">
            <v>3.5379999999999998</v>
          </cell>
          <cell r="M113">
            <v>3.7210000000000001</v>
          </cell>
          <cell r="N113">
            <v>3.8929999999999998</v>
          </cell>
        </row>
        <row r="114">
          <cell r="B114">
            <v>37367</v>
          </cell>
          <cell r="C114">
            <v>4.0629999999999997</v>
          </cell>
          <cell r="D114">
            <v>3.9580000000000002</v>
          </cell>
          <cell r="E114">
            <v>3.798</v>
          </cell>
          <cell r="F114">
            <v>3.5230000000000001</v>
          </cell>
          <cell r="G114">
            <v>3.4780000000000002</v>
          </cell>
          <cell r="H114">
            <v>3.4830000000000001</v>
          </cell>
          <cell r="I114">
            <v>3.5030000000000001</v>
          </cell>
          <cell r="J114">
            <v>3.528</v>
          </cell>
          <cell r="K114">
            <v>3.5179999999999998</v>
          </cell>
          <cell r="L114">
            <v>3.5379999999999998</v>
          </cell>
          <cell r="M114">
            <v>3.7210000000000001</v>
          </cell>
          <cell r="N114">
            <v>3.8929999999999998</v>
          </cell>
        </row>
        <row r="115">
          <cell r="B115">
            <v>37368</v>
          </cell>
          <cell r="C115">
            <v>4.0880000000000001</v>
          </cell>
          <cell r="D115">
            <v>3.9780000000000002</v>
          </cell>
          <cell r="E115">
            <v>3.8130000000000002</v>
          </cell>
          <cell r="F115">
            <v>3.5329999999999999</v>
          </cell>
          <cell r="G115">
            <v>3.488</v>
          </cell>
          <cell r="H115">
            <v>3.4929999999999999</v>
          </cell>
          <cell r="I115">
            <v>3.5129999999999999</v>
          </cell>
          <cell r="J115">
            <v>3.5379999999999998</v>
          </cell>
          <cell r="K115">
            <v>3.528</v>
          </cell>
          <cell r="L115">
            <v>3.548</v>
          </cell>
          <cell r="M115">
            <v>3.7309999999999999</v>
          </cell>
          <cell r="N115">
            <v>3.903</v>
          </cell>
        </row>
        <row r="116">
          <cell r="B116">
            <v>37369</v>
          </cell>
          <cell r="C116">
            <v>4.0979999999999999</v>
          </cell>
          <cell r="D116">
            <v>3.988</v>
          </cell>
          <cell r="E116">
            <v>3.823</v>
          </cell>
          <cell r="F116">
            <v>3.5430000000000001</v>
          </cell>
          <cell r="G116">
            <v>3.4980000000000002</v>
          </cell>
          <cell r="H116">
            <v>3.5030000000000001</v>
          </cell>
          <cell r="I116">
            <v>3.5230000000000001</v>
          </cell>
          <cell r="J116">
            <v>3.548</v>
          </cell>
          <cell r="K116">
            <v>3.5379999999999998</v>
          </cell>
          <cell r="L116">
            <v>3.5630000000000002</v>
          </cell>
          <cell r="M116">
            <v>3.746</v>
          </cell>
          <cell r="N116">
            <v>3.9180000000000001</v>
          </cell>
        </row>
        <row r="117">
          <cell r="B117">
            <v>37370</v>
          </cell>
          <cell r="C117">
            <v>4.0309999999999997</v>
          </cell>
          <cell r="D117">
            <v>3.9359999999999999</v>
          </cell>
          <cell r="E117">
            <v>3.7709999999999999</v>
          </cell>
          <cell r="F117">
            <v>3.4910000000000001</v>
          </cell>
          <cell r="G117">
            <v>3.4460000000000002</v>
          </cell>
          <cell r="H117">
            <v>3.4609999999999999</v>
          </cell>
          <cell r="I117">
            <v>3.4910000000000001</v>
          </cell>
          <cell r="J117">
            <v>3.5259999999999998</v>
          </cell>
          <cell r="K117">
            <v>3.5259999999999998</v>
          </cell>
          <cell r="L117">
            <v>3.5609999999999999</v>
          </cell>
          <cell r="M117">
            <v>3.7440000000000002</v>
          </cell>
          <cell r="N117">
            <v>3.9159999999999999</v>
          </cell>
        </row>
        <row r="118">
          <cell r="B118">
            <v>37371</v>
          </cell>
          <cell r="C118">
            <v>3.9809999999999999</v>
          </cell>
          <cell r="D118">
            <v>3.8860000000000001</v>
          </cell>
          <cell r="E118">
            <v>3.714</v>
          </cell>
          <cell r="F118">
            <v>3.444</v>
          </cell>
          <cell r="G118">
            <v>3.4460000000000002</v>
          </cell>
          <cell r="H118">
            <v>3.4609999999999999</v>
          </cell>
          <cell r="I118">
            <v>3.4910000000000001</v>
          </cell>
          <cell r="J118">
            <v>3.5259999999999998</v>
          </cell>
          <cell r="K118">
            <v>3.5259999999999998</v>
          </cell>
          <cell r="L118">
            <v>3.5609999999999999</v>
          </cell>
          <cell r="M118">
            <v>3.7440000000000002</v>
          </cell>
          <cell r="N118">
            <v>3.9159999999999999</v>
          </cell>
        </row>
        <row r="119">
          <cell r="B119">
            <v>37372</v>
          </cell>
          <cell r="C119">
            <v>4.0570000000000004</v>
          </cell>
          <cell r="D119">
            <v>3.9569999999999999</v>
          </cell>
          <cell r="E119">
            <v>3.7970000000000002</v>
          </cell>
          <cell r="F119">
            <v>3.5270000000000001</v>
          </cell>
          <cell r="G119">
            <v>3.4870000000000001</v>
          </cell>
          <cell r="H119">
            <v>3.4969999999999999</v>
          </cell>
          <cell r="I119">
            <v>3.5369999999999999</v>
          </cell>
          <cell r="J119">
            <v>3.5619999999999998</v>
          </cell>
          <cell r="K119">
            <v>3.5569999999999999</v>
          </cell>
          <cell r="L119">
            <v>3.5920000000000001</v>
          </cell>
          <cell r="M119">
            <v>3.77</v>
          </cell>
          <cell r="N119">
            <v>3.9369999999999998</v>
          </cell>
        </row>
        <row r="120">
          <cell r="B120">
            <v>37373</v>
          </cell>
          <cell r="C120">
            <v>4.0570000000000004</v>
          </cell>
          <cell r="D120">
            <v>3.9569999999999999</v>
          </cell>
          <cell r="E120">
            <v>3.7970000000000002</v>
          </cell>
          <cell r="F120">
            <v>3.5270000000000001</v>
          </cell>
          <cell r="G120">
            <v>3.4870000000000001</v>
          </cell>
          <cell r="H120">
            <v>3.4969999999999999</v>
          </cell>
          <cell r="I120">
            <v>3.5369999999999999</v>
          </cell>
          <cell r="J120">
            <v>3.5619999999999998</v>
          </cell>
          <cell r="K120">
            <v>3.5569999999999999</v>
          </cell>
          <cell r="L120">
            <v>3.5920000000000001</v>
          </cell>
          <cell r="M120">
            <v>3.77</v>
          </cell>
          <cell r="N120">
            <v>3.9369999999999998</v>
          </cell>
        </row>
        <row r="121">
          <cell r="B121">
            <v>37374</v>
          </cell>
          <cell r="C121">
            <v>4.0570000000000004</v>
          </cell>
          <cell r="D121">
            <v>3.9569999999999999</v>
          </cell>
          <cell r="E121">
            <v>3.7970000000000002</v>
          </cell>
          <cell r="F121">
            <v>3.5270000000000001</v>
          </cell>
          <cell r="G121">
            <v>3.4870000000000001</v>
          </cell>
          <cell r="H121">
            <v>3.4969999999999999</v>
          </cell>
          <cell r="I121">
            <v>3.5369999999999999</v>
          </cell>
          <cell r="J121">
            <v>3.5619999999999998</v>
          </cell>
          <cell r="K121">
            <v>3.5569999999999999</v>
          </cell>
          <cell r="L121">
            <v>3.5920000000000001</v>
          </cell>
          <cell r="M121">
            <v>3.77</v>
          </cell>
          <cell r="N121">
            <v>3.9369999999999998</v>
          </cell>
        </row>
        <row r="122">
          <cell r="B122">
            <v>37375</v>
          </cell>
          <cell r="C122">
            <v>4.1429999999999998</v>
          </cell>
          <cell r="D122">
            <v>4.0380000000000003</v>
          </cell>
          <cell r="E122">
            <v>3.8679999999999999</v>
          </cell>
          <cell r="F122">
            <v>3.5979999999999999</v>
          </cell>
          <cell r="G122">
            <v>3.5579999999999998</v>
          </cell>
          <cell r="H122">
            <v>3.5680000000000001</v>
          </cell>
          <cell r="I122">
            <v>3.5979999999999999</v>
          </cell>
          <cell r="J122">
            <v>3.6230000000000002</v>
          </cell>
          <cell r="K122">
            <v>3.6080000000000001</v>
          </cell>
          <cell r="L122">
            <v>3.6429999999999998</v>
          </cell>
          <cell r="M122">
            <v>3.8210000000000002</v>
          </cell>
          <cell r="N122">
            <v>3.988</v>
          </cell>
        </row>
        <row r="123">
          <cell r="B123">
            <v>37376</v>
          </cell>
          <cell r="C123">
            <v>4.3</v>
          </cell>
          <cell r="D123">
            <v>4.1950000000000003</v>
          </cell>
          <cell r="E123">
            <v>4.0149999999999997</v>
          </cell>
          <cell r="F123">
            <v>3.74</v>
          </cell>
          <cell r="G123">
            <v>3.7</v>
          </cell>
          <cell r="H123">
            <v>3.7</v>
          </cell>
          <cell r="I123">
            <v>3.7250000000000001</v>
          </cell>
          <cell r="J123">
            <v>3.75</v>
          </cell>
          <cell r="K123">
            <v>3.7349999999999999</v>
          </cell>
          <cell r="L123">
            <v>3.77</v>
          </cell>
          <cell r="M123">
            <v>3.948</v>
          </cell>
          <cell r="N123">
            <v>4.1150000000000002</v>
          </cell>
        </row>
        <row r="124">
          <cell r="B124">
            <v>37377</v>
          </cell>
          <cell r="C124">
            <v>4.2460000000000004</v>
          </cell>
          <cell r="D124">
            <v>4.141</v>
          </cell>
          <cell r="E124">
            <v>3.9609999999999999</v>
          </cell>
          <cell r="F124">
            <v>3.6859999999999999</v>
          </cell>
          <cell r="G124">
            <v>3.6509999999999998</v>
          </cell>
          <cell r="H124">
            <v>3.6509999999999998</v>
          </cell>
          <cell r="I124">
            <v>3.6760000000000002</v>
          </cell>
          <cell r="J124">
            <v>3.706</v>
          </cell>
          <cell r="K124">
            <v>3.6909999999999998</v>
          </cell>
          <cell r="L124">
            <v>3.7309999999999999</v>
          </cell>
          <cell r="M124">
            <v>3.9089999999999998</v>
          </cell>
          <cell r="N124">
            <v>4.0759999999999996</v>
          </cell>
        </row>
        <row r="125">
          <cell r="B125">
            <v>37378</v>
          </cell>
          <cell r="C125">
            <v>4.2329999999999997</v>
          </cell>
          <cell r="D125">
            <v>4.133</v>
          </cell>
          <cell r="E125">
            <v>3.9580000000000002</v>
          </cell>
          <cell r="F125">
            <v>3.6930000000000001</v>
          </cell>
          <cell r="G125">
            <v>3.6579999999999999</v>
          </cell>
          <cell r="H125">
            <v>3.6579999999999999</v>
          </cell>
          <cell r="I125">
            <v>3.6829999999999998</v>
          </cell>
          <cell r="J125">
            <v>3.7130000000000001</v>
          </cell>
          <cell r="K125">
            <v>3.698</v>
          </cell>
          <cell r="L125">
            <v>3.738</v>
          </cell>
          <cell r="M125">
            <v>3.9159999999999999</v>
          </cell>
          <cell r="N125">
            <v>4.0830000000000002</v>
          </cell>
        </row>
        <row r="126">
          <cell r="B126">
            <v>37379</v>
          </cell>
          <cell r="C126">
            <v>4.2960000000000003</v>
          </cell>
          <cell r="D126">
            <v>4.1959999999999997</v>
          </cell>
          <cell r="E126">
            <v>4.0209999999999999</v>
          </cell>
          <cell r="F126">
            <v>3.7559999999999998</v>
          </cell>
          <cell r="G126">
            <v>3.7160000000000002</v>
          </cell>
          <cell r="H126">
            <v>3.7160000000000002</v>
          </cell>
          <cell r="I126">
            <v>3.7410000000000001</v>
          </cell>
          <cell r="J126">
            <v>3.7709999999999999</v>
          </cell>
          <cell r="K126">
            <v>3.7559999999999998</v>
          </cell>
          <cell r="L126">
            <v>3.7959999999999998</v>
          </cell>
          <cell r="M126">
            <v>3.9740000000000002</v>
          </cell>
          <cell r="N126">
            <v>4.141</v>
          </cell>
        </row>
        <row r="127">
          <cell r="B127">
            <v>37380</v>
          </cell>
          <cell r="C127">
            <v>4.2960000000000003</v>
          </cell>
          <cell r="D127">
            <v>4.1959999999999997</v>
          </cell>
          <cell r="E127">
            <v>4.0209999999999999</v>
          </cell>
          <cell r="F127">
            <v>3.7559999999999998</v>
          </cell>
          <cell r="G127">
            <v>3.7160000000000002</v>
          </cell>
          <cell r="H127">
            <v>3.7160000000000002</v>
          </cell>
          <cell r="I127">
            <v>3.7410000000000001</v>
          </cell>
          <cell r="J127">
            <v>3.7709999999999999</v>
          </cell>
          <cell r="K127">
            <v>3.7559999999999998</v>
          </cell>
          <cell r="L127">
            <v>3.7959999999999998</v>
          </cell>
          <cell r="M127">
            <v>3.9740000000000002</v>
          </cell>
          <cell r="N127">
            <v>4.141</v>
          </cell>
        </row>
        <row r="128">
          <cell r="B128">
            <v>37381</v>
          </cell>
          <cell r="C128">
            <v>4.2960000000000003</v>
          </cell>
          <cell r="D128">
            <v>4.1959999999999997</v>
          </cell>
          <cell r="E128">
            <v>4.0209999999999999</v>
          </cell>
          <cell r="F128">
            <v>3.7559999999999998</v>
          </cell>
          <cell r="G128">
            <v>3.7160000000000002</v>
          </cell>
          <cell r="H128">
            <v>3.7160000000000002</v>
          </cell>
          <cell r="I128">
            <v>3.7410000000000001</v>
          </cell>
          <cell r="J128">
            <v>3.7709999999999999</v>
          </cell>
          <cell r="K128">
            <v>3.7559999999999998</v>
          </cell>
          <cell r="L128">
            <v>3.7959999999999998</v>
          </cell>
          <cell r="M128">
            <v>3.9740000000000002</v>
          </cell>
          <cell r="N128">
            <v>4.141</v>
          </cell>
        </row>
        <row r="129">
          <cell r="B129">
            <v>37382</v>
          </cell>
          <cell r="C129">
            <v>4.2549999999999999</v>
          </cell>
          <cell r="D129">
            <v>4.165</v>
          </cell>
          <cell r="E129">
            <v>4</v>
          </cell>
          <cell r="F129">
            <v>3.7349999999999999</v>
          </cell>
          <cell r="G129">
            <v>3.6949999999999998</v>
          </cell>
          <cell r="H129">
            <v>3.7</v>
          </cell>
          <cell r="I129">
            <v>3.7349999999999999</v>
          </cell>
          <cell r="J129">
            <v>3.7650000000000001</v>
          </cell>
          <cell r="K129">
            <v>3.7450000000000001</v>
          </cell>
          <cell r="L129">
            <v>3.7850000000000001</v>
          </cell>
          <cell r="M129">
            <v>3.9729999999999999</v>
          </cell>
          <cell r="N129">
            <v>4.1399999999999997</v>
          </cell>
        </row>
        <row r="130">
          <cell r="B130">
            <v>37383</v>
          </cell>
          <cell r="C130">
            <v>4.3630000000000004</v>
          </cell>
          <cell r="D130">
            <v>4.2729999999999997</v>
          </cell>
          <cell r="E130">
            <v>4.1079999999999997</v>
          </cell>
          <cell r="F130">
            <v>3.8330000000000002</v>
          </cell>
          <cell r="G130">
            <v>3.7829999999999999</v>
          </cell>
          <cell r="H130">
            <v>3.7879999999999998</v>
          </cell>
          <cell r="I130">
            <v>3.823</v>
          </cell>
          <cell r="J130">
            <v>3.8530000000000002</v>
          </cell>
          <cell r="K130">
            <v>3.8330000000000002</v>
          </cell>
          <cell r="L130">
            <v>3.8730000000000002</v>
          </cell>
          <cell r="M130">
            <v>4.0629999999999997</v>
          </cell>
          <cell r="N130">
            <v>4.2380000000000004</v>
          </cell>
        </row>
        <row r="131">
          <cell r="B131">
            <v>37384</v>
          </cell>
          <cell r="C131">
            <v>4.4009999999999998</v>
          </cell>
          <cell r="D131">
            <v>4.3109999999999999</v>
          </cell>
          <cell r="E131">
            <v>4.1360000000000001</v>
          </cell>
          <cell r="F131">
            <v>3.8559999999999999</v>
          </cell>
          <cell r="G131">
            <v>3.7930000000000001</v>
          </cell>
          <cell r="H131">
            <v>3.798</v>
          </cell>
          <cell r="I131">
            <v>3.8330000000000002</v>
          </cell>
          <cell r="J131">
            <v>3.863</v>
          </cell>
          <cell r="K131">
            <v>3.843</v>
          </cell>
          <cell r="L131">
            <v>3.883</v>
          </cell>
          <cell r="M131">
            <v>4.0730000000000004</v>
          </cell>
          <cell r="N131">
            <v>4.2480000000000002</v>
          </cell>
        </row>
        <row r="132">
          <cell r="B132">
            <v>37385</v>
          </cell>
          <cell r="C132">
            <v>4.4160000000000004</v>
          </cell>
          <cell r="D132">
            <v>4.3239999999999998</v>
          </cell>
          <cell r="E132">
            <v>4.1390000000000002</v>
          </cell>
          <cell r="F132">
            <v>3.859</v>
          </cell>
          <cell r="G132">
            <v>3.8090000000000002</v>
          </cell>
          <cell r="H132">
            <v>3.823</v>
          </cell>
          <cell r="I132">
            <v>3.8580000000000001</v>
          </cell>
          <cell r="J132">
            <v>3.8879999999999999</v>
          </cell>
          <cell r="K132">
            <v>3.883</v>
          </cell>
          <cell r="L132">
            <v>3.9180000000000001</v>
          </cell>
          <cell r="M132">
            <v>4.093</v>
          </cell>
          <cell r="N132">
            <v>4.274</v>
          </cell>
        </row>
        <row r="133">
          <cell r="B133">
            <v>37386</v>
          </cell>
          <cell r="C133">
            <v>4.4119999999999999</v>
          </cell>
          <cell r="D133">
            <v>4.32</v>
          </cell>
          <cell r="E133">
            <v>4.1349999999999998</v>
          </cell>
          <cell r="F133">
            <v>3.8450000000000002</v>
          </cell>
          <cell r="G133">
            <v>3.78</v>
          </cell>
          <cell r="H133">
            <v>3.79</v>
          </cell>
          <cell r="I133">
            <v>3.8250000000000002</v>
          </cell>
          <cell r="J133">
            <v>3.855</v>
          </cell>
          <cell r="K133">
            <v>3.85</v>
          </cell>
          <cell r="L133">
            <v>3.8849999999999998</v>
          </cell>
          <cell r="M133">
            <v>4.0599999999999996</v>
          </cell>
          <cell r="N133">
            <v>4.2409999999999997</v>
          </cell>
        </row>
        <row r="134">
          <cell r="B134">
            <v>37387</v>
          </cell>
          <cell r="C134">
            <v>4.4119999999999999</v>
          </cell>
          <cell r="D134">
            <v>4.32</v>
          </cell>
          <cell r="E134">
            <v>4.1349999999999998</v>
          </cell>
          <cell r="F134">
            <v>3.8450000000000002</v>
          </cell>
          <cell r="G134">
            <v>3.78</v>
          </cell>
          <cell r="H134">
            <v>3.79</v>
          </cell>
          <cell r="I134">
            <v>3.8250000000000002</v>
          </cell>
          <cell r="J134">
            <v>3.855</v>
          </cell>
          <cell r="K134">
            <v>3.85</v>
          </cell>
          <cell r="L134">
            <v>3.8849999999999998</v>
          </cell>
          <cell r="M134">
            <v>4.0599999999999996</v>
          </cell>
          <cell r="N134">
            <v>4.2409999999999997</v>
          </cell>
        </row>
        <row r="135">
          <cell r="B135">
            <v>37388</v>
          </cell>
          <cell r="C135">
            <v>4.4119999999999999</v>
          </cell>
          <cell r="D135">
            <v>4.32</v>
          </cell>
          <cell r="E135">
            <v>4.1349999999999998</v>
          </cell>
          <cell r="F135">
            <v>3.8450000000000002</v>
          </cell>
          <cell r="G135">
            <v>3.78</v>
          </cell>
          <cell r="H135">
            <v>3.79</v>
          </cell>
          <cell r="I135">
            <v>3.8250000000000002</v>
          </cell>
          <cell r="J135">
            <v>3.855</v>
          </cell>
          <cell r="K135">
            <v>3.85</v>
          </cell>
          <cell r="L135">
            <v>3.8849999999999998</v>
          </cell>
          <cell r="M135">
            <v>4.0599999999999996</v>
          </cell>
          <cell r="N135">
            <v>4.2409999999999997</v>
          </cell>
        </row>
        <row r="136">
          <cell r="B136">
            <v>37389</v>
          </cell>
          <cell r="C136">
            <v>4.4470000000000001</v>
          </cell>
          <cell r="D136">
            <v>4.3550000000000004</v>
          </cell>
          <cell r="E136">
            <v>4.17</v>
          </cell>
          <cell r="F136">
            <v>3.887</v>
          </cell>
          <cell r="G136">
            <v>3.827</v>
          </cell>
          <cell r="H136">
            <v>3.8370000000000002</v>
          </cell>
          <cell r="I136">
            <v>3.8719999999999999</v>
          </cell>
          <cell r="J136">
            <v>3.9020000000000001</v>
          </cell>
          <cell r="K136">
            <v>3.8969999999999998</v>
          </cell>
          <cell r="L136">
            <v>3.9369999999999998</v>
          </cell>
          <cell r="M136">
            <v>4.1139999999999999</v>
          </cell>
          <cell r="N136">
            <v>4.2949999999999999</v>
          </cell>
        </row>
        <row r="137">
          <cell r="B137">
            <v>37390</v>
          </cell>
          <cell r="C137">
            <v>4.5149999999999997</v>
          </cell>
          <cell r="D137">
            <v>4.423</v>
          </cell>
          <cell r="E137">
            <v>4.2350000000000003</v>
          </cell>
          <cell r="F137">
            <v>3.9470000000000001</v>
          </cell>
          <cell r="G137">
            <v>3.88</v>
          </cell>
          <cell r="H137">
            <v>3.88</v>
          </cell>
          <cell r="I137">
            <v>3.91</v>
          </cell>
          <cell r="J137">
            <v>3.94</v>
          </cell>
          <cell r="K137">
            <v>3.93</v>
          </cell>
          <cell r="L137">
            <v>3.97</v>
          </cell>
          <cell r="M137">
            <v>4.1470000000000002</v>
          </cell>
          <cell r="N137">
            <v>4.3280000000000003</v>
          </cell>
        </row>
        <row r="138">
          <cell r="B138">
            <v>37391</v>
          </cell>
          <cell r="C138">
            <v>4.4059999999999997</v>
          </cell>
          <cell r="D138">
            <v>4.3209999999999997</v>
          </cell>
          <cell r="E138">
            <v>4.133</v>
          </cell>
          <cell r="F138">
            <v>3.8530000000000002</v>
          </cell>
          <cell r="G138">
            <v>3.786</v>
          </cell>
          <cell r="H138">
            <v>3.786</v>
          </cell>
          <cell r="I138">
            <v>3.8159999999999998</v>
          </cell>
          <cell r="J138">
            <v>3.8460000000000001</v>
          </cell>
          <cell r="K138">
            <v>3.831</v>
          </cell>
          <cell r="L138">
            <v>3.871</v>
          </cell>
          <cell r="M138">
            <v>4.0609999999999999</v>
          </cell>
          <cell r="N138">
            <v>4.242</v>
          </cell>
        </row>
        <row r="139">
          <cell r="B139">
            <v>37392</v>
          </cell>
          <cell r="C139">
            <v>4.4400000000000004</v>
          </cell>
          <cell r="D139">
            <v>4.3600000000000003</v>
          </cell>
          <cell r="E139">
            <v>4.17</v>
          </cell>
          <cell r="F139">
            <v>3.8969999999999998</v>
          </cell>
          <cell r="G139">
            <v>3.83</v>
          </cell>
          <cell r="H139">
            <v>3.83</v>
          </cell>
          <cell r="I139">
            <v>3.86</v>
          </cell>
          <cell r="J139">
            <v>3.89</v>
          </cell>
          <cell r="K139">
            <v>3.875</v>
          </cell>
          <cell r="L139">
            <v>3.915</v>
          </cell>
          <cell r="M139">
            <v>4.109</v>
          </cell>
          <cell r="N139">
            <v>4.29</v>
          </cell>
        </row>
        <row r="140">
          <cell r="B140">
            <v>37393</v>
          </cell>
          <cell r="C140">
            <v>4.4400000000000004</v>
          </cell>
          <cell r="D140">
            <v>4.3600000000000003</v>
          </cell>
          <cell r="E140">
            <v>4.17</v>
          </cell>
          <cell r="F140">
            <v>3.8969999999999998</v>
          </cell>
          <cell r="G140">
            <v>3.83</v>
          </cell>
          <cell r="H140">
            <v>3.83</v>
          </cell>
          <cell r="I140">
            <v>3.86</v>
          </cell>
          <cell r="J140">
            <v>3.89</v>
          </cell>
          <cell r="K140">
            <v>3.875</v>
          </cell>
          <cell r="L140">
            <v>3.915</v>
          </cell>
          <cell r="M140">
            <v>4.109</v>
          </cell>
          <cell r="N140">
            <v>4.29</v>
          </cell>
        </row>
        <row r="141">
          <cell r="B141">
            <v>37394</v>
          </cell>
          <cell r="C141">
            <v>4.4400000000000004</v>
          </cell>
          <cell r="D141">
            <v>4.3600000000000003</v>
          </cell>
          <cell r="E141">
            <v>4.17</v>
          </cell>
          <cell r="F141">
            <v>3.8969999999999998</v>
          </cell>
          <cell r="G141">
            <v>3.83</v>
          </cell>
          <cell r="H141">
            <v>3.83</v>
          </cell>
          <cell r="I141">
            <v>3.86</v>
          </cell>
          <cell r="J141">
            <v>3.89</v>
          </cell>
          <cell r="K141">
            <v>3.875</v>
          </cell>
          <cell r="L141">
            <v>3.915</v>
          </cell>
          <cell r="M141">
            <v>4.109</v>
          </cell>
          <cell r="N141">
            <v>4.29</v>
          </cell>
        </row>
        <row r="142">
          <cell r="B142">
            <v>37395</v>
          </cell>
          <cell r="C142">
            <v>4.4400000000000004</v>
          </cell>
          <cell r="D142">
            <v>4.3600000000000003</v>
          </cell>
          <cell r="E142">
            <v>4.17</v>
          </cell>
          <cell r="F142">
            <v>3.8969999999999998</v>
          </cell>
          <cell r="G142">
            <v>3.83</v>
          </cell>
          <cell r="H142">
            <v>3.83</v>
          </cell>
          <cell r="I142">
            <v>3.86</v>
          </cell>
          <cell r="J142">
            <v>3.89</v>
          </cell>
          <cell r="K142">
            <v>3.875</v>
          </cell>
          <cell r="L142">
            <v>3.915</v>
          </cell>
          <cell r="M142">
            <v>4.109</v>
          </cell>
          <cell r="N142">
            <v>4.29</v>
          </cell>
        </row>
        <row r="143">
          <cell r="B143">
            <v>37396</v>
          </cell>
          <cell r="C143">
            <v>4.4400000000000004</v>
          </cell>
          <cell r="D143">
            <v>4.3600000000000003</v>
          </cell>
          <cell r="E143">
            <v>4.17</v>
          </cell>
          <cell r="F143">
            <v>3.8969999999999998</v>
          </cell>
          <cell r="G143">
            <v>3.83</v>
          </cell>
          <cell r="H143">
            <v>3.83</v>
          </cell>
          <cell r="I143">
            <v>3.86</v>
          </cell>
          <cell r="J143">
            <v>3.89</v>
          </cell>
          <cell r="K143">
            <v>3.875</v>
          </cell>
          <cell r="L143">
            <v>3.915</v>
          </cell>
          <cell r="M143">
            <v>4.109</v>
          </cell>
          <cell r="N143">
            <v>4.29</v>
          </cell>
        </row>
        <row r="144">
          <cell r="B144">
            <v>37397</v>
          </cell>
          <cell r="C144">
            <v>4.3230000000000004</v>
          </cell>
          <cell r="D144">
            <v>4.2530000000000001</v>
          </cell>
          <cell r="E144">
            <v>4.0629999999999997</v>
          </cell>
          <cell r="F144">
            <v>3.798</v>
          </cell>
          <cell r="G144">
            <v>3.738</v>
          </cell>
          <cell r="H144">
            <v>3.738</v>
          </cell>
          <cell r="I144">
            <v>3.7679999999999998</v>
          </cell>
          <cell r="J144">
            <v>3.798</v>
          </cell>
          <cell r="K144">
            <v>3.7850000000000001</v>
          </cell>
          <cell r="L144">
            <v>3.823</v>
          </cell>
          <cell r="M144">
            <v>4.0149999999999997</v>
          </cell>
          <cell r="N144">
            <v>4.1950000000000003</v>
          </cell>
        </row>
        <row r="145">
          <cell r="B145">
            <v>37398</v>
          </cell>
          <cell r="C145">
            <v>4.3689999999999998</v>
          </cell>
          <cell r="D145">
            <v>4.2990000000000004</v>
          </cell>
          <cell r="E145">
            <v>4.1100000000000003</v>
          </cell>
          <cell r="F145">
            <v>3.847</v>
          </cell>
          <cell r="G145">
            <v>3.7869999999999999</v>
          </cell>
          <cell r="H145">
            <v>3.7869999999999999</v>
          </cell>
          <cell r="I145">
            <v>3.8039999999999998</v>
          </cell>
          <cell r="J145">
            <v>3.8239999999999998</v>
          </cell>
          <cell r="K145">
            <v>3.8109999999999999</v>
          </cell>
          <cell r="L145">
            <v>3.851</v>
          </cell>
          <cell r="M145">
            <v>4.0439999999999996</v>
          </cell>
          <cell r="N145">
            <v>4.2240000000000002</v>
          </cell>
        </row>
        <row r="146">
          <cell r="B146">
            <v>37399</v>
          </cell>
          <cell r="C146">
            <v>4.0979999999999999</v>
          </cell>
          <cell r="D146">
            <v>4.266</v>
          </cell>
          <cell r="E146">
            <v>4.3559999999999999</v>
          </cell>
          <cell r="F146">
            <v>4.2859999999999996</v>
          </cell>
          <cell r="G146">
            <v>4.1079999999999997</v>
          </cell>
          <cell r="H146">
            <v>3.843</v>
          </cell>
          <cell r="I146">
            <v>3.7759999999999998</v>
          </cell>
          <cell r="J146">
            <v>3.7759999999999998</v>
          </cell>
          <cell r="K146">
            <v>3.7930000000000001</v>
          </cell>
          <cell r="L146">
            <v>3.823</v>
          </cell>
          <cell r="M146">
            <v>3.806</v>
          </cell>
          <cell r="N146">
            <v>3.85</v>
          </cell>
        </row>
        <row r="147">
          <cell r="B147">
            <v>37400</v>
          </cell>
          <cell r="C147">
            <v>4.3259999999999996</v>
          </cell>
          <cell r="D147">
            <v>4.2510000000000003</v>
          </cell>
          <cell r="E147">
            <v>4.0830000000000002</v>
          </cell>
          <cell r="F147">
            <v>3.823</v>
          </cell>
          <cell r="G147">
            <v>3.7629999999999999</v>
          </cell>
          <cell r="H147">
            <v>3.7629999999999999</v>
          </cell>
          <cell r="I147">
            <v>3.78</v>
          </cell>
          <cell r="J147">
            <v>3.81</v>
          </cell>
          <cell r="K147">
            <v>3.7930000000000001</v>
          </cell>
          <cell r="L147">
            <v>3.8370000000000002</v>
          </cell>
          <cell r="M147">
            <v>4.03</v>
          </cell>
          <cell r="N147">
            <v>4.2169999999999996</v>
          </cell>
        </row>
        <row r="148">
          <cell r="B148">
            <v>37401</v>
          </cell>
          <cell r="C148">
            <v>4.3259999999999996</v>
          </cell>
          <cell r="D148">
            <v>4.2510000000000003</v>
          </cell>
          <cell r="E148">
            <v>4.0830000000000002</v>
          </cell>
          <cell r="F148">
            <v>3.823</v>
          </cell>
          <cell r="G148">
            <v>3.7629999999999999</v>
          </cell>
          <cell r="H148">
            <v>3.7629999999999999</v>
          </cell>
          <cell r="I148">
            <v>3.78</v>
          </cell>
          <cell r="J148">
            <v>3.81</v>
          </cell>
          <cell r="K148">
            <v>3.7930000000000001</v>
          </cell>
          <cell r="L148">
            <v>3.8370000000000002</v>
          </cell>
          <cell r="M148">
            <v>4.03</v>
          </cell>
          <cell r="N148">
            <v>4.2169999999999996</v>
          </cell>
        </row>
        <row r="149">
          <cell r="B149">
            <v>37402</v>
          </cell>
          <cell r="C149">
            <v>4.3259999999999996</v>
          </cell>
          <cell r="D149">
            <v>4.2510000000000003</v>
          </cell>
          <cell r="E149">
            <v>4.0830000000000002</v>
          </cell>
          <cell r="F149">
            <v>3.823</v>
          </cell>
          <cell r="G149">
            <v>3.7629999999999999</v>
          </cell>
          <cell r="H149">
            <v>3.7629999999999999</v>
          </cell>
          <cell r="I149">
            <v>3.78</v>
          </cell>
          <cell r="J149">
            <v>3.81</v>
          </cell>
          <cell r="K149">
            <v>3.7930000000000001</v>
          </cell>
          <cell r="L149">
            <v>3.8370000000000002</v>
          </cell>
          <cell r="M149">
            <v>4.03</v>
          </cell>
          <cell r="N149">
            <v>4.2169999999999996</v>
          </cell>
        </row>
        <row r="150">
          <cell r="B150">
            <v>37403</v>
          </cell>
          <cell r="C150">
            <v>4.3259999999999996</v>
          </cell>
          <cell r="D150">
            <v>4.2510000000000003</v>
          </cell>
          <cell r="E150">
            <v>4.0830000000000002</v>
          </cell>
          <cell r="F150">
            <v>3.823</v>
          </cell>
          <cell r="G150">
            <v>3.7629999999999999</v>
          </cell>
          <cell r="H150">
            <v>3.7629999999999999</v>
          </cell>
          <cell r="I150">
            <v>3.78</v>
          </cell>
          <cell r="J150">
            <v>3.81</v>
          </cell>
          <cell r="K150">
            <v>3.7930000000000001</v>
          </cell>
          <cell r="L150">
            <v>3.8370000000000002</v>
          </cell>
          <cell r="M150">
            <v>4.03</v>
          </cell>
          <cell r="N150">
            <v>4.2169999999999996</v>
          </cell>
        </row>
        <row r="151">
          <cell r="B151">
            <v>37404</v>
          </cell>
          <cell r="C151">
            <v>4.2969999999999997</v>
          </cell>
          <cell r="D151">
            <v>4.22</v>
          </cell>
          <cell r="E151">
            <v>4.0650000000000004</v>
          </cell>
          <cell r="F151">
            <v>3.8149999999999999</v>
          </cell>
          <cell r="G151">
            <v>3.76</v>
          </cell>
          <cell r="H151">
            <v>3.7650000000000001</v>
          </cell>
          <cell r="I151">
            <v>3.782</v>
          </cell>
          <cell r="J151">
            <v>3.8119999999999998</v>
          </cell>
          <cell r="K151">
            <v>3.7949999999999999</v>
          </cell>
          <cell r="L151">
            <v>3.839</v>
          </cell>
          <cell r="M151">
            <v>4.032</v>
          </cell>
          <cell r="N151">
            <v>4.2190000000000003</v>
          </cell>
        </row>
        <row r="152">
          <cell r="B152">
            <v>37405</v>
          </cell>
          <cell r="C152">
            <v>4.327</v>
          </cell>
          <cell r="D152">
            <v>4.25</v>
          </cell>
          <cell r="E152">
            <v>4.0949999999999998</v>
          </cell>
          <cell r="F152">
            <v>3.835</v>
          </cell>
          <cell r="G152">
            <v>3.78</v>
          </cell>
          <cell r="H152">
            <v>3.7749999999999999</v>
          </cell>
          <cell r="I152">
            <v>3.7919999999999998</v>
          </cell>
          <cell r="J152">
            <v>3.82</v>
          </cell>
          <cell r="K152">
            <v>3.8079999999999998</v>
          </cell>
          <cell r="L152">
            <v>3.8460000000000001</v>
          </cell>
          <cell r="M152">
            <v>4.0289999999999999</v>
          </cell>
          <cell r="N152">
            <v>4.1989999999999998</v>
          </cell>
        </row>
        <row r="153">
          <cell r="B153">
            <v>37406</v>
          </cell>
          <cell r="C153">
            <v>4.2190000000000003</v>
          </cell>
          <cell r="D153">
            <v>4.1420000000000003</v>
          </cell>
          <cell r="E153">
            <v>3.9820000000000002</v>
          </cell>
          <cell r="F153">
            <v>3.7320000000000002</v>
          </cell>
          <cell r="G153">
            <v>3.6869999999999998</v>
          </cell>
          <cell r="H153">
            <v>3.6920000000000002</v>
          </cell>
          <cell r="I153">
            <v>3.7189999999999999</v>
          </cell>
          <cell r="J153">
            <v>3.7490000000000001</v>
          </cell>
          <cell r="K153">
            <v>3.7589999999999999</v>
          </cell>
          <cell r="L153">
            <v>3.8090000000000002</v>
          </cell>
          <cell r="M153">
            <v>3.992</v>
          </cell>
          <cell r="N153">
            <v>4.1619999999999999</v>
          </cell>
        </row>
        <row r="154">
          <cell r="B154">
            <v>37407</v>
          </cell>
          <cell r="C154">
            <v>4.1550000000000002</v>
          </cell>
          <cell r="D154">
            <v>4.0780000000000003</v>
          </cell>
          <cell r="E154">
            <v>3.9180000000000001</v>
          </cell>
          <cell r="F154">
            <v>3.6680000000000001</v>
          </cell>
          <cell r="G154">
            <v>3.6230000000000002</v>
          </cell>
          <cell r="H154">
            <v>3.6280000000000001</v>
          </cell>
          <cell r="I154">
            <v>3.6379999999999999</v>
          </cell>
          <cell r="J154">
            <v>3.6680000000000001</v>
          </cell>
          <cell r="K154">
            <v>3.6779999999999999</v>
          </cell>
          <cell r="L154">
            <v>3.7280000000000002</v>
          </cell>
          <cell r="M154">
            <v>3.911</v>
          </cell>
          <cell r="N154">
            <v>4.0810000000000004</v>
          </cell>
        </row>
        <row r="155">
          <cell r="B155">
            <v>37408</v>
          </cell>
          <cell r="C155">
            <v>4.1550000000000002</v>
          </cell>
          <cell r="D155">
            <v>4.0780000000000003</v>
          </cell>
          <cell r="E155">
            <v>3.9180000000000001</v>
          </cell>
          <cell r="F155">
            <v>3.6680000000000001</v>
          </cell>
          <cell r="G155">
            <v>3.6230000000000002</v>
          </cell>
          <cell r="H155">
            <v>3.6280000000000001</v>
          </cell>
          <cell r="I155">
            <v>3.6379999999999999</v>
          </cell>
          <cell r="J155">
            <v>3.6680000000000001</v>
          </cell>
          <cell r="K155">
            <v>3.6779999999999999</v>
          </cell>
          <cell r="L155">
            <v>3.7280000000000002</v>
          </cell>
          <cell r="M155">
            <v>3.911</v>
          </cell>
          <cell r="N155">
            <v>4.0810000000000004</v>
          </cell>
        </row>
        <row r="156">
          <cell r="B156">
            <v>37409</v>
          </cell>
          <cell r="C156">
            <v>4.1550000000000002</v>
          </cell>
          <cell r="D156">
            <v>4.0780000000000003</v>
          </cell>
          <cell r="E156">
            <v>3.9180000000000001</v>
          </cell>
          <cell r="F156">
            <v>3.6680000000000001</v>
          </cell>
          <cell r="G156">
            <v>3.6230000000000002</v>
          </cell>
          <cell r="H156">
            <v>3.6280000000000001</v>
          </cell>
          <cell r="I156">
            <v>3.6379999999999999</v>
          </cell>
          <cell r="J156">
            <v>3.6680000000000001</v>
          </cell>
          <cell r="K156">
            <v>3.6779999999999999</v>
          </cell>
          <cell r="L156">
            <v>3.7280000000000002</v>
          </cell>
          <cell r="M156">
            <v>3.911</v>
          </cell>
          <cell r="N156">
            <v>4.0810000000000004</v>
          </cell>
        </row>
        <row r="157">
          <cell r="B157">
            <v>37410</v>
          </cell>
          <cell r="C157">
            <v>4.1340000000000003</v>
          </cell>
          <cell r="D157">
            <v>4.0540000000000003</v>
          </cell>
          <cell r="E157">
            <v>3.8940000000000001</v>
          </cell>
          <cell r="F157">
            <v>3.6309999999999998</v>
          </cell>
          <cell r="G157">
            <v>3.5859999999999999</v>
          </cell>
          <cell r="H157">
            <v>3.601</v>
          </cell>
          <cell r="I157">
            <v>3.6110000000000002</v>
          </cell>
          <cell r="J157">
            <v>3.641</v>
          </cell>
          <cell r="K157">
            <v>3.6459999999999999</v>
          </cell>
          <cell r="L157">
            <v>3.681</v>
          </cell>
          <cell r="M157">
            <v>3.8639999999999999</v>
          </cell>
          <cell r="N157">
            <v>4.0339999999999998</v>
          </cell>
        </row>
        <row r="158">
          <cell r="B158">
            <v>37411</v>
          </cell>
          <cell r="C158">
            <v>4.181</v>
          </cell>
          <cell r="D158">
            <v>4.0910000000000002</v>
          </cell>
          <cell r="E158">
            <v>3.911</v>
          </cell>
          <cell r="F158">
            <v>3.6480000000000001</v>
          </cell>
          <cell r="G158">
            <v>3.61</v>
          </cell>
          <cell r="H158">
            <v>3.63</v>
          </cell>
          <cell r="I158">
            <v>3.64</v>
          </cell>
          <cell r="J158">
            <v>3.677</v>
          </cell>
          <cell r="K158">
            <v>3.6819999999999999</v>
          </cell>
          <cell r="L158">
            <v>3.7170000000000001</v>
          </cell>
          <cell r="M158">
            <v>3.9</v>
          </cell>
          <cell r="N158">
            <v>4.07</v>
          </cell>
        </row>
        <row r="159">
          <cell r="B159">
            <v>37412</v>
          </cell>
          <cell r="C159">
            <v>4.1440000000000001</v>
          </cell>
          <cell r="D159">
            <v>4.0519999999999996</v>
          </cell>
          <cell r="E159">
            <v>3.8690000000000002</v>
          </cell>
          <cell r="F159">
            <v>3.6059999999999999</v>
          </cell>
          <cell r="G159">
            <v>3.5739999999999998</v>
          </cell>
          <cell r="H159">
            <v>3.5939999999999999</v>
          </cell>
          <cell r="I159">
            <v>3.6040000000000001</v>
          </cell>
          <cell r="J159">
            <v>3.641</v>
          </cell>
          <cell r="K159">
            <v>3.6459999999999999</v>
          </cell>
          <cell r="L159">
            <v>3.6829999999999998</v>
          </cell>
          <cell r="M159">
            <v>3.8730000000000002</v>
          </cell>
          <cell r="N159">
            <v>4.0449999999999999</v>
          </cell>
        </row>
        <row r="160">
          <cell r="B160">
            <v>37413</v>
          </cell>
          <cell r="C160">
            <v>4.1150000000000002</v>
          </cell>
          <cell r="D160">
            <v>4.0229999999999997</v>
          </cell>
          <cell r="E160">
            <v>3.84</v>
          </cell>
          <cell r="F160">
            <v>3.5750000000000002</v>
          </cell>
          <cell r="G160">
            <v>3.5449999999999999</v>
          </cell>
          <cell r="H160">
            <v>3.5649999999999999</v>
          </cell>
          <cell r="I160">
            <v>3.5750000000000002</v>
          </cell>
          <cell r="J160">
            <v>3.6120000000000001</v>
          </cell>
          <cell r="K160">
            <v>3.6120000000000001</v>
          </cell>
          <cell r="L160">
            <v>3.6419999999999999</v>
          </cell>
          <cell r="M160">
            <v>3.847</v>
          </cell>
          <cell r="N160">
            <v>4.032</v>
          </cell>
        </row>
        <row r="161">
          <cell r="B161">
            <v>37414</v>
          </cell>
          <cell r="C161">
            <v>4.1399999999999997</v>
          </cell>
          <cell r="D161">
            <v>4.0549999999999997</v>
          </cell>
          <cell r="E161">
            <v>3.8719999999999999</v>
          </cell>
          <cell r="F161">
            <v>3.5870000000000002</v>
          </cell>
          <cell r="G161">
            <v>3.5649999999999999</v>
          </cell>
          <cell r="H161">
            <v>3.585</v>
          </cell>
          <cell r="I161">
            <v>3.5950000000000002</v>
          </cell>
          <cell r="J161">
            <v>3.63</v>
          </cell>
          <cell r="K161">
            <v>3.63</v>
          </cell>
          <cell r="L161">
            <v>3.665</v>
          </cell>
          <cell r="M161">
            <v>3.8650000000000002</v>
          </cell>
          <cell r="N161">
            <v>4.05</v>
          </cell>
        </row>
        <row r="162">
          <cell r="B162">
            <v>37415</v>
          </cell>
          <cell r="C162">
            <v>4.1399999999999997</v>
          </cell>
          <cell r="D162">
            <v>4.0549999999999997</v>
          </cell>
          <cell r="E162">
            <v>3.8719999999999999</v>
          </cell>
          <cell r="F162">
            <v>3.5870000000000002</v>
          </cell>
          <cell r="G162">
            <v>3.5649999999999999</v>
          </cell>
          <cell r="H162">
            <v>3.585</v>
          </cell>
          <cell r="I162">
            <v>3.5950000000000002</v>
          </cell>
          <cell r="J162">
            <v>3.63</v>
          </cell>
          <cell r="K162">
            <v>3.63</v>
          </cell>
          <cell r="L162">
            <v>3.665</v>
          </cell>
          <cell r="M162">
            <v>3.8650000000000002</v>
          </cell>
          <cell r="N162">
            <v>4.05</v>
          </cell>
        </row>
        <row r="163">
          <cell r="B163">
            <v>37416</v>
          </cell>
          <cell r="C163">
            <v>4.1399999999999997</v>
          </cell>
          <cell r="D163">
            <v>4.0549999999999997</v>
          </cell>
          <cell r="E163">
            <v>3.8719999999999999</v>
          </cell>
          <cell r="F163">
            <v>3.5870000000000002</v>
          </cell>
          <cell r="G163">
            <v>3.5649999999999999</v>
          </cell>
          <cell r="H163">
            <v>3.585</v>
          </cell>
          <cell r="I163">
            <v>3.5950000000000002</v>
          </cell>
          <cell r="J163">
            <v>3.63</v>
          </cell>
          <cell r="K163">
            <v>3.63</v>
          </cell>
          <cell r="L163">
            <v>3.665</v>
          </cell>
          <cell r="M163">
            <v>3.8650000000000002</v>
          </cell>
          <cell r="N163">
            <v>4.05</v>
          </cell>
        </row>
        <row r="164">
          <cell r="B164">
            <v>37417</v>
          </cell>
          <cell r="C164">
            <v>4.1340000000000003</v>
          </cell>
          <cell r="D164">
            <v>4.0490000000000004</v>
          </cell>
          <cell r="E164">
            <v>3.8660000000000001</v>
          </cell>
          <cell r="F164">
            <v>3.5859999999999999</v>
          </cell>
          <cell r="G164">
            <v>3.5640000000000001</v>
          </cell>
          <cell r="H164">
            <v>3.5840000000000001</v>
          </cell>
          <cell r="I164">
            <v>3.5939999999999999</v>
          </cell>
          <cell r="J164">
            <v>3.629</v>
          </cell>
          <cell r="K164">
            <v>3.629</v>
          </cell>
          <cell r="L164">
            <v>3.6640000000000001</v>
          </cell>
          <cell r="M164">
            <v>3.8639999999999999</v>
          </cell>
          <cell r="N164">
            <v>4.0389999999999997</v>
          </cell>
        </row>
        <row r="165">
          <cell r="B165">
            <v>37418</v>
          </cell>
          <cell r="C165">
            <v>4.1289999999999996</v>
          </cell>
          <cell r="D165">
            <v>4.0439999999999996</v>
          </cell>
          <cell r="E165">
            <v>3.8660000000000001</v>
          </cell>
          <cell r="F165">
            <v>3.5859999999999999</v>
          </cell>
          <cell r="G165">
            <v>3.556</v>
          </cell>
          <cell r="H165">
            <v>3.5840000000000001</v>
          </cell>
          <cell r="I165">
            <v>3.589</v>
          </cell>
          <cell r="J165">
            <v>3.6240000000000001</v>
          </cell>
          <cell r="K165">
            <v>3.6240000000000001</v>
          </cell>
          <cell r="L165">
            <v>3.6589999999999998</v>
          </cell>
          <cell r="M165">
            <v>3.8639999999999999</v>
          </cell>
          <cell r="N165">
            <v>4.0490000000000004</v>
          </cell>
        </row>
        <row r="166">
          <cell r="B166">
            <v>37419</v>
          </cell>
          <cell r="C166">
            <v>4.0990000000000002</v>
          </cell>
          <cell r="D166">
            <v>4.0140000000000002</v>
          </cell>
          <cell r="E166">
            <v>3.839</v>
          </cell>
          <cell r="F166">
            <v>3.5590000000000002</v>
          </cell>
          <cell r="G166">
            <v>3.5289999999999999</v>
          </cell>
          <cell r="H166">
            <v>3.5489999999999999</v>
          </cell>
          <cell r="I166">
            <v>3.5489999999999999</v>
          </cell>
          <cell r="J166">
            <v>3.5790000000000002</v>
          </cell>
          <cell r="K166">
            <v>3.5790000000000002</v>
          </cell>
          <cell r="L166">
            <v>3.6139999999999999</v>
          </cell>
          <cell r="M166">
            <v>3.819</v>
          </cell>
          <cell r="N166">
            <v>4.0039999999999996</v>
          </cell>
        </row>
        <row r="167">
          <cell r="B167">
            <v>37420</v>
          </cell>
          <cell r="C167">
            <v>4.2050000000000001</v>
          </cell>
          <cell r="D167">
            <v>4.1100000000000003</v>
          </cell>
          <cell r="E167">
            <v>3.9249999999999998</v>
          </cell>
          <cell r="F167">
            <v>3.64</v>
          </cell>
          <cell r="G167">
            <v>3.61</v>
          </cell>
          <cell r="H167">
            <v>3.63</v>
          </cell>
          <cell r="I167">
            <v>3.63</v>
          </cell>
          <cell r="J167">
            <v>3.66</v>
          </cell>
          <cell r="K167">
            <v>3.66</v>
          </cell>
          <cell r="L167">
            <v>3.6949999999999998</v>
          </cell>
          <cell r="M167">
            <v>3.9</v>
          </cell>
          <cell r="N167">
            <v>4.093</v>
          </cell>
        </row>
        <row r="168">
          <cell r="B168">
            <v>37421</v>
          </cell>
          <cell r="C168">
            <v>4.3259999999999996</v>
          </cell>
          <cell r="D168">
            <v>4.2160000000000002</v>
          </cell>
          <cell r="E168">
            <v>4.0309999999999997</v>
          </cell>
          <cell r="F168">
            <v>3.7360000000000002</v>
          </cell>
          <cell r="G168">
            <v>3.706</v>
          </cell>
          <cell r="H168">
            <v>3.726</v>
          </cell>
          <cell r="I168">
            <v>3.726</v>
          </cell>
          <cell r="J168">
            <v>3.7559999999999998</v>
          </cell>
          <cell r="K168">
            <v>3.7559999999999998</v>
          </cell>
          <cell r="L168">
            <v>3.7909999999999999</v>
          </cell>
          <cell r="M168">
            <v>3.996</v>
          </cell>
          <cell r="N168">
            <v>4.1890000000000001</v>
          </cell>
        </row>
        <row r="169">
          <cell r="B169">
            <v>37422</v>
          </cell>
          <cell r="C169">
            <v>4.3259999999999996</v>
          </cell>
          <cell r="D169">
            <v>4.2160000000000002</v>
          </cell>
          <cell r="E169">
            <v>4.0309999999999997</v>
          </cell>
          <cell r="F169">
            <v>3.7360000000000002</v>
          </cell>
          <cell r="G169">
            <v>3.706</v>
          </cell>
          <cell r="H169">
            <v>3.726</v>
          </cell>
          <cell r="I169">
            <v>3.726</v>
          </cell>
          <cell r="J169">
            <v>3.7559999999999998</v>
          </cell>
          <cell r="K169">
            <v>3.7559999999999998</v>
          </cell>
          <cell r="L169">
            <v>3.7909999999999999</v>
          </cell>
          <cell r="M169">
            <v>3.996</v>
          </cell>
          <cell r="N169">
            <v>4.1890000000000001</v>
          </cell>
        </row>
        <row r="170">
          <cell r="B170">
            <v>37423</v>
          </cell>
          <cell r="C170">
            <v>4.3259999999999996</v>
          </cell>
          <cell r="D170">
            <v>4.2160000000000002</v>
          </cell>
          <cell r="E170">
            <v>4.0309999999999997</v>
          </cell>
          <cell r="F170">
            <v>3.7360000000000002</v>
          </cell>
          <cell r="G170">
            <v>3.706</v>
          </cell>
          <cell r="H170">
            <v>3.726</v>
          </cell>
          <cell r="I170">
            <v>3.726</v>
          </cell>
          <cell r="J170">
            <v>3.7559999999999998</v>
          </cell>
          <cell r="K170">
            <v>3.7559999999999998</v>
          </cell>
          <cell r="L170">
            <v>3.7909999999999999</v>
          </cell>
          <cell r="M170">
            <v>3.996</v>
          </cell>
          <cell r="N170">
            <v>4.1890000000000001</v>
          </cell>
        </row>
        <row r="171">
          <cell r="B171">
            <v>37424</v>
          </cell>
          <cell r="C171">
            <v>4.3499999999999996</v>
          </cell>
          <cell r="D171">
            <v>4.2450000000000001</v>
          </cell>
          <cell r="E171">
            <v>4.0650000000000004</v>
          </cell>
          <cell r="F171">
            <v>3.77</v>
          </cell>
          <cell r="G171">
            <v>3.7450000000000001</v>
          </cell>
          <cell r="H171">
            <v>3.77</v>
          </cell>
          <cell r="I171">
            <v>3.77</v>
          </cell>
          <cell r="J171">
            <v>3.8</v>
          </cell>
          <cell r="K171">
            <v>3.8</v>
          </cell>
          <cell r="L171">
            <v>3.835</v>
          </cell>
          <cell r="M171">
            <v>4.0350000000000001</v>
          </cell>
          <cell r="N171">
            <v>4.2279999999999998</v>
          </cell>
        </row>
        <row r="172">
          <cell r="B172">
            <v>37425</v>
          </cell>
          <cell r="C172">
            <v>4.3449999999999998</v>
          </cell>
          <cell r="D172">
            <v>4.24</v>
          </cell>
          <cell r="E172">
            <v>4.0599999999999996</v>
          </cell>
          <cell r="F172">
            <v>3.7749999999999999</v>
          </cell>
          <cell r="G172">
            <v>3.7549999999999999</v>
          </cell>
          <cell r="H172">
            <v>3.78</v>
          </cell>
          <cell r="I172">
            <v>3.78</v>
          </cell>
          <cell r="J172">
            <v>3.8149999999999999</v>
          </cell>
          <cell r="K172">
            <v>3.8149999999999999</v>
          </cell>
          <cell r="L172">
            <v>3.85</v>
          </cell>
          <cell r="M172">
            <v>4.05</v>
          </cell>
          <cell r="N172">
            <v>4.2430000000000003</v>
          </cell>
        </row>
        <row r="173">
          <cell r="B173">
            <v>37426</v>
          </cell>
          <cell r="C173">
            <v>4.3849999999999998</v>
          </cell>
          <cell r="D173">
            <v>4.28</v>
          </cell>
          <cell r="E173">
            <v>4.0999999999999996</v>
          </cell>
          <cell r="F173">
            <v>3.8149999999999999</v>
          </cell>
          <cell r="G173">
            <v>3.7949999999999999</v>
          </cell>
          <cell r="H173">
            <v>3.82</v>
          </cell>
          <cell r="I173">
            <v>3.8250000000000002</v>
          </cell>
          <cell r="J173">
            <v>3.86</v>
          </cell>
          <cell r="K173">
            <v>3.86</v>
          </cell>
          <cell r="L173">
            <v>3.895</v>
          </cell>
          <cell r="M173">
            <v>4.0949999999999998</v>
          </cell>
          <cell r="N173">
            <v>4.2880000000000003</v>
          </cell>
        </row>
        <row r="174">
          <cell r="B174">
            <v>37427</v>
          </cell>
          <cell r="C174">
            <v>4.3689999999999998</v>
          </cell>
          <cell r="D174">
            <v>4.2640000000000002</v>
          </cell>
          <cell r="E174">
            <v>4.0839999999999996</v>
          </cell>
          <cell r="F174">
            <v>3.8090000000000002</v>
          </cell>
          <cell r="G174">
            <v>3.7890000000000001</v>
          </cell>
          <cell r="H174">
            <v>3.8140000000000001</v>
          </cell>
          <cell r="I174">
            <v>3.8340000000000001</v>
          </cell>
          <cell r="J174">
            <v>3.8690000000000002</v>
          </cell>
          <cell r="K174">
            <v>3.8690000000000002</v>
          </cell>
          <cell r="L174">
            <v>3.9039999999999999</v>
          </cell>
          <cell r="M174">
            <v>4.1040000000000001</v>
          </cell>
          <cell r="N174">
            <v>4.2910000000000004</v>
          </cell>
        </row>
        <row r="175">
          <cell r="B175">
            <v>37428</v>
          </cell>
          <cell r="C175">
            <v>4.3959999999999999</v>
          </cell>
          <cell r="D175">
            <v>4.2809999999999997</v>
          </cell>
          <cell r="E175">
            <v>4.101</v>
          </cell>
          <cell r="F175">
            <v>3.8260000000000001</v>
          </cell>
          <cell r="G175">
            <v>3.806</v>
          </cell>
          <cell r="H175">
            <v>3.8410000000000002</v>
          </cell>
          <cell r="I175">
            <v>3.871</v>
          </cell>
          <cell r="J175">
            <v>3.9060000000000001</v>
          </cell>
          <cell r="K175">
            <v>3.9060000000000001</v>
          </cell>
          <cell r="L175">
            <v>3.9409999999999998</v>
          </cell>
          <cell r="M175">
            <v>4.1310000000000002</v>
          </cell>
          <cell r="N175">
            <v>4.3049999999999997</v>
          </cell>
        </row>
        <row r="176">
          <cell r="B176">
            <v>37429</v>
          </cell>
          <cell r="C176">
            <v>4.3959999999999999</v>
          </cell>
          <cell r="D176">
            <v>4.2809999999999997</v>
          </cell>
          <cell r="E176">
            <v>4.101</v>
          </cell>
          <cell r="F176">
            <v>3.8260000000000001</v>
          </cell>
          <cell r="G176">
            <v>3.806</v>
          </cell>
          <cell r="H176">
            <v>3.8410000000000002</v>
          </cell>
          <cell r="I176">
            <v>3.871</v>
          </cell>
          <cell r="J176">
            <v>3.9060000000000001</v>
          </cell>
          <cell r="K176">
            <v>3.9060000000000001</v>
          </cell>
          <cell r="L176">
            <v>3.9409999999999998</v>
          </cell>
          <cell r="M176">
            <v>4.1310000000000002</v>
          </cell>
          <cell r="N176">
            <v>4.3049999999999997</v>
          </cell>
        </row>
        <row r="177">
          <cell r="B177">
            <v>37430</v>
          </cell>
          <cell r="C177">
            <v>4.3959999999999999</v>
          </cell>
          <cell r="D177">
            <v>4.2809999999999997</v>
          </cell>
          <cell r="E177">
            <v>4.101</v>
          </cell>
          <cell r="F177">
            <v>3.8260000000000001</v>
          </cell>
          <cell r="G177">
            <v>3.806</v>
          </cell>
          <cell r="H177">
            <v>3.8410000000000002</v>
          </cell>
          <cell r="I177">
            <v>3.871</v>
          </cell>
          <cell r="J177">
            <v>3.9060000000000001</v>
          </cell>
          <cell r="K177">
            <v>3.9060000000000001</v>
          </cell>
          <cell r="L177">
            <v>3.9409999999999998</v>
          </cell>
          <cell r="M177">
            <v>4.1310000000000002</v>
          </cell>
          <cell r="N177">
            <v>4.3049999999999997</v>
          </cell>
        </row>
        <row r="178">
          <cell r="B178">
            <v>37431</v>
          </cell>
          <cell r="C178">
            <v>4.5170000000000003</v>
          </cell>
          <cell r="D178">
            <v>4.3970000000000002</v>
          </cell>
          <cell r="E178">
            <v>4.2119999999999997</v>
          </cell>
          <cell r="F178">
            <v>3.9369999999999998</v>
          </cell>
          <cell r="G178">
            <v>3.9169999999999998</v>
          </cell>
          <cell r="H178">
            <v>3.952</v>
          </cell>
          <cell r="I178">
            <v>3.9870000000000001</v>
          </cell>
          <cell r="J178">
            <v>4.0220000000000002</v>
          </cell>
          <cell r="K178">
            <v>4.0220000000000002</v>
          </cell>
          <cell r="L178">
            <v>4.0570000000000004</v>
          </cell>
          <cell r="M178">
            <v>4.2519999999999998</v>
          </cell>
          <cell r="N178">
            <v>4.4370000000000003</v>
          </cell>
        </row>
        <row r="179">
          <cell r="B179">
            <v>37432</v>
          </cell>
          <cell r="C179">
            <v>4.49</v>
          </cell>
          <cell r="D179">
            <v>4.37</v>
          </cell>
          <cell r="E179">
            <v>4.1749999999999998</v>
          </cell>
          <cell r="F179">
            <v>3.895</v>
          </cell>
          <cell r="G179">
            <v>3.875</v>
          </cell>
          <cell r="H179">
            <v>3.915</v>
          </cell>
          <cell r="I179">
            <v>3.96</v>
          </cell>
          <cell r="J179">
            <v>4</v>
          </cell>
          <cell r="K179">
            <v>3.9950000000000001</v>
          </cell>
          <cell r="L179">
            <v>4.03</v>
          </cell>
          <cell r="M179">
            <v>4.2249999999999996</v>
          </cell>
          <cell r="N179">
            <v>4.41</v>
          </cell>
        </row>
        <row r="180">
          <cell r="B180">
            <v>37433</v>
          </cell>
          <cell r="C180">
            <v>4.3650000000000002</v>
          </cell>
          <cell r="D180">
            <v>4.25</v>
          </cell>
          <cell r="E180">
            <v>4.0549999999999997</v>
          </cell>
          <cell r="F180">
            <v>3.78</v>
          </cell>
          <cell r="G180">
            <v>3.76</v>
          </cell>
          <cell r="H180">
            <v>3.81</v>
          </cell>
          <cell r="I180">
            <v>3.86</v>
          </cell>
          <cell r="J180">
            <v>3.9049999999999998</v>
          </cell>
          <cell r="K180">
            <v>3.9049999999999998</v>
          </cell>
          <cell r="L180">
            <v>3.94</v>
          </cell>
          <cell r="M180">
            <v>4.1349999999999998</v>
          </cell>
          <cell r="N180">
            <v>4.32</v>
          </cell>
        </row>
        <row r="181">
          <cell r="B181">
            <v>37434</v>
          </cell>
          <cell r="C181">
            <v>4.3150000000000004</v>
          </cell>
          <cell r="D181">
            <v>4.1950000000000003</v>
          </cell>
          <cell r="E181">
            <v>4</v>
          </cell>
          <cell r="F181">
            <v>3.7349999999999999</v>
          </cell>
          <cell r="G181">
            <v>3.722</v>
          </cell>
          <cell r="H181">
            <v>3.7690000000000001</v>
          </cell>
          <cell r="I181">
            <v>3.8170000000000002</v>
          </cell>
          <cell r="J181">
            <v>3.8620000000000001</v>
          </cell>
          <cell r="K181">
            <v>3.8519999999999999</v>
          </cell>
          <cell r="L181">
            <v>3.8769999999999998</v>
          </cell>
          <cell r="M181">
            <v>4.077</v>
          </cell>
          <cell r="N181">
            <v>4.2649999999999997</v>
          </cell>
        </row>
        <row r="182">
          <cell r="B182">
            <v>37435</v>
          </cell>
          <cell r="C182">
            <v>4.3390000000000004</v>
          </cell>
          <cell r="D182">
            <v>4.2190000000000003</v>
          </cell>
          <cell r="E182">
            <v>4.024</v>
          </cell>
          <cell r="F182">
            <v>3.754</v>
          </cell>
          <cell r="G182">
            <v>3.734</v>
          </cell>
          <cell r="H182">
            <v>3.7810000000000001</v>
          </cell>
          <cell r="I182">
            <v>3.8290000000000002</v>
          </cell>
          <cell r="J182">
            <v>3.8740000000000001</v>
          </cell>
          <cell r="K182">
            <v>3.8690000000000002</v>
          </cell>
          <cell r="L182">
            <v>3.8889999999999998</v>
          </cell>
          <cell r="M182">
            <v>4.0890000000000004</v>
          </cell>
          <cell r="N182">
            <v>4.2770000000000001</v>
          </cell>
        </row>
        <row r="183">
          <cell r="B183">
            <v>37436</v>
          </cell>
          <cell r="C183">
            <v>4.3390000000000004</v>
          </cell>
          <cell r="D183">
            <v>4.2190000000000003</v>
          </cell>
          <cell r="E183">
            <v>4.024</v>
          </cell>
          <cell r="F183">
            <v>3.754</v>
          </cell>
          <cell r="G183">
            <v>3.734</v>
          </cell>
          <cell r="H183">
            <v>3.7810000000000001</v>
          </cell>
          <cell r="I183">
            <v>3.8290000000000002</v>
          </cell>
          <cell r="J183">
            <v>3.8740000000000001</v>
          </cell>
          <cell r="K183">
            <v>3.8690000000000002</v>
          </cell>
          <cell r="L183">
            <v>3.8889999999999998</v>
          </cell>
          <cell r="M183">
            <v>4.0890000000000004</v>
          </cell>
          <cell r="N183">
            <v>4.2770000000000001</v>
          </cell>
        </row>
        <row r="184">
          <cell r="B184">
            <v>37437</v>
          </cell>
          <cell r="C184">
            <v>4.3390000000000004</v>
          </cell>
          <cell r="D184">
            <v>4.2190000000000003</v>
          </cell>
          <cell r="E184">
            <v>4.024</v>
          </cell>
          <cell r="F184">
            <v>3.754</v>
          </cell>
          <cell r="G184">
            <v>3.734</v>
          </cell>
          <cell r="H184">
            <v>3.7810000000000001</v>
          </cell>
          <cell r="I184">
            <v>3.8290000000000002</v>
          </cell>
          <cell r="J184">
            <v>3.8740000000000001</v>
          </cell>
          <cell r="K184">
            <v>3.8690000000000002</v>
          </cell>
          <cell r="L184">
            <v>3.8889999999999998</v>
          </cell>
          <cell r="M184">
            <v>4.0890000000000004</v>
          </cell>
          <cell r="N184">
            <v>4.2770000000000001</v>
          </cell>
        </row>
        <row r="185">
          <cell r="B185">
            <v>37438</v>
          </cell>
          <cell r="C185">
            <v>4.33</v>
          </cell>
          <cell r="D185">
            <v>4.21</v>
          </cell>
          <cell r="E185">
            <v>4.0149999999999997</v>
          </cell>
          <cell r="F185">
            <v>3.75</v>
          </cell>
          <cell r="G185">
            <v>3.7250000000000001</v>
          </cell>
          <cell r="H185">
            <v>3.7719999999999998</v>
          </cell>
          <cell r="I185">
            <v>3.82</v>
          </cell>
          <cell r="J185">
            <v>3.8650000000000002</v>
          </cell>
          <cell r="K185">
            <v>3.855</v>
          </cell>
          <cell r="L185">
            <v>3.88</v>
          </cell>
          <cell r="M185">
            <v>4.08</v>
          </cell>
          <cell r="N185">
            <v>4.2750000000000004</v>
          </cell>
        </row>
        <row r="186">
          <cell r="B186">
            <v>37439</v>
          </cell>
          <cell r="C186">
            <v>4.3330000000000002</v>
          </cell>
          <cell r="D186">
            <v>4.2130000000000001</v>
          </cell>
          <cell r="E186">
            <v>4.0179999999999998</v>
          </cell>
          <cell r="F186">
            <v>3.758</v>
          </cell>
          <cell r="G186">
            <v>3.7330000000000001</v>
          </cell>
          <cell r="H186">
            <v>3.78</v>
          </cell>
          <cell r="I186">
            <v>3.8279999999999998</v>
          </cell>
          <cell r="J186">
            <v>3.8730000000000002</v>
          </cell>
          <cell r="K186">
            <v>3.8679999999999999</v>
          </cell>
          <cell r="L186">
            <v>3.8929999999999998</v>
          </cell>
          <cell r="M186">
            <v>4.093</v>
          </cell>
          <cell r="N186">
            <v>4.2880000000000003</v>
          </cell>
        </row>
        <row r="187">
          <cell r="B187">
            <v>37440</v>
          </cell>
          <cell r="C187">
            <v>4.3540000000000001</v>
          </cell>
          <cell r="D187">
            <v>4.2389999999999999</v>
          </cell>
          <cell r="E187">
            <v>4.0449999999999999</v>
          </cell>
          <cell r="F187">
            <v>3.7850000000000001</v>
          </cell>
          <cell r="G187">
            <v>3.7589999999999999</v>
          </cell>
          <cell r="H187">
            <v>3.806</v>
          </cell>
          <cell r="I187">
            <v>3.8540000000000001</v>
          </cell>
          <cell r="J187">
            <v>3.8969999999999998</v>
          </cell>
          <cell r="K187">
            <v>3.8940000000000001</v>
          </cell>
          <cell r="L187">
            <v>3.9220000000000002</v>
          </cell>
          <cell r="M187">
            <v>4.1219999999999999</v>
          </cell>
          <cell r="N187">
            <v>4.3170000000000002</v>
          </cell>
        </row>
        <row r="188">
          <cell r="B188">
            <v>37441</v>
          </cell>
          <cell r="C188">
            <v>4.3540000000000001</v>
          </cell>
          <cell r="D188">
            <v>4.2389999999999999</v>
          </cell>
          <cell r="E188">
            <v>4.0449999999999999</v>
          </cell>
          <cell r="F188">
            <v>3.7850000000000001</v>
          </cell>
          <cell r="G188">
            <v>3.7589999999999999</v>
          </cell>
          <cell r="H188">
            <v>3.806</v>
          </cell>
          <cell r="I188">
            <v>3.8540000000000001</v>
          </cell>
          <cell r="J188">
            <v>3.8969999999999998</v>
          </cell>
          <cell r="K188">
            <v>3.8940000000000001</v>
          </cell>
          <cell r="L188">
            <v>3.9220000000000002</v>
          </cell>
          <cell r="M188">
            <v>4.1219999999999999</v>
          </cell>
          <cell r="N188">
            <v>4.3170000000000002</v>
          </cell>
        </row>
        <row r="189">
          <cell r="B189">
            <v>37442</v>
          </cell>
          <cell r="C189">
            <v>4.3540000000000001</v>
          </cell>
          <cell r="D189">
            <v>4.2389999999999999</v>
          </cell>
          <cell r="E189">
            <v>4.0449999999999999</v>
          </cell>
          <cell r="F189">
            <v>3.7850000000000001</v>
          </cell>
          <cell r="G189">
            <v>3.7589999999999999</v>
          </cell>
          <cell r="H189">
            <v>3.806</v>
          </cell>
          <cell r="I189">
            <v>3.8540000000000001</v>
          </cell>
          <cell r="J189">
            <v>3.8969999999999998</v>
          </cell>
          <cell r="K189">
            <v>3.8940000000000001</v>
          </cell>
          <cell r="L189">
            <v>3.9220000000000002</v>
          </cell>
          <cell r="M189">
            <v>4.1219999999999999</v>
          </cell>
          <cell r="N189">
            <v>4.3170000000000002</v>
          </cell>
        </row>
        <row r="190">
          <cell r="B190">
            <v>37443</v>
          </cell>
          <cell r="C190">
            <v>4.3540000000000001</v>
          </cell>
          <cell r="D190">
            <v>4.2389999999999999</v>
          </cell>
          <cell r="E190">
            <v>4.0449999999999999</v>
          </cell>
          <cell r="F190">
            <v>3.7850000000000001</v>
          </cell>
          <cell r="G190">
            <v>3.7589999999999999</v>
          </cell>
          <cell r="H190">
            <v>3.806</v>
          </cell>
          <cell r="I190">
            <v>3.8540000000000001</v>
          </cell>
          <cell r="J190">
            <v>3.8969999999999998</v>
          </cell>
          <cell r="K190">
            <v>3.8940000000000001</v>
          </cell>
          <cell r="L190">
            <v>3.9220000000000002</v>
          </cell>
          <cell r="M190">
            <v>4.1219999999999999</v>
          </cell>
          <cell r="N190">
            <v>4.3170000000000002</v>
          </cell>
        </row>
        <row r="191">
          <cell r="B191">
            <v>37444</v>
          </cell>
          <cell r="C191">
            <v>4.3540000000000001</v>
          </cell>
          <cell r="D191">
            <v>4.2389999999999999</v>
          </cell>
          <cell r="E191">
            <v>4.0449999999999999</v>
          </cell>
          <cell r="F191">
            <v>3.7850000000000001</v>
          </cell>
          <cell r="G191">
            <v>3.7589999999999999</v>
          </cell>
          <cell r="H191">
            <v>3.806</v>
          </cell>
          <cell r="I191">
            <v>3.8540000000000001</v>
          </cell>
          <cell r="J191">
            <v>3.8969999999999998</v>
          </cell>
          <cell r="K191">
            <v>3.8940000000000001</v>
          </cell>
          <cell r="L191">
            <v>3.9220000000000002</v>
          </cell>
          <cell r="M191">
            <v>4.1219999999999999</v>
          </cell>
          <cell r="N191">
            <v>4.3170000000000002</v>
          </cell>
        </row>
        <row r="192">
          <cell r="B192">
            <v>37445</v>
          </cell>
          <cell r="C192">
            <v>4.2770000000000001</v>
          </cell>
          <cell r="D192">
            <v>4.1760000000000002</v>
          </cell>
          <cell r="E192">
            <v>4</v>
          </cell>
          <cell r="F192">
            <v>3.7509999999999999</v>
          </cell>
          <cell r="G192">
            <v>3.7250000000000001</v>
          </cell>
          <cell r="H192">
            <v>3.7719999999999998</v>
          </cell>
          <cell r="I192">
            <v>3.82</v>
          </cell>
          <cell r="J192">
            <v>3.863</v>
          </cell>
          <cell r="K192">
            <v>3.86</v>
          </cell>
          <cell r="L192">
            <v>3.8879999999999999</v>
          </cell>
          <cell r="M192">
            <v>4.0880000000000001</v>
          </cell>
          <cell r="N192">
            <v>4.2830000000000004</v>
          </cell>
        </row>
        <row r="193">
          <cell r="B193">
            <v>37446</v>
          </cell>
          <cell r="C193">
            <v>4.3179999999999996</v>
          </cell>
          <cell r="D193">
            <v>4.218</v>
          </cell>
          <cell r="E193">
            <v>4.0430000000000001</v>
          </cell>
          <cell r="F193">
            <v>3.8029999999999999</v>
          </cell>
          <cell r="G193">
            <v>3.778</v>
          </cell>
          <cell r="H193">
            <v>3.8250000000000002</v>
          </cell>
          <cell r="I193">
            <v>3.8650000000000002</v>
          </cell>
          <cell r="J193">
            <v>3.903</v>
          </cell>
          <cell r="K193">
            <v>3.9</v>
          </cell>
          <cell r="L193">
            <v>3.9279999999999999</v>
          </cell>
          <cell r="M193">
            <v>4.1280000000000001</v>
          </cell>
          <cell r="N193">
            <v>4.3230000000000004</v>
          </cell>
        </row>
        <row r="194">
          <cell r="B194">
            <v>37447</v>
          </cell>
          <cell r="C194">
            <v>4.2549999999999999</v>
          </cell>
          <cell r="D194">
            <v>4.1559999999999997</v>
          </cell>
          <cell r="E194">
            <v>3.9910000000000001</v>
          </cell>
          <cell r="F194">
            <v>3.7610000000000001</v>
          </cell>
          <cell r="G194">
            <v>3.7360000000000002</v>
          </cell>
          <cell r="H194">
            <v>3.7829999999999999</v>
          </cell>
          <cell r="I194">
            <v>3.823</v>
          </cell>
          <cell r="J194">
            <v>3.8610000000000002</v>
          </cell>
          <cell r="K194">
            <v>3.8580000000000001</v>
          </cell>
          <cell r="L194">
            <v>3.8860000000000001</v>
          </cell>
          <cell r="M194">
            <v>4.0860000000000003</v>
          </cell>
          <cell r="N194">
            <v>4.2809999999999997</v>
          </cell>
        </row>
        <row r="195">
          <cell r="B195">
            <v>37448</v>
          </cell>
          <cell r="C195">
            <v>4.2610000000000001</v>
          </cell>
          <cell r="D195">
            <v>4.1710000000000003</v>
          </cell>
          <cell r="E195">
            <v>4.0110000000000001</v>
          </cell>
          <cell r="F195">
            <v>3.8010000000000002</v>
          </cell>
          <cell r="G195">
            <v>3.786</v>
          </cell>
          <cell r="H195">
            <v>3.8330000000000002</v>
          </cell>
          <cell r="I195">
            <v>3.8679999999999999</v>
          </cell>
          <cell r="J195">
            <v>3.9060000000000001</v>
          </cell>
          <cell r="K195">
            <v>3.903</v>
          </cell>
          <cell r="L195">
            <v>3.931</v>
          </cell>
          <cell r="M195">
            <v>4.1310000000000002</v>
          </cell>
          <cell r="N195">
            <v>4.3259999999999996</v>
          </cell>
        </row>
        <row r="196">
          <cell r="B196">
            <v>37449</v>
          </cell>
          <cell r="C196">
            <v>4.2539999999999996</v>
          </cell>
          <cell r="D196">
            <v>4.1639999999999997</v>
          </cell>
          <cell r="E196">
            <v>4.0090000000000003</v>
          </cell>
          <cell r="F196">
            <v>3.7989999999999999</v>
          </cell>
          <cell r="G196">
            <v>3.794</v>
          </cell>
          <cell r="H196">
            <v>3.8410000000000002</v>
          </cell>
          <cell r="I196">
            <v>3.871</v>
          </cell>
          <cell r="J196">
            <v>3.9039999999999999</v>
          </cell>
          <cell r="K196">
            <v>3.9009999999999998</v>
          </cell>
          <cell r="L196">
            <v>3.9289999999999998</v>
          </cell>
          <cell r="M196">
            <v>4.1289999999999996</v>
          </cell>
          <cell r="N196">
            <v>4.3239999999999998</v>
          </cell>
        </row>
        <row r="197">
          <cell r="B197">
            <v>37450</v>
          </cell>
          <cell r="C197">
            <v>4.2539999999999996</v>
          </cell>
          <cell r="D197">
            <v>4.1639999999999997</v>
          </cell>
          <cell r="E197">
            <v>4.0090000000000003</v>
          </cell>
          <cell r="F197">
            <v>3.7989999999999999</v>
          </cell>
          <cell r="G197">
            <v>3.794</v>
          </cell>
          <cell r="H197">
            <v>3.8410000000000002</v>
          </cell>
          <cell r="I197">
            <v>3.871</v>
          </cell>
          <cell r="J197">
            <v>3.9039999999999999</v>
          </cell>
          <cell r="K197">
            <v>3.9009999999999998</v>
          </cell>
          <cell r="L197">
            <v>3.9289999999999998</v>
          </cell>
          <cell r="M197">
            <v>4.1289999999999996</v>
          </cell>
          <cell r="N197">
            <v>4.3239999999999998</v>
          </cell>
        </row>
        <row r="198">
          <cell r="B198">
            <v>37451</v>
          </cell>
          <cell r="C198">
            <v>4.2539999999999996</v>
          </cell>
          <cell r="D198">
            <v>4.1639999999999997</v>
          </cell>
          <cell r="E198">
            <v>4.0090000000000003</v>
          </cell>
          <cell r="F198">
            <v>3.7989999999999999</v>
          </cell>
          <cell r="G198">
            <v>3.794</v>
          </cell>
          <cell r="H198">
            <v>3.8410000000000002</v>
          </cell>
          <cell r="I198">
            <v>3.871</v>
          </cell>
          <cell r="J198">
            <v>3.9039999999999999</v>
          </cell>
          <cell r="K198">
            <v>3.9009999999999998</v>
          </cell>
          <cell r="L198">
            <v>3.9289999999999998</v>
          </cell>
          <cell r="M198">
            <v>4.1289999999999996</v>
          </cell>
          <cell r="N198">
            <v>4.3239999999999998</v>
          </cell>
        </row>
        <row r="199">
          <cell r="B199">
            <v>37452</v>
          </cell>
          <cell r="C199">
            <v>4.2450000000000001</v>
          </cell>
          <cell r="D199">
            <v>4.1550000000000002</v>
          </cell>
          <cell r="E199">
            <v>4</v>
          </cell>
          <cell r="F199">
            <v>3.7949999999999999</v>
          </cell>
          <cell r="G199">
            <v>3.79</v>
          </cell>
          <cell r="H199">
            <v>3.8330000000000002</v>
          </cell>
          <cell r="I199">
            <v>3.8580000000000001</v>
          </cell>
          <cell r="J199">
            <v>3.8849999999999998</v>
          </cell>
          <cell r="K199">
            <v>3.8820000000000001</v>
          </cell>
          <cell r="L199">
            <v>3.91</v>
          </cell>
          <cell r="M199">
            <v>4.1100000000000003</v>
          </cell>
          <cell r="N199">
            <v>4.3049999999999997</v>
          </cell>
        </row>
        <row r="200">
          <cell r="B200">
            <v>37453</v>
          </cell>
          <cell r="C200">
            <v>4.26</v>
          </cell>
          <cell r="D200">
            <v>4.17</v>
          </cell>
          <cell r="E200">
            <v>4.0199999999999996</v>
          </cell>
          <cell r="F200">
            <v>3.82</v>
          </cell>
          <cell r="G200">
            <v>3.8149999999999999</v>
          </cell>
          <cell r="H200">
            <v>3.855</v>
          </cell>
          <cell r="I200">
            <v>3.875</v>
          </cell>
          <cell r="J200">
            <v>3.895</v>
          </cell>
          <cell r="K200">
            <v>3.895</v>
          </cell>
          <cell r="L200">
            <v>3.923</v>
          </cell>
          <cell r="M200">
            <v>4.1230000000000002</v>
          </cell>
          <cell r="N200">
            <v>4.3179999999999996</v>
          </cell>
        </row>
        <row r="201">
          <cell r="B201">
            <v>37454</v>
          </cell>
          <cell r="C201">
            <v>4.2039999999999997</v>
          </cell>
          <cell r="D201">
            <v>4.1109999999999998</v>
          </cell>
          <cell r="E201">
            <v>3.9710000000000001</v>
          </cell>
          <cell r="F201">
            <v>3.7909999999999999</v>
          </cell>
          <cell r="G201">
            <v>3.79</v>
          </cell>
          <cell r="H201">
            <v>3.83</v>
          </cell>
          <cell r="I201">
            <v>3.84</v>
          </cell>
          <cell r="J201">
            <v>3.85</v>
          </cell>
          <cell r="K201">
            <v>3.85</v>
          </cell>
          <cell r="L201">
            <v>3.88</v>
          </cell>
          <cell r="M201">
            <v>4.08</v>
          </cell>
          <cell r="N201">
            <v>4.25</v>
          </cell>
        </row>
        <row r="202">
          <cell r="B202">
            <v>37455</v>
          </cell>
          <cell r="C202">
            <v>4.2169999999999996</v>
          </cell>
          <cell r="D202">
            <v>4.1239999999999997</v>
          </cell>
          <cell r="E202">
            <v>3.984</v>
          </cell>
          <cell r="F202">
            <v>3.8039999999999998</v>
          </cell>
          <cell r="G202">
            <v>3.8029999999999999</v>
          </cell>
          <cell r="H202">
            <v>3.843</v>
          </cell>
          <cell r="I202">
            <v>3.8530000000000002</v>
          </cell>
          <cell r="J202">
            <v>3.8780000000000001</v>
          </cell>
          <cell r="K202">
            <v>3.8780000000000001</v>
          </cell>
          <cell r="L202">
            <v>3.907</v>
          </cell>
          <cell r="M202">
            <v>4.1070000000000002</v>
          </cell>
          <cell r="N202">
            <v>4.2720000000000002</v>
          </cell>
        </row>
        <row r="203">
          <cell r="B203">
            <v>37456</v>
          </cell>
          <cell r="C203">
            <v>4.1820000000000004</v>
          </cell>
          <cell r="D203">
            <v>4.0890000000000004</v>
          </cell>
          <cell r="E203">
            <v>3.9550000000000001</v>
          </cell>
          <cell r="F203">
            <v>3.7869999999999999</v>
          </cell>
          <cell r="G203">
            <v>3.79</v>
          </cell>
          <cell r="H203">
            <v>3.83</v>
          </cell>
          <cell r="I203">
            <v>3.84</v>
          </cell>
          <cell r="J203">
            <v>3.8650000000000002</v>
          </cell>
          <cell r="K203">
            <v>3.8650000000000002</v>
          </cell>
          <cell r="L203">
            <v>3.895</v>
          </cell>
          <cell r="M203">
            <v>4.0949999999999998</v>
          </cell>
          <cell r="N203">
            <v>4.26</v>
          </cell>
        </row>
        <row r="204">
          <cell r="B204">
            <v>37457</v>
          </cell>
          <cell r="C204">
            <v>4.1820000000000004</v>
          </cell>
          <cell r="D204">
            <v>4.0890000000000004</v>
          </cell>
          <cell r="E204">
            <v>3.9550000000000001</v>
          </cell>
          <cell r="F204">
            <v>3.7869999999999999</v>
          </cell>
          <cell r="G204">
            <v>3.79</v>
          </cell>
          <cell r="H204">
            <v>3.83</v>
          </cell>
          <cell r="I204">
            <v>3.84</v>
          </cell>
          <cell r="J204">
            <v>3.8650000000000002</v>
          </cell>
          <cell r="K204">
            <v>3.8650000000000002</v>
          </cell>
          <cell r="L204">
            <v>3.895</v>
          </cell>
          <cell r="M204">
            <v>4.0949999999999998</v>
          </cell>
          <cell r="N204">
            <v>4.26</v>
          </cell>
        </row>
        <row r="205">
          <cell r="B205">
            <v>37458</v>
          </cell>
          <cell r="C205">
            <v>4.1820000000000004</v>
          </cell>
          <cell r="D205">
            <v>4.0890000000000004</v>
          </cell>
          <cell r="E205">
            <v>3.9550000000000001</v>
          </cell>
          <cell r="F205">
            <v>3.7869999999999999</v>
          </cell>
          <cell r="G205">
            <v>3.79</v>
          </cell>
          <cell r="H205">
            <v>3.83</v>
          </cell>
          <cell r="I205">
            <v>3.84</v>
          </cell>
          <cell r="J205">
            <v>3.8650000000000002</v>
          </cell>
          <cell r="K205">
            <v>3.8650000000000002</v>
          </cell>
          <cell r="L205">
            <v>3.895</v>
          </cell>
          <cell r="M205">
            <v>4.0949999999999998</v>
          </cell>
          <cell r="N205">
            <v>4.26</v>
          </cell>
        </row>
        <row r="206">
          <cell r="B206">
            <v>37459</v>
          </cell>
          <cell r="C206">
            <v>4.1879999999999997</v>
          </cell>
          <cell r="D206">
            <v>4.0949999999999998</v>
          </cell>
          <cell r="E206">
            <v>3.9609999999999999</v>
          </cell>
          <cell r="F206">
            <v>3.7930000000000001</v>
          </cell>
          <cell r="G206">
            <v>3.7959999999999998</v>
          </cell>
          <cell r="H206">
            <v>3.8359999999999999</v>
          </cell>
          <cell r="I206">
            <v>3.8460000000000001</v>
          </cell>
          <cell r="J206">
            <v>3.871</v>
          </cell>
          <cell r="K206">
            <v>3.871</v>
          </cell>
          <cell r="L206">
            <v>3.9009999999999998</v>
          </cell>
          <cell r="M206">
            <v>4.0960000000000001</v>
          </cell>
          <cell r="N206">
            <v>4.2610000000000001</v>
          </cell>
        </row>
        <row r="207">
          <cell r="B207">
            <v>37460</v>
          </cell>
          <cell r="C207">
            <v>4.0720000000000001</v>
          </cell>
          <cell r="D207">
            <v>3.9809999999999999</v>
          </cell>
          <cell r="E207">
            <v>3.847</v>
          </cell>
          <cell r="F207">
            <v>3.6720000000000002</v>
          </cell>
          <cell r="G207">
            <v>3.6749999999999998</v>
          </cell>
          <cell r="H207">
            <v>3.7149999999999999</v>
          </cell>
          <cell r="I207">
            <v>3.7250000000000001</v>
          </cell>
          <cell r="J207">
            <v>3.75</v>
          </cell>
          <cell r="K207">
            <v>3.75</v>
          </cell>
          <cell r="L207">
            <v>3.78</v>
          </cell>
          <cell r="M207">
            <v>3.9750000000000001</v>
          </cell>
          <cell r="N207">
            <v>4.1399999999999997</v>
          </cell>
        </row>
        <row r="208">
          <cell r="B208">
            <v>37461</v>
          </cell>
          <cell r="C208">
            <v>4.0469999999999997</v>
          </cell>
          <cell r="D208">
            <v>3.9369999999999998</v>
          </cell>
          <cell r="E208">
            <v>3.7869999999999999</v>
          </cell>
          <cell r="F208">
            <v>3.597</v>
          </cell>
          <cell r="G208">
            <v>3.6</v>
          </cell>
          <cell r="H208">
            <v>3.64</v>
          </cell>
          <cell r="I208">
            <v>3.65</v>
          </cell>
          <cell r="J208">
            <v>3.6749999999999998</v>
          </cell>
          <cell r="K208">
            <v>3.6749999999999998</v>
          </cell>
          <cell r="L208">
            <v>3.7050000000000001</v>
          </cell>
          <cell r="M208">
            <v>3.8849999999999998</v>
          </cell>
          <cell r="N208">
            <v>4.04</v>
          </cell>
        </row>
        <row r="209">
          <cell r="B209">
            <v>37462</v>
          </cell>
          <cell r="C209">
            <v>4.0229999999999997</v>
          </cell>
          <cell r="D209">
            <v>3.923</v>
          </cell>
          <cell r="E209">
            <v>3.778</v>
          </cell>
          <cell r="F209">
            <v>3.5979999999999999</v>
          </cell>
          <cell r="G209">
            <v>3.5880000000000001</v>
          </cell>
          <cell r="H209">
            <v>3.6379999999999999</v>
          </cell>
          <cell r="I209">
            <v>3.6480000000000001</v>
          </cell>
          <cell r="J209">
            <v>3.6779999999999999</v>
          </cell>
          <cell r="K209">
            <v>3.673</v>
          </cell>
          <cell r="L209">
            <v>3.7029999999999998</v>
          </cell>
          <cell r="M209">
            <v>3.883</v>
          </cell>
          <cell r="N209">
            <v>4.0380000000000003</v>
          </cell>
        </row>
        <row r="210">
          <cell r="B210">
            <v>37463</v>
          </cell>
          <cell r="C210">
            <v>4.0419999999999998</v>
          </cell>
          <cell r="D210">
            <v>3.9420000000000002</v>
          </cell>
          <cell r="E210">
            <v>3.7970000000000002</v>
          </cell>
          <cell r="F210">
            <v>3.617</v>
          </cell>
          <cell r="G210">
            <v>3.617</v>
          </cell>
          <cell r="H210">
            <v>3.657</v>
          </cell>
          <cell r="I210">
            <v>3.6720000000000002</v>
          </cell>
          <cell r="J210">
            <v>3.702</v>
          </cell>
          <cell r="K210">
            <v>3.6970000000000001</v>
          </cell>
          <cell r="L210">
            <v>3.7269999999999999</v>
          </cell>
          <cell r="M210">
            <v>3.907</v>
          </cell>
          <cell r="N210">
            <v>4.0620000000000003</v>
          </cell>
        </row>
        <row r="211">
          <cell r="B211">
            <v>37464</v>
          </cell>
          <cell r="C211">
            <v>4.0419999999999998</v>
          </cell>
          <cell r="D211">
            <v>3.9420000000000002</v>
          </cell>
          <cell r="E211">
            <v>3.7970000000000002</v>
          </cell>
          <cell r="F211">
            <v>3.617</v>
          </cell>
          <cell r="G211">
            <v>3.617</v>
          </cell>
          <cell r="H211">
            <v>3.657</v>
          </cell>
          <cell r="I211">
            <v>3.6720000000000002</v>
          </cell>
          <cell r="J211">
            <v>3.702</v>
          </cell>
          <cell r="K211">
            <v>3.6970000000000001</v>
          </cell>
          <cell r="L211">
            <v>3.7269999999999999</v>
          </cell>
          <cell r="M211">
            <v>3.907</v>
          </cell>
          <cell r="N211">
            <v>4.0620000000000003</v>
          </cell>
        </row>
        <row r="212">
          <cell r="B212">
            <v>37465</v>
          </cell>
          <cell r="C212">
            <v>4.0419999999999998</v>
          </cell>
          <cell r="D212">
            <v>3.9420000000000002</v>
          </cell>
          <cell r="E212">
            <v>3.7970000000000002</v>
          </cell>
          <cell r="F212">
            <v>3.617</v>
          </cell>
          <cell r="G212">
            <v>3.617</v>
          </cell>
          <cell r="H212">
            <v>3.657</v>
          </cell>
          <cell r="I212">
            <v>3.6720000000000002</v>
          </cell>
          <cell r="J212">
            <v>3.702</v>
          </cell>
          <cell r="K212">
            <v>3.6970000000000001</v>
          </cell>
          <cell r="L212">
            <v>3.7269999999999999</v>
          </cell>
          <cell r="M212">
            <v>3.907</v>
          </cell>
          <cell r="N212">
            <v>4.0620000000000003</v>
          </cell>
        </row>
        <row r="213">
          <cell r="B213">
            <v>37466</v>
          </cell>
          <cell r="C213">
            <v>3.9729999999999999</v>
          </cell>
          <cell r="D213">
            <v>3.8730000000000002</v>
          </cell>
          <cell r="E213">
            <v>3.7280000000000002</v>
          </cell>
          <cell r="F213">
            <v>3.5529999999999999</v>
          </cell>
          <cell r="G213">
            <v>3.5630000000000002</v>
          </cell>
          <cell r="H213">
            <v>3.5979999999999999</v>
          </cell>
          <cell r="I213">
            <v>3.613</v>
          </cell>
          <cell r="J213">
            <v>3.6429999999999998</v>
          </cell>
          <cell r="K213">
            <v>3.6379999999999999</v>
          </cell>
          <cell r="L213">
            <v>3.6579999999999999</v>
          </cell>
          <cell r="M213">
            <v>3.8279999999999998</v>
          </cell>
          <cell r="N213">
            <v>3.9830000000000001</v>
          </cell>
        </row>
        <row r="214">
          <cell r="B214">
            <v>37467</v>
          </cell>
          <cell r="C214">
            <v>3.992</v>
          </cell>
          <cell r="D214">
            <v>3.8919999999999999</v>
          </cell>
          <cell r="E214">
            <v>3.7469999999999999</v>
          </cell>
          <cell r="F214">
            <v>3.5720000000000001</v>
          </cell>
          <cell r="G214">
            <v>3.5819999999999999</v>
          </cell>
          <cell r="H214">
            <v>3.617</v>
          </cell>
          <cell r="I214">
            <v>3.6320000000000001</v>
          </cell>
          <cell r="J214">
            <v>3.6619999999999999</v>
          </cell>
          <cell r="K214">
            <v>3.657</v>
          </cell>
          <cell r="L214">
            <v>3.677</v>
          </cell>
          <cell r="M214">
            <v>3.847</v>
          </cell>
          <cell r="N214">
            <v>4.0019999999999998</v>
          </cell>
        </row>
        <row r="215">
          <cell r="B215">
            <v>37468</v>
          </cell>
          <cell r="C215">
            <v>4.0259999999999998</v>
          </cell>
          <cell r="D215">
            <v>3.9159999999999999</v>
          </cell>
          <cell r="E215">
            <v>3.7610000000000001</v>
          </cell>
          <cell r="F215">
            <v>3.5859999999999999</v>
          </cell>
          <cell r="G215">
            <v>3.5960000000000001</v>
          </cell>
          <cell r="H215">
            <v>3.6309999999999998</v>
          </cell>
          <cell r="I215">
            <v>3.6459999999999999</v>
          </cell>
          <cell r="J215">
            <v>3.6760000000000002</v>
          </cell>
          <cell r="K215">
            <v>3.6709999999999998</v>
          </cell>
          <cell r="L215">
            <v>3.6909999999999998</v>
          </cell>
          <cell r="M215">
            <v>3.8639999999999999</v>
          </cell>
          <cell r="N215">
            <v>4.0209999999999999</v>
          </cell>
        </row>
        <row r="216">
          <cell r="B216">
            <v>37469</v>
          </cell>
          <cell r="C216">
            <v>4.0140000000000002</v>
          </cell>
          <cell r="D216">
            <v>3.919</v>
          </cell>
          <cell r="E216">
            <v>3.7639999999999998</v>
          </cell>
          <cell r="F216">
            <v>3.589</v>
          </cell>
          <cell r="G216">
            <v>3.5990000000000002</v>
          </cell>
          <cell r="H216">
            <v>3.6320000000000001</v>
          </cell>
          <cell r="I216">
            <v>3.6520000000000001</v>
          </cell>
          <cell r="J216">
            <v>3.677</v>
          </cell>
          <cell r="K216">
            <v>3.6720000000000002</v>
          </cell>
          <cell r="L216">
            <v>3.6920000000000002</v>
          </cell>
          <cell r="M216">
            <v>3.8650000000000002</v>
          </cell>
          <cell r="N216">
            <v>4.0250000000000004</v>
          </cell>
        </row>
        <row r="217">
          <cell r="B217">
            <v>37470</v>
          </cell>
          <cell r="C217">
            <v>4.0250000000000004</v>
          </cell>
          <cell r="D217">
            <v>3.93</v>
          </cell>
          <cell r="E217">
            <v>3.78</v>
          </cell>
          <cell r="F217">
            <v>3.605</v>
          </cell>
          <cell r="G217">
            <v>3.605</v>
          </cell>
          <cell r="H217">
            <v>3.6320000000000001</v>
          </cell>
          <cell r="I217">
            <v>3.6509999999999998</v>
          </cell>
          <cell r="J217">
            <v>3.6659999999999999</v>
          </cell>
          <cell r="K217">
            <v>3.661</v>
          </cell>
          <cell r="L217">
            <v>3.6850000000000001</v>
          </cell>
          <cell r="M217">
            <v>3.8650000000000002</v>
          </cell>
          <cell r="N217">
            <v>4.0250000000000004</v>
          </cell>
        </row>
        <row r="218">
          <cell r="B218">
            <v>37471</v>
          </cell>
          <cell r="C218">
            <v>4.0250000000000004</v>
          </cell>
          <cell r="D218">
            <v>3.93</v>
          </cell>
          <cell r="E218">
            <v>3.78</v>
          </cell>
          <cell r="F218">
            <v>3.605</v>
          </cell>
          <cell r="G218">
            <v>3.605</v>
          </cell>
          <cell r="H218">
            <v>3.6320000000000001</v>
          </cell>
          <cell r="I218">
            <v>3.6509999999999998</v>
          </cell>
          <cell r="J218">
            <v>3.6659999999999999</v>
          </cell>
          <cell r="K218">
            <v>3.661</v>
          </cell>
          <cell r="L218">
            <v>3.6850000000000001</v>
          </cell>
          <cell r="M218">
            <v>3.8650000000000002</v>
          </cell>
          <cell r="N218">
            <v>4.0250000000000004</v>
          </cell>
        </row>
        <row r="219">
          <cell r="B219">
            <v>37472</v>
          </cell>
          <cell r="C219">
            <v>4.0250000000000004</v>
          </cell>
          <cell r="D219">
            <v>3.93</v>
          </cell>
          <cell r="E219">
            <v>3.78</v>
          </cell>
          <cell r="F219">
            <v>3.605</v>
          </cell>
          <cell r="G219">
            <v>3.605</v>
          </cell>
          <cell r="H219">
            <v>3.6320000000000001</v>
          </cell>
          <cell r="I219">
            <v>3.6509999999999998</v>
          </cell>
          <cell r="J219">
            <v>3.6659999999999999</v>
          </cell>
          <cell r="K219">
            <v>3.661</v>
          </cell>
          <cell r="L219">
            <v>3.6850000000000001</v>
          </cell>
          <cell r="M219">
            <v>3.8650000000000002</v>
          </cell>
          <cell r="N219">
            <v>4.0250000000000004</v>
          </cell>
        </row>
        <row r="220">
          <cell r="B220">
            <v>37473</v>
          </cell>
          <cell r="C220">
            <v>3.9820000000000002</v>
          </cell>
          <cell r="D220">
            <v>3.8969999999999998</v>
          </cell>
          <cell r="E220">
            <v>3.7519999999999998</v>
          </cell>
          <cell r="F220">
            <v>3.5819999999999999</v>
          </cell>
          <cell r="G220">
            <v>3.5870000000000002</v>
          </cell>
          <cell r="H220">
            <v>3.6190000000000002</v>
          </cell>
          <cell r="I220">
            <v>3.6379999999999999</v>
          </cell>
          <cell r="J220">
            <v>3.653</v>
          </cell>
          <cell r="K220">
            <v>3.6480000000000001</v>
          </cell>
          <cell r="L220">
            <v>3.6720000000000002</v>
          </cell>
          <cell r="M220">
            <v>3.8570000000000002</v>
          </cell>
          <cell r="N220">
            <v>4.0220000000000002</v>
          </cell>
        </row>
        <row r="221">
          <cell r="B221">
            <v>37474</v>
          </cell>
          <cell r="C221">
            <v>4.032</v>
          </cell>
          <cell r="D221">
            <v>3.9470000000000001</v>
          </cell>
          <cell r="E221">
            <v>3.802</v>
          </cell>
          <cell r="F221">
            <v>3.6320000000000001</v>
          </cell>
          <cell r="G221">
            <v>3.637</v>
          </cell>
          <cell r="H221">
            <v>3.669</v>
          </cell>
          <cell r="I221">
            <v>3.6880000000000002</v>
          </cell>
          <cell r="J221">
            <v>3.7029999999999998</v>
          </cell>
          <cell r="K221">
            <v>3.698</v>
          </cell>
          <cell r="L221">
            <v>3.722</v>
          </cell>
          <cell r="M221">
            <v>3.907</v>
          </cell>
          <cell r="N221">
            <v>4.0720000000000001</v>
          </cell>
        </row>
        <row r="222">
          <cell r="B222">
            <v>37475</v>
          </cell>
          <cell r="C222">
            <v>4.0439999999999996</v>
          </cell>
          <cell r="D222">
            <v>3.9590000000000001</v>
          </cell>
          <cell r="E222">
            <v>3.8140000000000001</v>
          </cell>
          <cell r="F222">
            <v>3.6440000000000001</v>
          </cell>
          <cell r="G222">
            <v>3.649</v>
          </cell>
          <cell r="H222">
            <v>3.681</v>
          </cell>
          <cell r="I222">
            <v>3.7</v>
          </cell>
          <cell r="J222">
            <v>3.7149999999999999</v>
          </cell>
          <cell r="K222">
            <v>3.71</v>
          </cell>
          <cell r="L222">
            <v>3.734</v>
          </cell>
          <cell r="M222">
            <v>3.9209999999999998</v>
          </cell>
          <cell r="N222">
            <v>4.0890000000000004</v>
          </cell>
        </row>
        <row r="223">
          <cell r="B223">
            <v>37476</v>
          </cell>
          <cell r="C223">
            <v>4.0640000000000001</v>
          </cell>
          <cell r="D223">
            <v>3.9740000000000002</v>
          </cell>
          <cell r="E223">
            <v>3.8290000000000002</v>
          </cell>
          <cell r="F223">
            <v>3.6539999999999999</v>
          </cell>
          <cell r="G223">
            <v>3.6539999999999999</v>
          </cell>
          <cell r="H223">
            <v>3.6840000000000002</v>
          </cell>
          <cell r="I223">
            <v>3.6989999999999998</v>
          </cell>
          <cell r="J223">
            <v>3.7109999999999999</v>
          </cell>
          <cell r="K223">
            <v>3.706</v>
          </cell>
          <cell r="L223">
            <v>3.73</v>
          </cell>
          <cell r="M223">
            <v>3.9169999999999998</v>
          </cell>
          <cell r="N223">
            <v>4.0869999999999997</v>
          </cell>
        </row>
        <row r="224">
          <cell r="B224">
            <v>37477</v>
          </cell>
          <cell r="C224">
            <v>4.0609999999999999</v>
          </cell>
          <cell r="D224">
            <v>3.9660000000000002</v>
          </cell>
          <cell r="E224">
            <v>3.8180000000000001</v>
          </cell>
          <cell r="F224">
            <v>3.6379999999999999</v>
          </cell>
          <cell r="G224">
            <v>3.6379999999999999</v>
          </cell>
          <cell r="H224">
            <v>3.6680000000000001</v>
          </cell>
          <cell r="I224">
            <v>3.6829999999999998</v>
          </cell>
          <cell r="J224">
            <v>3.698</v>
          </cell>
          <cell r="K224">
            <v>3.6930000000000001</v>
          </cell>
          <cell r="L224">
            <v>3.7170000000000001</v>
          </cell>
          <cell r="M224">
            <v>3.9039999999999999</v>
          </cell>
          <cell r="N224">
            <v>4.0739999999999998</v>
          </cell>
        </row>
        <row r="225">
          <cell r="B225">
            <v>37478</v>
          </cell>
          <cell r="C225">
            <v>4.0609999999999999</v>
          </cell>
          <cell r="D225">
            <v>3.9660000000000002</v>
          </cell>
          <cell r="E225">
            <v>3.8180000000000001</v>
          </cell>
          <cell r="F225">
            <v>3.6379999999999999</v>
          </cell>
          <cell r="G225">
            <v>3.6379999999999999</v>
          </cell>
          <cell r="H225">
            <v>3.6680000000000001</v>
          </cell>
          <cell r="I225">
            <v>3.6829999999999998</v>
          </cell>
          <cell r="J225">
            <v>3.698</v>
          </cell>
          <cell r="K225">
            <v>3.6930000000000001</v>
          </cell>
          <cell r="L225">
            <v>3.7170000000000001</v>
          </cell>
          <cell r="M225">
            <v>3.9039999999999999</v>
          </cell>
          <cell r="N225">
            <v>4.0739999999999998</v>
          </cell>
        </row>
        <row r="226">
          <cell r="B226">
            <v>37479</v>
          </cell>
          <cell r="C226">
            <v>4.0609999999999999</v>
          </cell>
          <cell r="D226">
            <v>3.9660000000000002</v>
          </cell>
          <cell r="E226">
            <v>3.8180000000000001</v>
          </cell>
          <cell r="F226">
            <v>3.6379999999999999</v>
          </cell>
          <cell r="G226">
            <v>3.6379999999999999</v>
          </cell>
          <cell r="H226">
            <v>3.6680000000000001</v>
          </cell>
          <cell r="I226">
            <v>3.6829999999999998</v>
          </cell>
          <cell r="J226">
            <v>3.698</v>
          </cell>
          <cell r="K226">
            <v>3.6930000000000001</v>
          </cell>
          <cell r="L226">
            <v>3.7170000000000001</v>
          </cell>
          <cell r="M226">
            <v>3.9039999999999999</v>
          </cell>
          <cell r="N226">
            <v>4.0739999999999998</v>
          </cell>
        </row>
        <row r="227">
          <cell r="B227">
            <v>37480</v>
          </cell>
          <cell r="C227">
            <v>4.141</v>
          </cell>
          <cell r="D227">
            <v>4.0359999999999996</v>
          </cell>
          <cell r="E227">
            <v>3.8759999999999999</v>
          </cell>
          <cell r="F227">
            <v>3.681</v>
          </cell>
          <cell r="G227">
            <v>3.681</v>
          </cell>
          <cell r="H227">
            <v>3.7109999999999999</v>
          </cell>
          <cell r="I227">
            <v>3.7210000000000001</v>
          </cell>
          <cell r="J227">
            <v>3.7360000000000002</v>
          </cell>
          <cell r="K227">
            <v>3.7309999999999999</v>
          </cell>
          <cell r="L227">
            <v>3.7549999999999999</v>
          </cell>
          <cell r="M227">
            <v>3.9420000000000002</v>
          </cell>
          <cell r="N227">
            <v>4.1120000000000001</v>
          </cell>
        </row>
        <row r="228">
          <cell r="B228">
            <v>37481</v>
          </cell>
          <cell r="C228">
            <v>4.1029999999999998</v>
          </cell>
          <cell r="D228">
            <v>3.9929999999999999</v>
          </cell>
          <cell r="E228">
            <v>3.831</v>
          </cell>
          <cell r="F228">
            <v>3.6360000000000001</v>
          </cell>
          <cell r="G228">
            <v>3.6360000000000001</v>
          </cell>
          <cell r="H228">
            <v>3.6709999999999998</v>
          </cell>
          <cell r="I228">
            <v>3.681</v>
          </cell>
          <cell r="J228">
            <v>3.6960000000000002</v>
          </cell>
          <cell r="K228">
            <v>3.6909999999999998</v>
          </cell>
          <cell r="L228">
            <v>3.7149999999999999</v>
          </cell>
          <cell r="M228">
            <v>3.9020000000000001</v>
          </cell>
          <cell r="N228">
            <v>4.0720000000000001</v>
          </cell>
        </row>
        <row r="229">
          <cell r="B229">
            <v>37482</v>
          </cell>
          <cell r="C229">
            <v>4.0490000000000004</v>
          </cell>
          <cell r="D229">
            <v>3.9390000000000001</v>
          </cell>
          <cell r="E229">
            <v>3.7770000000000001</v>
          </cell>
          <cell r="F229">
            <v>3.5819999999999999</v>
          </cell>
          <cell r="G229">
            <v>3.5819999999999999</v>
          </cell>
          <cell r="H229">
            <v>3.617</v>
          </cell>
          <cell r="I229">
            <v>3.6269999999999998</v>
          </cell>
          <cell r="J229">
            <v>3.6419999999999999</v>
          </cell>
          <cell r="K229">
            <v>3.637</v>
          </cell>
          <cell r="L229">
            <v>3.6669999999999998</v>
          </cell>
          <cell r="M229">
            <v>3.8540000000000001</v>
          </cell>
          <cell r="N229">
            <v>4.0259999999999998</v>
          </cell>
        </row>
        <row r="230">
          <cell r="B230">
            <v>37483</v>
          </cell>
          <cell r="C230">
            <v>4.1120000000000001</v>
          </cell>
          <cell r="D230">
            <v>4.0019999999999998</v>
          </cell>
          <cell r="E230">
            <v>3.827</v>
          </cell>
          <cell r="F230">
            <v>3.6219999999999999</v>
          </cell>
          <cell r="G230">
            <v>3.6070000000000002</v>
          </cell>
          <cell r="H230">
            <v>3.6419999999999999</v>
          </cell>
          <cell r="I230">
            <v>3.6520000000000001</v>
          </cell>
          <cell r="J230">
            <v>3.6720000000000002</v>
          </cell>
          <cell r="K230">
            <v>3.6669999999999998</v>
          </cell>
          <cell r="L230">
            <v>3.6970000000000001</v>
          </cell>
          <cell r="M230">
            <v>3.8839999999999999</v>
          </cell>
          <cell r="N230">
            <v>4.056</v>
          </cell>
        </row>
        <row r="231">
          <cell r="B231">
            <v>37484</v>
          </cell>
          <cell r="C231">
            <v>4.1379999999999999</v>
          </cell>
          <cell r="D231">
            <v>4.0279999999999996</v>
          </cell>
          <cell r="E231">
            <v>3.8530000000000002</v>
          </cell>
          <cell r="F231">
            <v>3.653</v>
          </cell>
          <cell r="G231">
            <v>3.6379999999999999</v>
          </cell>
          <cell r="H231">
            <v>3.66</v>
          </cell>
          <cell r="I231">
            <v>3.67</v>
          </cell>
          <cell r="J231">
            <v>3.69</v>
          </cell>
          <cell r="K231">
            <v>3.6850000000000001</v>
          </cell>
          <cell r="L231">
            <v>3.7149999999999999</v>
          </cell>
          <cell r="M231">
            <v>3.9180000000000001</v>
          </cell>
          <cell r="N231">
            <v>4.093</v>
          </cell>
        </row>
        <row r="232">
          <cell r="B232">
            <v>37485</v>
          </cell>
          <cell r="C232">
            <v>4.1379999999999999</v>
          </cell>
          <cell r="D232">
            <v>4.0279999999999996</v>
          </cell>
          <cell r="E232">
            <v>3.8530000000000002</v>
          </cell>
          <cell r="F232">
            <v>3.653</v>
          </cell>
          <cell r="G232">
            <v>3.6379999999999999</v>
          </cell>
          <cell r="H232">
            <v>3.66</v>
          </cell>
          <cell r="I232">
            <v>3.67</v>
          </cell>
          <cell r="J232">
            <v>3.69</v>
          </cell>
          <cell r="K232">
            <v>3.6850000000000001</v>
          </cell>
          <cell r="L232">
            <v>3.7149999999999999</v>
          </cell>
          <cell r="M232">
            <v>3.9180000000000001</v>
          </cell>
          <cell r="N232">
            <v>4.093</v>
          </cell>
        </row>
        <row r="233">
          <cell r="B233">
            <v>37486</v>
          </cell>
          <cell r="C233">
            <v>4.1379999999999999</v>
          </cell>
          <cell r="D233">
            <v>4.0279999999999996</v>
          </cell>
          <cell r="E233">
            <v>3.8530000000000002</v>
          </cell>
          <cell r="F233">
            <v>3.653</v>
          </cell>
          <cell r="G233">
            <v>3.6379999999999999</v>
          </cell>
          <cell r="H233">
            <v>3.66</v>
          </cell>
          <cell r="I233">
            <v>3.67</v>
          </cell>
          <cell r="J233">
            <v>3.69</v>
          </cell>
          <cell r="K233">
            <v>3.6850000000000001</v>
          </cell>
          <cell r="L233">
            <v>3.7149999999999999</v>
          </cell>
          <cell r="M233">
            <v>3.9180000000000001</v>
          </cell>
          <cell r="N233">
            <v>4.093</v>
          </cell>
        </row>
        <row r="234">
          <cell r="B234">
            <v>37487</v>
          </cell>
          <cell r="C234">
            <v>4.2249999999999996</v>
          </cell>
          <cell r="D234">
            <v>4.1050000000000004</v>
          </cell>
          <cell r="E234">
            <v>3.9209999999999998</v>
          </cell>
          <cell r="F234">
            <v>3.7160000000000002</v>
          </cell>
          <cell r="G234">
            <v>3.6909999999999998</v>
          </cell>
          <cell r="H234">
            <v>3.706</v>
          </cell>
          <cell r="I234">
            <v>3.7160000000000002</v>
          </cell>
          <cell r="J234">
            <v>3.726</v>
          </cell>
          <cell r="K234">
            <v>3.7210000000000001</v>
          </cell>
          <cell r="L234">
            <v>3.7509999999999999</v>
          </cell>
          <cell r="M234">
            <v>3.9540000000000002</v>
          </cell>
          <cell r="N234">
            <v>4.1289999999999996</v>
          </cell>
        </row>
        <row r="235">
          <cell r="B235">
            <v>37488</v>
          </cell>
          <cell r="C235">
            <v>4.1230000000000002</v>
          </cell>
          <cell r="D235">
            <v>4.01</v>
          </cell>
          <cell r="E235">
            <v>3.83</v>
          </cell>
          <cell r="F235">
            <v>3.63</v>
          </cell>
          <cell r="G235">
            <v>3.605</v>
          </cell>
          <cell r="H235">
            <v>3.6150000000000002</v>
          </cell>
          <cell r="I235">
            <v>3.625</v>
          </cell>
          <cell r="J235">
            <v>3.6349999999999998</v>
          </cell>
          <cell r="K235">
            <v>3.63</v>
          </cell>
          <cell r="L235">
            <v>3.6549999999999998</v>
          </cell>
          <cell r="M235">
            <v>3.8580000000000001</v>
          </cell>
          <cell r="N235">
            <v>4.0330000000000004</v>
          </cell>
        </row>
        <row r="236">
          <cell r="B236">
            <v>37489</v>
          </cell>
          <cell r="C236">
            <v>4.1740000000000004</v>
          </cell>
          <cell r="D236">
            <v>4.0609999999999999</v>
          </cell>
          <cell r="E236">
            <v>3.8809999999999998</v>
          </cell>
          <cell r="F236">
            <v>3.681</v>
          </cell>
          <cell r="G236">
            <v>3.661</v>
          </cell>
          <cell r="H236">
            <v>3.673</v>
          </cell>
          <cell r="I236">
            <v>3.6850000000000001</v>
          </cell>
          <cell r="J236">
            <v>3.6970000000000001</v>
          </cell>
          <cell r="K236">
            <v>3.6920000000000002</v>
          </cell>
          <cell r="L236">
            <v>3.714</v>
          </cell>
          <cell r="M236">
            <v>3.9039999999999999</v>
          </cell>
          <cell r="N236">
            <v>4.0789999999999997</v>
          </cell>
        </row>
        <row r="237">
          <cell r="B237">
            <v>37490</v>
          </cell>
          <cell r="C237">
            <v>4.2770000000000001</v>
          </cell>
          <cell r="D237">
            <v>4.1520000000000001</v>
          </cell>
          <cell r="E237">
            <v>3.9590000000000001</v>
          </cell>
          <cell r="F237">
            <v>3.734</v>
          </cell>
          <cell r="G237">
            <v>3.7090000000000001</v>
          </cell>
          <cell r="H237">
            <v>3.7090000000000001</v>
          </cell>
          <cell r="I237">
            <v>3.7210000000000001</v>
          </cell>
          <cell r="J237">
            <v>3.726</v>
          </cell>
          <cell r="K237">
            <v>3.7160000000000002</v>
          </cell>
          <cell r="L237">
            <v>3.738</v>
          </cell>
          <cell r="M237">
            <v>3.9279999999999999</v>
          </cell>
          <cell r="N237">
            <v>4.1029999999999998</v>
          </cell>
        </row>
        <row r="238">
          <cell r="B238">
            <v>37491</v>
          </cell>
          <cell r="C238">
            <v>4.2649999999999997</v>
          </cell>
          <cell r="D238">
            <v>4.1449999999999996</v>
          </cell>
          <cell r="E238">
            <v>3.9649999999999999</v>
          </cell>
          <cell r="F238">
            <v>3.75</v>
          </cell>
          <cell r="G238">
            <v>3.7250000000000001</v>
          </cell>
          <cell r="H238">
            <v>3.7349999999999999</v>
          </cell>
          <cell r="I238">
            <v>3.7469999999999999</v>
          </cell>
          <cell r="J238">
            <v>3.7519999999999998</v>
          </cell>
          <cell r="K238">
            <v>3.742</v>
          </cell>
          <cell r="L238">
            <v>3.7749999999999999</v>
          </cell>
          <cell r="M238">
            <v>3.9550000000000001</v>
          </cell>
          <cell r="N238">
            <v>4.13</v>
          </cell>
        </row>
        <row r="239">
          <cell r="B239">
            <v>37492</v>
          </cell>
          <cell r="C239">
            <v>4.2649999999999997</v>
          </cell>
          <cell r="D239">
            <v>4.1449999999999996</v>
          </cell>
          <cell r="E239">
            <v>3.9649999999999999</v>
          </cell>
          <cell r="F239">
            <v>3.75</v>
          </cell>
          <cell r="G239">
            <v>3.7250000000000001</v>
          </cell>
          <cell r="H239">
            <v>3.7349999999999999</v>
          </cell>
          <cell r="I239">
            <v>3.7469999999999999</v>
          </cell>
          <cell r="J239">
            <v>3.7519999999999998</v>
          </cell>
          <cell r="K239">
            <v>3.742</v>
          </cell>
          <cell r="L239">
            <v>3.7749999999999999</v>
          </cell>
          <cell r="M239">
            <v>3.9550000000000001</v>
          </cell>
          <cell r="N239">
            <v>4.13</v>
          </cell>
        </row>
        <row r="240">
          <cell r="B240">
            <v>37493</v>
          </cell>
          <cell r="C240">
            <v>4.2649999999999997</v>
          </cell>
          <cell r="D240">
            <v>4.1449999999999996</v>
          </cell>
          <cell r="E240">
            <v>3.9649999999999999</v>
          </cell>
          <cell r="F240">
            <v>3.75</v>
          </cell>
          <cell r="G240">
            <v>3.7250000000000001</v>
          </cell>
          <cell r="H240">
            <v>3.7349999999999999</v>
          </cell>
          <cell r="I240">
            <v>3.7469999999999999</v>
          </cell>
          <cell r="J240">
            <v>3.7519999999999998</v>
          </cell>
          <cell r="K240">
            <v>3.742</v>
          </cell>
          <cell r="L240">
            <v>3.7749999999999999</v>
          </cell>
          <cell r="M240">
            <v>3.9550000000000001</v>
          </cell>
          <cell r="N240">
            <v>4.13</v>
          </cell>
        </row>
        <row r="241">
          <cell r="B241">
            <v>37494</v>
          </cell>
          <cell r="C241">
            <v>4.3810000000000002</v>
          </cell>
          <cell r="D241">
            <v>4.2610000000000001</v>
          </cell>
          <cell r="E241">
            <v>4.0810000000000004</v>
          </cell>
          <cell r="F241">
            <v>3.8559999999999999</v>
          </cell>
          <cell r="G241">
            <v>3.831</v>
          </cell>
          <cell r="H241">
            <v>3.8410000000000002</v>
          </cell>
          <cell r="I241">
            <v>3.8559999999999999</v>
          </cell>
          <cell r="J241">
            <v>3.8610000000000002</v>
          </cell>
          <cell r="K241">
            <v>3.851</v>
          </cell>
          <cell r="L241">
            <v>3.8839999999999999</v>
          </cell>
          <cell r="M241">
            <v>4.0640000000000001</v>
          </cell>
          <cell r="N241">
            <v>4.2389999999999999</v>
          </cell>
        </row>
        <row r="242">
          <cell r="B242">
            <v>37495</v>
          </cell>
          <cell r="C242">
            <v>4.2910000000000004</v>
          </cell>
          <cell r="D242">
            <v>4.1760000000000002</v>
          </cell>
          <cell r="E242">
            <v>4.0060000000000002</v>
          </cell>
          <cell r="F242">
            <v>3.786</v>
          </cell>
          <cell r="G242">
            <v>3.7610000000000001</v>
          </cell>
          <cell r="H242">
            <v>3.7759999999999998</v>
          </cell>
          <cell r="I242">
            <v>3.7909999999999999</v>
          </cell>
          <cell r="J242">
            <v>3.8010000000000002</v>
          </cell>
          <cell r="K242">
            <v>3.7909999999999999</v>
          </cell>
          <cell r="L242">
            <v>3.8210000000000002</v>
          </cell>
          <cell r="M242">
            <v>4.0010000000000003</v>
          </cell>
          <cell r="N242">
            <v>4.1710000000000003</v>
          </cell>
        </row>
        <row r="243">
          <cell r="B243">
            <v>37496</v>
          </cell>
          <cell r="C243">
            <v>4.2329999999999997</v>
          </cell>
          <cell r="D243">
            <v>4.1180000000000003</v>
          </cell>
          <cell r="E243">
            <v>3.948</v>
          </cell>
          <cell r="F243">
            <v>3.7280000000000002</v>
          </cell>
          <cell r="G243">
            <v>3.7029999999999998</v>
          </cell>
          <cell r="H243">
            <v>3.7280000000000002</v>
          </cell>
          <cell r="I243">
            <v>3.7429999999999999</v>
          </cell>
          <cell r="J243">
            <v>3.7530000000000001</v>
          </cell>
          <cell r="K243">
            <v>3.7530000000000001</v>
          </cell>
          <cell r="L243">
            <v>3.7829999999999999</v>
          </cell>
          <cell r="M243">
            <v>3.9630000000000001</v>
          </cell>
          <cell r="N243">
            <v>4.133</v>
          </cell>
        </row>
        <row r="244">
          <cell r="B244">
            <v>37497</v>
          </cell>
          <cell r="C244">
            <v>4.1829999999999998</v>
          </cell>
          <cell r="D244">
            <v>4.0750000000000002</v>
          </cell>
          <cell r="E244">
            <v>3.91</v>
          </cell>
          <cell r="F244">
            <v>3.6949999999999998</v>
          </cell>
          <cell r="G244">
            <v>3.673</v>
          </cell>
          <cell r="H244">
            <v>3.698</v>
          </cell>
          <cell r="I244">
            <v>3.7130000000000001</v>
          </cell>
          <cell r="J244">
            <v>3.7229999999999999</v>
          </cell>
          <cell r="K244">
            <v>3.7229999999999999</v>
          </cell>
          <cell r="L244">
            <v>3.7530000000000001</v>
          </cell>
          <cell r="M244">
            <v>3.9329999999999998</v>
          </cell>
          <cell r="N244">
            <v>4.1029999999999998</v>
          </cell>
        </row>
        <row r="245">
          <cell r="B245">
            <v>37498</v>
          </cell>
          <cell r="C245">
            <v>4.2619999999999996</v>
          </cell>
          <cell r="D245">
            <v>4.1539999999999999</v>
          </cell>
          <cell r="E245">
            <v>3.9889999999999999</v>
          </cell>
          <cell r="F245">
            <v>3.774</v>
          </cell>
          <cell r="G245">
            <v>3.7519999999999998</v>
          </cell>
          <cell r="H245">
            <v>3.7770000000000001</v>
          </cell>
          <cell r="I245">
            <v>3.782</v>
          </cell>
          <cell r="J245">
            <v>3.7949999999999999</v>
          </cell>
          <cell r="K245">
            <v>3.7949999999999999</v>
          </cell>
          <cell r="L245">
            <v>3.8250000000000002</v>
          </cell>
          <cell r="M245">
            <v>4.0049999999999999</v>
          </cell>
          <cell r="N245">
            <v>4.1749999999999998</v>
          </cell>
        </row>
        <row r="246">
          <cell r="B246">
            <v>37499</v>
          </cell>
          <cell r="C246">
            <v>4.2619999999999996</v>
          </cell>
          <cell r="D246">
            <v>4.1539999999999999</v>
          </cell>
          <cell r="E246">
            <v>3.9889999999999999</v>
          </cell>
          <cell r="F246">
            <v>3.774</v>
          </cell>
          <cell r="G246">
            <v>3.7519999999999998</v>
          </cell>
          <cell r="H246">
            <v>3.7770000000000001</v>
          </cell>
          <cell r="I246">
            <v>3.782</v>
          </cell>
          <cell r="J246">
            <v>3.7949999999999999</v>
          </cell>
          <cell r="K246">
            <v>3.7949999999999999</v>
          </cell>
          <cell r="L246">
            <v>3.8250000000000002</v>
          </cell>
          <cell r="M246">
            <v>4.0049999999999999</v>
          </cell>
          <cell r="N246">
            <v>4.1749999999999998</v>
          </cell>
        </row>
        <row r="247">
          <cell r="B247">
            <v>37500</v>
          </cell>
          <cell r="C247">
            <v>4.2619999999999996</v>
          </cell>
          <cell r="D247">
            <v>4.1539999999999999</v>
          </cell>
          <cell r="E247">
            <v>3.9889999999999999</v>
          </cell>
          <cell r="F247">
            <v>3.774</v>
          </cell>
          <cell r="G247">
            <v>3.7519999999999998</v>
          </cell>
          <cell r="H247">
            <v>3.7770000000000001</v>
          </cell>
          <cell r="I247">
            <v>3.782</v>
          </cell>
          <cell r="J247">
            <v>3.7949999999999999</v>
          </cell>
          <cell r="K247">
            <v>3.7949999999999999</v>
          </cell>
          <cell r="L247">
            <v>3.8250000000000002</v>
          </cell>
          <cell r="M247">
            <v>4.0049999999999999</v>
          </cell>
          <cell r="N247">
            <v>4.1749999999999998</v>
          </cell>
        </row>
        <row r="248">
          <cell r="B248">
            <v>37501</v>
          </cell>
          <cell r="C248">
            <v>4.2619999999999996</v>
          </cell>
          <cell r="D248">
            <v>4.1539999999999999</v>
          </cell>
          <cell r="E248">
            <v>3.9889999999999999</v>
          </cell>
          <cell r="F248">
            <v>3.774</v>
          </cell>
          <cell r="G248">
            <v>3.7519999999999998</v>
          </cell>
          <cell r="H248">
            <v>3.7770000000000001</v>
          </cell>
          <cell r="I248">
            <v>3.782</v>
          </cell>
          <cell r="J248">
            <v>3.7949999999999999</v>
          </cell>
          <cell r="K248">
            <v>3.7949999999999999</v>
          </cell>
          <cell r="L248">
            <v>3.8250000000000002</v>
          </cell>
          <cell r="M248">
            <v>4.0049999999999999</v>
          </cell>
          <cell r="N248">
            <v>4.1749999999999998</v>
          </cell>
        </row>
        <row r="249">
          <cell r="B249">
            <v>37502</v>
          </cell>
          <cell r="C249">
            <v>4.1760000000000002</v>
          </cell>
          <cell r="D249">
            <v>4.0709999999999997</v>
          </cell>
          <cell r="E249">
            <v>3.9129999999999998</v>
          </cell>
          <cell r="F249">
            <v>3.7029999999999998</v>
          </cell>
          <cell r="G249">
            <v>3.6779999999999999</v>
          </cell>
          <cell r="H249">
            <v>3.7029999999999998</v>
          </cell>
          <cell r="I249">
            <v>3.7130000000000001</v>
          </cell>
          <cell r="J249">
            <v>3.726</v>
          </cell>
          <cell r="K249">
            <v>3.726</v>
          </cell>
          <cell r="L249">
            <v>3.7559999999999998</v>
          </cell>
          <cell r="M249">
            <v>3.9319999999999999</v>
          </cell>
          <cell r="N249">
            <v>4.1020000000000003</v>
          </cell>
        </row>
        <row r="250">
          <cell r="B250">
            <v>37503</v>
          </cell>
          <cell r="C250">
            <v>4.2270000000000003</v>
          </cell>
          <cell r="D250">
            <v>4.1219999999999999</v>
          </cell>
          <cell r="E250">
            <v>3.964</v>
          </cell>
          <cell r="F250">
            <v>3.7490000000000001</v>
          </cell>
          <cell r="G250">
            <v>3.7240000000000002</v>
          </cell>
          <cell r="H250">
            <v>3.7490000000000001</v>
          </cell>
          <cell r="I250">
            <v>3.7589999999999999</v>
          </cell>
          <cell r="J250">
            <v>3.7719999999999998</v>
          </cell>
          <cell r="K250">
            <v>3.7719999999999998</v>
          </cell>
          <cell r="L250">
            <v>3.802</v>
          </cell>
          <cell r="M250">
            <v>3.9780000000000002</v>
          </cell>
          <cell r="N250">
            <v>4.1479999999999997</v>
          </cell>
        </row>
        <row r="251">
          <cell r="B251">
            <v>37504</v>
          </cell>
          <cell r="C251">
            <v>4.2549999999999999</v>
          </cell>
          <cell r="D251">
            <v>4.1449999999999996</v>
          </cell>
          <cell r="E251">
            <v>3.9849999999999999</v>
          </cell>
          <cell r="F251">
            <v>3.7549999999999999</v>
          </cell>
          <cell r="G251">
            <v>3.7250000000000001</v>
          </cell>
          <cell r="H251">
            <v>3.75</v>
          </cell>
          <cell r="I251">
            <v>3.76</v>
          </cell>
          <cell r="J251">
            <v>3.7730000000000001</v>
          </cell>
          <cell r="K251">
            <v>3.7730000000000001</v>
          </cell>
          <cell r="L251">
            <v>3.8029999999999999</v>
          </cell>
          <cell r="M251">
            <v>3.9790000000000001</v>
          </cell>
          <cell r="N251">
            <v>4.149</v>
          </cell>
        </row>
        <row r="252">
          <cell r="B252">
            <v>37505</v>
          </cell>
          <cell r="C252">
            <v>4.17</v>
          </cell>
          <cell r="D252">
            <v>4.0599999999999996</v>
          </cell>
          <cell r="E252">
            <v>3.9</v>
          </cell>
          <cell r="F252">
            <v>3.67</v>
          </cell>
          <cell r="G252">
            <v>3.64</v>
          </cell>
          <cell r="H252">
            <v>3.67</v>
          </cell>
          <cell r="I252">
            <v>3.68</v>
          </cell>
          <cell r="J252">
            <v>3.6930000000000001</v>
          </cell>
          <cell r="K252">
            <v>3.6930000000000001</v>
          </cell>
          <cell r="L252">
            <v>3.7229999999999999</v>
          </cell>
          <cell r="M252">
            <v>3.899</v>
          </cell>
          <cell r="N252">
            <v>4.069</v>
          </cell>
        </row>
        <row r="253">
          <cell r="B253">
            <v>37506</v>
          </cell>
          <cell r="C253">
            <v>4.17</v>
          </cell>
          <cell r="D253">
            <v>4.0599999999999996</v>
          </cell>
          <cell r="E253">
            <v>3.9</v>
          </cell>
          <cell r="F253">
            <v>3.67</v>
          </cell>
          <cell r="G253">
            <v>3.64</v>
          </cell>
          <cell r="H253">
            <v>3.67</v>
          </cell>
          <cell r="I253">
            <v>3.68</v>
          </cell>
          <cell r="J253">
            <v>3.6930000000000001</v>
          </cell>
          <cell r="K253">
            <v>3.6930000000000001</v>
          </cell>
          <cell r="L253">
            <v>3.7229999999999999</v>
          </cell>
          <cell r="M253">
            <v>3.899</v>
          </cell>
          <cell r="N253">
            <v>4.069</v>
          </cell>
        </row>
        <row r="254">
          <cell r="B254">
            <v>37507</v>
          </cell>
          <cell r="C254">
            <v>4.17</v>
          </cell>
          <cell r="D254">
            <v>4.0599999999999996</v>
          </cell>
          <cell r="E254">
            <v>3.9</v>
          </cell>
          <cell r="F254">
            <v>3.67</v>
          </cell>
          <cell r="G254">
            <v>3.64</v>
          </cell>
          <cell r="H254">
            <v>3.67</v>
          </cell>
          <cell r="I254">
            <v>3.68</v>
          </cell>
          <cell r="J254">
            <v>3.6930000000000001</v>
          </cell>
          <cell r="K254">
            <v>3.6930000000000001</v>
          </cell>
          <cell r="L254">
            <v>3.7229999999999999</v>
          </cell>
          <cell r="M254">
            <v>3.899</v>
          </cell>
          <cell r="N254">
            <v>4.069</v>
          </cell>
        </row>
        <row r="255">
          <cell r="B255">
            <v>37508</v>
          </cell>
          <cell r="C255">
            <v>4.2590000000000003</v>
          </cell>
          <cell r="D255">
            <v>4.149</v>
          </cell>
          <cell r="E255">
            <v>3.984</v>
          </cell>
          <cell r="F255">
            <v>3.7490000000000001</v>
          </cell>
          <cell r="G255">
            <v>3.714</v>
          </cell>
          <cell r="H255">
            <v>3.7440000000000002</v>
          </cell>
          <cell r="I255">
            <v>3.754</v>
          </cell>
          <cell r="J255">
            <v>3.7669999999999999</v>
          </cell>
          <cell r="K255">
            <v>3.7669999999999999</v>
          </cell>
          <cell r="L255">
            <v>3.7970000000000002</v>
          </cell>
          <cell r="M255">
            <v>3.9729999999999999</v>
          </cell>
          <cell r="N255">
            <v>4.1429999999999998</v>
          </cell>
        </row>
        <row r="256">
          <cell r="B256">
            <v>37509</v>
          </cell>
          <cell r="C256">
            <v>4.25</v>
          </cell>
          <cell r="D256">
            <v>4.1349999999999998</v>
          </cell>
          <cell r="E256">
            <v>3.9649999999999999</v>
          </cell>
          <cell r="F256">
            <v>3.72</v>
          </cell>
          <cell r="G256">
            <v>3.6850000000000001</v>
          </cell>
          <cell r="H256">
            <v>3.71</v>
          </cell>
          <cell r="I256">
            <v>3.73</v>
          </cell>
          <cell r="J256">
            <v>3.75</v>
          </cell>
          <cell r="K256">
            <v>3.75</v>
          </cell>
          <cell r="L256">
            <v>3.78</v>
          </cell>
          <cell r="M256">
            <v>3.956</v>
          </cell>
          <cell r="N256">
            <v>4.1260000000000003</v>
          </cell>
        </row>
        <row r="257">
          <cell r="B257">
            <v>37510</v>
          </cell>
          <cell r="C257">
            <v>4.2110000000000003</v>
          </cell>
          <cell r="D257">
            <v>4.0960000000000001</v>
          </cell>
          <cell r="E257">
            <v>3.9260000000000002</v>
          </cell>
          <cell r="F257">
            <v>3.6949999999999998</v>
          </cell>
          <cell r="G257">
            <v>3.665</v>
          </cell>
          <cell r="H257">
            <v>3.69</v>
          </cell>
          <cell r="I257">
            <v>3.7050000000000001</v>
          </cell>
          <cell r="J257">
            <v>3.72</v>
          </cell>
          <cell r="K257">
            <v>3.72</v>
          </cell>
          <cell r="L257">
            <v>3.75</v>
          </cell>
          <cell r="M257">
            <v>3.9260000000000002</v>
          </cell>
          <cell r="N257">
            <v>4.0960000000000001</v>
          </cell>
        </row>
        <row r="258">
          <cell r="B258">
            <v>37511</v>
          </cell>
          <cell r="C258">
            <v>4.2350000000000003</v>
          </cell>
          <cell r="D258">
            <v>4.117</v>
          </cell>
          <cell r="E258">
            <v>3.944</v>
          </cell>
          <cell r="F258">
            <v>3.71</v>
          </cell>
          <cell r="G258">
            <v>3.6749999999999998</v>
          </cell>
          <cell r="H258">
            <v>3.7</v>
          </cell>
          <cell r="I258">
            <v>3.7149999999999999</v>
          </cell>
          <cell r="J258">
            <v>3.73</v>
          </cell>
          <cell r="K258">
            <v>3.73</v>
          </cell>
          <cell r="L258">
            <v>3.76</v>
          </cell>
          <cell r="M258">
            <v>3.9359999999999999</v>
          </cell>
          <cell r="N258">
            <v>4.1059999999999999</v>
          </cell>
        </row>
        <row r="259">
          <cell r="B259">
            <v>37512</v>
          </cell>
          <cell r="C259">
            <v>4.3090000000000002</v>
          </cell>
          <cell r="D259">
            <v>4.1870000000000003</v>
          </cell>
          <cell r="E259">
            <v>4.0119999999999996</v>
          </cell>
          <cell r="F259">
            <v>3.7719999999999998</v>
          </cell>
          <cell r="G259">
            <v>3.7370000000000001</v>
          </cell>
          <cell r="H259">
            <v>3.762</v>
          </cell>
          <cell r="I259">
            <v>3.7770000000000001</v>
          </cell>
          <cell r="J259">
            <v>3.7919999999999998</v>
          </cell>
          <cell r="K259">
            <v>3.7919999999999998</v>
          </cell>
          <cell r="L259">
            <v>3.8220000000000001</v>
          </cell>
          <cell r="M259">
            <v>3.9980000000000002</v>
          </cell>
          <cell r="N259">
            <v>4.1680000000000001</v>
          </cell>
        </row>
        <row r="260">
          <cell r="B260">
            <v>37513</v>
          </cell>
          <cell r="C260">
            <v>4.3090000000000002</v>
          </cell>
          <cell r="D260">
            <v>4.1870000000000003</v>
          </cell>
          <cell r="E260">
            <v>4.0119999999999996</v>
          </cell>
          <cell r="F260">
            <v>3.7719999999999998</v>
          </cell>
          <cell r="G260">
            <v>3.7370000000000001</v>
          </cell>
          <cell r="H260">
            <v>3.762</v>
          </cell>
          <cell r="I260">
            <v>3.7770000000000001</v>
          </cell>
          <cell r="J260">
            <v>3.7919999999999998</v>
          </cell>
          <cell r="K260">
            <v>3.7919999999999998</v>
          </cell>
          <cell r="L260">
            <v>3.8220000000000001</v>
          </cell>
          <cell r="M260">
            <v>3.9980000000000002</v>
          </cell>
          <cell r="N260">
            <v>4.1680000000000001</v>
          </cell>
        </row>
        <row r="261">
          <cell r="B261">
            <v>37514</v>
          </cell>
          <cell r="C261">
            <v>4.3090000000000002</v>
          </cell>
          <cell r="D261">
            <v>4.1870000000000003</v>
          </cell>
          <cell r="E261">
            <v>4.0119999999999996</v>
          </cell>
          <cell r="F261">
            <v>3.7719999999999998</v>
          </cell>
          <cell r="G261">
            <v>3.7370000000000001</v>
          </cell>
          <cell r="H261">
            <v>3.762</v>
          </cell>
          <cell r="I261">
            <v>3.7770000000000001</v>
          </cell>
          <cell r="J261">
            <v>3.7919999999999998</v>
          </cell>
          <cell r="K261">
            <v>3.7919999999999998</v>
          </cell>
          <cell r="L261">
            <v>3.8220000000000001</v>
          </cell>
          <cell r="M261">
            <v>3.9980000000000002</v>
          </cell>
          <cell r="N261">
            <v>4.1680000000000001</v>
          </cell>
        </row>
        <row r="262">
          <cell r="B262">
            <v>37515</v>
          </cell>
          <cell r="C262">
            <v>4.2770000000000001</v>
          </cell>
          <cell r="D262">
            <v>4.1529999999999996</v>
          </cell>
          <cell r="E262">
            <v>3.9750000000000001</v>
          </cell>
          <cell r="F262">
            <v>3.72</v>
          </cell>
          <cell r="G262">
            <v>3.6850000000000001</v>
          </cell>
          <cell r="H262">
            <v>3.6989999999999998</v>
          </cell>
          <cell r="I262">
            <v>3.714</v>
          </cell>
          <cell r="J262">
            <v>3.7309999999999999</v>
          </cell>
          <cell r="K262">
            <v>3.7309999999999999</v>
          </cell>
          <cell r="L262">
            <v>3.7610000000000001</v>
          </cell>
          <cell r="M262">
            <v>3.9369999999999998</v>
          </cell>
          <cell r="N262">
            <v>4.1070000000000002</v>
          </cell>
        </row>
        <row r="263">
          <cell r="B263">
            <v>37516</v>
          </cell>
          <cell r="C263">
            <v>4.3250000000000002</v>
          </cell>
          <cell r="D263">
            <v>4.1950000000000003</v>
          </cell>
          <cell r="E263">
            <v>4.0149999999999997</v>
          </cell>
          <cell r="F263">
            <v>3.7549999999999999</v>
          </cell>
          <cell r="G263">
            <v>3.7130000000000001</v>
          </cell>
          <cell r="H263">
            <v>3.7269999999999999</v>
          </cell>
          <cell r="I263">
            <v>3.742</v>
          </cell>
          <cell r="J263">
            <v>3.7519999999999998</v>
          </cell>
          <cell r="K263">
            <v>3.7469999999999999</v>
          </cell>
          <cell r="L263">
            <v>3.7770000000000001</v>
          </cell>
          <cell r="M263">
            <v>3.9529999999999998</v>
          </cell>
          <cell r="N263">
            <v>4.1230000000000002</v>
          </cell>
        </row>
        <row r="264">
          <cell r="B264">
            <v>37517</v>
          </cell>
          <cell r="C264">
            <v>4.37</v>
          </cell>
          <cell r="D264">
            <v>4.24</v>
          </cell>
          <cell r="E264">
            <v>4.0549999999999997</v>
          </cell>
          <cell r="F264">
            <v>3.79</v>
          </cell>
          <cell r="G264">
            <v>3.7450000000000001</v>
          </cell>
          <cell r="H264">
            <v>3.7589999999999999</v>
          </cell>
          <cell r="I264">
            <v>3.774</v>
          </cell>
          <cell r="J264">
            <v>3.7839999999999998</v>
          </cell>
          <cell r="K264">
            <v>3.7789999999999999</v>
          </cell>
          <cell r="L264">
            <v>3.8090000000000002</v>
          </cell>
          <cell r="M264">
            <v>3.9849999999999999</v>
          </cell>
          <cell r="N264">
            <v>4.1550000000000002</v>
          </cell>
        </row>
        <row r="265">
          <cell r="B265">
            <v>37518</v>
          </cell>
          <cell r="C265">
            <v>4.3250000000000002</v>
          </cell>
          <cell r="D265">
            <v>4.1950000000000003</v>
          </cell>
          <cell r="E265">
            <v>4.01</v>
          </cell>
          <cell r="F265">
            <v>3.7450000000000001</v>
          </cell>
          <cell r="G265">
            <v>3.6949999999999998</v>
          </cell>
          <cell r="H265">
            <v>3.7050000000000001</v>
          </cell>
          <cell r="I265">
            <v>3.7170000000000001</v>
          </cell>
          <cell r="J265">
            <v>3.7269999999999999</v>
          </cell>
          <cell r="K265">
            <v>3.7189999999999999</v>
          </cell>
          <cell r="L265">
            <v>3.7490000000000001</v>
          </cell>
          <cell r="M265">
            <v>3.9249999999999998</v>
          </cell>
          <cell r="N265">
            <v>4.0949999999999998</v>
          </cell>
        </row>
        <row r="266">
          <cell r="B266">
            <v>37519</v>
          </cell>
          <cell r="C266">
            <v>4.3250000000000002</v>
          </cell>
          <cell r="D266">
            <v>4.1950000000000003</v>
          </cell>
          <cell r="E266">
            <v>4.01</v>
          </cell>
          <cell r="F266">
            <v>3.7450000000000001</v>
          </cell>
          <cell r="G266">
            <v>3.6949999999999998</v>
          </cell>
          <cell r="H266">
            <v>3.7050000000000001</v>
          </cell>
          <cell r="I266">
            <v>3.7170000000000001</v>
          </cell>
          <cell r="J266">
            <v>3.7269999999999999</v>
          </cell>
          <cell r="K266">
            <v>3.7189999999999999</v>
          </cell>
          <cell r="L266">
            <v>3.7490000000000001</v>
          </cell>
          <cell r="M266">
            <v>3.9249999999999998</v>
          </cell>
          <cell r="N266">
            <v>4.0949999999999998</v>
          </cell>
        </row>
        <row r="267">
          <cell r="B267">
            <v>37520</v>
          </cell>
          <cell r="C267">
            <v>4.3250000000000002</v>
          </cell>
          <cell r="D267">
            <v>4.1950000000000003</v>
          </cell>
          <cell r="E267">
            <v>4.01</v>
          </cell>
          <cell r="F267">
            <v>3.7450000000000001</v>
          </cell>
          <cell r="G267">
            <v>3.6949999999999998</v>
          </cell>
          <cell r="H267">
            <v>3.7050000000000001</v>
          </cell>
          <cell r="I267">
            <v>3.7170000000000001</v>
          </cell>
          <cell r="J267">
            <v>3.7269999999999999</v>
          </cell>
          <cell r="K267">
            <v>3.7189999999999999</v>
          </cell>
          <cell r="L267">
            <v>3.7490000000000001</v>
          </cell>
          <cell r="M267">
            <v>3.9249999999999998</v>
          </cell>
          <cell r="N267">
            <v>4.0949999999999998</v>
          </cell>
        </row>
        <row r="268">
          <cell r="B268">
            <v>37521</v>
          </cell>
          <cell r="C268">
            <v>4.3250000000000002</v>
          </cell>
          <cell r="D268">
            <v>4.1950000000000003</v>
          </cell>
          <cell r="E268">
            <v>4.01</v>
          </cell>
          <cell r="F268">
            <v>3.7450000000000001</v>
          </cell>
          <cell r="G268">
            <v>3.6949999999999998</v>
          </cell>
          <cell r="H268">
            <v>3.7050000000000001</v>
          </cell>
          <cell r="I268">
            <v>3.7170000000000001</v>
          </cell>
          <cell r="J268">
            <v>3.7269999999999999</v>
          </cell>
          <cell r="K268">
            <v>3.7189999999999999</v>
          </cell>
          <cell r="L268">
            <v>3.7490000000000001</v>
          </cell>
          <cell r="M268">
            <v>3.9249999999999998</v>
          </cell>
          <cell r="N268">
            <v>4.0949999999999998</v>
          </cell>
        </row>
        <row r="269">
          <cell r="B269">
            <v>37522</v>
          </cell>
          <cell r="C269">
            <v>4.3499999999999996</v>
          </cell>
          <cell r="D269">
            <v>4.2220000000000004</v>
          </cell>
          <cell r="E269">
            <v>4.04</v>
          </cell>
          <cell r="F269">
            <v>3.78</v>
          </cell>
          <cell r="G269">
            <v>3.73</v>
          </cell>
          <cell r="H269">
            <v>3.74</v>
          </cell>
          <cell r="I269">
            <v>3.75</v>
          </cell>
          <cell r="J269">
            <v>3.76</v>
          </cell>
          <cell r="K269">
            <v>3.7519999999999998</v>
          </cell>
          <cell r="L269">
            <v>3.7789999999999999</v>
          </cell>
          <cell r="M269">
            <v>3.9550000000000001</v>
          </cell>
          <cell r="N269">
            <v>4.125</v>
          </cell>
        </row>
        <row r="270">
          <cell r="B270">
            <v>37523</v>
          </cell>
          <cell r="C270">
            <v>4.25</v>
          </cell>
          <cell r="D270">
            <v>4.125</v>
          </cell>
          <cell r="E270">
            <v>3.95</v>
          </cell>
          <cell r="F270">
            <v>3.6949999999999998</v>
          </cell>
          <cell r="G270">
            <v>3.65</v>
          </cell>
          <cell r="H270">
            <v>3.66</v>
          </cell>
          <cell r="I270">
            <v>3.67</v>
          </cell>
          <cell r="J270">
            <v>3.68</v>
          </cell>
          <cell r="K270">
            <v>3.6720000000000002</v>
          </cell>
          <cell r="L270">
            <v>3.6989999999999998</v>
          </cell>
          <cell r="M270">
            <v>3.8719999999999999</v>
          </cell>
          <cell r="N270">
            <v>4.0449999999999999</v>
          </cell>
        </row>
        <row r="271">
          <cell r="B271">
            <v>37524</v>
          </cell>
          <cell r="C271">
            <v>4.2629999999999999</v>
          </cell>
          <cell r="D271">
            <v>4.1479999999999997</v>
          </cell>
          <cell r="E271">
            <v>3.9830000000000001</v>
          </cell>
          <cell r="F271">
            <v>3.738</v>
          </cell>
          <cell r="G271">
            <v>3.698</v>
          </cell>
          <cell r="H271">
            <v>3.7080000000000002</v>
          </cell>
          <cell r="I271">
            <v>3.718</v>
          </cell>
          <cell r="J271">
            <v>3.7280000000000002</v>
          </cell>
          <cell r="K271">
            <v>3.72</v>
          </cell>
          <cell r="L271">
            <v>3.7469999999999999</v>
          </cell>
          <cell r="M271">
            <v>3.92</v>
          </cell>
          <cell r="N271">
            <v>4.0979999999999999</v>
          </cell>
        </row>
        <row r="272">
          <cell r="B272">
            <v>37525</v>
          </cell>
          <cell r="C272">
            <v>4.2729999999999997</v>
          </cell>
          <cell r="D272">
            <v>4.1580000000000004</v>
          </cell>
          <cell r="E272">
            <v>3.9929999999999999</v>
          </cell>
          <cell r="F272">
            <v>3.7429999999999999</v>
          </cell>
          <cell r="G272">
            <v>3.6890000000000001</v>
          </cell>
          <cell r="H272">
            <v>3.6989999999999998</v>
          </cell>
          <cell r="I272">
            <v>3.7090000000000001</v>
          </cell>
          <cell r="J272">
            <v>3.7189999999999999</v>
          </cell>
          <cell r="K272">
            <v>3.7010000000000001</v>
          </cell>
          <cell r="L272">
            <v>3.7280000000000002</v>
          </cell>
          <cell r="M272">
            <v>3.9079999999999999</v>
          </cell>
          <cell r="N272">
            <v>4.093</v>
          </cell>
        </row>
        <row r="273">
          <cell r="B273">
            <v>37526</v>
          </cell>
          <cell r="C273">
            <v>4.2939999999999996</v>
          </cell>
          <cell r="D273">
            <v>4.1740000000000004</v>
          </cell>
          <cell r="E273">
            <v>3.9990000000000001</v>
          </cell>
          <cell r="F273">
            <v>3.7490000000000001</v>
          </cell>
          <cell r="G273">
            <v>3.6890000000000001</v>
          </cell>
          <cell r="H273">
            <v>3.6970000000000001</v>
          </cell>
          <cell r="I273">
            <v>3.702</v>
          </cell>
          <cell r="J273">
            <v>3.7090000000000001</v>
          </cell>
          <cell r="K273">
            <v>3.6890000000000001</v>
          </cell>
          <cell r="L273">
            <v>3.714</v>
          </cell>
          <cell r="M273">
            <v>3.8940000000000001</v>
          </cell>
          <cell r="N273">
            <v>4.0789999999999997</v>
          </cell>
        </row>
        <row r="274">
          <cell r="B274">
            <v>37527</v>
          </cell>
          <cell r="C274">
            <v>4.2939999999999996</v>
          </cell>
          <cell r="D274">
            <v>4.1740000000000004</v>
          </cell>
          <cell r="E274">
            <v>3.9990000000000001</v>
          </cell>
          <cell r="F274">
            <v>3.7490000000000001</v>
          </cell>
          <cell r="G274">
            <v>3.6890000000000001</v>
          </cell>
          <cell r="H274">
            <v>3.6970000000000001</v>
          </cell>
          <cell r="I274">
            <v>3.702</v>
          </cell>
          <cell r="J274">
            <v>3.7090000000000001</v>
          </cell>
          <cell r="K274">
            <v>3.6890000000000001</v>
          </cell>
          <cell r="L274">
            <v>3.714</v>
          </cell>
          <cell r="M274">
            <v>3.8940000000000001</v>
          </cell>
          <cell r="N274">
            <v>4.0789999999999997</v>
          </cell>
        </row>
        <row r="275">
          <cell r="B275">
            <v>37528</v>
          </cell>
          <cell r="C275">
            <v>4.2939999999999996</v>
          </cell>
          <cell r="D275">
            <v>4.1740000000000004</v>
          </cell>
          <cell r="E275">
            <v>3.9990000000000001</v>
          </cell>
          <cell r="F275">
            <v>3.7490000000000001</v>
          </cell>
          <cell r="G275">
            <v>3.6890000000000001</v>
          </cell>
          <cell r="H275">
            <v>3.6970000000000001</v>
          </cell>
          <cell r="I275">
            <v>3.702</v>
          </cell>
          <cell r="J275">
            <v>3.7090000000000001</v>
          </cell>
          <cell r="K275">
            <v>3.6890000000000001</v>
          </cell>
          <cell r="L275">
            <v>3.714</v>
          </cell>
          <cell r="M275">
            <v>3.8940000000000001</v>
          </cell>
          <cell r="N275">
            <v>4.0789999999999997</v>
          </cell>
        </row>
        <row r="276">
          <cell r="B276">
            <v>37529</v>
          </cell>
          <cell r="C276">
            <v>4.3179999999999996</v>
          </cell>
          <cell r="D276">
            <v>4.1980000000000004</v>
          </cell>
          <cell r="E276">
            <v>4.0179999999999998</v>
          </cell>
          <cell r="F276">
            <v>3.7679999999999998</v>
          </cell>
          <cell r="G276">
            <v>3.7080000000000002</v>
          </cell>
          <cell r="H276">
            <v>3.7130000000000001</v>
          </cell>
          <cell r="I276">
            <v>3.718</v>
          </cell>
          <cell r="J276">
            <v>3.7229999999999999</v>
          </cell>
          <cell r="K276">
            <v>3.7029999999999998</v>
          </cell>
          <cell r="L276">
            <v>3.7229999999999999</v>
          </cell>
          <cell r="M276">
            <v>3.9009999999999998</v>
          </cell>
          <cell r="N276">
            <v>4.0860000000000003</v>
          </cell>
        </row>
        <row r="277">
          <cell r="B277">
            <v>37530</v>
          </cell>
          <cell r="C277">
            <v>4.2560000000000002</v>
          </cell>
          <cell r="D277">
            <v>4.1360000000000001</v>
          </cell>
          <cell r="E277">
            <v>3.9580000000000002</v>
          </cell>
          <cell r="F277">
            <v>3.7130000000000001</v>
          </cell>
          <cell r="G277">
            <v>3.6579999999999999</v>
          </cell>
          <cell r="H277">
            <v>3.6579999999999999</v>
          </cell>
          <cell r="I277">
            <v>3.6680000000000001</v>
          </cell>
          <cell r="J277">
            <v>3.6779999999999999</v>
          </cell>
          <cell r="K277">
            <v>3.6579999999999999</v>
          </cell>
          <cell r="L277">
            <v>3.673</v>
          </cell>
          <cell r="M277">
            <v>3.851</v>
          </cell>
          <cell r="N277">
            <v>4.0359999999999996</v>
          </cell>
        </row>
        <row r="278">
          <cell r="B278">
            <v>37531</v>
          </cell>
          <cell r="C278">
            <v>4.2889999999999997</v>
          </cell>
          <cell r="D278">
            <v>4.1689999999999996</v>
          </cell>
          <cell r="E278">
            <v>3.9990000000000001</v>
          </cell>
          <cell r="F278">
            <v>3.7490000000000001</v>
          </cell>
          <cell r="G278">
            <v>3.694</v>
          </cell>
          <cell r="H278">
            <v>3.694</v>
          </cell>
          <cell r="I278">
            <v>3.6989999999999998</v>
          </cell>
          <cell r="J278">
            <v>3.7040000000000002</v>
          </cell>
          <cell r="K278">
            <v>3.6789999999999998</v>
          </cell>
          <cell r="L278">
            <v>3.6840000000000002</v>
          </cell>
          <cell r="M278">
            <v>3.86</v>
          </cell>
          <cell r="N278">
            <v>4.0449999999999999</v>
          </cell>
        </row>
        <row r="279">
          <cell r="B279">
            <v>37532</v>
          </cell>
          <cell r="C279">
            <v>4.1840000000000002</v>
          </cell>
          <cell r="D279">
            <v>4.069</v>
          </cell>
          <cell r="E279">
            <v>3.9089999999999998</v>
          </cell>
          <cell r="F279">
            <v>3.669</v>
          </cell>
          <cell r="G279">
            <v>3.6240000000000001</v>
          </cell>
          <cell r="H279">
            <v>3.6339999999999999</v>
          </cell>
          <cell r="I279">
            <v>3.641</v>
          </cell>
          <cell r="J279">
            <v>3.649</v>
          </cell>
          <cell r="K279">
            <v>3.629</v>
          </cell>
          <cell r="L279">
            <v>3.6339999999999999</v>
          </cell>
          <cell r="M279">
            <v>3.81</v>
          </cell>
          <cell r="N279">
            <v>3.9950000000000001</v>
          </cell>
        </row>
        <row r="280">
          <cell r="B280">
            <v>37533</v>
          </cell>
          <cell r="C280">
            <v>4.2080000000000002</v>
          </cell>
          <cell r="D280">
            <v>4.093</v>
          </cell>
          <cell r="E280">
            <v>3.9329999999999998</v>
          </cell>
          <cell r="F280">
            <v>3.6930000000000001</v>
          </cell>
          <cell r="G280">
            <v>3.6480000000000001</v>
          </cell>
          <cell r="H280">
            <v>3.6579999999999999</v>
          </cell>
          <cell r="I280">
            <v>3.665</v>
          </cell>
          <cell r="J280">
            <v>3.673</v>
          </cell>
          <cell r="K280">
            <v>3.653</v>
          </cell>
          <cell r="L280">
            <v>3.6579999999999999</v>
          </cell>
          <cell r="M280">
            <v>3.8340000000000001</v>
          </cell>
          <cell r="N280">
            <v>4.0190000000000001</v>
          </cell>
        </row>
        <row r="281">
          <cell r="B281">
            <v>37534</v>
          </cell>
          <cell r="C281">
            <v>4.2080000000000002</v>
          </cell>
          <cell r="D281">
            <v>4.093</v>
          </cell>
          <cell r="E281">
            <v>3.9329999999999998</v>
          </cell>
          <cell r="F281">
            <v>3.6930000000000001</v>
          </cell>
          <cell r="G281">
            <v>3.6480000000000001</v>
          </cell>
          <cell r="H281">
            <v>3.6579999999999999</v>
          </cell>
          <cell r="I281">
            <v>3.665</v>
          </cell>
          <cell r="J281">
            <v>3.673</v>
          </cell>
          <cell r="K281">
            <v>3.653</v>
          </cell>
          <cell r="L281">
            <v>3.6579999999999999</v>
          </cell>
          <cell r="M281">
            <v>3.8340000000000001</v>
          </cell>
          <cell r="N281">
            <v>4.0190000000000001</v>
          </cell>
        </row>
        <row r="282">
          <cell r="B282">
            <v>37535</v>
          </cell>
          <cell r="C282">
            <v>4.2080000000000002</v>
          </cell>
          <cell r="D282">
            <v>4.093</v>
          </cell>
          <cell r="E282">
            <v>3.9329999999999998</v>
          </cell>
          <cell r="F282">
            <v>3.6930000000000001</v>
          </cell>
          <cell r="G282">
            <v>3.6480000000000001</v>
          </cell>
          <cell r="H282">
            <v>3.6579999999999999</v>
          </cell>
          <cell r="I282">
            <v>3.665</v>
          </cell>
          <cell r="J282">
            <v>3.673</v>
          </cell>
          <cell r="K282">
            <v>3.653</v>
          </cell>
          <cell r="L282">
            <v>3.6579999999999999</v>
          </cell>
          <cell r="M282">
            <v>3.8340000000000001</v>
          </cell>
          <cell r="N282">
            <v>4.0190000000000001</v>
          </cell>
        </row>
        <row r="283">
          <cell r="B283">
            <v>37536</v>
          </cell>
          <cell r="C283">
            <v>4.2249999999999996</v>
          </cell>
          <cell r="D283">
            <v>4.1100000000000003</v>
          </cell>
          <cell r="E283">
            <v>3.95</v>
          </cell>
          <cell r="F283">
            <v>3.7149999999999999</v>
          </cell>
          <cell r="G283">
            <v>3.67</v>
          </cell>
          <cell r="H283">
            <v>3.68</v>
          </cell>
          <cell r="I283">
            <v>3.6869999999999998</v>
          </cell>
          <cell r="J283">
            <v>3.6949999999999998</v>
          </cell>
          <cell r="K283">
            <v>3.6749999999999998</v>
          </cell>
          <cell r="L283">
            <v>3.68</v>
          </cell>
          <cell r="M283">
            <v>3.8559999999999999</v>
          </cell>
          <cell r="N283">
            <v>4.0410000000000004</v>
          </cell>
        </row>
        <row r="284">
          <cell r="B284">
            <v>37537</v>
          </cell>
          <cell r="C284">
            <v>4.3090000000000002</v>
          </cell>
          <cell r="D284">
            <v>4.1790000000000003</v>
          </cell>
          <cell r="E284">
            <v>4.0140000000000002</v>
          </cell>
          <cell r="F284">
            <v>3.7789999999999999</v>
          </cell>
          <cell r="G284">
            <v>3.7290000000000001</v>
          </cell>
          <cell r="H284">
            <v>3.7410000000000001</v>
          </cell>
          <cell r="I284">
            <v>3.7509999999999999</v>
          </cell>
          <cell r="J284">
            <v>3.7610000000000001</v>
          </cell>
          <cell r="K284">
            <v>3.7509999999999999</v>
          </cell>
          <cell r="L284">
            <v>3.7559999999999998</v>
          </cell>
          <cell r="M284">
            <v>3.9319999999999999</v>
          </cell>
          <cell r="N284">
            <v>4.117</v>
          </cell>
        </row>
        <row r="285">
          <cell r="B285">
            <v>37538</v>
          </cell>
          <cell r="C285">
            <v>4.2489999999999997</v>
          </cell>
          <cell r="D285">
            <v>4.1189999999999998</v>
          </cell>
          <cell r="E285">
            <v>3.9540000000000002</v>
          </cell>
          <cell r="F285">
            <v>3.7189999999999999</v>
          </cell>
          <cell r="G285">
            <v>3.6739999999999999</v>
          </cell>
          <cell r="H285">
            <v>3.6840000000000002</v>
          </cell>
          <cell r="I285">
            <v>3.694</v>
          </cell>
          <cell r="J285">
            <v>3.7040000000000002</v>
          </cell>
          <cell r="K285">
            <v>3.6890000000000001</v>
          </cell>
          <cell r="L285">
            <v>3.694</v>
          </cell>
          <cell r="M285">
            <v>3.8690000000000002</v>
          </cell>
          <cell r="N285">
            <v>4.0540000000000003</v>
          </cell>
        </row>
        <row r="286">
          <cell r="B286">
            <v>37539</v>
          </cell>
          <cell r="C286">
            <v>4.2080000000000002</v>
          </cell>
          <cell r="D286">
            <v>4.0780000000000003</v>
          </cell>
          <cell r="E286">
            <v>3.9180000000000001</v>
          </cell>
          <cell r="F286">
            <v>3.6829999999999998</v>
          </cell>
          <cell r="G286">
            <v>3.6379999999999999</v>
          </cell>
          <cell r="H286">
            <v>3.653</v>
          </cell>
          <cell r="I286">
            <v>3.6629999999999998</v>
          </cell>
          <cell r="J286">
            <v>3.673</v>
          </cell>
          <cell r="K286">
            <v>3.6579999999999999</v>
          </cell>
          <cell r="L286">
            <v>3.6680000000000001</v>
          </cell>
          <cell r="M286">
            <v>3.843</v>
          </cell>
          <cell r="N286">
            <v>4.0279999999999996</v>
          </cell>
        </row>
        <row r="287">
          <cell r="B287">
            <v>37540</v>
          </cell>
          <cell r="C287">
            <v>4.2789999999999999</v>
          </cell>
          <cell r="D287">
            <v>4.149</v>
          </cell>
          <cell r="E287">
            <v>3.984</v>
          </cell>
          <cell r="F287">
            <v>3.7429999999999999</v>
          </cell>
          <cell r="G287">
            <v>3.6930000000000001</v>
          </cell>
          <cell r="H287">
            <v>3.7090000000000001</v>
          </cell>
          <cell r="I287">
            <v>3.7189999999999999</v>
          </cell>
          <cell r="J287">
            <v>3.7290000000000001</v>
          </cell>
          <cell r="K287">
            <v>3.7189999999999999</v>
          </cell>
          <cell r="L287">
            <v>3.734</v>
          </cell>
          <cell r="M287">
            <v>3.9089999999999998</v>
          </cell>
          <cell r="N287">
            <v>4.0940000000000003</v>
          </cell>
        </row>
        <row r="288">
          <cell r="B288">
            <v>37541</v>
          </cell>
          <cell r="C288">
            <v>4.2789999999999999</v>
          </cell>
          <cell r="D288">
            <v>4.149</v>
          </cell>
          <cell r="E288">
            <v>3.984</v>
          </cell>
          <cell r="F288">
            <v>3.7429999999999999</v>
          </cell>
          <cell r="G288">
            <v>3.6930000000000001</v>
          </cell>
          <cell r="H288">
            <v>3.7090000000000001</v>
          </cell>
          <cell r="I288">
            <v>3.7189999999999999</v>
          </cell>
          <cell r="J288">
            <v>3.7290000000000001</v>
          </cell>
          <cell r="K288">
            <v>3.7189999999999999</v>
          </cell>
          <cell r="L288">
            <v>3.734</v>
          </cell>
          <cell r="M288">
            <v>3.9089999999999998</v>
          </cell>
          <cell r="N288">
            <v>4.0940000000000003</v>
          </cell>
        </row>
        <row r="289">
          <cell r="B289">
            <v>37542</v>
          </cell>
          <cell r="C289">
            <v>4.2789999999999999</v>
          </cell>
          <cell r="D289">
            <v>4.149</v>
          </cell>
          <cell r="E289">
            <v>3.984</v>
          </cell>
          <cell r="F289">
            <v>3.7429999999999999</v>
          </cell>
          <cell r="G289">
            <v>3.6930000000000001</v>
          </cell>
          <cell r="H289">
            <v>3.7090000000000001</v>
          </cell>
          <cell r="I289">
            <v>3.7189999999999999</v>
          </cell>
          <cell r="J289">
            <v>3.7290000000000001</v>
          </cell>
          <cell r="K289">
            <v>3.7189999999999999</v>
          </cell>
          <cell r="L289">
            <v>3.734</v>
          </cell>
          <cell r="M289">
            <v>3.9089999999999998</v>
          </cell>
          <cell r="N289">
            <v>4.0940000000000003</v>
          </cell>
        </row>
        <row r="290">
          <cell r="B290">
            <v>37543</v>
          </cell>
          <cell r="C290">
            <v>4.3239999999999998</v>
          </cell>
          <cell r="D290">
            <v>4.1890000000000001</v>
          </cell>
          <cell r="E290">
            <v>4.0140000000000002</v>
          </cell>
          <cell r="F290">
            <v>3.7690000000000001</v>
          </cell>
          <cell r="G290">
            <v>3.7090000000000001</v>
          </cell>
          <cell r="H290">
            <v>3.7250000000000001</v>
          </cell>
          <cell r="I290">
            <v>3.7349999999999999</v>
          </cell>
          <cell r="J290">
            <v>3.7450000000000001</v>
          </cell>
          <cell r="K290">
            <v>3.7349999999999999</v>
          </cell>
          <cell r="L290">
            <v>3.76</v>
          </cell>
          <cell r="M290">
            <v>3.9420000000000002</v>
          </cell>
          <cell r="N290">
            <v>4.1269999999999998</v>
          </cell>
        </row>
        <row r="291">
          <cell r="B291">
            <v>37544</v>
          </cell>
          <cell r="C291">
            <v>4.3159999999999998</v>
          </cell>
          <cell r="D291">
            <v>4.181</v>
          </cell>
          <cell r="E291">
            <v>4.0060000000000002</v>
          </cell>
          <cell r="F291">
            <v>3.7610000000000001</v>
          </cell>
          <cell r="G291">
            <v>3.7010000000000001</v>
          </cell>
          <cell r="H291">
            <v>3.7170000000000001</v>
          </cell>
          <cell r="I291">
            <v>3.7269999999999999</v>
          </cell>
          <cell r="J291">
            <v>3.7370000000000001</v>
          </cell>
          <cell r="K291">
            <v>3.7269999999999999</v>
          </cell>
          <cell r="L291">
            <v>3.7519999999999998</v>
          </cell>
          <cell r="M291">
            <v>3.9220000000000002</v>
          </cell>
          <cell r="N291">
            <v>4.1020000000000003</v>
          </cell>
        </row>
        <row r="292">
          <cell r="B292">
            <v>37545</v>
          </cell>
          <cell r="C292">
            <v>4.3120000000000003</v>
          </cell>
          <cell r="D292">
            <v>4.1769999999999996</v>
          </cell>
          <cell r="E292">
            <v>4.0019999999999998</v>
          </cell>
          <cell r="F292">
            <v>3.7570000000000001</v>
          </cell>
          <cell r="G292">
            <v>3.702</v>
          </cell>
          <cell r="H292">
            <v>3.718</v>
          </cell>
          <cell r="I292">
            <v>3.7280000000000002</v>
          </cell>
          <cell r="J292">
            <v>3.742</v>
          </cell>
          <cell r="K292">
            <v>3.7320000000000002</v>
          </cell>
          <cell r="L292">
            <v>3.754</v>
          </cell>
          <cell r="M292">
            <v>3.92</v>
          </cell>
          <cell r="N292">
            <v>4.0919999999999996</v>
          </cell>
        </row>
        <row r="293">
          <cell r="B293">
            <v>37546</v>
          </cell>
          <cell r="C293">
            <v>4.3440000000000003</v>
          </cell>
          <cell r="D293">
            <v>4.1989999999999998</v>
          </cell>
          <cell r="E293">
            <v>4.0170000000000003</v>
          </cell>
          <cell r="F293">
            <v>3.76</v>
          </cell>
          <cell r="G293">
            <v>3.7</v>
          </cell>
          <cell r="H293">
            <v>3.7149999999999999</v>
          </cell>
          <cell r="I293">
            <v>3.7269999999999999</v>
          </cell>
          <cell r="J293">
            <v>3.7469999999999999</v>
          </cell>
          <cell r="K293">
            <v>3.7269999999999999</v>
          </cell>
          <cell r="L293">
            <v>3.7490000000000001</v>
          </cell>
          <cell r="M293">
            <v>3.9119999999999999</v>
          </cell>
          <cell r="N293">
            <v>4.077</v>
          </cell>
        </row>
        <row r="294">
          <cell r="B294">
            <v>37547</v>
          </cell>
          <cell r="C294">
            <v>4.3600000000000003</v>
          </cell>
          <cell r="D294">
            <v>4.2149999999999999</v>
          </cell>
          <cell r="E294">
            <v>4.03</v>
          </cell>
          <cell r="F294">
            <v>3.77</v>
          </cell>
          <cell r="G294">
            <v>3.71</v>
          </cell>
          <cell r="H294">
            <v>3.7250000000000001</v>
          </cell>
          <cell r="I294">
            <v>3.7370000000000001</v>
          </cell>
          <cell r="J294">
            <v>3.7570000000000001</v>
          </cell>
          <cell r="K294">
            <v>3.7370000000000001</v>
          </cell>
          <cell r="L294">
            <v>3.7589999999999999</v>
          </cell>
          <cell r="M294">
            <v>3.9220000000000002</v>
          </cell>
          <cell r="N294">
            <v>4.0869999999999997</v>
          </cell>
        </row>
        <row r="295">
          <cell r="B295">
            <v>37548</v>
          </cell>
          <cell r="C295">
            <v>4.3600000000000003</v>
          </cell>
          <cell r="D295">
            <v>4.2149999999999999</v>
          </cell>
          <cell r="E295">
            <v>4.03</v>
          </cell>
          <cell r="F295">
            <v>3.77</v>
          </cell>
          <cell r="G295">
            <v>3.71</v>
          </cell>
          <cell r="H295">
            <v>3.7250000000000001</v>
          </cell>
          <cell r="I295">
            <v>3.7370000000000001</v>
          </cell>
          <cell r="J295">
            <v>3.7570000000000001</v>
          </cell>
          <cell r="K295">
            <v>3.7370000000000001</v>
          </cell>
          <cell r="L295">
            <v>3.7589999999999999</v>
          </cell>
          <cell r="M295">
            <v>3.9220000000000002</v>
          </cell>
          <cell r="N295">
            <v>4.0869999999999997</v>
          </cell>
        </row>
        <row r="296">
          <cell r="B296">
            <v>37549</v>
          </cell>
          <cell r="C296">
            <v>4.3600000000000003</v>
          </cell>
          <cell r="D296">
            <v>4.2149999999999999</v>
          </cell>
          <cell r="E296">
            <v>4.03</v>
          </cell>
          <cell r="F296">
            <v>3.77</v>
          </cell>
          <cell r="G296">
            <v>3.71</v>
          </cell>
          <cell r="H296">
            <v>3.7250000000000001</v>
          </cell>
          <cell r="I296">
            <v>3.7370000000000001</v>
          </cell>
          <cell r="J296">
            <v>3.7570000000000001</v>
          </cell>
          <cell r="K296">
            <v>3.7370000000000001</v>
          </cell>
          <cell r="L296">
            <v>3.7589999999999999</v>
          </cell>
          <cell r="M296">
            <v>3.9220000000000002</v>
          </cell>
          <cell r="N296">
            <v>4.0869999999999997</v>
          </cell>
        </row>
        <row r="297">
          <cell r="B297">
            <v>37550</v>
          </cell>
          <cell r="C297">
            <v>4.3099999999999996</v>
          </cell>
          <cell r="D297">
            <v>4.17</v>
          </cell>
          <cell r="E297">
            <v>3.99</v>
          </cell>
          <cell r="F297">
            <v>3.7349999999999999</v>
          </cell>
          <cell r="G297">
            <v>3.6749999999999998</v>
          </cell>
          <cell r="H297">
            <v>3.69</v>
          </cell>
          <cell r="I297">
            <v>3.702</v>
          </cell>
          <cell r="J297">
            <v>3.722</v>
          </cell>
          <cell r="K297">
            <v>3.702</v>
          </cell>
          <cell r="L297">
            <v>3.7240000000000002</v>
          </cell>
          <cell r="M297">
            <v>3.887</v>
          </cell>
          <cell r="N297">
            <v>4.0519999999999996</v>
          </cell>
        </row>
        <row r="298">
          <cell r="B298">
            <v>37551</v>
          </cell>
          <cell r="C298">
            <v>4.3440000000000003</v>
          </cell>
          <cell r="D298">
            <v>4.2240000000000002</v>
          </cell>
          <cell r="E298">
            <v>4.0640000000000001</v>
          </cell>
          <cell r="F298">
            <v>3.819</v>
          </cell>
          <cell r="G298">
            <v>3.76</v>
          </cell>
          <cell r="H298">
            <v>3.7749999999999999</v>
          </cell>
          <cell r="I298">
            <v>3.7869999999999999</v>
          </cell>
          <cell r="J298">
            <v>3.8069999999999999</v>
          </cell>
          <cell r="K298">
            <v>3.7869999999999999</v>
          </cell>
          <cell r="L298">
            <v>3.8119999999999998</v>
          </cell>
          <cell r="M298">
            <v>3.9750000000000001</v>
          </cell>
          <cell r="N298">
            <v>4.1399999999999997</v>
          </cell>
        </row>
        <row r="299">
          <cell r="B299">
            <v>37552</v>
          </cell>
          <cell r="C299">
            <v>4.3810000000000002</v>
          </cell>
          <cell r="D299">
            <v>4.2560000000000002</v>
          </cell>
          <cell r="E299">
            <v>4.0960000000000001</v>
          </cell>
          <cell r="F299">
            <v>3.8450000000000002</v>
          </cell>
          <cell r="G299">
            <v>3.78</v>
          </cell>
          <cell r="H299">
            <v>3.79</v>
          </cell>
          <cell r="I299">
            <v>3.8050000000000002</v>
          </cell>
          <cell r="J299">
            <v>3.8250000000000002</v>
          </cell>
          <cell r="K299">
            <v>3.8050000000000002</v>
          </cell>
          <cell r="L299">
            <v>3.83</v>
          </cell>
          <cell r="M299">
            <v>3.9929999999999999</v>
          </cell>
          <cell r="N299">
            <v>4.1580000000000004</v>
          </cell>
        </row>
        <row r="300">
          <cell r="B300">
            <v>37553</v>
          </cell>
          <cell r="C300">
            <v>4.3440000000000003</v>
          </cell>
          <cell r="D300">
            <v>4.2240000000000002</v>
          </cell>
          <cell r="E300">
            <v>4.069</v>
          </cell>
          <cell r="F300">
            <v>3.8290000000000002</v>
          </cell>
          <cell r="G300">
            <v>3.7639999999999998</v>
          </cell>
          <cell r="H300">
            <v>3.774</v>
          </cell>
          <cell r="I300">
            <v>3.7890000000000001</v>
          </cell>
          <cell r="J300">
            <v>3.8090000000000002</v>
          </cell>
          <cell r="K300">
            <v>3.7989999999999999</v>
          </cell>
          <cell r="L300">
            <v>3.8290000000000002</v>
          </cell>
          <cell r="M300">
            <v>3.9990000000000001</v>
          </cell>
          <cell r="N300">
            <v>4.1639999999999997</v>
          </cell>
        </row>
        <row r="301">
          <cell r="B301">
            <v>37554</v>
          </cell>
          <cell r="C301">
            <v>4.34</v>
          </cell>
          <cell r="D301">
            <v>4.2169999999999996</v>
          </cell>
          <cell r="E301">
            <v>4.0599999999999996</v>
          </cell>
          <cell r="F301">
            <v>3.8149999999999999</v>
          </cell>
          <cell r="G301">
            <v>3.758</v>
          </cell>
          <cell r="H301">
            <v>3.7679999999999998</v>
          </cell>
          <cell r="I301">
            <v>3.7829999999999999</v>
          </cell>
          <cell r="J301">
            <v>3.8</v>
          </cell>
          <cell r="K301">
            <v>3.79</v>
          </cell>
          <cell r="L301">
            <v>3.82</v>
          </cell>
          <cell r="M301">
            <v>3.99</v>
          </cell>
          <cell r="N301">
            <v>4.1550000000000002</v>
          </cell>
        </row>
        <row r="302">
          <cell r="B302">
            <v>37555</v>
          </cell>
          <cell r="C302">
            <v>4.34</v>
          </cell>
          <cell r="D302">
            <v>4.2169999999999996</v>
          </cell>
          <cell r="E302">
            <v>4.0599999999999996</v>
          </cell>
          <cell r="F302">
            <v>3.8149999999999999</v>
          </cell>
          <cell r="G302">
            <v>3.758</v>
          </cell>
          <cell r="H302">
            <v>3.7679999999999998</v>
          </cell>
          <cell r="I302">
            <v>3.7829999999999999</v>
          </cell>
          <cell r="J302">
            <v>3.8</v>
          </cell>
          <cell r="K302">
            <v>3.79</v>
          </cell>
          <cell r="L302">
            <v>3.82</v>
          </cell>
          <cell r="M302">
            <v>3.99</v>
          </cell>
          <cell r="N302">
            <v>4.1550000000000002</v>
          </cell>
        </row>
        <row r="303">
          <cell r="B303">
            <v>37556</v>
          </cell>
          <cell r="C303">
            <v>4.34</v>
          </cell>
          <cell r="D303">
            <v>4.2169999999999996</v>
          </cell>
          <cell r="E303">
            <v>4.0599999999999996</v>
          </cell>
          <cell r="F303">
            <v>3.8149999999999999</v>
          </cell>
          <cell r="G303">
            <v>3.758</v>
          </cell>
          <cell r="H303">
            <v>3.7679999999999998</v>
          </cell>
          <cell r="I303">
            <v>3.7829999999999999</v>
          </cell>
          <cell r="J303">
            <v>3.8</v>
          </cell>
          <cell r="K303">
            <v>3.79</v>
          </cell>
          <cell r="L303">
            <v>3.82</v>
          </cell>
          <cell r="M303">
            <v>3.99</v>
          </cell>
          <cell r="N303">
            <v>4.1550000000000002</v>
          </cell>
        </row>
        <row r="304">
          <cell r="B304">
            <v>37557</v>
          </cell>
          <cell r="C304">
            <v>4.4130000000000003</v>
          </cell>
          <cell r="D304">
            <v>4.28</v>
          </cell>
          <cell r="E304">
            <v>4.1130000000000004</v>
          </cell>
          <cell r="F304">
            <v>3.8679999999999999</v>
          </cell>
          <cell r="G304">
            <v>3.8029999999999999</v>
          </cell>
          <cell r="H304">
            <v>3.8050000000000002</v>
          </cell>
          <cell r="I304">
            <v>3.8170000000000002</v>
          </cell>
          <cell r="J304">
            <v>3.83</v>
          </cell>
          <cell r="K304">
            <v>3.82</v>
          </cell>
          <cell r="L304">
            <v>3.85</v>
          </cell>
          <cell r="M304">
            <v>4.0199999999999996</v>
          </cell>
          <cell r="N304">
            <v>4.1849999999999996</v>
          </cell>
        </row>
        <row r="305">
          <cell r="B305">
            <v>37558</v>
          </cell>
          <cell r="C305">
            <v>4.3499999999999996</v>
          </cell>
          <cell r="D305">
            <v>4.2300000000000004</v>
          </cell>
          <cell r="E305">
            <v>4.0650000000000004</v>
          </cell>
          <cell r="F305">
            <v>3.82</v>
          </cell>
          <cell r="G305">
            <v>3.7629999999999999</v>
          </cell>
          <cell r="H305">
            <v>3.7749999999999999</v>
          </cell>
          <cell r="I305">
            <v>3.79</v>
          </cell>
          <cell r="J305">
            <v>3.8029999999999999</v>
          </cell>
          <cell r="K305">
            <v>3.7919999999999998</v>
          </cell>
          <cell r="L305">
            <v>3.82</v>
          </cell>
          <cell r="M305">
            <v>3.99</v>
          </cell>
          <cell r="N305">
            <v>4.1580000000000004</v>
          </cell>
        </row>
        <row r="306">
          <cell r="B306">
            <v>37559</v>
          </cell>
          <cell r="C306">
            <v>4.3849999999999998</v>
          </cell>
          <cell r="D306">
            <v>4.25</v>
          </cell>
          <cell r="E306">
            <v>4.0720000000000001</v>
          </cell>
          <cell r="F306">
            <v>3.82</v>
          </cell>
          <cell r="G306">
            <v>3.75</v>
          </cell>
          <cell r="H306">
            <v>3.762</v>
          </cell>
          <cell r="I306">
            <v>3.78</v>
          </cell>
          <cell r="J306">
            <v>3.7949999999999999</v>
          </cell>
          <cell r="K306">
            <v>3.79</v>
          </cell>
          <cell r="L306">
            <v>3.82</v>
          </cell>
          <cell r="M306">
            <v>3.99</v>
          </cell>
          <cell r="N306">
            <v>4.1580000000000004</v>
          </cell>
        </row>
        <row r="307">
          <cell r="B307">
            <v>37560</v>
          </cell>
          <cell r="C307">
            <v>4.3029999999999999</v>
          </cell>
          <cell r="D307">
            <v>4.173</v>
          </cell>
          <cell r="E307">
            <v>3.9980000000000002</v>
          </cell>
          <cell r="F307">
            <v>3.766</v>
          </cell>
          <cell r="G307">
            <v>3.6960000000000002</v>
          </cell>
          <cell r="H307">
            <v>3.706</v>
          </cell>
          <cell r="I307">
            <v>3.7240000000000002</v>
          </cell>
          <cell r="J307">
            <v>3.7389999999999999</v>
          </cell>
          <cell r="K307">
            <v>3.734</v>
          </cell>
          <cell r="L307">
            <v>3.7639999999999998</v>
          </cell>
          <cell r="M307">
            <v>3.944</v>
          </cell>
          <cell r="N307">
            <v>4.1189999999999998</v>
          </cell>
        </row>
        <row r="308">
          <cell r="B308">
            <v>37561</v>
          </cell>
          <cell r="C308">
            <v>4.28</v>
          </cell>
          <cell r="D308">
            <v>4.1529999999999996</v>
          </cell>
          <cell r="E308">
            <v>3.98</v>
          </cell>
          <cell r="F308">
            <v>3.7549999999999999</v>
          </cell>
          <cell r="G308">
            <v>3.698</v>
          </cell>
          <cell r="H308">
            <v>3.7080000000000002</v>
          </cell>
          <cell r="I308">
            <v>3.7229999999999999</v>
          </cell>
          <cell r="J308">
            <v>3.7330000000000001</v>
          </cell>
          <cell r="K308">
            <v>3.7330000000000001</v>
          </cell>
          <cell r="L308">
            <v>3.7679999999999998</v>
          </cell>
          <cell r="M308">
            <v>3.9430000000000001</v>
          </cell>
          <cell r="N308">
            <v>4.1130000000000004</v>
          </cell>
        </row>
        <row r="309">
          <cell r="B309">
            <v>37562</v>
          </cell>
          <cell r="C309">
            <v>4.28</v>
          </cell>
          <cell r="D309">
            <v>4.1529999999999996</v>
          </cell>
          <cell r="E309">
            <v>3.98</v>
          </cell>
          <cell r="F309">
            <v>3.7549999999999999</v>
          </cell>
          <cell r="G309">
            <v>3.698</v>
          </cell>
          <cell r="H309">
            <v>3.7080000000000002</v>
          </cell>
          <cell r="I309">
            <v>3.7229999999999999</v>
          </cell>
          <cell r="J309">
            <v>3.7330000000000001</v>
          </cell>
          <cell r="K309">
            <v>3.7330000000000001</v>
          </cell>
          <cell r="L309">
            <v>3.7679999999999998</v>
          </cell>
          <cell r="M309">
            <v>3.9430000000000001</v>
          </cell>
          <cell r="N309">
            <v>4.1130000000000004</v>
          </cell>
        </row>
        <row r="310">
          <cell r="B310">
            <v>37563</v>
          </cell>
          <cell r="C310">
            <v>4.28</v>
          </cell>
          <cell r="D310">
            <v>4.1529999999999996</v>
          </cell>
          <cell r="E310">
            <v>3.98</v>
          </cell>
          <cell r="F310">
            <v>3.7549999999999999</v>
          </cell>
          <cell r="G310">
            <v>3.698</v>
          </cell>
          <cell r="H310">
            <v>3.7080000000000002</v>
          </cell>
          <cell r="I310">
            <v>3.7229999999999999</v>
          </cell>
          <cell r="J310">
            <v>3.7330000000000001</v>
          </cell>
          <cell r="K310">
            <v>3.7330000000000001</v>
          </cell>
          <cell r="L310">
            <v>3.7679999999999998</v>
          </cell>
          <cell r="M310">
            <v>3.9430000000000001</v>
          </cell>
          <cell r="N310">
            <v>4.1130000000000004</v>
          </cell>
        </row>
        <row r="311">
          <cell r="B311">
            <v>37564</v>
          </cell>
          <cell r="C311">
            <v>4.2300000000000004</v>
          </cell>
          <cell r="D311">
            <v>4.1029999999999998</v>
          </cell>
          <cell r="E311">
            <v>3.93</v>
          </cell>
          <cell r="F311">
            <v>3.72</v>
          </cell>
          <cell r="G311">
            <v>3.6629999999999998</v>
          </cell>
          <cell r="H311">
            <v>3.673</v>
          </cell>
          <cell r="I311">
            <v>3.6930000000000001</v>
          </cell>
          <cell r="J311">
            <v>3.698</v>
          </cell>
          <cell r="K311">
            <v>3.698</v>
          </cell>
          <cell r="L311">
            <v>3.7330000000000001</v>
          </cell>
          <cell r="M311">
            <v>3.9079999999999999</v>
          </cell>
          <cell r="N311">
            <v>4.0780000000000003</v>
          </cell>
        </row>
        <row r="312">
          <cell r="B312">
            <v>37565</v>
          </cell>
          <cell r="C312">
            <v>4.25</v>
          </cell>
          <cell r="D312">
            <v>4.12</v>
          </cell>
          <cell r="E312">
            <v>3.9470000000000001</v>
          </cell>
          <cell r="F312">
            <v>3.7370000000000001</v>
          </cell>
          <cell r="G312">
            <v>3.6819999999999999</v>
          </cell>
          <cell r="H312">
            <v>3.6920000000000002</v>
          </cell>
          <cell r="I312">
            <v>3.7069999999999999</v>
          </cell>
          <cell r="J312">
            <v>3.7120000000000002</v>
          </cell>
          <cell r="K312">
            <v>3.7170000000000001</v>
          </cell>
          <cell r="L312">
            <v>3.7519999999999998</v>
          </cell>
          <cell r="M312">
            <v>3.927</v>
          </cell>
          <cell r="N312">
            <v>4.0970000000000004</v>
          </cell>
        </row>
        <row r="313">
          <cell r="B313">
            <v>37566</v>
          </cell>
          <cell r="C313">
            <v>4.2720000000000002</v>
          </cell>
          <cell r="D313">
            <v>4.1420000000000003</v>
          </cell>
          <cell r="E313">
            <v>3.972</v>
          </cell>
          <cell r="F313">
            <v>3.762</v>
          </cell>
          <cell r="G313">
            <v>3.7040000000000002</v>
          </cell>
          <cell r="H313">
            <v>3.714</v>
          </cell>
          <cell r="I313">
            <v>3.734</v>
          </cell>
          <cell r="J313">
            <v>3.7440000000000002</v>
          </cell>
          <cell r="K313">
            <v>3.7490000000000001</v>
          </cell>
          <cell r="L313">
            <v>3.7839999999999998</v>
          </cell>
          <cell r="M313">
            <v>3.9590000000000001</v>
          </cell>
          <cell r="N313">
            <v>4.1239999999999997</v>
          </cell>
        </row>
        <row r="314">
          <cell r="B314">
            <v>37567</v>
          </cell>
          <cell r="C314">
            <v>4.2300000000000004</v>
          </cell>
          <cell r="D314">
            <v>4.0999999999999996</v>
          </cell>
          <cell r="E314">
            <v>3.9350000000000001</v>
          </cell>
          <cell r="F314">
            <v>3.7250000000000001</v>
          </cell>
          <cell r="G314">
            <v>3.6669999999999998</v>
          </cell>
          <cell r="H314">
            <v>3.6669999999999998</v>
          </cell>
          <cell r="I314">
            <v>3.6869999999999998</v>
          </cell>
          <cell r="J314">
            <v>3.69</v>
          </cell>
          <cell r="K314">
            <v>3.6949999999999998</v>
          </cell>
          <cell r="L314">
            <v>3.73</v>
          </cell>
          <cell r="M314">
            <v>3.915</v>
          </cell>
          <cell r="N314">
            <v>4.08</v>
          </cell>
        </row>
        <row r="315">
          <cell r="B315">
            <v>37568</v>
          </cell>
          <cell r="C315">
            <v>4.2110000000000003</v>
          </cell>
          <cell r="D315">
            <v>4.0759999999999996</v>
          </cell>
          <cell r="E315">
            <v>3.9060000000000001</v>
          </cell>
          <cell r="F315">
            <v>3.6909999999999998</v>
          </cell>
          <cell r="G315">
            <v>3.6280000000000001</v>
          </cell>
          <cell r="H315">
            <v>3.6280000000000001</v>
          </cell>
          <cell r="I315">
            <v>3.6480000000000001</v>
          </cell>
          <cell r="J315">
            <v>3.6509999999999998</v>
          </cell>
          <cell r="K315">
            <v>3.6560000000000001</v>
          </cell>
          <cell r="L315">
            <v>3.6909999999999998</v>
          </cell>
          <cell r="M315">
            <v>3.8759999999999999</v>
          </cell>
          <cell r="N315">
            <v>4.0410000000000004</v>
          </cell>
        </row>
        <row r="316">
          <cell r="B316">
            <v>37569</v>
          </cell>
          <cell r="C316">
            <v>4.2110000000000003</v>
          </cell>
          <cell r="D316">
            <v>4.0759999999999996</v>
          </cell>
          <cell r="E316">
            <v>3.9060000000000001</v>
          </cell>
          <cell r="F316">
            <v>3.6909999999999998</v>
          </cell>
          <cell r="G316">
            <v>3.6280000000000001</v>
          </cell>
          <cell r="H316">
            <v>3.6280000000000001</v>
          </cell>
          <cell r="I316">
            <v>3.6480000000000001</v>
          </cell>
          <cell r="J316">
            <v>3.6509999999999998</v>
          </cell>
          <cell r="K316">
            <v>3.6560000000000001</v>
          </cell>
          <cell r="L316">
            <v>3.6909999999999998</v>
          </cell>
          <cell r="M316">
            <v>3.8759999999999999</v>
          </cell>
          <cell r="N316">
            <v>4.0410000000000004</v>
          </cell>
        </row>
        <row r="317">
          <cell r="B317">
            <v>37570</v>
          </cell>
          <cell r="C317">
            <v>4.2110000000000003</v>
          </cell>
          <cell r="D317">
            <v>4.0759999999999996</v>
          </cell>
          <cell r="E317">
            <v>3.9060000000000001</v>
          </cell>
          <cell r="F317">
            <v>3.6909999999999998</v>
          </cell>
          <cell r="G317">
            <v>3.6280000000000001</v>
          </cell>
          <cell r="H317">
            <v>3.6280000000000001</v>
          </cell>
          <cell r="I317">
            <v>3.6480000000000001</v>
          </cell>
          <cell r="J317">
            <v>3.6509999999999998</v>
          </cell>
          <cell r="K317">
            <v>3.6560000000000001</v>
          </cell>
          <cell r="L317">
            <v>3.6909999999999998</v>
          </cell>
          <cell r="M317">
            <v>3.8759999999999999</v>
          </cell>
          <cell r="N317">
            <v>4.0410000000000004</v>
          </cell>
        </row>
        <row r="318">
          <cell r="B318">
            <v>37571</v>
          </cell>
          <cell r="C318">
            <v>4.1950000000000003</v>
          </cell>
          <cell r="D318">
            <v>4.0679999999999996</v>
          </cell>
          <cell r="E318">
            <v>3.8980000000000001</v>
          </cell>
          <cell r="F318">
            <v>3.6829999999999998</v>
          </cell>
          <cell r="G318">
            <v>3.62</v>
          </cell>
          <cell r="H318">
            <v>3.63</v>
          </cell>
          <cell r="I318">
            <v>3.65</v>
          </cell>
          <cell r="J318">
            <v>3.65</v>
          </cell>
          <cell r="K318">
            <v>3.6549999999999998</v>
          </cell>
          <cell r="L318">
            <v>3.69</v>
          </cell>
          <cell r="M318">
            <v>3.8780000000000001</v>
          </cell>
          <cell r="N318">
            <v>4.0430000000000001</v>
          </cell>
        </row>
        <row r="319">
          <cell r="B319">
            <v>37572</v>
          </cell>
          <cell r="C319">
            <v>4.2350000000000003</v>
          </cell>
          <cell r="D319">
            <v>4.1079999999999997</v>
          </cell>
          <cell r="E319">
            <v>3.9380000000000002</v>
          </cell>
          <cell r="F319">
            <v>3.718</v>
          </cell>
          <cell r="G319">
            <v>3.65</v>
          </cell>
          <cell r="H319">
            <v>3.65</v>
          </cell>
          <cell r="I319">
            <v>3.66</v>
          </cell>
          <cell r="J319">
            <v>3.66</v>
          </cell>
          <cell r="K319">
            <v>3.665</v>
          </cell>
          <cell r="L319">
            <v>3.7</v>
          </cell>
          <cell r="M319">
            <v>3.8879999999999999</v>
          </cell>
          <cell r="N319">
            <v>4.0529999999999999</v>
          </cell>
        </row>
        <row r="320">
          <cell r="B320">
            <v>37573</v>
          </cell>
          <cell r="C320">
            <v>4.21</v>
          </cell>
          <cell r="D320">
            <v>4.0880000000000001</v>
          </cell>
          <cell r="E320">
            <v>3.9180000000000001</v>
          </cell>
          <cell r="F320">
            <v>3.7029999999999998</v>
          </cell>
          <cell r="G320">
            <v>3.64</v>
          </cell>
          <cell r="H320">
            <v>3.645</v>
          </cell>
          <cell r="I320">
            <v>3.6549999999999998</v>
          </cell>
          <cell r="J320">
            <v>3.6549999999999998</v>
          </cell>
          <cell r="K320">
            <v>3.65</v>
          </cell>
          <cell r="L320">
            <v>3.6850000000000001</v>
          </cell>
          <cell r="M320">
            <v>3.8730000000000002</v>
          </cell>
          <cell r="N320">
            <v>4.04</v>
          </cell>
        </row>
        <row r="321">
          <cell r="B321">
            <v>37574</v>
          </cell>
          <cell r="C321">
            <v>4.2149999999999999</v>
          </cell>
          <cell r="D321">
            <v>4.093</v>
          </cell>
          <cell r="E321">
            <v>3.9249999999999998</v>
          </cell>
          <cell r="F321">
            <v>3.71</v>
          </cell>
          <cell r="G321">
            <v>3.6549999999999998</v>
          </cell>
          <cell r="H321">
            <v>3.66</v>
          </cell>
          <cell r="I321">
            <v>3.6549999999999998</v>
          </cell>
          <cell r="J321">
            <v>3.645</v>
          </cell>
          <cell r="K321">
            <v>3.64</v>
          </cell>
          <cell r="L321">
            <v>3.6749999999999998</v>
          </cell>
          <cell r="M321">
            <v>3.8479999999999999</v>
          </cell>
          <cell r="N321">
            <v>4.0149999999999997</v>
          </cell>
        </row>
        <row r="322">
          <cell r="B322">
            <v>37575</v>
          </cell>
          <cell r="C322">
            <v>4.218</v>
          </cell>
          <cell r="D322">
            <v>4.0880000000000001</v>
          </cell>
          <cell r="E322">
            <v>3.9129999999999998</v>
          </cell>
          <cell r="F322">
            <v>3.6880000000000002</v>
          </cell>
          <cell r="G322">
            <v>3.633</v>
          </cell>
          <cell r="H322">
            <v>3.6379999999999999</v>
          </cell>
          <cell r="I322">
            <v>3.6429999999999998</v>
          </cell>
          <cell r="J322">
            <v>3.6480000000000001</v>
          </cell>
          <cell r="K322">
            <v>3.6379999999999999</v>
          </cell>
          <cell r="L322">
            <v>3.6680000000000001</v>
          </cell>
          <cell r="M322">
            <v>3.8410000000000002</v>
          </cell>
          <cell r="N322">
            <v>4.0129999999999999</v>
          </cell>
        </row>
        <row r="323">
          <cell r="B323">
            <v>37576</v>
          </cell>
          <cell r="C323">
            <v>4.218</v>
          </cell>
          <cell r="D323">
            <v>4.0880000000000001</v>
          </cell>
          <cell r="E323">
            <v>3.9129999999999998</v>
          </cell>
          <cell r="F323">
            <v>3.6880000000000002</v>
          </cell>
          <cell r="G323">
            <v>3.633</v>
          </cell>
          <cell r="H323">
            <v>3.6379999999999999</v>
          </cell>
          <cell r="I323">
            <v>3.6429999999999998</v>
          </cell>
          <cell r="J323">
            <v>3.6480000000000001</v>
          </cell>
          <cell r="K323">
            <v>3.6379999999999999</v>
          </cell>
          <cell r="L323">
            <v>3.6680000000000001</v>
          </cell>
          <cell r="M323">
            <v>3.8410000000000002</v>
          </cell>
          <cell r="N323">
            <v>4.0129999999999999</v>
          </cell>
        </row>
        <row r="324">
          <cell r="B324">
            <v>37577</v>
          </cell>
          <cell r="C324">
            <v>4.218</v>
          </cell>
          <cell r="D324">
            <v>4.0880000000000001</v>
          </cell>
          <cell r="E324">
            <v>3.9129999999999998</v>
          </cell>
          <cell r="F324">
            <v>3.6880000000000002</v>
          </cell>
          <cell r="G324">
            <v>3.633</v>
          </cell>
          <cell r="H324">
            <v>3.6379999999999999</v>
          </cell>
          <cell r="I324">
            <v>3.6429999999999998</v>
          </cell>
          <cell r="J324">
            <v>3.6480000000000001</v>
          </cell>
          <cell r="K324">
            <v>3.6379999999999999</v>
          </cell>
          <cell r="L324">
            <v>3.6680000000000001</v>
          </cell>
          <cell r="M324">
            <v>3.8410000000000002</v>
          </cell>
          <cell r="N324">
            <v>4.0129999999999999</v>
          </cell>
        </row>
        <row r="325">
          <cell r="B325">
            <v>37578</v>
          </cell>
          <cell r="C325">
            <v>4.2510000000000003</v>
          </cell>
          <cell r="D325">
            <v>4.1210000000000004</v>
          </cell>
          <cell r="E325">
            <v>3.9359999999999999</v>
          </cell>
          <cell r="F325">
            <v>3.7010000000000001</v>
          </cell>
          <cell r="G325">
            <v>3.641</v>
          </cell>
          <cell r="H325">
            <v>3.6459999999999999</v>
          </cell>
          <cell r="I325">
            <v>3.661</v>
          </cell>
          <cell r="J325">
            <v>3.6659999999999999</v>
          </cell>
          <cell r="K325">
            <v>3.6560000000000001</v>
          </cell>
          <cell r="L325">
            <v>3.6760000000000002</v>
          </cell>
          <cell r="M325">
            <v>3.8380000000000001</v>
          </cell>
          <cell r="N325">
            <v>4.0030000000000001</v>
          </cell>
        </row>
        <row r="326">
          <cell r="B326">
            <v>37579</v>
          </cell>
          <cell r="C326">
            <v>4.2439999999999998</v>
          </cell>
          <cell r="D326">
            <v>4.1139999999999999</v>
          </cell>
          <cell r="E326">
            <v>3.9340000000000002</v>
          </cell>
          <cell r="F326">
            <v>3.7040000000000002</v>
          </cell>
          <cell r="G326">
            <v>3.6539999999999999</v>
          </cell>
          <cell r="H326">
            <v>3.6589999999999998</v>
          </cell>
          <cell r="I326">
            <v>3.6739999999999999</v>
          </cell>
          <cell r="J326">
            <v>3.6789999999999998</v>
          </cell>
          <cell r="K326">
            <v>3.669</v>
          </cell>
          <cell r="L326">
            <v>3.6890000000000001</v>
          </cell>
          <cell r="M326">
            <v>3.8479999999999999</v>
          </cell>
          <cell r="N326">
            <v>4.0129999999999999</v>
          </cell>
        </row>
        <row r="327">
          <cell r="B327">
            <v>37580</v>
          </cell>
          <cell r="C327">
            <v>4.2519999999999998</v>
          </cell>
          <cell r="D327">
            <v>4.1219999999999999</v>
          </cell>
          <cell r="E327">
            <v>3.9420000000000002</v>
          </cell>
          <cell r="F327">
            <v>3.7120000000000002</v>
          </cell>
          <cell r="G327">
            <v>3.6619999999999999</v>
          </cell>
          <cell r="H327">
            <v>3.6669999999999998</v>
          </cell>
          <cell r="I327">
            <v>3.6850000000000001</v>
          </cell>
          <cell r="J327">
            <v>3.6869999999999998</v>
          </cell>
          <cell r="K327">
            <v>3.677</v>
          </cell>
          <cell r="L327">
            <v>3.6970000000000001</v>
          </cell>
          <cell r="M327">
            <v>3.8559999999999999</v>
          </cell>
          <cell r="N327">
            <v>4.0259999999999998</v>
          </cell>
        </row>
        <row r="328">
          <cell r="B328">
            <v>37581</v>
          </cell>
          <cell r="C328">
            <v>4.2709999999999999</v>
          </cell>
          <cell r="D328">
            <v>4.141</v>
          </cell>
          <cell r="E328">
            <v>3.9660000000000002</v>
          </cell>
          <cell r="F328">
            <v>3.7360000000000002</v>
          </cell>
          <cell r="G328">
            <v>3.6859999999999999</v>
          </cell>
          <cell r="H328">
            <v>3.6909999999999998</v>
          </cell>
          <cell r="I328">
            <v>3.7090000000000001</v>
          </cell>
          <cell r="J328">
            <v>3.7109999999999999</v>
          </cell>
          <cell r="K328">
            <v>3.7010000000000001</v>
          </cell>
          <cell r="L328">
            <v>3.7210000000000001</v>
          </cell>
          <cell r="M328">
            <v>3.88</v>
          </cell>
          <cell r="N328">
            <v>4.05</v>
          </cell>
        </row>
        <row r="329">
          <cell r="B329">
            <v>37582</v>
          </cell>
          <cell r="C329">
            <v>4.3010000000000002</v>
          </cell>
          <cell r="D329">
            <v>4.1719999999999997</v>
          </cell>
          <cell r="E329">
            <v>4.0010000000000003</v>
          </cell>
          <cell r="F329">
            <v>3.7709999999999999</v>
          </cell>
          <cell r="G329">
            <v>3.7210000000000001</v>
          </cell>
          <cell r="H329">
            <v>3.726</v>
          </cell>
          <cell r="I329">
            <v>3.7410000000000001</v>
          </cell>
          <cell r="J329">
            <v>3.7410000000000001</v>
          </cell>
          <cell r="K329">
            <v>3.7309999999999999</v>
          </cell>
          <cell r="L329">
            <v>3.7509999999999999</v>
          </cell>
          <cell r="M329">
            <v>3.9089999999999998</v>
          </cell>
          <cell r="N329">
            <v>4.0789999999999997</v>
          </cell>
        </row>
        <row r="330">
          <cell r="B330">
            <v>37583</v>
          </cell>
          <cell r="C330">
            <v>4.3010000000000002</v>
          </cell>
          <cell r="D330">
            <v>4.1719999999999997</v>
          </cell>
          <cell r="E330">
            <v>4.0010000000000003</v>
          </cell>
          <cell r="F330">
            <v>3.7709999999999999</v>
          </cell>
          <cell r="G330">
            <v>3.7210000000000001</v>
          </cell>
          <cell r="H330">
            <v>3.726</v>
          </cell>
          <cell r="I330">
            <v>3.7410000000000001</v>
          </cell>
          <cell r="J330">
            <v>3.7410000000000001</v>
          </cell>
          <cell r="K330">
            <v>3.7309999999999999</v>
          </cell>
          <cell r="L330">
            <v>3.7509999999999999</v>
          </cell>
          <cell r="M330">
            <v>3.9089999999999998</v>
          </cell>
          <cell r="N330">
            <v>4.0789999999999997</v>
          </cell>
        </row>
        <row r="331">
          <cell r="B331">
            <v>37584</v>
          </cell>
          <cell r="C331">
            <v>4.3010000000000002</v>
          </cell>
          <cell r="D331">
            <v>4.1719999999999997</v>
          </cell>
          <cell r="E331">
            <v>4.0010000000000003</v>
          </cell>
          <cell r="F331">
            <v>3.7709999999999999</v>
          </cell>
          <cell r="G331">
            <v>3.7210000000000001</v>
          </cell>
          <cell r="H331">
            <v>3.726</v>
          </cell>
          <cell r="I331">
            <v>3.7410000000000001</v>
          </cell>
          <cell r="J331">
            <v>3.7410000000000001</v>
          </cell>
          <cell r="K331">
            <v>3.7309999999999999</v>
          </cell>
          <cell r="L331">
            <v>3.7509999999999999</v>
          </cell>
          <cell r="M331">
            <v>3.9089999999999998</v>
          </cell>
          <cell r="N331">
            <v>4.0789999999999997</v>
          </cell>
        </row>
        <row r="332">
          <cell r="B332">
            <v>37585</v>
          </cell>
          <cell r="C332">
            <v>4.3049999999999997</v>
          </cell>
          <cell r="D332">
            <v>4.1760000000000002</v>
          </cell>
          <cell r="E332">
            <v>4.0049999999999999</v>
          </cell>
          <cell r="F332">
            <v>3.78</v>
          </cell>
          <cell r="G332">
            <v>3.7349999999999999</v>
          </cell>
          <cell r="H332">
            <v>3.74</v>
          </cell>
          <cell r="I332">
            <v>3.7549999999999999</v>
          </cell>
          <cell r="J332">
            <v>3.7549999999999999</v>
          </cell>
          <cell r="K332">
            <v>3.75</v>
          </cell>
          <cell r="L332">
            <v>3.7749999999999999</v>
          </cell>
          <cell r="M332">
            <v>3.9329999999999998</v>
          </cell>
          <cell r="N332">
            <v>4.093</v>
          </cell>
        </row>
        <row r="333">
          <cell r="B333">
            <v>37586</v>
          </cell>
          <cell r="C333">
            <v>4.2889999999999997</v>
          </cell>
          <cell r="D333">
            <v>4.1639999999999997</v>
          </cell>
          <cell r="E333">
            <v>3.9929999999999999</v>
          </cell>
          <cell r="F333">
            <v>3.7679999999999998</v>
          </cell>
          <cell r="G333">
            <v>3.7229999999999999</v>
          </cell>
          <cell r="H333">
            <v>3.734</v>
          </cell>
          <cell r="I333">
            <v>3.7490000000000001</v>
          </cell>
          <cell r="J333">
            <v>3.7490000000000001</v>
          </cell>
          <cell r="K333">
            <v>3.746</v>
          </cell>
          <cell r="L333">
            <v>3.7589999999999999</v>
          </cell>
          <cell r="M333">
            <v>3.9169999999999998</v>
          </cell>
          <cell r="N333">
            <v>4.077</v>
          </cell>
        </row>
        <row r="334">
          <cell r="B334">
            <v>37587</v>
          </cell>
          <cell r="C334">
            <v>4.2549999999999999</v>
          </cell>
          <cell r="D334">
            <v>4.13</v>
          </cell>
          <cell r="E334">
            <v>3.9590000000000001</v>
          </cell>
          <cell r="F334">
            <v>3.734</v>
          </cell>
          <cell r="G334">
            <v>3.6890000000000001</v>
          </cell>
          <cell r="H334">
            <v>3.7</v>
          </cell>
          <cell r="I334">
            <v>3.7149999999999999</v>
          </cell>
          <cell r="J334">
            <v>3.7149999999999999</v>
          </cell>
          <cell r="K334">
            <v>3.7120000000000002</v>
          </cell>
          <cell r="L334">
            <v>3.7250000000000001</v>
          </cell>
          <cell r="M334">
            <v>3.883</v>
          </cell>
          <cell r="N334">
            <v>4.0430000000000001</v>
          </cell>
        </row>
        <row r="335">
          <cell r="B335">
            <v>37588</v>
          </cell>
          <cell r="C335">
            <v>4.2549999999999999</v>
          </cell>
          <cell r="D335">
            <v>4.13</v>
          </cell>
          <cell r="E335">
            <v>3.9590000000000001</v>
          </cell>
          <cell r="F335">
            <v>3.734</v>
          </cell>
          <cell r="G335">
            <v>3.6890000000000001</v>
          </cell>
          <cell r="H335">
            <v>3.7</v>
          </cell>
          <cell r="I335">
            <v>3.7149999999999999</v>
          </cell>
          <cell r="J335">
            <v>3.7149999999999999</v>
          </cell>
          <cell r="K335">
            <v>3.7120000000000002</v>
          </cell>
          <cell r="L335">
            <v>3.7250000000000001</v>
          </cell>
          <cell r="M335">
            <v>3.883</v>
          </cell>
          <cell r="N335">
            <v>4.0430000000000001</v>
          </cell>
        </row>
        <row r="336">
          <cell r="B336">
            <v>37589</v>
          </cell>
          <cell r="C336">
            <v>4.2549999999999999</v>
          </cell>
          <cell r="D336">
            <v>4.13</v>
          </cell>
          <cell r="E336">
            <v>3.9590000000000001</v>
          </cell>
          <cell r="F336">
            <v>3.734</v>
          </cell>
          <cell r="G336">
            <v>3.6890000000000001</v>
          </cell>
          <cell r="H336">
            <v>3.7</v>
          </cell>
          <cell r="I336">
            <v>3.7149999999999999</v>
          </cell>
          <cell r="J336">
            <v>3.7149999999999999</v>
          </cell>
          <cell r="K336">
            <v>3.7120000000000002</v>
          </cell>
          <cell r="L336">
            <v>3.7250000000000001</v>
          </cell>
          <cell r="M336">
            <v>3.883</v>
          </cell>
          <cell r="N336">
            <v>4.0430000000000001</v>
          </cell>
        </row>
        <row r="337">
          <cell r="B337">
            <v>37590</v>
          </cell>
          <cell r="C337">
            <v>4.2549999999999999</v>
          </cell>
          <cell r="D337">
            <v>4.13</v>
          </cell>
          <cell r="E337">
            <v>3.9590000000000001</v>
          </cell>
          <cell r="F337">
            <v>3.734</v>
          </cell>
          <cell r="G337">
            <v>3.6890000000000001</v>
          </cell>
          <cell r="H337">
            <v>3.7</v>
          </cell>
          <cell r="I337">
            <v>3.7149999999999999</v>
          </cell>
          <cell r="J337">
            <v>3.7149999999999999</v>
          </cell>
          <cell r="K337">
            <v>3.7120000000000002</v>
          </cell>
          <cell r="L337">
            <v>3.7250000000000001</v>
          </cell>
          <cell r="M337">
            <v>3.883</v>
          </cell>
          <cell r="N337">
            <v>4.0430000000000001</v>
          </cell>
        </row>
        <row r="338">
          <cell r="B338">
            <v>37591</v>
          </cell>
          <cell r="C338">
            <v>4.2549999999999999</v>
          </cell>
          <cell r="D338">
            <v>4.13</v>
          </cell>
          <cell r="E338">
            <v>3.9590000000000001</v>
          </cell>
          <cell r="F338">
            <v>3.734</v>
          </cell>
          <cell r="G338">
            <v>3.6890000000000001</v>
          </cell>
          <cell r="H338">
            <v>3.7</v>
          </cell>
          <cell r="I338">
            <v>3.7149999999999999</v>
          </cell>
          <cell r="J338">
            <v>3.7149999999999999</v>
          </cell>
          <cell r="K338">
            <v>3.7120000000000002</v>
          </cell>
          <cell r="L338">
            <v>3.7250000000000001</v>
          </cell>
          <cell r="M338">
            <v>3.883</v>
          </cell>
          <cell r="N338">
            <v>4.0430000000000001</v>
          </cell>
        </row>
        <row r="339">
          <cell r="B339">
            <v>37592</v>
          </cell>
          <cell r="C339">
            <v>4.34</v>
          </cell>
          <cell r="D339">
            <v>4.21</v>
          </cell>
          <cell r="E339">
            <v>4.0339999999999998</v>
          </cell>
          <cell r="F339">
            <v>3.7989999999999999</v>
          </cell>
          <cell r="G339">
            <v>3.7490000000000001</v>
          </cell>
          <cell r="H339">
            <v>3.7490000000000001</v>
          </cell>
          <cell r="I339">
            <v>3.7589999999999999</v>
          </cell>
          <cell r="J339">
            <v>3.7589999999999999</v>
          </cell>
          <cell r="K339">
            <v>3.7559999999999998</v>
          </cell>
          <cell r="L339">
            <v>3.7690000000000001</v>
          </cell>
          <cell r="M339">
            <v>3.927</v>
          </cell>
          <cell r="N339">
            <v>4.0869999999999997</v>
          </cell>
        </row>
        <row r="340">
          <cell r="B340">
            <v>37593</v>
          </cell>
          <cell r="C340">
            <v>4.3029999999999999</v>
          </cell>
          <cell r="D340">
            <v>4.1790000000000003</v>
          </cell>
          <cell r="E340">
            <v>4.0030000000000001</v>
          </cell>
          <cell r="F340">
            <v>3.7679999999999998</v>
          </cell>
          <cell r="G340">
            <v>3.7210000000000001</v>
          </cell>
          <cell r="H340">
            <v>3.7360000000000002</v>
          </cell>
          <cell r="I340">
            <v>3.746</v>
          </cell>
          <cell r="J340">
            <v>3.7530000000000001</v>
          </cell>
          <cell r="K340">
            <v>3.7480000000000002</v>
          </cell>
          <cell r="L340">
            <v>3.766</v>
          </cell>
          <cell r="M340">
            <v>3.9239999999999999</v>
          </cell>
          <cell r="N340">
            <v>4.0979999999999999</v>
          </cell>
        </row>
        <row r="341">
          <cell r="B341">
            <v>37594</v>
          </cell>
          <cell r="C341">
            <v>4.3440000000000003</v>
          </cell>
          <cell r="D341">
            <v>4.2169999999999996</v>
          </cell>
          <cell r="E341">
            <v>4.0339999999999998</v>
          </cell>
          <cell r="F341">
            <v>3.794</v>
          </cell>
          <cell r="G341">
            <v>3.7440000000000002</v>
          </cell>
          <cell r="H341">
            <v>3.7570000000000001</v>
          </cell>
          <cell r="I341">
            <v>3.7669999999999999</v>
          </cell>
          <cell r="J341">
            <v>3.774</v>
          </cell>
          <cell r="K341">
            <v>3.7639999999999998</v>
          </cell>
          <cell r="L341">
            <v>3.786</v>
          </cell>
          <cell r="M341">
            <v>3.944</v>
          </cell>
          <cell r="N341">
            <v>4.1180000000000003</v>
          </cell>
        </row>
        <row r="342">
          <cell r="B342">
            <v>37595</v>
          </cell>
          <cell r="C342">
            <v>4.4349999999999996</v>
          </cell>
          <cell r="D342">
            <v>4.3049999999999997</v>
          </cell>
          <cell r="E342">
            <v>4.12</v>
          </cell>
          <cell r="F342">
            <v>3.87</v>
          </cell>
          <cell r="G342">
            <v>3.82</v>
          </cell>
          <cell r="H342">
            <v>3.8330000000000002</v>
          </cell>
          <cell r="I342">
            <v>3.843</v>
          </cell>
          <cell r="J342">
            <v>3.85</v>
          </cell>
          <cell r="K342">
            <v>3.84</v>
          </cell>
          <cell r="L342">
            <v>3.8620000000000001</v>
          </cell>
          <cell r="M342">
            <v>4.0199999999999996</v>
          </cell>
          <cell r="N342">
            <v>4.194</v>
          </cell>
        </row>
        <row r="343">
          <cell r="B343">
            <v>37596</v>
          </cell>
          <cell r="C343">
            <v>4.4279999999999999</v>
          </cell>
          <cell r="D343">
            <v>4.298</v>
          </cell>
          <cell r="E343">
            <v>4.1130000000000004</v>
          </cell>
          <cell r="F343">
            <v>3.8530000000000002</v>
          </cell>
          <cell r="G343">
            <v>3.7930000000000001</v>
          </cell>
          <cell r="H343">
            <v>3.7930000000000001</v>
          </cell>
          <cell r="I343">
            <v>3.8029999999999999</v>
          </cell>
          <cell r="J343">
            <v>3.8130000000000002</v>
          </cell>
          <cell r="K343">
            <v>3.798</v>
          </cell>
          <cell r="L343">
            <v>3.823</v>
          </cell>
          <cell r="M343">
            <v>3.9809999999999999</v>
          </cell>
          <cell r="N343">
            <v>4.1550000000000002</v>
          </cell>
        </row>
        <row r="344">
          <cell r="B344">
            <v>37597</v>
          </cell>
          <cell r="C344">
            <v>4.4279999999999999</v>
          </cell>
          <cell r="D344">
            <v>4.298</v>
          </cell>
          <cell r="E344">
            <v>4.1130000000000004</v>
          </cell>
          <cell r="F344">
            <v>3.8530000000000002</v>
          </cell>
          <cell r="G344">
            <v>3.7930000000000001</v>
          </cell>
          <cell r="H344">
            <v>3.7930000000000001</v>
          </cell>
          <cell r="I344">
            <v>3.8029999999999999</v>
          </cell>
          <cell r="J344">
            <v>3.8130000000000002</v>
          </cell>
          <cell r="K344">
            <v>3.798</v>
          </cell>
          <cell r="L344">
            <v>3.823</v>
          </cell>
          <cell r="M344">
            <v>3.9809999999999999</v>
          </cell>
          <cell r="N344">
            <v>4.1550000000000002</v>
          </cell>
        </row>
        <row r="345">
          <cell r="B345">
            <v>37598</v>
          </cell>
          <cell r="C345">
            <v>4.4279999999999999</v>
          </cell>
          <cell r="D345">
            <v>4.298</v>
          </cell>
          <cell r="E345">
            <v>4.1130000000000004</v>
          </cell>
          <cell r="F345">
            <v>3.8530000000000002</v>
          </cell>
          <cell r="G345">
            <v>3.7930000000000001</v>
          </cell>
          <cell r="H345">
            <v>3.7930000000000001</v>
          </cell>
          <cell r="I345">
            <v>3.8029999999999999</v>
          </cell>
          <cell r="J345">
            <v>3.8130000000000002</v>
          </cell>
          <cell r="K345">
            <v>3.798</v>
          </cell>
          <cell r="L345">
            <v>3.823</v>
          </cell>
          <cell r="M345">
            <v>3.9809999999999999</v>
          </cell>
          <cell r="N345">
            <v>4.1550000000000002</v>
          </cell>
        </row>
        <row r="346">
          <cell r="B346">
            <v>37599</v>
          </cell>
          <cell r="C346">
            <v>4.4260000000000002</v>
          </cell>
          <cell r="D346">
            <v>4.2960000000000003</v>
          </cell>
          <cell r="E346">
            <v>4.1109999999999998</v>
          </cell>
          <cell r="F346">
            <v>3.8460000000000001</v>
          </cell>
          <cell r="G346">
            <v>3.786</v>
          </cell>
          <cell r="H346">
            <v>3.786</v>
          </cell>
          <cell r="I346">
            <v>3.7959999999999998</v>
          </cell>
          <cell r="J346">
            <v>3.806</v>
          </cell>
          <cell r="K346">
            <v>3.7959999999999998</v>
          </cell>
          <cell r="L346">
            <v>3.8210000000000002</v>
          </cell>
          <cell r="M346">
            <v>3.9790000000000001</v>
          </cell>
          <cell r="N346">
            <v>4.1529999999999996</v>
          </cell>
        </row>
        <row r="347">
          <cell r="B347">
            <v>37600</v>
          </cell>
          <cell r="C347">
            <v>4.5650000000000004</v>
          </cell>
          <cell r="D347">
            <v>4.4349999999999996</v>
          </cell>
          <cell r="E347">
            <v>4.24</v>
          </cell>
          <cell r="F347">
            <v>3.9550000000000001</v>
          </cell>
          <cell r="G347">
            <v>3.88</v>
          </cell>
          <cell r="H347">
            <v>3.87</v>
          </cell>
          <cell r="I347">
            <v>3.88</v>
          </cell>
          <cell r="J347">
            <v>3.895</v>
          </cell>
          <cell r="K347">
            <v>3.8849999999999998</v>
          </cell>
          <cell r="L347">
            <v>3.89</v>
          </cell>
          <cell r="M347">
            <v>4.0549999999999997</v>
          </cell>
          <cell r="N347">
            <v>4.2050000000000001</v>
          </cell>
        </row>
        <row r="348">
          <cell r="B348">
            <v>37601</v>
          </cell>
          <cell r="C348">
            <v>4.5620000000000003</v>
          </cell>
          <cell r="D348">
            <v>4.4290000000000003</v>
          </cell>
          <cell r="E348">
            <v>4.2240000000000002</v>
          </cell>
          <cell r="F348">
            <v>3.9289999999999998</v>
          </cell>
          <cell r="G348">
            <v>3.8540000000000001</v>
          </cell>
          <cell r="H348">
            <v>3.8439999999999999</v>
          </cell>
          <cell r="I348">
            <v>3.8540000000000001</v>
          </cell>
          <cell r="J348">
            <v>3.8690000000000002</v>
          </cell>
          <cell r="K348">
            <v>3.859</v>
          </cell>
          <cell r="L348">
            <v>3.8690000000000002</v>
          </cell>
          <cell r="M348">
            <v>4.0339999999999998</v>
          </cell>
          <cell r="N348">
            <v>4.1890000000000001</v>
          </cell>
        </row>
        <row r="349">
          <cell r="B349">
            <v>37602</v>
          </cell>
          <cell r="C349">
            <v>4.6100000000000003</v>
          </cell>
          <cell r="D349">
            <v>4.49</v>
          </cell>
          <cell r="E349">
            <v>4.2850000000000001</v>
          </cell>
          <cell r="F349">
            <v>3.98</v>
          </cell>
          <cell r="G349">
            <v>3.895</v>
          </cell>
          <cell r="H349">
            <v>3.8820000000000001</v>
          </cell>
          <cell r="I349">
            <v>3.8919999999999999</v>
          </cell>
          <cell r="J349">
            <v>3.907</v>
          </cell>
          <cell r="K349">
            <v>3.8919999999999999</v>
          </cell>
          <cell r="L349">
            <v>3.8690000000000002</v>
          </cell>
          <cell r="M349">
            <v>4.0339999999999998</v>
          </cell>
          <cell r="N349">
            <v>4.1890000000000001</v>
          </cell>
        </row>
        <row r="350">
          <cell r="B350">
            <v>37603</v>
          </cell>
          <cell r="C350">
            <v>4.665</v>
          </cell>
          <cell r="D350">
            <v>4.5419999999999998</v>
          </cell>
          <cell r="E350">
            <v>4.34</v>
          </cell>
          <cell r="F350">
            <v>4.0350000000000001</v>
          </cell>
          <cell r="G350">
            <v>3.95</v>
          </cell>
          <cell r="H350">
            <v>3.9350000000000001</v>
          </cell>
          <cell r="I350">
            <v>3.9449999999999998</v>
          </cell>
          <cell r="J350">
            <v>3.96</v>
          </cell>
          <cell r="K350">
            <v>3.9449999999999998</v>
          </cell>
          <cell r="L350">
            <v>3.9550000000000001</v>
          </cell>
          <cell r="M350">
            <v>4.12</v>
          </cell>
          <cell r="N350">
            <v>4.28</v>
          </cell>
        </row>
        <row r="351">
          <cell r="B351">
            <v>37604</v>
          </cell>
          <cell r="C351">
            <v>4.665</v>
          </cell>
          <cell r="D351">
            <v>4.5419999999999998</v>
          </cell>
          <cell r="E351">
            <v>4.34</v>
          </cell>
          <cell r="F351">
            <v>4.0350000000000001</v>
          </cell>
          <cell r="G351">
            <v>3.95</v>
          </cell>
          <cell r="H351">
            <v>3.9350000000000001</v>
          </cell>
          <cell r="I351">
            <v>3.9449999999999998</v>
          </cell>
          <cell r="J351">
            <v>3.96</v>
          </cell>
          <cell r="K351">
            <v>3.9449999999999998</v>
          </cell>
          <cell r="L351">
            <v>3.9550000000000001</v>
          </cell>
          <cell r="M351">
            <v>4.12</v>
          </cell>
          <cell r="N351">
            <v>4.28</v>
          </cell>
        </row>
        <row r="352">
          <cell r="B352">
            <v>37605</v>
          </cell>
          <cell r="C352">
            <v>4.665</v>
          </cell>
          <cell r="D352">
            <v>4.5419999999999998</v>
          </cell>
          <cell r="E352">
            <v>4.34</v>
          </cell>
          <cell r="F352">
            <v>4.0350000000000001</v>
          </cell>
          <cell r="G352">
            <v>3.95</v>
          </cell>
          <cell r="H352">
            <v>3.9350000000000001</v>
          </cell>
          <cell r="I352">
            <v>3.9449999999999998</v>
          </cell>
          <cell r="J352">
            <v>3.96</v>
          </cell>
          <cell r="K352">
            <v>3.9449999999999998</v>
          </cell>
          <cell r="L352">
            <v>3.9550000000000001</v>
          </cell>
          <cell r="M352">
            <v>4.12</v>
          </cell>
          <cell r="N352">
            <v>4.28</v>
          </cell>
        </row>
        <row r="353">
          <cell r="B353">
            <v>37606</v>
          </cell>
          <cell r="C353">
            <v>4.6219999999999999</v>
          </cell>
          <cell r="D353">
            <v>4.4989999999999997</v>
          </cell>
          <cell r="E353">
            <v>4.2939999999999996</v>
          </cell>
          <cell r="F353">
            <v>3.9790000000000001</v>
          </cell>
          <cell r="G353">
            <v>3.8889999999999998</v>
          </cell>
          <cell r="H353">
            <v>3.8639999999999999</v>
          </cell>
          <cell r="I353">
            <v>3.8690000000000002</v>
          </cell>
          <cell r="J353">
            <v>3.8820000000000001</v>
          </cell>
          <cell r="K353">
            <v>3.867</v>
          </cell>
          <cell r="L353">
            <v>3.8769999999999998</v>
          </cell>
          <cell r="M353">
            <v>4.0419999999999998</v>
          </cell>
          <cell r="N353">
            <v>4.202</v>
          </cell>
        </row>
        <row r="354">
          <cell r="B354">
            <v>37607</v>
          </cell>
          <cell r="C354">
            <v>4.5890000000000004</v>
          </cell>
          <cell r="D354">
            <v>4.4690000000000003</v>
          </cell>
          <cell r="E354">
            <v>4.2640000000000002</v>
          </cell>
          <cell r="F354">
            <v>3.9390000000000001</v>
          </cell>
          <cell r="G354">
            <v>3.8540000000000001</v>
          </cell>
          <cell r="H354">
            <v>3.8290000000000002</v>
          </cell>
          <cell r="I354">
            <v>3.8340000000000001</v>
          </cell>
          <cell r="J354">
            <v>3.8439999999999999</v>
          </cell>
          <cell r="K354">
            <v>3.8290000000000002</v>
          </cell>
          <cell r="L354">
            <v>3.839</v>
          </cell>
          <cell r="M354">
            <v>4.0039999999999996</v>
          </cell>
          <cell r="N354">
            <v>4.1689999999999996</v>
          </cell>
        </row>
        <row r="355">
          <cell r="B355">
            <v>37608</v>
          </cell>
          <cell r="C355">
            <v>4.62</v>
          </cell>
          <cell r="D355">
            <v>4.5</v>
          </cell>
          <cell r="E355">
            <v>4.2949999999999999</v>
          </cell>
          <cell r="F355">
            <v>3.96</v>
          </cell>
          <cell r="G355">
            <v>3.8679999999999999</v>
          </cell>
          <cell r="H355">
            <v>3.8380000000000001</v>
          </cell>
          <cell r="I355">
            <v>3.843</v>
          </cell>
          <cell r="J355">
            <v>3.8530000000000002</v>
          </cell>
          <cell r="K355">
            <v>3.843</v>
          </cell>
          <cell r="L355">
            <v>3.8580000000000001</v>
          </cell>
          <cell r="M355">
            <v>4.0259999999999998</v>
          </cell>
          <cell r="N355">
            <v>4.2</v>
          </cell>
        </row>
        <row r="356">
          <cell r="B356">
            <v>37609</v>
          </cell>
          <cell r="C356">
            <v>4.6479999999999997</v>
          </cell>
          <cell r="D356">
            <v>4.5279999999999996</v>
          </cell>
          <cell r="E356">
            <v>4.3230000000000004</v>
          </cell>
          <cell r="F356">
            <v>4.0030000000000001</v>
          </cell>
          <cell r="G356">
            <v>3.9079999999999999</v>
          </cell>
          <cell r="H356">
            <v>3.8780000000000001</v>
          </cell>
          <cell r="I356">
            <v>3.883</v>
          </cell>
          <cell r="J356">
            <v>3.8929999999999998</v>
          </cell>
          <cell r="K356">
            <v>3.8839999999999999</v>
          </cell>
          <cell r="L356">
            <v>3.9039999999999999</v>
          </cell>
          <cell r="M356">
            <v>4.0720000000000001</v>
          </cell>
          <cell r="N356">
            <v>4.25</v>
          </cell>
        </row>
        <row r="357">
          <cell r="B357">
            <v>37610</v>
          </cell>
          <cell r="C357">
            <v>4.7350000000000003</v>
          </cell>
          <cell r="D357">
            <v>4.6150000000000002</v>
          </cell>
          <cell r="E357">
            <v>4.4000000000000004</v>
          </cell>
          <cell r="F357">
            <v>4.0599999999999996</v>
          </cell>
          <cell r="G357">
            <v>3.95</v>
          </cell>
          <cell r="H357">
            <v>3.915</v>
          </cell>
          <cell r="I357">
            <v>3.915</v>
          </cell>
          <cell r="J357">
            <v>3.9249999999999998</v>
          </cell>
          <cell r="K357">
            <v>3.9159999999999999</v>
          </cell>
          <cell r="L357">
            <v>3.9359999999999999</v>
          </cell>
          <cell r="M357">
            <v>4.0990000000000002</v>
          </cell>
          <cell r="N357">
            <v>4.2690000000000001</v>
          </cell>
        </row>
        <row r="358">
          <cell r="B358">
            <v>37611</v>
          </cell>
          <cell r="C358">
            <v>4.7350000000000003</v>
          </cell>
          <cell r="D358">
            <v>4.6150000000000002</v>
          </cell>
          <cell r="E358">
            <v>4.4000000000000004</v>
          </cell>
          <cell r="F358">
            <v>4.0599999999999996</v>
          </cell>
          <cell r="G358">
            <v>3.95</v>
          </cell>
          <cell r="H358">
            <v>3.915</v>
          </cell>
          <cell r="I358">
            <v>3.915</v>
          </cell>
          <cell r="J358">
            <v>3.9249999999999998</v>
          </cell>
          <cell r="K358">
            <v>3.9159999999999999</v>
          </cell>
          <cell r="L358">
            <v>3.9359999999999999</v>
          </cell>
          <cell r="M358">
            <v>4.0990000000000002</v>
          </cell>
          <cell r="N358">
            <v>4.2690000000000001</v>
          </cell>
        </row>
        <row r="359">
          <cell r="B359">
            <v>37612</v>
          </cell>
          <cell r="C359">
            <v>4.7350000000000003</v>
          </cell>
          <cell r="D359">
            <v>4.6150000000000002</v>
          </cell>
          <cell r="E359">
            <v>4.4000000000000004</v>
          </cell>
          <cell r="F359">
            <v>4.0599999999999996</v>
          </cell>
          <cell r="G359">
            <v>3.95</v>
          </cell>
          <cell r="H359">
            <v>3.915</v>
          </cell>
          <cell r="I359">
            <v>3.915</v>
          </cell>
          <cell r="J359">
            <v>3.9249999999999998</v>
          </cell>
          <cell r="K359">
            <v>3.9159999999999999</v>
          </cell>
          <cell r="L359">
            <v>3.9359999999999999</v>
          </cell>
          <cell r="M359">
            <v>4.0990000000000002</v>
          </cell>
          <cell r="N359">
            <v>4.2690000000000001</v>
          </cell>
        </row>
        <row r="360">
          <cell r="B360">
            <v>37613</v>
          </cell>
          <cell r="C360">
            <v>4.7590000000000003</v>
          </cell>
          <cell r="D360">
            <v>4.6440000000000001</v>
          </cell>
          <cell r="E360">
            <v>4.4240000000000004</v>
          </cell>
          <cell r="F360">
            <v>4.0739999999999998</v>
          </cell>
          <cell r="G360">
            <v>3.9689999999999999</v>
          </cell>
          <cell r="H360">
            <v>3.9340000000000002</v>
          </cell>
          <cell r="I360">
            <v>3.9289999999999998</v>
          </cell>
          <cell r="J360">
            <v>3.9289999999999998</v>
          </cell>
          <cell r="K360">
            <v>3.92</v>
          </cell>
          <cell r="L360">
            <v>3.94</v>
          </cell>
          <cell r="M360">
            <v>4.093</v>
          </cell>
          <cell r="N360">
            <v>4.2610000000000001</v>
          </cell>
        </row>
        <row r="361">
          <cell r="B361">
            <v>37614</v>
          </cell>
          <cell r="C361">
            <v>4.7839999999999998</v>
          </cell>
          <cell r="D361">
            <v>4.6689999999999996</v>
          </cell>
          <cell r="E361">
            <v>4.4489999999999998</v>
          </cell>
          <cell r="F361">
            <v>4.0990000000000002</v>
          </cell>
          <cell r="G361">
            <v>3.9940000000000002</v>
          </cell>
          <cell r="H361">
            <v>3.9590000000000001</v>
          </cell>
          <cell r="I361">
            <v>3.9540000000000002</v>
          </cell>
          <cell r="J361">
            <v>3.9540000000000002</v>
          </cell>
          <cell r="K361">
            <v>3.944</v>
          </cell>
          <cell r="L361">
            <v>3.9590000000000001</v>
          </cell>
          <cell r="M361">
            <v>4.1059999999999999</v>
          </cell>
          <cell r="N361">
            <v>4.2709999999999999</v>
          </cell>
        </row>
        <row r="362">
          <cell r="B362">
            <v>37615</v>
          </cell>
          <cell r="C362">
            <v>4.7839999999999998</v>
          </cell>
          <cell r="D362">
            <v>4.6689999999999996</v>
          </cell>
          <cell r="E362">
            <v>4.4489999999999998</v>
          </cell>
          <cell r="F362">
            <v>4.0990000000000002</v>
          </cell>
          <cell r="G362">
            <v>3.9940000000000002</v>
          </cell>
          <cell r="H362">
            <v>3.9590000000000001</v>
          </cell>
          <cell r="I362">
            <v>3.9540000000000002</v>
          </cell>
          <cell r="J362">
            <v>3.9540000000000002</v>
          </cell>
          <cell r="K362">
            <v>3.944</v>
          </cell>
          <cell r="L362">
            <v>3.9590000000000001</v>
          </cell>
          <cell r="M362">
            <v>4.1059999999999999</v>
          </cell>
          <cell r="N362">
            <v>4.2709999999999999</v>
          </cell>
        </row>
        <row r="363">
          <cell r="B363">
            <v>37616</v>
          </cell>
          <cell r="C363">
            <v>4.7919999999999998</v>
          </cell>
          <cell r="D363">
            <v>4.6870000000000003</v>
          </cell>
          <cell r="E363">
            <v>4.4720000000000004</v>
          </cell>
          <cell r="F363">
            <v>4.1319999999999997</v>
          </cell>
          <cell r="G363">
            <v>4.032</v>
          </cell>
          <cell r="H363">
            <v>3.9969999999999999</v>
          </cell>
          <cell r="I363">
            <v>4.0019999999999998</v>
          </cell>
          <cell r="J363">
            <v>4.0069999999999997</v>
          </cell>
          <cell r="K363">
            <v>3.9969999999999999</v>
          </cell>
          <cell r="L363">
            <v>4.0119999999999996</v>
          </cell>
          <cell r="M363">
            <v>4.149</v>
          </cell>
          <cell r="N363">
            <v>4.3090000000000002</v>
          </cell>
        </row>
        <row r="364">
          <cell r="B364">
            <v>37617</v>
          </cell>
          <cell r="C364">
            <v>4.88</v>
          </cell>
          <cell r="D364">
            <v>4.7699999999999996</v>
          </cell>
          <cell r="E364">
            <v>4.5549999999999997</v>
          </cell>
          <cell r="F364">
            <v>4.21</v>
          </cell>
          <cell r="G364">
            <v>4.0750000000000002</v>
          </cell>
          <cell r="H364">
            <v>4.0250000000000004</v>
          </cell>
          <cell r="I364">
            <v>4.0149999999999997</v>
          </cell>
          <cell r="J364">
            <v>4.0149999999999997</v>
          </cell>
          <cell r="K364">
            <v>3.9950000000000001</v>
          </cell>
          <cell r="L364">
            <v>4.01</v>
          </cell>
          <cell r="M364">
            <v>4.16</v>
          </cell>
          <cell r="N364">
            <v>4.3129999999999997</v>
          </cell>
        </row>
        <row r="365">
          <cell r="B365">
            <v>37618</v>
          </cell>
          <cell r="C365">
            <v>4.88</v>
          </cell>
          <cell r="D365">
            <v>4.7699999999999996</v>
          </cell>
          <cell r="E365">
            <v>4.5549999999999997</v>
          </cell>
          <cell r="F365">
            <v>4.21</v>
          </cell>
          <cell r="G365">
            <v>4.0750000000000002</v>
          </cell>
          <cell r="H365">
            <v>4.0250000000000004</v>
          </cell>
          <cell r="I365">
            <v>4.0149999999999997</v>
          </cell>
          <cell r="J365">
            <v>4.0149999999999997</v>
          </cell>
          <cell r="K365">
            <v>3.9950000000000001</v>
          </cell>
          <cell r="L365">
            <v>4.01</v>
          </cell>
          <cell r="M365">
            <v>4.16</v>
          </cell>
          <cell r="N365">
            <v>4.3129999999999997</v>
          </cell>
        </row>
        <row r="366">
          <cell r="B366">
            <v>37619</v>
          </cell>
          <cell r="C366">
            <v>4.88</v>
          </cell>
          <cell r="D366">
            <v>4.7699999999999996</v>
          </cell>
          <cell r="E366">
            <v>4.5549999999999997</v>
          </cell>
          <cell r="F366">
            <v>4.21</v>
          </cell>
          <cell r="G366">
            <v>4.0750000000000002</v>
          </cell>
          <cell r="H366">
            <v>4.0250000000000004</v>
          </cell>
          <cell r="I366">
            <v>4.0149999999999997</v>
          </cell>
          <cell r="J366">
            <v>4.0149999999999997</v>
          </cell>
          <cell r="K366">
            <v>3.9950000000000001</v>
          </cell>
          <cell r="L366">
            <v>4.01</v>
          </cell>
          <cell r="M366">
            <v>4.16</v>
          </cell>
          <cell r="N366">
            <v>4.3129999999999997</v>
          </cell>
        </row>
        <row r="367">
          <cell r="B367">
            <v>37620</v>
          </cell>
          <cell r="C367">
            <v>4.8120000000000003</v>
          </cell>
          <cell r="D367">
            <v>4.7030000000000003</v>
          </cell>
          <cell r="E367">
            <v>4.5030000000000001</v>
          </cell>
          <cell r="F367">
            <v>4.1680000000000001</v>
          </cell>
          <cell r="G367">
            <v>4.0579999999999998</v>
          </cell>
          <cell r="H367">
            <v>4.0229999999999997</v>
          </cell>
          <cell r="I367">
            <v>4.0279999999999996</v>
          </cell>
          <cell r="J367">
            <v>4.0330000000000004</v>
          </cell>
          <cell r="K367">
            <v>4.0229999999999997</v>
          </cell>
          <cell r="L367">
            <v>4.0430000000000001</v>
          </cell>
          <cell r="M367">
            <v>4.1929999999999996</v>
          </cell>
          <cell r="N367">
            <v>4.3529999999999998</v>
          </cell>
        </row>
        <row r="368">
          <cell r="B368">
            <v>37621</v>
          </cell>
          <cell r="C368">
            <v>4.8090000000000002</v>
          </cell>
          <cell r="D368">
            <v>4.7039999999999997</v>
          </cell>
          <cell r="E368">
            <v>4.5090000000000003</v>
          </cell>
          <cell r="F368">
            <v>4.1790000000000003</v>
          </cell>
          <cell r="G368">
            <v>4.069</v>
          </cell>
          <cell r="H368">
            <v>4.0389999999999997</v>
          </cell>
          <cell r="I368">
            <v>4.0439999999999996</v>
          </cell>
          <cell r="J368">
            <v>4.0490000000000004</v>
          </cell>
          <cell r="K368">
            <v>4.0289999999999999</v>
          </cell>
          <cell r="L368">
            <v>4.0439999999999996</v>
          </cell>
          <cell r="M368">
            <v>4.1959999999999997</v>
          </cell>
          <cell r="N368">
            <v>4.3479999999999999</v>
          </cell>
        </row>
        <row r="369">
          <cell r="B369">
            <v>37622</v>
          </cell>
          <cell r="C369">
            <v>4.8090000000000002</v>
          </cell>
          <cell r="D369">
            <v>4.7039999999999997</v>
          </cell>
          <cell r="E369">
            <v>4.5090000000000003</v>
          </cell>
          <cell r="F369">
            <v>4.1790000000000003</v>
          </cell>
          <cell r="G369">
            <v>4.069</v>
          </cell>
          <cell r="H369">
            <v>4.0389999999999997</v>
          </cell>
          <cell r="I369">
            <v>4.0439999999999996</v>
          </cell>
          <cell r="J369">
            <v>4.0490000000000004</v>
          </cell>
          <cell r="K369">
            <v>4.0289999999999999</v>
          </cell>
          <cell r="L369">
            <v>4.0439999999999996</v>
          </cell>
          <cell r="M369">
            <v>4.1959999999999997</v>
          </cell>
          <cell r="N369">
            <v>4.3479999999999999</v>
          </cell>
        </row>
        <row r="370">
          <cell r="B370">
            <v>37623</v>
          </cell>
          <cell r="C370">
            <v>4.9909999999999997</v>
          </cell>
          <cell r="D370">
            <v>4.8710000000000004</v>
          </cell>
          <cell r="E370">
            <v>4.6580000000000004</v>
          </cell>
          <cell r="F370">
            <v>4.2930000000000001</v>
          </cell>
          <cell r="G370">
            <v>4.173</v>
          </cell>
          <cell r="H370">
            <v>4.133</v>
          </cell>
          <cell r="I370">
            <v>4.1379999999999999</v>
          </cell>
          <cell r="J370">
            <v>4.1529999999999996</v>
          </cell>
          <cell r="K370">
            <v>4.133</v>
          </cell>
          <cell r="L370">
            <v>4.1479999999999997</v>
          </cell>
          <cell r="M370">
            <v>4.2779999999999996</v>
          </cell>
          <cell r="N370">
            <v>4.41</v>
          </cell>
        </row>
        <row r="371">
          <cell r="B371">
            <v>37624</v>
          </cell>
          <cell r="C371">
            <v>5.0529999999999999</v>
          </cell>
          <cell r="D371">
            <v>4.9329999999999998</v>
          </cell>
          <cell r="E371">
            <v>4.72</v>
          </cell>
          <cell r="F371">
            <v>4.335</v>
          </cell>
          <cell r="G371">
            <v>4.2</v>
          </cell>
          <cell r="H371">
            <v>4.16</v>
          </cell>
          <cell r="I371">
            <v>4.165</v>
          </cell>
          <cell r="J371">
            <v>4.1680000000000001</v>
          </cell>
          <cell r="K371">
            <v>4.1479999999999997</v>
          </cell>
          <cell r="L371">
            <v>4.1630000000000003</v>
          </cell>
          <cell r="M371">
            <v>4.2930000000000001</v>
          </cell>
          <cell r="N371">
            <v>4.4249999999999998</v>
          </cell>
        </row>
        <row r="372">
          <cell r="B372">
            <v>37625</v>
          </cell>
          <cell r="C372">
            <v>5.0529999999999999</v>
          </cell>
          <cell r="D372">
            <v>4.9329999999999998</v>
          </cell>
          <cell r="E372">
            <v>4.72</v>
          </cell>
          <cell r="F372">
            <v>4.335</v>
          </cell>
          <cell r="G372">
            <v>4.2</v>
          </cell>
          <cell r="H372">
            <v>4.16</v>
          </cell>
          <cell r="I372">
            <v>4.165</v>
          </cell>
          <cell r="J372">
            <v>4.1680000000000001</v>
          </cell>
          <cell r="K372">
            <v>4.1479999999999997</v>
          </cell>
          <cell r="L372">
            <v>4.1630000000000003</v>
          </cell>
          <cell r="M372">
            <v>4.2930000000000001</v>
          </cell>
          <cell r="N372">
            <v>4.4249999999999998</v>
          </cell>
        </row>
        <row r="373">
          <cell r="B373">
            <v>37626</v>
          </cell>
          <cell r="C373">
            <v>5.0529999999999999</v>
          </cell>
          <cell r="D373">
            <v>4.9329999999999998</v>
          </cell>
          <cell r="E373">
            <v>4.72</v>
          </cell>
          <cell r="F373">
            <v>4.335</v>
          </cell>
          <cell r="G373">
            <v>4.2</v>
          </cell>
          <cell r="H373">
            <v>4.16</v>
          </cell>
          <cell r="I373">
            <v>4.165</v>
          </cell>
          <cell r="J373">
            <v>4.1680000000000001</v>
          </cell>
          <cell r="K373">
            <v>4.1479999999999997</v>
          </cell>
          <cell r="L373">
            <v>4.1630000000000003</v>
          </cell>
          <cell r="M373">
            <v>4.2930000000000001</v>
          </cell>
          <cell r="N373">
            <v>4.4249999999999998</v>
          </cell>
        </row>
        <row r="374">
          <cell r="B374">
            <v>37627</v>
          </cell>
          <cell r="C374">
            <v>4.9630000000000001</v>
          </cell>
          <cell r="D374">
            <v>4.851</v>
          </cell>
          <cell r="E374">
            <v>4.6509999999999998</v>
          </cell>
          <cell r="F374">
            <v>4.3019999999999996</v>
          </cell>
          <cell r="G374">
            <v>4.1820000000000004</v>
          </cell>
          <cell r="H374">
            <v>4.1420000000000003</v>
          </cell>
          <cell r="I374">
            <v>4.1470000000000002</v>
          </cell>
          <cell r="J374">
            <v>4.1500000000000004</v>
          </cell>
          <cell r="K374">
            <v>4.13</v>
          </cell>
          <cell r="L374">
            <v>4.1449999999999996</v>
          </cell>
          <cell r="M374">
            <v>4.2699999999999996</v>
          </cell>
          <cell r="N374">
            <v>4.3970000000000002</v>
          </cell>
        </row>
        <row r="375">
          <cell r="B375">
            <v>37628</v>
          </cell>
          <cell r="C375">
            <v>5.0599999999999996</v>
          </cell>
          <cell r="D375">
            <v>4.9450000000000003</v>
          </cell>
          <cell r="E375">
            <v>4.7350000000000003</v>
          </cell>
          <cell r="F375">
            <v>4.3849999999999998</v>
          </cell>
          <cell r="G375">
            <v>4.2350000000000003</v>
          </cell>
          <cell r="H375">
            <v>4.1950000000000003</v>
          </cell>
          <cell r="I375">
            <v>4.2050000000000001</v>
          </cell>
          <cell r="J375">
            <v>4.2149999999999999</v>
          </cell>
          <cell r="K375">
            <v>4.1950000000000003</v>
          </cell>
          <cell r="L375">
            <v>4.2</v>
          </cell>
          <cell r="M375">
            <v>4.3250000000000002</v>
          </cell>
          <cell r="N375">
            <v>4.46</v>
          </cell>
        </row>
        <row r="376">
          <cell r="B376">
            <v>37629</v>
          </cell>
          <cell r="C376">
            <v>5.0730000000000004</v>
          </cell>
          <cell r="D376">
            <v>4.9530000000000003</v>
          </cell>
          <cell r="E376">
            <v>4.7380000000000004</v>
          </cell>
          <cell r="F376">
            <v>4.3879999999999999</v>
          </cell>
          <cell r="G376">
            <v>4.2380000000000004</v>
          </cell>
          <cell r="H376">
            <v>4.1980000000000004</v>
          </cell>
          <cell r="I376">
            <v>4.2080000000000002</v>
          </cell>
          <cell r="J376">
            <v>4.218</v>
          </cell>
          <cell r="K376">
            <v>4.1980000000000004</v>
          </cell>
          <cell r="L376">
            <v>4.202</v>
          </cell>
          <cell r="M376">
            <v>4.327</v>
          </cell>
          <cell r="N376">
            <v>4.4619999999999997</v>
          </cell>
        </row>
        <row r="377">
          <cell r="B377">
            <v>37630</v>
          </cell>
          <cell r="C377">
            <v>5.1360000000000001</v>
          </cell>
          <cell r="D377">
            <v>5.016</v>
          </cell>
          <cell r="E377">
            <v>4.8109999999999999</v>
          </cell>
          <cell r="F377">
            <v>4.4610000000000003</v>
          </cell>
          <cell r="G377">
            <v>4.3209999999999997</v>
          </cell>
          <cell r="H377">
            <v>4.2809999999999997</v>
          </cell>
          <cell r="I377">
            <v>4.2809999999999997</v>
          </cell>
          <cell r="J377">
            <v>4.2809999999999997</v>
          </cell>
          <cell r="K377">
            <v>4.2610000000000001</v>
          </cell>
          <cell r="L377">
            <v>4.2649999999999997</v>
          </cell>
          <cell r="M377">
            <v>4.3949999999999996</v>
          </cell>
          <cell r="N377">
            <v>4.53</v>
          </cell>
        </row>
        <row r="378">
          <cell r="B378">
            <v>37631</v>
          </cell>
          <cell r="C378">
            <v>5.0270000000000001</v>
          </cell>
          <cell r="D378">
            <v>4.8970000000000002</v>
          </cell>
          <cell r="E378">
            <v>4.6950000000000003</v>
          </cell>
          <cell r="F378">
            <v>4.3449999999999998</v>
          </cell>
          <cell r="G378">
            <v>4.2</v>
          </cell>
          <cell r="H378">
            <v>4.16</v>
          </cell>
          <cell r="I378">
            <v>4.16</v>
          </cell>
          <cell r="J378">
            <v>4.16</v>
          </cell>
          <cell r="K378">
            <v>4.1399999999999997</v>
          </cell>
          <cell r="L378">
            <v>4.1390000000000002</v>
          </cell>
          <cell r="M378">
            <v>4.2690000000000001</v>
          </cell>
          <cell r="N378">
            <v>4.4039999999999999</v>
          </cell>
        </row>
        <row r="379">
          <cell r="B379">
            <v>37632</v>
          </cell>
          <cell r="C379">
            <v>5.0270000000000001</v>
          </cell>
          <cell r="D379">
            <v>4.8970000000000002</v>
          </cell>
          <cell r="E379">
            <v>4.6950000000000003</v>
          </cell>
          <cell r="F379">
            <v>4.3449999999999998</v>
          </cell>
          <cell r="G379">
            <v>4.2</v>
          </cell>
          <cell r="H379">
            <v>4.16</v>
          </cell>
          <cell r="I379">
            <v>4.16</v>
          </cell>
          <cell r="J379">
            <v>4.16</v>
          </cell>
          <cell r="K379">
            <v>4.1399999999999997</v>
          </cell>
          <cell r="L379">
            <v>4.1390000000000002</v>
          </cell>
          <cell r="M379">
            <v>4.2690000000000001</v>
          </cell>
          <cell r="N379">
            <v>4.4039999999999999</v>
          </cell>
        </row>
        <row r="380">
          <cell r="B380">
            <v>37633</v>
          </cell>
          <cell r="C380">
            <v>5.0270000000000001</v>
          </cell>
          <cell r="D380">
            <v>4.8970000000000002</v>
          </cell>
          <cell r="E380">
            <v>4.6950000000000003</v>
          </cell>
          <cell r="F380">
            <v>4.3449999999999998</v>
          </cell>
          <cell r="G380">
            <v>4.2</v>
          </cell>
          <cell r="H380">
            <v>4.16</v>
          </cell>
          <cell r="I380">
            <v>4.16</v>
          </cell>
          <cell r="J380">
            <v>4.16</v>
          </cell>
          <cell r="K380">
            <v>4.1399999999999997</v>
          </cell>
          <cell r="L380">
            <v>4.1390000000000002</v>
          </cell>
          <cell r="M380">
            <v>4.2690000000000001</v>
          </cell>
          <cell r="N380">
            <v>4.4039999999999999</v>
          </cell>
        </row>
        <row r="381">
          <cell r="B381">
            <v>37634</v>
          </cell>
          <cell r="C381">
            <v>5.0190000000000001</v>
          </cell>
          <cell r="D381">
            <v>4.891</v>
          </cell>
          <cell r="E381">
            <v>4.6840000000000002</v>
          </cell>
          <cell r="F381">
            <v>4.3239999999999998</v>
          </cell>
          <cell r="G381">
            <v>4.1790000000000003</v>
          </cell>
          <cell r="H381">
            <v>4.1390000000000002</v>
          </cell>
          <cell r="I381">
            <v>4.1390000000000002</v>
          </cell>
          <cell r="J381">
            <v>4.1440000000000001</v>
          </cell>
          <cell r="K381">
            <v>4.1189999999999998</v>
          </cell>
          <cell r="L381">
            <v>4.1289999999999996</v>
          </cell>
          <cell r="M381">
            <v>4.2640000000000002</v>
          </cell>
          <cell r="N381">
            <v>4.3879999999999999</v>
          </cell>
        </row>
        <row r="382">
          <cell r="B382">
            <v>37635</v>
          </cell>
          <cell r="C382">
            <v>5.008</v>
          </cell>
          <cell r="D382">
            <v>4.8879999999999999</v>
          </cell>
          <cell r="E382">
            <v>4.6779999999999999</v>
          </cell>
          <cell r="F382">
            <v>4.3280000000000003</v>
          </cell>
          <cell r="G382">
            <v>4.1959999999999997</v>
          </cell>
          <cell r="H382">
            <v>4.1459999999999999</v>
          </cell>
          <cell r="I382">
            <v>4.1459999999999999</v>
          </cell>
          <cell r="J382">
            <v>4.1459999999999999</v>
          </cell>
          <cell r="K382">
            <v>4.1260000000000003</v>
          </cell>
          <cell r="L382">
            <v>4.141</v>
          </cell>
          <cell r="M382">
            <v>4.2759999999999998</v>
          </cell>
          <cell r="N382">
            <v>4.4009999999999998</v>
          </cell>
        </row>
        <row r="383">
          <cell r="B383">
            <v>37636</v>
          </cell>
          <cell r="C383">
            <v>5.1109999999999998</v>
          </cell>
          <cell r="D383">
            <v>4.9800000000000004</v>
          </cell>
          <cell r="E383">
            <v>4.7649999999999997</v>
          </cell>
          <cell r="F383">
            <v>4.3899999999999997</v>
          </cell>
          <cell r="G383">
            <v>4.2450000000000001</v>
          </cell>
          <cell r="H383">
            <v>4.1950000000000003</v>
          </cell>
          <cell r="I383">
            <v>4.1950000000000003</v>
          </cell>
          <cell r="J383">
            <v>4.1950000000000003</v>
          </cell>
          <cell r="K383">
            <v>4.1749999999999998</v>
          </cell>
          <cell r="L383">
            <v>4.1900000000000004</v>
          </cell>
          <cell r="M383">
            <v>4.33</v>
          </cell>
          <cell r="N383">
            <v>4.47</v>
          </cell>
        </row>
        <row r="384">
          <cell r="B384">
            <v>37637</v>
          </cell>
          <cell r="C384">
            <v>5.165</v>
          </cell>
          <cell r="D384">
            <v>5.0250000000000004</v>
          </cell>
          <cell r="E384">
            <v>4.8049999999999997</v>
          </cell>
          <cell r="F384">
            <v>4.4249999999999998</v>
          </cell>
          <cell r="G384">
            <v>4.2750000000000004</v>
          </cell>
          <cell r="H384">
            <v>4.22</v>
          </cell>
          <cell r="I384">
            <v>4.22</v>
          </cell>
          <cell r="J384">
            <v>4.2249999999999996</v>
          </cell>
          <cell r="K384">
            <v>4.2149999999999999</v>
          </cell>
          <cell r="L384">
            <v>4.2300000000000004</v>
          </cell>
          <cell r="M384">
            <v>4.3600000000000003</v>
          </cell>
          <cell r="N384">
            <v>4.4850000000000003</v>
          </cell>
        </row>
        <row r="385">
          <cell r="B385">
            <v>37638</v>
          </cell>
          <cell r="C385">
            <v>5.1479999999999997</v>
          </cell>
          <cell r="D385">
            <v>5.0129999999999999</v>
          </cell>
          <cell r="E385">
            <v>4.798</v>
          </cell>
          <cell r="F385">
            <v>4.4279999999999999</v>
          </cell>
          <cell r="G385">
            <v>4.2880000000000003</v>
          </cell>
          <cell r="H385">
            <v>4.2329999999999997</v>
          </cell>
          <cell r="I385">
            <v>4.2329999999999997</v>
          </cell>
          <cell r="J385">
            <v>4.2279999999999998</v>
          </cell>
          <cell r="K385">
            <v>4.2080000000000002</v>
          </cell>
          <cell r="L385">
            <v>4.2229999999999999</v>
          </cell>
          <cell r="M385">
            <v>4.3479999999999999</v>
          </cell>
          <cell r="N385">
            <v>4.468</v>
          </cell>
        </row>
        <row r="386">
          <cell r="B386">
            <v>37639</v>
          </cell>
          <cell r="C386">
            <v>5.1479999999999997</v>
          </cell>
          <cell r="D386">
            <v>5.0129999999999999</v>
          </cell>
          <cell r="E386">
            <v>4.798</v>
          </cell>
          <cell r="F386">
            <v>4.4279999999999999</v>
          </cell>
          <cell r="G386">
            <v>4.2880000000000003</v>
          </cell>
          <cell r="H386">
            <v>4.2329999999999997</v>
          </cell>
          <cell r="I386">
            <v>4.2329999999999997</v>
          </cell>
          <cell r="J386">
            <v>4.2279999999999998</v>
          </cell>
          <cell r="K386">
            <v>4.2080000000000002</v>
          </cell>
          <cell r="L386">
            <v>4.2229999999999999</v>
          </cell>
          <cell r="M386">
            <v>4.3479999999999999</v>
          </cell>
          <cell r="N386">
            <v>4.468</v>
          </cell>
        </row>
        <row r="387">
          <cell r="B387">
            <v>37640</v>
          </cell>
          <cell r="C387">
            <v>5.1479999999999997</v>
          </cell>
          <cell r="D387">
            <v>5.0129999999999999</v>
          </cell>
          <cell r="E387">
            <v>4.798</v>
          </cell>
          <cell r="F387">
            <v>4.4279999999999999</v>
          </cell>
          <cell r="G387">
            <v>4.2880000000000003</v>
          </cell>
          <cell r="H387">
            <v>4.2329999999999997</v>
          </cell>
          <cell r="I387">
            <v>4.2329999999999997</v>
          </cell>
          <cell r="J387">
            <v>4.2279999999999998</v>
          </cell>
          <cell r="K387">
            <v>4.2080000000000002</v>
          </cell>
          <cell r="L387">
            <v>4.2229999999999999</v>
          </cell>
          <cell r="M387">
            <v>4.3479999999999999</v>
          </cell>
          <cell r="N387">
            <v>4.468</v>
          </cell>
        </row>
        <row r="388">
          <cell r="B388">
            <v>37641</v>
          </cell>
          <cell r="C388">
            <v>5.1479999999999997</v>
          </cell>
          <cell r="D388">
            <v>5.0129999999999999</v>
          </cell>
          <cell r="E388">
            <v>4.798</v>
          </cell>
          <cell r="F388">
            <v>4.4279999999999999</v>
          </cell>
          <cell r="G388">
            <v>4.2880000000000003</v>
          </cell>
          <cell r="H388">
            <v>4.2329999999999997</v>
          </cell>
          <cell r="I388">
            <v>4.2329999999999997</v>
          </cell>
          <cell r="J388">
            <v>4.2279999999999998</v>
          </cell>
          <cell r="K388">
            <v>4.2080000000000002</v>
          </cell>
          <cell r="L388">
            <v>4.2229999999999999</v>
          </cell>
          <cell r="M388">
            <v>4.3479999999999999</v>
          </cell>
          <cell r="N388">
            <v>4.468</v>
          </cell>
        </row>
        <row r="389">
          <cell r="B389">
            <v>37642</v>
          </cell>
          <cell r="C389">
            <v>5.13</v>
          </cell>
          <cell r="D389">
            <v>4.9950000000000001</v>
          </cell>
          <cell r="E389">
            <v>4.78</v>
          </cell>
          <cell r="F389">
            <v>4.4130000000000003</v>
          </cell>
          <cell r="G389">
            <v>4.2729999999999997</v>
          </cell>
          <cell r="H389">
            <v>4.2229999999999999</v>
          </cell>
          <cell r="I389">
            <v>4.2229999999999999</v>
          </cell>
          <cell r="J389">
            <v>4.2229999999999999</v>
          </cell>
          <cell r="K389">
            <v>4.2030000000000003</v>
          </cell>
          <cell r="L389">
            <v>4.218</v>
          </cell>
          <cell r="M389">
            <v>4.343</v>
          </cell>
          <cell r="N389">
            <v>4.468</v>
          </cell>
        </row>
        <row r="390">
          <cell r="B390">
            <v>37643</v>
          </cell>
          <cell r="C390">
            <v>5.18</v>
          </cell>
          <cell r="D390">
            <v>5.0350000000000001</v>
          </cell>
          <cell r="E390">
            <v>4.8150000000000004</v>
          </cell>
          <cell r="F390">
            <v>4.4450000000000003</v>
          </cell>
          <cell r="G390">
            <v>4.3049999999999997</v>
          </cell>
          <cell r="H390">
            <v>4.2549999999999999</v>
          </cell>
          <cell r="I390">
            <v>4.24</v>
          </cell>
          <cell r="J390">
            <v>4.24</v>
          </cell>
          <cell r="K390">
            <v>4.2149999999999999</v>
          </cell>
          <cell r="L390">
            <v>4.2249999999999996</v>
          </cell>
          <cell r="M390">
            <v>4.3449999999999998</v>
          </cell>
          <cell r="N390">
            <v>4.4649999999999999</v>
          </cell>
        </row>
        <row r="391">
          <cell r="B391">
            <v>37644</v>
          </cell>
          <cell r="C391">
            <v>5.1319999999999997</v>
          </cell>
          <cell r="D391">
            <v>4.992</v>
          </cell>
          <cell r="E391">
            <v>4.7770000000000001</v>
          </cell>
          <cell r="F391">
            <v>4.4169999999999998</v>
          </cell>
          <cell r="G391">
            <v>4.282</v>
          </cell>
          <cell r="H391">
            <v>4.2370000000000001</v>
          </cell>
          <cell r="I391">
            <v>4.2220000000000004</v>
          </cell>
          <cell r="J391">
            <v>4.2220000000000004</v>
          </cell>
          <cell r="K391">
            <v>4.1970000000000001</v>
          </cell>
          <cell r="L391">
            <v>4.2119999999999997</v>
          </cell>
          <cell r="M391">
            <v>4.3419999999999996</v>
          </cell>
          <cell r="N391">
            <v>4.4669999999999996</v>
          </cell>
        </row>
        <row r="392">
          <cell r="B392">
            <v>37645</v>
          </cell>
          <cell r="C392">
            <v>5.0869999999999997</v>
          </cell>
          <cell r="D392">
            <v>4.9450000000000003</v>
          </cell>
          <cell r="E392">
            <v>4.72</v>
          </cell>
          <cell r="F392">
            <v>4.3550000000000004</v>
          </cell>
          <cell r="G392">
            <v>4.2149999999999999</v>
          </cell>
          <cell r="H392">
            <v>4.1749999999999998</v>
          </cell>
          <cell r="I392">
            <v>4.165</v>
          </cell>
          <cell r="J392">
            <v>4.1749999999999998</v>
          </cell>
          <cell r="K392">
            <v>4.1500000000000004</v>
          </cell>
          <cell r="L392">
            <v>4.165</v>
          </cell>
          <cell r="M392">
            <v>4.2949999999999999</v>
          </cell>
          <cell r="N392">
            <v>4.42</v>
          </cell>
        </row>
        <row r="393">
          <cell r="B393">
            <v>37646</v>
          </cell>
          <cell r="C393">
            <v>5.0869999999999997</v>
          </cell>
          <cell r="D393">
            <v>4.9450000000000003</v>
          </cell>
          <cell r="E393">
            <v>4.72</v>
          </cell>
          <cell r="F393">
            <v>4.3550000000000004</v>
          </cell>
          <cell r="G393">
            <v>4.2149999999999999</v>
          </cell>
          <cell r="H393">
            <v>4.1749999999999998</v>
          </cell>
          <cell r="I393">
            <v>4.165</v>
          </cell>
          <cell r="J393">
            <v>4.1749999999999998</v>
          </cell>
          <cell r="K393">
            <v>4.1500000000000004</v>
          </cell>
          <cell r="L393">
            <v>4.165</v>
          </cell>
          <cell r="M393">
            <v>4.2949999999999999</v>
          </cell>
          <cell r="N393">
            <v>4.42</v>
          </cell>
        </row>
        <row r="394">
          <cell r="B394">
            <v>37647</v>
          </cell>
          <cell r="C394">
            <v>5.0869999999999997</v>
          </cell>
          <cell r="D394">
            <v>4.9450000000000003</v>
          </cell>
          <cell r="E394">
            <v>4.72</v>
          </cell>
          <cell r="F394">
            <v>4.3550000000000004</v>
          </cell>
          <cell r="G394">
            <v>4.2149999999999999</v>
          </cell>
          <cell r="H394">
            <v>4.1749999999999998</v>
          </cell>
          <cell r="I394">
            <v>4.165</v>
          </cell>
          <cell r="J394">
            <v>4.1749999999999998</v>
          </cell>
          <cell r="K394">
            <v>4.1500000000000004</v>
          </cell>
          <cell r="L394">
            <v>4.165</v>
          </cell>
          <cell r="M394">
            <v>4.2949999999999999</v>
          </cell>
          <cell r="N394">
            <v>4.42</v>
          </cell>
        </row>
        <row r="395">
          <cell r="B395">
            <v>37648</v>
          </cell>
          <cell r="C395">
            <v>5.0199999999999996</v>
          </cell>
          <cell r="D395">
            <v>4.8849999999999998</v>
          </cell>
          <cell r="E395">
            <v>4.66</v>
          </cell>
          <cell r="F395">
            <v>4.3150000000000004</v>
          </cell>
          <cell r="G395">
            <v>4.18</v>
          </cell>
          <cell r="H395">
            <v>4.1399999999999997</v>
          </cell>
          <cell r="I395">
            <v>4.13</v>
          </cell>
          <cell r="J395">
            <v>4.13</v>
          </cell>
          <cell r="K395">
            <v>4.1050000000000004</v>
          </cell>
          <cell r="L395">
            <v>4.12</v>
          </cell>
          <cell r="M395">
            <v>4.25</v>
          </cell>
          <cell r="N395">
            <v>4.375</v>
          </cell>
        </row>
        <row r="396">
          <cell r="B396">
            <v>37649</v>
          </cell>
          <cell r="C396">
            <v>5.0250000000000004</v>
          </cell>
          <cell r="D396">
            <v>4.8899999999999997</v>
          </cell>
          <cell r="E396">
            <v>4.6749999999999998</v>
          </cell>
          <cell r="F396">
            <v>4.3250000000000002</v>
          </cell>
          <cell r="G396">
            <v>4.1900000000000004</v>
          </cell>
          <cell r="H396">
            <v>4.1479999999999997</v>
          </cell>
          <cell r="I396">
            <v>4.1500000000000004</v>
          </cell>
          <cell r="J396">
            <v>4.1349999999999998</v>
          </cell>
          <cell r="K396">
            <v>4.1100000000000003</v>
          </cell>
          <cell r="L396">
            <v>4.125</v>
          </cell>
          <cell r="M396">
            <v>4.2649999999999997</v>
          </cell>
          <cell r="N396">
            <v>4.4000000000000004</v>
          </cell>
        </row>
        <row r="397">
          <cell r="B397">
            <v>37650</v>
          </cell>
          <cell r="C397">
            <v>5.0990000000000002</v>
          </cell>
          <cell r="D397">
            <v>4.9640000000000004</v>
          </cell>
          <cell r="E397">
            <v>4.7439999999999998</v>
          </cell>
          <cell r="F397">
            <v>4.3840000000000003</v>
          </cell>
          <cell r="G397">
            <v>4.2439999999999998</v>
          </cell>
          <cell r="H397">
            <v>4.202</v>
          </cell>
          <cell r="I397">
            <v>4.1989999999999998</v>
          </cell>
          <cell r="J397">
            <v>4.1989999999999998</v>
          </cell>
          <cell r="K397">
            <v>4.1689999999999996</v>
          </cell>
          <cell r="L397">
            <v>4.1890000000000001</v>
          </cell>
          <cell r="M397">
            <v>4.3339999999999996</v>
          </cell>
          <cell r="N397">
            <v>4.4740000000000002</v>
          </cell>
        </row>
        <row r="398">
          <cell r="B398">
            <v>37651</v>
          </cell>
          <cell r="C398">
            <v>5.093</v>
          </cell>
          <cell r="D398">
            <v>4.95</v>
          </cell>
          <cell r="E398">
            <v>4.7300000000000004</v>
          </cell>
          <cell r="F398">
            <v>4.3600000000000003</v>
          </cell>
          <cell r="G398">
            <v>4.21</v>
          </cell>
          <cell r="H398">
            <v>4.1680000000000001</v>
          </cell>
          <cell r="I398">
            <v>4.173</v>
          </cell>
          <cell r="J398">
            <v>4.165</v>
          </cell>
          <cell r="K398">
            <v>4.1399999999999997</v>
          </cell>
          <cell r="L398">
            <v>4.165</v>
          </cell>
          <cell r="M398">
            <v>4.3250000000000002</v>
          </cell>
          <cell r="N398">
            <v>4.4850000000000003</v>
          </cell>
        </row>
        <row r="399">
          <cell r="B399">
            <v>37652</v>
          </cell>
          <cell r="C399">
            <v>5.0869999999999997</v>
          </cell>
          <cell r="D399">
            <v>4.944</v>
          </cell>
          <cell r="E399">
            <v>4.7240000000000002</v>
          </cell>
          <cell r="F399">
            <v>4.3440000000000003</v>
          </cell>
          <cell r="G399">
            <v>4.1909999999999998</v>
          </cell>
          <cell r="H399">
            <v>4.149</v>
          </cell>
          <cell r="I399">
            <v>4.1539999999999999</v>
          </cell>
          <cell r="J399">
            <v>4.1639999999999997</v>
          </cell>
          <cell r="K399">
            <v>4.1390000000000002</v>
          </cell>
          <cell r="L399">
            <v>4.1639999999999997</v>
          </cell>
          <cell r="M399">
            <v>4.3339999999999996</v>
          </cell>
          <cell r="N399">
            <v>4.5039999999999996</v>
          </cell>
        </row>
        <row r="400">
          <cell r="B400">
            <v>37653</v>
          </cell>
          <cell r="C400">
            <v>5.0869999999999997</v>
          </cell>
          <cell r="D400">
            <v>4.944</v>
          </cell>
          <cell r="E400">
            <v>4.7240000000000002</v>
          </cell>
          <cell r="F400">
            <v>4.3440000000000003</v>
          </cell>
          <cell r="G400">
            <v>4.1909999999999998</v>
          </cell>
          <cell r="H400">
            <v>4.149</v>
          </cell>
          <cell r="I400">
            <v>4.1539999999999999</v>
          </cell>
          <cell r="J400">
            <v>4.1639999999999997</v>
          </cell>
          <cell r="K400">
            <v>4.1390000000000002</v>
          </cell>
          <cell r="L400">
            <v>4.1639999999999997</v>
          </cell>
          <cell r="M400">
            <v>4.3339999999999996</v>
          </cell>
          <cell r="N400">
            <v>4.5039999999999996</v>
          </cell>
        </row>
        <row r="401">
          <cell r="B401">
            <v>37654</v>
          </cell>
          <cell r="C401">
            <v>5.0869999999999997</v>
          </cell>
          <cell r="D401">
            <v>4.944</v>
          </cell>
          <cell r="E401">
            <v>4.7240000000000002</v>
          </cell>
          <cell r="F401">
            <v>4.3440000000000003</v>
          </cell>
          <cell r="G401">
            <v>4.1909999999999998</v>
          </cell>
          <cell r="H401">
            <v>4.149</v>
          </cell>
          <cell r="I401">
            <v>4.1539999999999999</v>
          </cell>
          <cell r="J401">
            <v>4.1639999999999997</v>
          </cell>
          <cell r="K401">
            <v>4.1390000000000002</v>
          </cell>
          <cell r="L401">
            <v>4.1639999999999997</v>
          </cell>
          <cell r="M401">
            <v>4.3339999999999996</v>
          </cell>
          <cell r="N401">
            <v>4.5039999999999996</v>
          </cell>
        </row>
        <row r="402">
          <cell r="B402">
            <v>37655</v>
          </cell>
          <cell r="C402">
            <v>5.14</v>
          </cell>
          <cell r="D402">
            <v>5</v>
          </cell>
          <cell r="E402">
            <v>4.78</v>
          </cell>
          <cell r="F402">
            <v>4.3849999999999998</v>
          </cell>
          <cell r="G402">
            <v>4.22</v>
          </cell>
          <cell r="H402">
            <v>4.1749999999999998</v>
          </cell>
          <cell r="I402">
            <v>4.18</v>
          </cell>
          <cell r="J402">
            <v>4.18</v>
          </cell>
          <cell r="K402">
            <v>4.16</v>
          </cell>
          <cell r="L402">
            <v>4.1900000000000004</v>
          </cell>
          <cell r="M402">
            <v>4.3449999999999998</v>
          </cell>
          <cell r="N402">
            <v>4.5049999999999999</v>
          </cell>
        </row>
        <row r="403">
          <cell r="B403">
            <v>37656</v>
          </cell>
          <cell r="C403">
            <v>5.2009999999999996</v>
          </cell>
          <cell r="D403">
            <v>5.0570000000000004</v>
          </cell>
          <cell r="E403">
            <v>4.835</v>
          </cell>
          <cell r="F403">
            <v>4.4160000000000004</v>
          </cell>
          <cell r="G403">
            <v>4.2359999999999998</v>
          </cell>
          <cell r="H403">
            <v>4.1760000000000002</v>
          </cell>
          <cell r="I403">
            <v>4.1760000000000002</v>
          </cell>
          <cell r="J403">
            <v>4.1760000000000002</v>
          </cell>
          <cell r="K403">
            <v>4.1559999999999997</v>
          </cell>
          <cell r="L403">
            <v>4.1859999999999999</v>
          </cell>
          <cell r="M403">
            <v>4.3559999999999999</v>
          </cell>
          <cell r="N403">
            <v>4.5309999999999997</v>
          </cell>
        </row>
        <row r="404">
          <cell r="B404">
            <v>37657</v>
          </cell>
          <cell r="C404">
            <v>5.2439999999999998</v>
          </cell>
          <cell r="D404">
            <v>5.1040000000000001</v>
          </cell>
          <cell r="E404">
            <v>4.8890000000000002</v>
          </cell>
          <cell r="F404">
            <v>4.4640000000000004</v>
          </cell>
          <cell r="G404">
            <v>4.2889999999999997</v>
          </cell>
          <cell r="H404">
            <v>4.2389999999999999</v>
          </cell>
          <cell r="I404">
            <v>4.2439999999999998</v>
          </cell>
          <cell r="J404">
            <v>4.2469999999999999</v>
          </cell>
          <cell r="K404">
            <v>4.2290000000000001</v>
          </cell>
          <cell r="L404">
            <v>4.2489999999999997</v>
          </cell>
          <cell r="M404">
            <v>4.4139999999999997</v>
          </cell>
          <cell r="N404">
            <v>4.5839999999999996</v>
          </cell>
        </row>
        <row r="405">
          <cell r="B405">
            <v>37658</v>
          </cell>
          <cell r="C405">
            <v>5.2729999999999997</v>
          </cell>
          <cell r="D405">
            <v>5.133</v>
          </cell>
          <cell r="E405">
            <v>4.9050000000000002</v>
          </cell>
          <cell r="F405">
            <v>4.4550000000000001</v>
          </cell>
          <cell r="G405">
            <v>4.2699999999999996</v>
          </cell>
          <cell r="H405">
            <v>4.22</v>
          </cell>
          <cell r="I405">
            <v>4.22</v>
          </cell>
          <cell r="J405">
            <v>4.2229999999999999</v>
          </cell>
          <cell r="K405">
            <v>4.1959999999999997</v>
          </cell>
          <cell r="L405">
            <v>4.21</v>
          </cell>
          <cell r="M405">
            <v>4.3899999999999997</v>
          </cell>
          <cell r="N405">
            <v>4.57</v>
          </cell>
        </row>
        <row r="406">
          <cell r="B406">
            <v>37659</v>
          </cell>
          <cell r="C406">
            <v>5.3680000000000003</v>
          </cell>
          <cell r="D406">
            <v>5.2279999999999998</v>
          </cell>
          <cell r="E406">
            <v>4.9880000000000004</v>
          </cell>
          <cell r="F406">
            <v>4.5179999999999998</v>
          </cell>
          <cell r="G406">
            <v>4.3280000000000003</v>
          </cell>
          <cell r="H406">
            <v>4.2779999999999996</v>
          </cell>
          <cell r="I406">
            <v>4.2729999999999997</v>
          </cell>
          <cell r="J406">
            <v>4.2679999999999998</v>
          </cell>
          <cell r="K406">
            <v>4.2329999999999997</v>
          </cell>
          <cell r="L406">
            <v>4.2430000000000003</v>
          </cell>
          <cell r="M406">
            <v>4.4279999999999999</v>
          </cell>
          <cell r="N406">
            <v>4.6029999999999998</v>
          </cell>
        </row>
        <row r="407">
          <cell r="B407">
            <v>37660</v>
          </cell>
          <cell r="C407">
            <v>5.3680000000000003</v>
          </cell>
          <cell r="D407">
            <v>5.2279999999999998</v>
          </cell>
          <cell r="E407">
            <v>4.9880000000000004</v>
          </cell>
          <cell r="F407">
            <v>4.5179999999999998</v>
          </cell>
          <cell r="G407">
            <v>4.3280000000000003</v>
          </cell>
          <cell r="H407">
            <v>4.2779999999999996</v>
          </cell>
          <cell r="I407">
            <v>4.2729999999999997</v>
          </cell>
          <cell r="J407">
            <v>4.2679999999999998</v>
          </cell>
          <cell r="K407">
            <v>4.2329999999999997</v>
          </cell>
          <cell r="L407">
            <v>4.2430000000000003</v>
          </cell>
          <cell r="M407">
            <v>4.4279999999999999</v>
          </cell>
          <cell r="N407">
            <v>4.6029999999999998</v>
          </cell>
        </row>
        <row r="408">
          <cell r="B408">
            <v>37661</v>
          </cell>
          <cell r="C408">
            <v>5.3680000000000003</v>
          </cell>
          <cell r="D408">
            <v>5.2279999999999998</v>
          </cell>
          <cell r="E408">
            <v>4.9880000000000004</v>
          </cell>
          <cell r="F408">
            <v>4.5179999999999998</v>
          </cell>
          <cell r="G408">
            <v>4.3280000000000003</v>
          </cell>
          <cell r="H408">
            <v>4.2779999999999996</v>
          </cell>
          <cell r="I408">
            <v>4.2729999999999997</v>
          </cell>
          <cell r="J408">
            <v>4.2679999999999998</v>
          </cell>
          <cell r="K408">
            <v>4.2329999999999997</v>
          </cell>
          <cell r="L408">
            <v>4.2430000000000003</v>
          </cell>
          <cell r="M408">
            <v>4.4279999999999999</v>
          </cell>
          <cell r="N408">
            <v>4.6029999999999998</v>
          </cell>
        </row>
        <row r="409">
          <cell r="B409">
            <v>37662</v>
          </cell>
          <cell r="C409">
            <v>5.3570000000000002</v>
          </cell>
          <cell r="D409">
            <v>5.2249999999999996</v>
          </cell>
          <cell r="E409">
            <v>4.9950000000000001</v>
          </cell>
          <cell r="F409">
            <v>4.5250000000000004</v>
          </cell>
          <cell r="G409">
            <v>4.3449999999999998</v>
          </cell>
          <cell r="H409">
            <v>4.2949999999999999</v>
          </cell>
          <cell r="I409">
            <v>4.29</v>
          </cell>
          <cell r="J409">
            <v>4.2850000000000001</v>
          </cell>
          <cell r="K409">
            <v>4.2530000000000001</v>
          </cell>
          <cell r="L409">
            <v>4.2649999999999997</v>
          </cell>
          <cell r="M409">
            <v>4.4400000000000004</v>
          </cell>
          <cell r="N409">
            <v>4.625</v>
          </cell>
        </row>
        <row r="410">
          <cell r="B410">
            <v>37663</v>
          </cell>
          <cell r="C410">
            <v>5.4420000000000002</v>
          </cell>
          <cell r="D410">
            <v>5.3019999999999996</v>
          </cell>
          <cell r="E410">
            <v>5.0670000000000002</v>
          </cell>
          <cell r="F410">
            <v>4.5570000000000004</v>
          </cell>
          <cell r="G410">
            <v>4.367</v>
          </cell>
          <cell r="H410">
            <v>4.3170000000000002</v>
          </cell>
          <cell r="I410">
            <v>4.3120000000000003</v>
          </cell>
          <cell r="J410">
            <v>4.3070000000000004</v>
          </cell>
          <cell r="K410">
            <v>4.2770000000000001</v>
          </cell>
          <cell r="L410">
            <v>4.2919999999999998</v>
          </cell>
          <cell r="M410">
            <v>4.4669999999999996</v>
          </cell>
          <cell r="N410">
            <v>4.6619999999999999</v>
          </cell>
        </row>
        <row r="411">
          <cell r="B411">
            <v>37664</v>
          </cell>
          <cell r="C411">
            <v>5.4470000000000001</v>
          </cell>
          <cell r="D411">
            <v>5.3120000000000003</v>
          </cell>
          <cell r="E411">
            <v>5.0819999999999999</v>
          </cell>
          <cell r="F411">
            <v>4.5720000000000001</v>
          </cell>
          <cell r="G411">
            <v>4.3819999999999997</v>
          </cell>
          <cell r="H411">
            <v>4.3319999999999999</v>
          </cell>
          <cell r="I411">
            <v>4.3220000000000001</v>
          </cell>
          <cell r="J411">
            <v>4.3170000000000002</v>
          </cell>
          <cell r="K411">
            <v>4.2919999999999998</v>
          </cell>
          <cell r="L411">
            <v>4.3079999999999998</v>
          </cell>
          <cell r="M411">
            <v>4.4829999999999997</v>
          </cell>
          <cell r="N411">
            <v>4.6680000000000001</v>
          </cell>
        </row>
        <row r="412">
          <cell r="B412">
            <v>37665</v>
          </cell>
          <cell r="C412">
            <v>5.53</v>
          </cell>
          <cell r="D412">
            <v>5.39</v>
          </cell>
          <cell r="E412">
            <v>5.1550000000000002</v>
          </cell>
          <cell r="F412">
            <v>4.625</v>
          </cell>
          <cell r="G412">
            <v>4.43</v>
          </cell>
          <cell r="H412">
            <v>4.37</v>
          </cell>
          <cell r="I412">
            <v>4.3550000000000004</v>
          </cell>
          <cell r="J412">
            <v>4.3499999999999996</v>
          </cell>
          <cell r="K412">
            <v>4.335</v>
          </cell>
          <cell r="L412">
            <v>4.3550000000000004</v>
          </cell>
          <cell r="M412">
            <v>4.5449999999999999</v>
          </cell>
          <cell r="N412">
            <v>4.7249999999999996</v>
          </cell>
        </row>
        <row r="413">
          <cell r="B413">
            <v>37666</v>
          </cell>
          <cell r="C413">
            <v>5.6390000000000002</v>
          </cell>
          <cell r="D413">
            <v>5.4969999999999999</v>
          </cell>
          <cell r="E413">
            <v>5.2619999999999996</v>
          </cell>
          <cell r="F413">
            <v>4.702</v>
          </cell>
          <cell r="G413">
            <v>4.5019999999999998</v>
          </cell>
          <cell r="H413">
            <v>4.4370000000000003</v>
          </cell>
          <cell r="I413">
            <v>4.4219999999999997</v>
          </cell>
          <cell r="J413">
            <v>4.4169999999999998</v>
          </cell>
          <cell r="K413">
            <v>4.407</v>
          </cell>
          <cell r="L413">
            <v>4.4320000000000004</v>
          </cell>
          <cell r="M413">
            <v>4.6219999999999999</v>
          </cell>
          <cell r="N413">
            <v>4.8019999999999996</v>
          </cell>
        </row>
        <row r="414">
          <cell r="B414">
            <v>37667</v>
          </cell>
          <cell r="C414">
            <v>5.6390000000000002</v>
          </cell>
          <cell r="D414">
            <v>5.4969999999999999</v>
          </cell>
          <cell r="E414">
            <v>5.2619999999999996</v>
          </cell>
          <cell r="F414">
            <v>4.702</v>
          </cell>
          <cell r="G414">
            <v>4.5019999999999998</v>
          </cell>
          <cell r="H414">
            <v>4.4370000000000003</v>
          </cell>
          <cell r="I414">
            <v>4.4219999999999997</v>
          </cell>
          <cell r="J414">
            <v>4.4169999999999998</v>
          </cell>
          <cell r="K414">
            <v>4.407</v>
          </cell>
          <cell r="L414">
            <v>4.4320000000000004</v>
          </cell>
          <cell r="M414">
            <v>4.6219999999999999</v>
          </cell>
          <cell r="N414">
            <v>4.8019999999999996</v>
          </cell>
        </row>
        <row r="415">
          <cell r="B415">
            <v>37668</v>
          </cell>
          <cell r="C415">
            <v>5.6390000000000002</v>
          </cell>
          <cell r="D415">
            <v>5.4969999999999999</v>
          </cell>
          <cell r="E415">
            <v>5.2619999999999996</v>
          </cell>
          <cell r="F415">
            <v>4.702</v>
          </cell>
          <cell r="G415">
            <v>4.5019999999999998</v>
          </cell>
          <cell r="H415">
            <v>4.4370000000000003</v>
          </cell>
          <cell r="I415">
            <v>4.4219999999999997</v>
          </cell>
          <cell r="J415">
            <v>4.4169999999999998</v>
          </cell>
          <cell r="K415">
            <v>4.407</v>
          </cell>
          <cell r="L415">
            <v>4.4320000000000004</v>
          </cell>
          <cell r="M415">
            <v>4.6219999999999999</v>
          </cell>
          <cell r="N415">
            <v>4.8019999999999996</v>
          </cell>
        </row>
        <row r="416">
          <cell r="B416">
            <v>37669</v>
          </cell>
          <cell r="C416">
            <v>5.6390000000000002</v>
          </cell>
          <cell r="D416">
            <v>5.4969999999999999</v>
          </cell>
          <cell r="E416">
            <v>5.2619999999999996</v>
          </cell>
          <cell r="F416">
            <v>4.702</v>
          </cell>
          <cell r="G416">
            <v>4.5019999999999998</v>
          </cell>
          <cell r="H416">
            <v>4.4370000000000003</v>
          </cell>
          <cell r="I416">
            <v>4.4219999999999997</v>
          </cell>
          <cell r="J416">
            <v>4.4169999999999998</v>
          </cell>
          <cell r="K416">
            <v>4.407</v>
          </cell>
          <cell r="L416">
            <v>4.4320000000000004</v>
          </cell>
          <cell r="M416">
            <v>4.6219999999999999</v>
          </cell>
          <cell r="N416">
            <v>4.8019999999999996</v>
          </cell>
        </row>
        <row r="417">
          <cell r="B417">
            <v>37670</v>
          </cell>
          <cell r="C417">
            <v>5.7149999999999999</v>
          </cell>
          <cell r="D417">
            <v>5.5730000000000004</v>
          </cell>
          <cell r="E417">
            <v>5.3230000000000004</v>
          </cell>
          <cell r="F417">
            <v>4.7430000000000003</v>
          </cell>
          <cell r="G417">
            <v>4.5330000000000004</v>
          </cell>
          <cell r="H417">
            <v>4.4580000000000002</v>
          </cell>
          <cell r="I417">
            <v>4.4429999999999996</v>
          </cell>
          <cell r="J417">
            <v>4.4379999999999997</v>
          </cell>
          <cell r="K417">
            <v>4.4279999999999999</v>
          </cell>
          <cell r="L417">
            <v>4.4530000000000003</v>
          </cell>
          <cell r="M417">
            <v>4.6429999999999998</v>
          </cell>
          <cell r="N417">
            <v>4.8230000000000004</v>
          </cell>
        </row>
        <row r="418">
          <cell r="B418">
            <v>37671</v>
          </cell>
          <cell r="C418">
            <v>5.75</v>
          </cell>
          <cell r="D418">
            <v>5.6</v>
          </cell>
          <cell r="E418">
            <v>5.34</v>
          </cell>
          <cell r="F418">
            <v>4.7249999999999996</v>
          </cell>
          <cell r="G418">
            <v>4.51</v>
          </cell>
          <cell r="H418">
            <v>4.43</v>
          </cell>
          <cell r="I418">
            <v>4.4050000000000002</v>
          </cell>
          <cell r="J418">
            <v>4.4000000000000004</v>
          </cell>
          <cell r="K418">
            <v>4.3899999999999997</v>
          </cell>
          <cell r="L418">
            <v>4.415</v>
          </cell>
          <cell r="M418">
            <v>4.585</v>
          </cell>
          <cell r="N418">
            <v>4.7549999999999999</v>
          </cell>
        </row>
        <row r="419">
          <cell r="B419">
            <v>37672</v>
          </cell>
          <cell r="C419">
            <v>5.7480000000000002</v>
          </cell>
          <cell r="D419">
            <v>5.5979999999999999</v>
          </cell>
          <cell r="E419">
            <v>5.3380000000000001</v>
          </cell>
          <cell r="F419">
            <v>4.7279999999999998</v>
          </cell>
          <cell r="G419">
            <v>4.5129999999999999</v>
          </cell>
          <cell r="H419">
            <v>4.4340000000000002</v>
          </cell>
          <cell r="I419">
            <v>4.4089999999999998</v>
          </cell>
          <cell r="J419">
            <v>4.4039999999999999</v>
          </cell>
          <cell r="K419">
            <v>4.3970000000000002</v>
          </cell>
          <cell r="L419">
            <v>4.4219999999999997</v>
          </cell>
          <cell r="M419">
            <v>4.5869999999999997</v>
          </cell>
          <cell r="N419">
            <v>4.7519999999999998</v>
          </cell>
        </row>
        <row r="420">
          <cell r="B420">
            <v>37673</v>
          </cell>
          <cell r="C420">
            <v>5.8630000000000004</v>
          </cell>
          <cell r="D420">
            <v>5.7110000000000003</v>
          </cell>
          <cell r="E420">
            <v>5.431</v>
          </cell>
          <cell r="F420">
            <v>4.7859999999999996</v>
          </cell>
          <cell r="G420">
            <v>4.585</v>
          </cell>
          <cell r="H420">
            <v>4.5030000000000001</v>
          </cell>
          <cell r="I420">
            <v>4.4729999999999999</v>
          </cell>
          <cell r="J420">
            <v>4.468</v>
          </cell>
          <cell r="K420">
            <v>4.4610000000000003</v>
          </cell>
          <cell r="L420">
            <v>4.4859999999999998</v>
          </cell>
          <cell r="M420">
            <v>4.6539999999999999</v>
          </cell>
          <cell r="N420">
            <v>4.8109999999999999</v>
          </cell>
        </row>
        <row r="421">
          <cell r="B421">
            <v>37674</v>
          </cell>
          <cell r="C421">
            <v>5.8630000000000004</v>
          </cell>
          <cell r="D421">
            <v>5.7110000000000003</v>
          </cell>
          <cell r="E421">
            <v>5.431</v>
          </cell>
          <cell r="F421">
            <v>4.7859999999999996</v>
          </cell>
          <cell r="G421">
            <v>4.585</v>
          </cell>
          <cell r="H421">
            <v>4.5030000000000001</v>
          </cell>
          <cell r="I421">
            <v>4.4729999999999999</v>
          </cell>
          <cell r="J421">
            <v>4.468</v>
          </cell>
          <cell r="K421">
            <v>4.4610000000000003</v>
          </cell>
          <cell r="L421">
            <v>4.4859999999999998</v>
          </cell>
          <cell r="M421">
            <v>4.6539999999999999</v>
          </cell>
          <cell r="N421">
            <v>4.8109999999999999</v>
          </cell>
        </row>
        <row r="422">
          <cell r="B422">
            <v>37675</v>
          </cell>
          <cell r="C422">
            <v>5.8630000000000004</v>
          </cell>
          <cell r="D422">
            <v>5.7110000000000003</v>
          </cell>
          <cell r="E422">
            <v>5.431</v>
          </cell>
          <cell r="F422">
            <v>4.7859999999999996</v>
          </cell>
          <cell r="G422">
            <v>4.585</v>
          </cell>
          <cell r="H422">
            <v>4.5030000000000001</v>
          </cell>
          <cell r="I422">
            <v>4.4729999999999999</v>
          </cell>
          <cell r="J422">
            <v>4.468</v>
          </cell>
          <cell r="K422">
            <v>4.4610000000000003</v>
          </cell>
          <cell r="L422">
            <v>4.4859999999999998</v>
          </cell>
          <cell r="M422">
            <v>4.6539999999999999</v>
          </cell>
          <cell r="N422">
            <v>4.8109999999999999</v>
          </cell>
        </row>
        <row r="423">
          <cell r="B423">
            <v>37676</v>
          </cell>
          <cell r="C423">
            <v>6.2919999999999998</v>
          </cell>
          <cell r="D423">
            <v>6.1150000000000002</v>
          </cell>
          <cell r="E423">
            <v>5.8250000000000002</v>
          </cell>
          <cell r="F423">
            <v>5.125</v>
          </cell>
          <cell r="G423">
            <v>4.8869999999999996</v>
          </cell>
          <cell r="H423">
            <v>4.7670000000000003</v>
          </cell>
          <cell r="I423">
            <v>4.6870000000000003</v>
          </cell>
          <cell r="J423">
            <v>4.6820000000000004</v>
          </cell>
          <cell r="K423">
            <v>4.6749999999999998</v>
          </cell>
          <cell r="L423">
            <v>4.7</v>
          </cell>
          <cell r="M423">
            <v>4.8499999999999996</v>
          </cell>
          <cell r="N423">
            <v>5</v>
          </cell>
        </row>
        <row r="424">
          <cell r="B424">
            <v>37677</v>
          </cell>
          <cell r="C424">
            <v>5.8760000000000003</v>
          </cell>
          <cell r="D424">
            <v>5.7460000000000004</v>
          </cell>
          <cell r="E424">
            <v>5.4960000000000004</v>
          </cell>
          <cell r="F424">
            <v>4.8460000000000001</v>
          </cell>
          <cell r="G424">
            <v>4.6260000000000003</v>
          </cell>
          <cell r="H424">
            <v>4.5060000000000002</v>
          </cell>
          <cell r="I424">
            <v>4.4260000000000002</v>
          </cell>
          <cell r="J424">
            <v>4.4210000000000003</v>
          </cell>
          <cell r="K424">
            <v>4.4139999999999997</v>
          </cell>
          <cell r="L424">
            <v>4.68</v>
          </cell>
          <cell r="M424">
            <v>4.5890000000000004</v>
          </cell>
          <cell r="N424">
            <v>4.7690000000000001</v>
          </cell>
        </row>
        <row r="425">
          <cell r="B425">
            <v>37678</v>
          </cell>
          <cell r="C425">
            <v>5.87</v>
          </cell>
          <cell r="D425">
            <v>5.73</v>
          </cell>
          <cell r="E425">
            <v>5.4720000000000004</v>
          </cell>
          <cell r="F425">
            <v>4.8369999999999997</v>
          </cell>
          <cell r="G425">
            <v>4.617</v>
          </cell>
          <cell r="H425">
            <v>4.492</v>
          </cell>
          <cell r="I425">
            <v>4.407</v>
          </cell>
          <cell r="J425">
            <v>4.3970000000000002</v>
          </cell>
          <cell r="K425">
            <v>4.3899999999999997</v>
          </cell>
          <cell r="L425">
            <v>4.415</v>
          </cell>
          <cell r="M425">
            <v>4.58</v>
          </cell>
          <cell r="N425">
            <v>4.7699999999999996</v>
          </cell>
        </row>
        <row r="426">
          <cell r="B426">
            <v>37679</v>
          </cell>
          <cell r="C426">
            <v>5.8150000000000004</v>
          </cell>
          <cell r="D426">
            <v>5.69</v>
          </cell>
          <cell r="E426">
            <v>5.46</v>
          </cell>
          <cell r="F426">
            <v>4.83</v>
          </cell>
          <cell r="G426">
            <v>4.6150000000000002</v>
          </cell>
          <cell r="H426">
            <v>4.4950000000000001</v>
          </cell>
          <cell r="I426">
            <v>4.4249999999999998</v>
          </cell>
          <cell r="J426">
            <v>4.4249999999999998</v>
          </cell>
          <cell r="K426">
            <v>4.4180000000000001</v>
          </cell>
          <cell r="L426">
            <v>4.4429999999999996</v>
          </cell>
          <cell r="M426">
            <v>4.6180000000000003</v>
          </cell>
          <cell r="N426">
            <v>4.8179999999999996</v>
          </cell>
        </row>
        <row r="427">
          <cell r="B427">
            <v>37680</v>
          </cell>
          <cell r="C427">
            <v>5.8710000000000004</v>
          </cell>
          <cell r="D427">
            <v>5.7460000000000004</v>
          </cell>
          <cell r="E427">
            <v>5.5309999999999997</v>
          </cell>
          <cell r="F427">
            <v>4.8760000000000003</v>
          </cell>
          <cell r="G427">
            <v>4.6509999999999998</v>
          </cell>
          <cell r="H427">
            <v>4.5309999999999997</v>
          </cell>
          <cell r="I427">
            <v>4.4610000000000003</v>
          </cell>
          <cell r="J427">
            <v>4.4610000000000003</v>
          </cell>
          <cell r="K427">
            <v>4.4610000000000003</v>
          </cell>
          <cell r="L427">
            <v>4.4909999999999997</v>
          </cell>
          <cell r="M427">
            <v>4.6909999999999998</v>
          </cell>
          <cell r="N427">
            <v>4.8609999999999998</v>
          </cell>
        </row>
        <row r="428">
          <cell r="B428">
            <v>37681</v>
          </cell>
          <cell r="C428">
            <v>5.8710000000000004</v>
          </cell>
          <cell r="D428">
            <v>5.7460000000000004</v>
          </cell>
          <cell r="E428">
            <v>5.5309999999999997</v>
          </cell>
          <cell r="F428">
            <v>4.8760000000000003</v>
          </cell>
          <cell r="G428">
            <v>4.6509999999999998</v>
          </cell>
          <cell r="H428">
            <v>4.5309999999999997</v>
          </cell>
          <cell r="I428">
            <v>4.4610000000000003</v>
          </cell>
          <cell r="J428">
            <v>4.4610000000000003</v>
          </cell>
          <cell r="K428">
            <v>4.4610000000000003</v>
          </cell>
          <cell r="L428">
            <v>4.4909999999999997</v>
          </cell>
          <cell r="M428">
            <v>4.6909999999999998</v>
          </cell>
          <cell r="N428">
            <v>4.8609999999999998</v>
          </cell>
        </row>
        <row r="429">
          <cell r="B429">
            <v>37682</v>
          </cell>
          <cell r="C429">
            <v>5.8710000000000004</v>
          </cell>
          <cell r="D429">
            <v>5.7460000000000004</v>
          </cell>
          <cell r="E429">
            <v>5.5309999999999997</v>
          </cell>
          <cell r="F429">
            <v>4.8760000000000003</v>
          </cell>
          <cell r="G429">
            <v>4.6509999999999998</v>
          </cell>
          <cell r="H429">
            <v>4.5309999999999997</v>
          </cell>
          <cell r="I429">
            <v>4.4610000000000003</v>
          </cell>
          <cell r="J429">
            <v>4.4610000000000003</v>
          </cell>
          <cell r="K429">
            <v>4.4610000000000003</v>
          </cell>
          <cell r="L429">
            <v>4.4909999999999997</v>
          </cell>
          <cell r="M429">
            <v>4.6909999999999998</v>
          </cell>
          <cell r="N429">
            <v>4.8609999999999998</v>
          </cell>
        </row>
        <row r="430">
          <cell r="B430">
            <v>37683</v>
          </cell>
          <cell r="C430">
            <v>5.8710000000000004</v>
          </cell>
          <cell r="D430">
            <v>5.7460000000000004</v>
          </cell>
          <cell r="E430">
            <v>5.5309999999999997</v>
          </cell>
          <cell r="F430">
            <v>4.8760000000000003</v>
          </cell>
          <cell r="G430">
            <v>4.6509999999999998</v>
          </cell>
          <cell r="H430">
            <v>4.5309999999999997</v>
          </cell>
          <cell r="I430">
            <v>4.4610000000000003</v>
          </cell>
          <cell r="J430">
            <v>4.4610000000000003</v>
          </cell>
          <cell r="K430">
            <v>4.4610000000000003</v>
          </cell>
          <cell r="L430">
            <v>4.4909999999999997</v>
          </cell>
          <cell r="M430">
            <v>4.6909999999999998</v>
          </cell>
          <cell r="N430">
            <v>4.8609999999999998</v>
          </cell>
        </row>
        <row r="431">
          <cell r="B431">
            <v>37684</v>
          </cell>
          <cell r="C431">
            <v>5.8710000000000004</v>
          </cell>
          <cell r="D431">
            <v>5.7460000000000004</v>
          </cell>
          <cell r="E431">
            <v>5.5309999999999997</v>
          </cell>
          <cell r="F431">
            <v>4.8760000000000003</v>
          </cell>
          <cell r="G431">
            <v>4.6509999999999998</v>
          </cell>
          <cell r="H431">
            <v>4.5309999999999997</v>
          </cell>
          <cell r="I431">
            <v>4.4610000000000003</v>
          </cell>
          <cell r="J431">
            <v>4.4610000000000003</v>
          </cell>
          <cell r="K431">
            <v>4.4610000000000003</v>
          </cell>
          <cell r="L431">
            <v>4.4909999999999997</v>
          </cell>
          <cell r="M431">
            <v>4.6909999999999998</v>
          </cell>
          <cell r="N431">
            <v>4.8609999999999998</v>
          </cell>
        </row>
        <row r="432">
          <cell r="B432">
            <v>37685</v>
          </cell>
          <cell r="C432">
            <v>5.8710000000000004</v>
          </cell>
          <cell r="D432">
            <v>5.7460000000000004</v>
          </cell>
          <cell r="E432">
            <v>5.5309999999999997</v>
          </cell>
          <cell r="F432">
            <v>4.8760000000000003</v>
          </cell>
          <cell r="G432">
            <v>4.6509999999999998</v>
          </cell>
          <cell r="H432">
            <v>4.5309999999999997</v>
          </cell>
          <cell r="I432">
            <v>4.4610000000000003</v>
          </cell>
          <cell r="J432">
            <v>4.4610000000000003</v>
          </cell>
          <cell r="K432">
            <v>4.4610000000000003</v>
          </cell>
          <cell r="L432">
            <v>4.4909999999999997</v>
          </cell>
          <cell r="M432">
            <v>4.6909999999999998</v>
          </cell>
          <cell r="N432">
            <v>4.8609999999999998</v>
          </cell>
        </row>
        <row r="433">
          <cell r="B433">
            <v>37686</v>
          </cell>
          <cell r="C433">
            <v>5.8710000000000004</v>
          </cell>
          <cell r="D433">
            <v>5.7460000000000004</v>
          </cell>
          <cell r="E433">
            <v>5.5309999999999997</v>
          </cell>
          <cell r="F433">
            <v>4.8760000000000003</v>
          </cell>
          <cell r="G433">
            <v>4.6509999999999998</v>
          </cell>
          <cell r="H433">
            <v>4.5309999999999997</v>
          </cell>
          <cell r="I433">
            <v>4.4610000000000003</v>
          </cell>
          <cell r="J433">
            <v>4.4610000000000003</v>
          </cell>
          <cell r="K433">
            <v>4.4610000000000003</v>
          </cell>
          <cell r="L433">
            <v>4.4909999999999997</v>
          </cell>
          <cell r="M433">
            <v>4.6909999999999998</v>
          </cell>
          <cell r="N433">
            <v>4.8609999999999998</v>
          </cell>
        </row>
        <row r="434">
          <cell r="B434">
            <v>37687</v>
          </cell>
          <cell r="C434">
            <v>5.8710000000000004</v>
          </cell>
          <cell r="D434">
            <v>5.7460000000000004</v>
          </cell>
          <cell r="E434">
            <v>5.5309999999999997</v>
          </cell>
          <cell r="F434">
            <v>4.8760000000000003</v>
          </cell>
          <cell r="G434">
            <v>4.6509999999999998</v>
          </cell>
          <cell r="H434">
            <v>4.5309999999999997</v>
          </cell>
          <cell r="I434">
            <v>4.4610000000000003</v>
          </cell>
          <cell r="J434">
            <v>4.4610000000000003</v>
          </cell>
          <cell r="K434">
            <v>4.4610000000000003</v>
          </cell>
          <cell r="L434">
            <v>4.4909999999999997</v>
          </cell>
          <cell r="M434">
            <v>4.6909999999999998</v>
          </cell>
          <cell r="N434">
            <v>4.8609999999999998</v>
          </cell>
        </row>
        <row r="435">
          <cell r="B435">
            <v>37688</v>
          </cell>
          <cell r="C435">
            <v>5.8710000000000004</v>
          </cell>
          <cell r="D435">
            <v>5.7460000000000004</v>
          </cell>
          <cell r="E435">
            <v>5.5309999999999997</v>
          </cell>
          <cell r="F435">
            <v>4.8760000000000003</v>
          </cell>
          <cell r="G435">
            <v>4.6509999999999998</v>
          </cell>
          <cell r="H435">
            <v>4.5309999999999997</v>
          </cell>
          <cell r="I435">
            <v>4.4610000000000003</v>
          </cell>
          <cell r="J435">
            <v>4.4610000000000003</v>
          </cell>
          <cell r="K435">
            <v>4.4610000000000003</v>
          </cell>
          <cell r="L435">
            <v>4.4909999999999997</v>
          </cell>
          <cell r="M435">
            <v>4.6909999999999998</v>
          </cell>
          <cell r="N435">
            <v>4.8609999999999998</v>
          </cell>
        </row>
        <row r="436">
          <cell r="B436">
            <v>37689</v>
          </cell>
          <cell r="C436">
            <v>5.8710000000000004</v>
          </cell>
          <cell r="D436">
            <v>5.7460000000000004</v>
          </cell>
          <cell r="E436">
            <v>5.5309999999999997</v>
          </cell>
          <cell r="F436">
            <v>4.8760000000000003</v>
          </cell>
          <cell r="G436">
            <v>4.6509999999999998</v>
          </cell>
          <cell r="H436">
            <v>4.5309999999999997</v>
          </cell>
          <cell r="I436">
            <v>4.4610000000000003</v>
          </cell>
          <cell r="J436">
            <v>4.4610000000000003</v>
          </cell>
          <cell r="K436">
            <v>4.4610000000000003</v>
          </cell>
          <cell r="L436">
            <v>4.4909999999999997</v>
          </cell>
          <cell r="M436">
            <v>4.6909999999999998</v>
          </cell>
          <cell r="N436">
            <v>4.8609999999999998</v>
          </cell>
        </row>
        <row r="437">
          <cell r="B437">
            <v>37690</v>
          </cell>
          <cell r="C437">
            <v>5.9749999999999996</v>
          </cell>
          <cell r="D437">
            <v>5.82</v>
          </cell>
          <cell r="E437">
            <v>5.6</v>
          </cell>
          <cell r="F437">
            <v>4.95</v>
          </cell>
          <cell r="G437">
            <v>4.7</v>
          </cell>
          <cell r="H437">
            <v>4.5999999999999996</v>
          </cell>
          <cell r="I437">
            <v>4.58</v>
          </cell>
          <cell r="J437">
            <v>4.59</v>
          </cell>
          <cell r="K437">
            <v>4.6100000000000003</v>
          </cell>
          <cell r="L437">
            <v>4.62</v>
          </cell>
          <cell r="M437">
            <v>4.82</v>
          </cell>
          <cell r="N437">
            <v>4.9850000000000003</v>
          </cell>
        </row>
        <row r="438">
          <cell r="B438">
            <v>37691</v>
          </cell>
          <cell r="C438">
            <v>5.8550000000000004</v>
          </cell>
          <cell r="D438">
            <v>5.7149999999999999</v>
          </cell>
          <cell r="E438">
            <v>5.4950000000000001</v>
          </cell>
          <cell r="F438">
            <v>4.8849999999999998</v>
          </cell>
          <cell r="G438">
            <v>4.6550000000000002</v>
          </cell>
          <cell r="H438">
            <v>4.5750000000000002</v>
          </cell>
          <cell r="I438">
            <v>4.5449999999999999</v>
          </cell>
          <cell r="J438">
            <v>4.5449999999999999</v>
          </cell>
          <cell r="K438">
            <v>4.55</v>
          </cell>
          <cell r="L438">
            <v>4.5549999999999997</v>
          </cell>
          <cell r="M438">
            <v>4.7549999999999999</v>
          </cell>
          <cell r="N438">
            <v>4.92</v>
          </cell>
        </row>
        <row r="439">
          <cell r="B439">
            <v>37692</v>
          </cell>
          <cell r="C439">
            <v>5.8550000000000004</v>
          </cell>
          <cell r="D439">
            <v>5.7149999999999999</v>
          </cell>
          <cell r="E439">
            <v>5.4850000000000003</v>
          </cell>
          <cell r="F439">
            <v>4.875</v>
          </cell>
          <cell r="G439">
            <v>4.6550000000000002</v>
          </cell>
          <cell r="H439">
            <v>4.5750000000000002</v>
          </cell>
          <cell r="I439">
            <v>4.5350000000000001</v>
          </cell>
          <cell r="J439">
            <v>4.5350000000000001</v>
          </cell>
          <cell r="K439">
            <v>4.54</v>
          </cell>
          <cell r="L439">
            <v>4.5449999999999999</v>
          </cell>
          <cell r="M439">
            <v>4.7450000000000001</v>
          </cell>
          <cell r="N439">
            <v>4.91</v>
          </cell>
        </row>
        <row r="440">
          <cell r="B440">
            <v>37693</v>
          </cell>
          <cell r="C440">
            <v>5.62</v>
          </cell>
          <cell r="D440">
            <v>5.4950000000000001</v>
          </cell>
          <cell r="E440">
            <v>5.27</v>
          </cell>
          <cell r="F440">
            <v>4.71</v>
          </cell>
          <cell r="G440">
            <v>4.51</v>
          </cell>
          <cell r="H440">
            <v>4.4400000000000004</v>
          </cell>
          <cell r="I440">
            <v>4.4000000000000004</v>
          </cell>
          <cell r="J440">
            <v>4.3949999999999996</v>
          </cell>
          <cell r="K440">
            <v>4.4000000000000004</v>
          </cell>
          <cell r="L440">
            <v>4.415</v>
          </cell>
          <cell r="M440">
            <v>4.6449999999999996</v>
          </cell>
          <cell r="N440">
            <v>4.83</v>
          </cell>
        </row>
        <row r="441">
          <cell r="B441">
            <v>37694</v>
          </cell>
          <cell r="C441">
            <v>5.569</v>
          </cell>
          <cell r="D441">
            <v>5.4290000000000003</v>
          </cell>
          <cell r="E441">
            <v>5.2039999999999997</v>
          </cell>
          <cell r="F441">
            <v>4.6539999999999999</v>
          </cell>
          <cell r="G441">
            <v>4.4740000000000002</v>
          </cell>
          <cell r="H441">
            <v>4.4039999999999999</v>
          </cell>
          <cell r="I441">
            <v>4.3940000000000001</v>
          </cell>
          <cell r="J441">
            <v>4.3840000000000003</v>
          </cell>
          <cell r="K441">
            <v>4.3840000000000003</v>
          </cell>
          <cell r="L441">
            <v>4.3840000000000003</v>
          </cell>
          <cell r="M441">
            <v>4.5940000000000003</v>
          </cell>
          <cell r="N441">
            <v>4.819</v>
          </cell>
        </row>
        <row r="442">
          <cell r="B442">
            <v>37695</v>
          </cell>
          <cell r="C442">
            <v>5.569</v>
          </cell>
          <cell r="D442">
            <v>5.4290000000000003</v>
          </cell>
          <cell r="E442">
            <v>5.2039999999999997</v>
          </cell>
          <cell r="F442">
            <v>4.6539999999999999</v>
          </cell>
          <cell r="G442">
            <v>4.4740000000000002</v>
          </cell>
          <cell r="H442">
            <v>4.4039999999999999</v>
          </cell>
          <cell r="I442">
            <v>4.3940000000000001</v>
          </cell>
          <cell r="J442">
            <v>4.3840000000000003</v>
          </cell>
          <cell r="K442">
            <v>4.3840000000000003</v>
          </cell>
          <cell r="L442">
            <v>4.3840000000000003</v>
          </cell>
          <cell r="M442">
            <v>4.5940000000000003</v>
          </cell>
          <cell r="N442">
            <v>4.819</v>
          </cell>
        </row>
        <row r="443">
          <cell r="B443">
            <v>37696</v>
          </cell>
          <cell r="C443">
            <v>5.569</v>
          </cell>
          <cell r="D443">
            <v>5.4290000000000003</v>
          </cell>
          <cell r="E443">
            <v>5.2039999999999997</v>
          </cell>
          <cell r="F443">
            <v>4.6539999999999999</v>
          </cell>
          <cell r="G443">
            <v>4.4740000000000002</v>
          </cell>
          <cell r="H443">
            <v>4.4039999999999999</v>
          </cell>
          <cell r="I443">
            <v>4.3940000000000001</v>
          </cell>
          <cell r="J443">
            <v>4.3840000000000003</v>
          </cell>
          <cell r="K443">
            <v>4.3840000000000003</v>
          </cell>
          <cell r="L443">
            <v>4.3840000000000003</v>
          </cell>
          <cell r="M443">
            <v>4.5940000000000003</v>
          </cell>
          <cell r="N443">
            <v>4.819</v>
          </cell>
        </row>
        <row r="444">
          <cell r="B444">
            <v>37697</v>
          </cell>
          <cell r="C444">
            <v>5.51</v>
          </cell>
          <cell r="D444">
            <v>5.37</v>
          </cell>
          <cell r="E444">
            <v>5.1449999999999996</v>
          </cell>
          <cell r="F444">
            <v>4.6349999999999998</v>
          </cell>
          <cell r="G444">
            <v>4.4749999999999996</v>
          </cell>
          <cell r="H444">
            <v>4.4050000000000002</v>
          </cell>
          <cell r="I444">
            <v>4.3949999999999996</v>
          </cell>
          <cell r="J444">
            <v>4.3849999999999998</v>
          </cell>
          <cell r="K444">
            <v>4.375</v>
          </cell>
          <cell r="L444">
            <v>4.375</v>
          </cell>
          <cell r="M444">
            <v>4.585</v>
          </cell>
          <cell r="N444">
            <v>4.78</v>
          </cell>
        </row>
        <row r="445">
          <cell r="B445">
            <v>37698</v>
          </cell>
          <cell r="C445">
            <v>5.44</v>
          </cell>
          <cell r="D445">
            <v>5.3</v>
          </cell>
          <cell r="E445">
            <v>5.0750000000000002</v>
          </cell>
          <cell r="F445">
            <v>4.5949999999999998</v>
          </cell>
          <cell r="G445">
            <v>4.4649999999999999</v>
          </cell>
          <cell r="H445">
            <v>4.3949999999999996</v>
          </cell>
          <cell r="I445">
            <v>4.3849999999999998</v>
          </cell>
          <cell r="J445">
            <v>4.375</v>
          </cell>
          <cell r="K445">
            <v>4.375</v>
          </cell>
          <cell r="L445">
            <v>4.375</v>
          </cell>
          <cell r="M445">
            <v>4.5949999999999998</v>
          </cell>
          <cell r="N445">
            <v>4.78</v>
          </cell>
        </row>
        <row r="446">
          <cell r="B446">
            <v>37699</v>
          </cell>
          <cell r="C446">
            <v>5.4379999999999997</v>
          </cell>
          <cell r="D446">
            <v>5.2949999999999999</v>
          </cell>
          <cell r="E446">
            <v>5.0599999999999996</v>
          </cell>
          <cell r="F446">
            <v>4.58</v>
          </cell>
          <cell r="G446">
            <v>4.4550000000000001</v>
          </cell>
          <cell r="H446">
            <v>4.3849999999999998</v>
          </cell>
          <cell r="I446">
            <v>4.375</v>
          </cell>
          <cell r="J446">
            <v>4.37</v>
          </cell>
          <cell r="K446">
            <v>4.3949999999999996</v>
          </cell>
          <cell r="L446">
            <v>4.4550000000000001</v>
          </cell>
          <cell r="M446">
            <v>4.6449999999999996</v>
          </cell>
          <cell r="N446">
            <v>4.8250000000000002</v>
          </cell>
        </row>
        <row r="447">
          <cell r="B447">
            <v>37700</v>
          </cell>
          <cell r="C447">
            <v>5.4509999999999996</v>
          </cell>
          <cell r="D447">
            <v>5.3079999999999998</v>
          </cell>
          <cell r="E447">
            <v>5.0730000000000004</v>
          </cell>
          <cell r="F447">
            <v>4.593</v>
          </cell>
          <cell r="G447">
            <v>4.4630000000000001</v>
          </cell>
          <cell r="H447">
            <v>4.3929999999999998</v>
          </cell>
          <cell r="I447">
            <v>4.3730000000000002</v>
          </cell>
          <cell r="J447">
            <v>4.3630000000000004</v>
          </cell>
          <cell r="K447">
            <v>4.3879999999999999</v>
          </cell>
          <cell r="L447">
            <v>4.4379999999999997</v>
          </cell>
          <cell r="M447">
            <v>4.6360000000000001</v>
          </cell>
          <cell r="N447">
            <v>4.8109999999999999</v>
          </cell>
        </row>
        <row r="448">
          <cell r="B448">
            <v>37701</v>
          </cell>
          <cell r="C448">
            <v>5.3979999999999997</v>
          </cell>
          <cell r="D448">
            <v>5.2629999999999999</v>
          </cell>
          <cell r="E448">
            <v>5.0430000000000001</v>
          </cell>
          <cell r="F448">
            <v>4.5629999999999997</v>
          </cell>
          <cell r="G448">
            <v>4.4329999999999998</v>
          </cell>
          <cell r="H448">
            <v>4.3630000000000004</v>
          </cell>
          <cell r="I448">
            <v>4.343</v>
          </cell>
          <cell r="J448">
            <v>4.3330000000000002</v>
          </cell>
          <cell r="K448">
            <v>4.343</v>
          </cell>
          <cell r="L448">
            <v>4.383</v>
          </cell>
          <cell r="M448">
            <v>4.5629999999999997</v>
          </cell>
          <cell r="N448">
            <v>4.7380000000000004</v>
          </cell>
        </row>
        <row r="449">
          <cell r="B449">
            <v>37702</v>
          </cell>
          <cell r="C449">
            <v>5.3979999999999997</v>
          </cell>
          <cell r="D449">
            <v>5.2629999999999999</v>
          </cell>
          <cell r="E449">
            <v>5.0430000000000001</v>
          </cell>
          <cell r="F449">
            <v>4.5629999999999997</v>
          </cell>
          <cell r="G449">
            <v>4.4329999999999998</v>
          </cell>
          <cell r="H449">
            <v>4.3630000000000004</v>
          </cell>
          <cell r="I449">
            <v>4.343</v>
          </cell>
          <cell r="J449">
            <v>4.3330000000000002</v>
          </cell>
          <cell r="K449">
            <v>4.343</v>
          </cell>
          <cell r="L449">
            <v>4.383</v>
          </cell>
          <cell r="M449">
            <v>4.5629999999999997</v>
          </cell>
          <cell r="N449">
            <v>4.7380000000000004</v>
          </cell>
        </row>
        <row r="450">
          <cell r="B450">
            <v>37703</v>
          </cell>
          <cell r="C450">
            <v>5.3979999999999997</v>
          </cell>
          <cell r="D450">
            <v>5.2629999999999999</v>
          </cell>
          <cell r="E450">
            <v>5.0430000000000001</v>
          </cell>
          <cell r="F450">
            <v>4.5629999999999997</v>
          </cell>
          <cell r="G450">
            <v>4.4329999999999998</v>
          </cell>
          <cell r="H450">
            <v>4.3630000000000004</v>
          </cell>
          <cell r="I450">
            <v>4.343</v>
          </cell>
          <cell r="J450">
            <v>4.3330000000000002</v>
          </cell>
          <cell r="K450">
            <v>4.343</v>
          </cell>
          <cell r="L450">
            <v>4.383</v>
          </cell>
          <cell r="M450">
            <v>4.5629999999999997</v>
          </cell>
          <cell r="N450">
            <v>4.7380000000000004</v>
          </cell>
        </row>
        <row r="451">
          <cell r="B451">
            <v>37704</v>
          </cell>
          <cell r="C451">
            <v>5.4640000000000004</v>
          </cell>
          <cell r="D451">
            <v>5.3239999999999998</v>
          </cell>
          <cell r="E451">
            <v>5.1040000000000001</v>
          </cell>
          <cell r="F451">
            <v>4.6189999999999998</v>
          </cell>
          <cell r="G451">
            <v>4.484</v>
          </cell>
          <cell r="H451">
            <v>4.4139999999999997</v>
          </cell>
          <cell r="I451">
            <v>4.3940000000000001</v>
          </cell>
          <cell r="J451">
            <v>4.3840000000000003</v>
          </cell>
          <cell r="K451">
            <v>4.3940000000000001</v>
          </cell>
          <cell r="L451">
            <v>4.4189999999999996</v>
          </cell>
          <cell r="M451">
            <v>4.5990000000000002</v>
          </cell>
          <cell r="N451">
            <v>4.7539999999999996</v>
          </cell>
        </row>
        <row r="452">
          <cell r="B452">
            <v>37705</v>
          </cell>
          <cell r="C452">
            <v>5.3920000000000003</v>
          </cell>
          <cell r="D452">
            <v>5.2670000000000003</v>
          </cell>
          <cell r="E452">
            <v>5.0419999999999998</v>
          </cell>
          <cell r="F452">
            <v>4.5670000000000002</v>
          </cell>
          <cell r="G452">
            <v>4.4320000000000004</v>
          </cell>
          <cell r="H452">
            <v>4.3719999999999999</v>
          </cell>
          <cell r="I452">
            <v>4.3520000000000003</v>
          </cell>
          <cell r="J452">
            <v>4.3419999999999996</v>
          </cell>
          <cell r="K452">
            <v>4.3719999999999999</v>
          </cell>
          <cell r="L452">
            <v>4.3970000000000002</v>
          </cell>
          <cell r="M452">
            <v>4.577</v>
          </cell>
          <cell r="N452">
            <v>4.7370000000000001</v>
          </cell>
        </row>
        <row r="453">
          <cell r="B453">
            <v>37706</v>
          </cell>
          <cell r="C453">
            <v>5.3739999999999997</v>
          </cell>
          <cell r="D453">
            <v>5.234</v>
          </cell>
          <cell r="E453">
            <v>4.9989999999999997</v>
          </cell>
          <cell r="F453">
            <v>4.5490000000000004</v>
          </cell>
          <cell r="G453">
            <v>4.4189999999999996</v>
          </cell>
          <cell r="H453">
            <v>4.3639999999999999</v>
          </cell>
          <cell r="I453">
            <v>4.359</v>
          </cell>
          <cell r="J453">
            <v>4.359</v>
          </cell>
          <cell r="K453">
            <v>4.3789999999999996</v>
          </cell>
          <cell r="L453">
            <v>4.3940000000000001</v>
          </cell>
          <cell r="M453">
            <v>4.5789999999999997</v>
          </cell>
          <cell r="N453">
            <v>4.7439999999999998</v>
          </cell>
        </row>
        <row r="454">
          <cell r="B454">
            <v>37707</v>
          </cell>
          <cell r="C454">
            <v>5.4749999999999996</v>
          </cell>
          <cell r="D454">
            <v>5.335</v>
          </cell>
          <cell r="E454">
            <v>5.0999999999999996</v>
          </cell>
          <cell r="F454">
            <v>4.6050000000000004</v>
          </cell>
          <cell r="G454">
            <v>4.4749999999999996</v>
          </cell>
          <cell r="H454">
            <v>4.42</v>
          </cell>
          <cell r="I454">
            <v>4.4000000000000004</v>
          </cell>
          <cell r="J454">
            <v>4.4000000000000004</v>
          </cell>
          <cell r="K454">
            <v>4.41</v>
          </cell>
          <cell r="L454">
            <v>4.415</v>
          </cell>
          <cell r="M454">
            <v>4.59</v>
          </cell>
          <cell r="N454">
            <v>4.76</v>
          </cell>
        </row>
        <row r="455">
          <cell r="B455">
            <v>37708</v>
          </cell>
          <cell r="C455">
            <v>5.4240000000000004</v>
          </cell>
          <cell r="D455">
            <v>5.2839999999999998</v>
          </cell>
          <cell r="E455">
            <v>5.056</v>
          </cell>
          <cell r="F455">
            <v>4.5709999999999997</v>
          </cell>
          <cell r="G455">
            <v>4.4409999999999998</v>
          </cell>
          <cell r="H455">
            <v>4.3860000000000001</v>
          </cell>
          <cell r="I455">
            <v>4.3760000000000003</v>
          </cell>
          <cell r="J455">
            <v>4.3760000000000003</v>
          </cell>
          <cell r="K455">
            <v>4.3760000000000003</v>
          </cell>
          <cell r="L455">
            <v>4.3860000000000001</v>
          </cell>
          <cell r="M455">
            <v>4.5659999999999998</v>
          </cell>
          <cell r="N455">
            <v>4.7359999999999998</v>
          </cell>
        </row>
        <row r="456">
          <cell r="B456">
            <v>37709</v>
          </cell>
          <cell r="C456">
            <v>5.4240000000000004</v>
          </cell>
          <cell r="D456">
            <v>5.2839999999999998</v>
          </cell>
          <cell r="E456">
            <v>5.056</v>
          </cell>
          <cell r="F456">
            <v>4.5709999999999997</v>
          </cell>
          <cell r="G456">
            <v>4.4409999999999998</v>
          </cell>
          <cell r="H456">
            <v>4.3860000000000001</v>
          </cell>
          <cell r="I456">
            <v>4.3760000000000003</v>
          </cell>
          <cell r="J456">
            <v>4.3760000000000003</v>
          </cell>
          <cell r="K456">
            <v>4.3760000000000003</v>
          </cell>
          <cell r="L456">
            <v>4.3860000000000001</v>
          </cell>
          <cell r="M456">
            <v>4.5659999999999998</v>
          </cell>
          <cell r="N456">
            <v>4.7359999999999998</v>
          </cell>
        </row>
        <row r="457">
          <cell r="B457">
            <v>37710</v>
          </cell>
          <cell r="C457">
            <v>5.4240000000000004</v>
          </cell>
          <cell r="D457">
            <v>5.2839999999999998</v>
          </cell>
          <cell r="E457">
            <v>5.056</v>
          </cell>
          <cell r="F457">
            <v>4.5709999999999997</v>
          </cell>
          <cell r="G457">
            <v>4.4409999999999998</v>
          </cell>
          <cell r="H457">
            <v>4.3860000000000001</v>
          </cell>
          <cell r="I457">
            <v>4.3760000000000003</v>
          </cell>
          <cell r="J457">
            <v>4.3760000000000003</v>
          </cell>
          <cell r="K457">
            <v>4.3760000000000003</v>
          </cell>
          <cell r="L457">
            <v>4.3860000000000001</v>
          </cell>
          <cell r="M457">
            <v>4.5659999999999998</v>
          </cell>
          <cell r="N457">
            <v>4.7359999999999998</v>
          </cell>
        </row>
        <row r="458">
          <cell r="B458">
            <v>37711</v>
          </cell>
          <cell r="C458">
            <v>5.375</v>
          </cell>
          <cell r="D458">
            <v>5.2450000000000001</v>
          </cell>
          <cell r="E458">
            <v>5.0250000000000004</v>
          </cell>
          <cell r="F458">
            <v>4.54</v>
          </cell>
          <cell r="G458">
            <v>4.41</v>
          </cell>
          <cell r="H458">
            <v>4.3550000000000004</v>
          </cell>
          <cell r="I458">
            <v>4.335</v>
          </cell>
          <cell r="J458">
            <v>4.33</v>
          </cell>
          <cell r="K458">
            <v>4.33</v>
          </cell>
          <cell r="L458">
            <v>4.34</v>
          </cell>
          <cell r="M458">
            <v>4.5199999999999996</v>
          </cell>
          <cell r="N458">
            <v>4.7</v>
          </cell>
        </row>
        <row r="459">
          <cell r="B459">
            <v>37712</v>
          </cell>
          <cell r="C459">
            <v>5.4320000000000004</v>
          </cell>
          <cell r="D459">
            <v>5.2919999999999998</v>
          </cell>
          <cell r="E459">
            <v>5.0720000000000001</v>
          </cell>
          <cell r="F459">
            <v>4.6319999999999997</v>
          </cell>
          <cell r="G459">
            <v>4.532</v>
          </cell>
          <cell r="H459">
            <v>4.492</v>
          </cell>
          <cell r="I459">
            <v>4.4820000000000002</v>
          </cell>
          <cell r="J459">
            <v>4.4870000000000001</v>
          </cell>
          <cell r="K459">
            <v>4.4820000000000002</v>
          </cell>
          <cell r="L459">
            <v>4.4870000000000001</v>
          </cell>
          <cell r="M459">
            <v>4.657</v>
          </cell>
          <cell r="N459">
            <v>4.827</v>
          </cell>
        </row>
        <row r="460">
          <cell r="B460">
            <v>37713</v>
          </cell>
          <cell r="C460">
            <v>5.3840000000000003</v>
          </cell>
          <cell r="D460">
            <v>5.2439999999999998</v>
          </cell>
          <cell r="E460">
            <v>5.024</v>
          </cell>
          <cell r="F460">
            <v>4.6239999999999997</v>
          </cell>
          <cell r="G460">
            <v>4.5339999999999998</v>
          </cell>
          <cell r="H460">
            <v>4.4989999999999997</v>
          </cell>
          <cell r="I460">
            <v>4.5039999999999996</v>
          </cell>
          <cell r="J460">
            <v>4.5039999999999996</v>
          </cell>
          <cell r="K460">
            <v>4.4989999999999997</v>
          </cell>
          <cell r="L460">
            <v>4.5090000000000003</v>
          </cell>
          <cell r="M460">
            <v>4.6890000000000001</v>
          </cell>
          <cell r="N460">
            <v>4.8689999999999998</v>
          </cell>
        </row>
        <row r="461">
          <cell r="B461">
            <v>37714</v>
          </cell>
          <cell r="C461">
            <v>5.3</v>
          </cell>
          <cell r="D461">
            <v>5.17</v>
          </cell>
          <cell r="E461">
            <v>4.9649999999999999</v>
          </cell>
          <cell r="F461">
            <v>4.585</v>
          </cell>
          <cell r="G461">
            <v>4.4950000000000001</v>
          </cell>
          <cell r="H461">
            <v>4.47</v>
          </cell>
          <cell r="I461">
            <v>4.4649999999999999</v>
          </cell>
          <cell r="J461">
            <v>4.4649999999999999</v>
          </cell>
          <cell r="K461">
            <v>4.46</v>
          </cell>
          <cell r="L461">
            <v>4.47</v>
          </cell>
          <cell r="M461">
            <v>4.6500000000000004</v>
          </cell>
          <cell r="N461">
            <v>4.83</v>
          </cell>
        </row>
        <row r="462">
          <cell r="B462">
            <v>37715</v>
          </cell>
          <cell r="C462">
            <v>5.2729999999999997</v>
          </cell>
          <cell r="D462">
            <v>5.1379999999999999</v>
          </cell>
          <cell r="E462">
            <v>4.9379999999999997</v>
          </cell>
          <cell r="F462">
            <v>4.5629999999999997</v>
          </cell>
          <cell r="G462">
            <v>4.4729999999999999</v>
          </cell>
          <cell r="H462">
            <v>4.4480000000000004</v>
          </cell>
          <cell r="I462">
            <v>4.4429999999999996</v>
          </cell>
          <cell r="J462">
            <v>4.4530000000000003</v>
          </cell>
          <cell r="K462">
            <v>4.4379999999999997</v>
          </cell>
          <cell r="L462">
            <v>4.4480000000000004</v>
          </cell>
          <cell r="M462">
            <v>4.6379999999999999</v>
          </cell>
          <cell r="N462">
            <v>4.8129999999999997</v>
          </cell>
        </row>
        <row r="463">
          <cell r="B463">
            <v>37716</v>
          </cell>
          <cell r="C463">
            <v>5.2729999999999997</v>
          </cell>
          <cell r="D463">
            <v>5.1379999999999999</v>
          </cell>
          <cell r="E463">
            <v>4.9379999999999997</v>
          </cell>
          <cell r="F463">
            <v>4.5629999999999997</v>
          </cell>
          <cell r="G463">
            <v>4.4729999999999999</v>
          </cell>
          <cell r="H463">
            <v>4.4480000000000004</v>
          </cell>
          <cell r="I463">
            <v>4.4429999999999996</v>
          </cell>
          <cell r="J463">
            <v>4.4530000000000003</v>
          </cell>
          <cell r="K463">
            <v>4.4379999999999997</v>
          </cell>
          <cell r="L463">
            <v>4.4480000000000004</v>
          </cell>
          <cell r="M463">
            <v>4.6379999999999999</v>
          </cell>
          <cell r="N463">
            <v>4.8129999999999997</v>
          </cell>
        </row>
        <row r="464">
          <cell r="B464">
            <v>37717</v>
          </cell>
          <cell r="C464">
            <v>5.2729999999999997</v>
          </cell>
          <cell r="D464">
            <v>5.1379999999999999</v>
          </cell>
          <cell r="E464">
            <v>4.9379999999999997</v>
          </cell>
          <cell r="F464">
            <v>4.5629999999999997</v>
          </cell>
          <cell r="G464">
            <v>4.4729999999999999</v>
          </cell>
          <cell r="H464">
            <v>4.4480000000000004</v>
          </cell>
          <cell r="I464">
            <v>4.4429999999999996</v>
          </cell>
          <cell r="J464">
            <v>4.4530000000000003</v>
          </cell>
          <cell r="K464">
            <v>4.4379999999999997</v>
          </cell>
          <cell r="L464">
            <v>4.4480000000000004</v>
          </cell>
          <cell r="M464">
            <v>4.6379999999999999</v>
          </cell>
          <cell r="N464">
            <v>4.8129999999999997</v>
          </cell>
        </row>
        <row r="465">
          <cell r="B465">
            <v>37718</v>
          </cell>
          <cell r="C465">
            <v>5.3890000000000002</v>
          </cell>
          <cell r="D465">
            <v>5.2439999999999998</v>
          </cell>
          <cell r="E465">
            <v>5.0140000000000002</v>
          </cell>
          <cell r="F465">
            <v>4.6239999999999997</v>
          </cell>
          <cell r="G465">
            <v>4.5339999999999998</v>
          </cell>
          <cell r="H465">
            <v>4.4989999999999997</v>
          </cell>
          <cell r="I465">
            <v>4.4939999999999998</v>
          </cell>
          <cell r="J465">
            <v>4.5039999999999996</v>
          </cell>
          <cell r="K465">
            <v>4.4889999999999999</v>
          </cell>
          <cell r="L465">
            <v>4.4889999999999999</v>
          </cell>
          <cell r="M465">
            <v>4.6790000000000003</v>
          </cell>
          <cell r="N465">
            <v>4.8540000000000001</v>
          </cell>
        </row>
        <row r="466">
          <cell r="B466">
            <v>37719</v>
          </cell>
          <cell r="C466">
            <v>5.399</v>
          </cell>
          <cell r="D466">
            <v>5.2590000000000003</v>
          </cell>
          <cell r="E466">
            <v>5.0289999999999999</v>
          </cell>
          <cell r="F466">
            <v>4.6390000000000002</v>
          </cell>
          <cell r="G466">
            <v>4.5389999999999997</v>
          </cell>
          <cell r="H466">
            <v>4.4989999999999997</v>
          </cell>
          <cell r="I466">
            <v>4.484</v>
          </cell>
          <cell r="J466">
            <v>4.4939999999999998</v>
          </cell>
          <cell r="K466">
            <v>4.4790000000000001</v>
          </cell>
          <cell r="L466">
            <v>4.4790000000000001</v>
          </cell>
          <cell r="M466">
            <v>4.649</v>
          </cell>
          <cell r="N466">
            <v>4.8289999999999997</v>
          </cell>
        </row>
        <row r="467">
          <cell r="B467">
            <v>37720</v>
          </cell>
          <cell r="C467">
            <v>5.48</v>
          </cell>
          <cell r="D467">
            <v>5.34</v>
          </cell>
          <cell r="E467">
            <v>5.1050000000000004</v>
          </cell>
          <cell r="F467">
            <v>4.7080000000000002</v>
          </cell>
          <cell r="G467">
            <v>4.5979999999999999</v>
          </cell>
          <cell r="H467">
            <v>4.548</v>
          </cell>
          <cell r="I467">
            <v>4.5330000000000004</v>
          </cell>
          <cell r="J467">
            <v>4.5330000000000004</v>
          </cell>
          <cell r="K467">
            <v>4.5179999999999998</v>
          </cell>
          <cell r="L467">
            <v>4.5129999999999999</v>
          </cell>
          <cell r="M467">
            <v>4.6829999999999998</v>
          </cell>
          <cell r="N467">
            <v>4.8630000000000004</v>
          </cell>
        </row>
        <row r="468">
          <cell r="B468">
            <v>37721</v>
          </cell>
          <cell r="C468">
            <v>5.6440000000000001</v>
          </cell>
          <cell r="D468">
            <v>5.5039999999999996</v>
          </cell>
          <cell r="E468">
            <v>5.2240000000000002</v>
          </cell>
          <cell r="F468">
            <v>4.7939999999999996</v>
          </cell>
          <cell r="G468">
            <v>4.6639999999999997</v>
          </cell>
          <cell r="H468">
            <v>4.6040000000000001</v>
          </cell>
          <cell r="I468">
            <v>4.5839999999999996</v>
          </cell>
          <cell r="J468">
            <v>4.5739999999999998</v>
          </cell>
          <cell r="K468">
            <v>4.5540000000000003</v>
          </cell>
          <cell r="L468">
            <v>4.5490000000000004</v>
          </cell>
          <cell r="M468">
            <v>4.7089999999999996</v>
          </cell>
          <cell r="N468">
            <v>4.8689999999999998</v>
          </cell>
        </row>
        <row r="469">
          <cell r="B469">
            <v>37722</v>
          </cell>
          <cell r="C469">
            <v>5.6580000000000004</v>
          </cell>
          <cell r="D469">
            <v>5.52</v>
          </cell>
          <cell r="E469">
            <v>5.24</v>
          </cell>
          <cell r="F469">
            <v>4.79</v>
          </cell>
          <cell r="G469">
            <v>4.6429999999999998</v>
          </cell>
          <cell r="H469">
            <v>4.5670000000000002</v>
          </cell>
          <cell r="I469">
            <v>4.5469999999999997</v>
          </cell>
          <cell r="J469">
            <v>4.5270000000000001</v>
          </cell>
          <cell r="K469">
            <v>4.5069999999999997</v>
          </cell>
          <cell r="L469">
            <v>4.5019999999999998</v>
          </cell>
          <cell r="M469">
            <v>4.6760000000000002</v>
          </cell>
          <cell r="N469">
            <v>4.8499999999999996</v>
          </cell>
        </row>
        <row r="470">
          <cell r="B470">
            <v>37723</v>
          </cell>
          <cell r="C470">
            <v>5.6580000000000004</v>
          </cell>
          <cell r="D470">
            <v>5.52</v>
          </cell>
          <cell r="E470">
            <v>5.24</v>
          </cell>
          <cell r="F470">
            <v>4.79</v>
          </cell>
          <cell r="G470">
            <v>4.6429999999999998</v>
          </cell>
          <cell r="H470">
            <v>4.5670000000000002</v>
          </cell>
          <cell r="I470">
            <v>4.5469999999999997</v>
          </cell>
          <cell r="J470">
            <v>4.5270000000000001</v>
          </cell>
          <cell r="K470">
            <v>4.5069999999999997</v>
          </cell>
          <cell r="L470">
            <v>4.5019999999999998</v>
          </cell>
          <cell r="M470">
            <v>4.6760000000000002</v>
          </cell>
          <cell r="N470">
            <v>4.8499999999999996</v>
          </cell>
        </row>
        <row r="471">
          <cell r="B471">
            <v>37724</v>
          </cell>
          <cell r="C471">
            <v>5.6580000000000004</v>
          </cell>
          <cell r="D471">
            <v>5.52</v>
          </cell>
          <cell r="E471">
            <v>5.24</v>
          </cell>
          <cell r="F471">
            <v>4.79</v>
          </cell>
          <cell r="G471">
            <v>4.6429999999999998</v>
          </cell>
          <cell r="H471">
            <v>4.5670000000000002</v>
          </cell>
          <cell r="I471">
            <v>4.5469999999999997</v>
          </cell>
          <cell r="J471">
            <v>4.5270000000000001</v>
          </cell>
          <cell r="K471">
            <v>4.5069999999999997</v>
          </cell>
          <cell r="L471">
            <v>4.5019999999999998</v>
          </cell>
          <cell r="M471">
            <v>4.6760000000000002</v>
          </cell>
          <cell r="N471">
            <v>4.8499999999999996</v>
          </cell>
        </row>
        <row r="472">
          <cell r="B472">
            <v>37725</v>
          </cell>
          <cell r="C472">
            <v>5.7720000000000002</v>
          </cell>
          <cell r="D472">
            <v>5.6219999999999999</v>
          </cell>
          <cell r="E472">
            <v>5.327</v>
          </cell>
          <cell r="F472">
            <v>4.8620000000000001</v>
          </cell>
          <cell r="G472">
            <v>4.6719999999999997</v>
          </cell>
          <cell r="H472">
            <v>4.5919999999999996</v>
          </cell>
          <cell r="I472">
            <v>4.5620000000000003</v>
          </cell>
          <cell r="J472">
            <v>4.5369999999999999</v>
          </cell>
          <cell r="K472">
            <v>4.5170000000000003</v>
          </cell>
          <cell r="L472">
            <v>4.5019999999999998</v>
          </cell>
          <cell r="M472">
            <v>4.6719999999999997</v>
          </cell>
          <cell r="N472">
            <v>4.8419999999999996</v>
          </cell>
        </row>
        <row r="473">
          <cell r="B473">
            <v>37726</v>
          </cell>
          <cell r="C473">
            <v>5.8979999999999997</v>
          </cell>
          <cell r="D473">
            <v>5.7480000000000002</v>
          </cell>
          <cell r="E473">
            <v>5.4669999999999996</v>
          </cell>
          <cell r="F473">
            <v>4.952</v>
          </cell>
          <cell r="G473">
            <v>4.7990000000000004</v>
          </cell>
          <cell r="H473">
            <v>4.7190000000000003</v>
          </cell>
          <cell r="I473">
            <v>4.6890000000000001</v>
          </cell>
          <cell r="J473">
            <v>4.6639999999999997</v>
          </cell>
          <cell r="K473">
            <v>4.6390000000000002</v>
          </cell>
          <cell r="L473">
            <v>4.6139999999999999</v>
          </cell>
          <cell r="M473">
            <v>4.7990000000000004</v>
          </cell>
          <cell r="N473">
            <v>4.9290000000000003</v>
          </cell>
        </row>
        <row r="474">
          <cell r="B474">
            <v>37727</v>
          </cell>
          <cell r="C474">
            <v>5.915</v>
          </cell>
          <cell r="D474">
            <v>5.766</v>
          </cell>
          <cell r="E474">
            <v>5.4960000000000004</v>
          </cell>
          <cell r="F474">
            <v>4.9459999999999997</v>
          </cell>
          <cell r="G474">
            <v>4.7759999999999998</v>
          </cell>
          <cell r="H474">
            <v>4.7160000000000002</v>
          </cell>
          <cell r="I474">
            <v>4.6859999999999999</v>
          </cell>
          <cell r="J474">
            <v>4.6609999999999996</v>
          </cell>
          <cell r="K474">
            <v>4.6310000000000002</v>
          </cell>
          <cell r="L474">
            <v>4.601</v>
          </cell>
          <cell r="M474">
            <v>4.7480000000000002</v>
          </cell>
          <cell r="N474">
            <v>4.9050000000000002</v>
          </cell>
        </row>
        <row r="475">
          <cell r="B475">
            <v>37728</v>
          </cell>
          <cell r="C475">
            <v>5.93</v>
          </cell>
          <cell r="D475">
            <v>5.7809999999999997</v>
          </cell>
          <cell r="E475">
            <v>5.5110000000000001</v>
          </cell>
          <cell r="F475">
            <v>4.9210000000000003</v>
          </cell>
          <cell r="G475">
            <v>4.7549999999999999</v>
          </cell>
          <cell r="H475">
            <v>4.7050000000000001</v>
          </cell>
          <cell r="I475">
            <v>4.6749999999999998</v>
          </cell>
          <cell r="J475">
            <v>4.6550000000000002</v>
          </cell>
          <cell r="K475">
            <v>4.62</v>
          </cell>
          <cell r="L475">
            <v>4.6150000000000002</v>
          </cell>
          <cell r="M475">
            <v>4.76</v>
          </cell>
          <cell r="N475">
            <v>4.915</v>
          </cell>
        </row>
        <row r="476">
          <cell r="B476">
            <v>37729</v>
          </cell>
          <cell r="C476">
            <v>5.93</v>
          </cell>
          <cell r="D476">
            <v>5.7809999999999997</v>
          </cell>
          <cell r="E476">
            <v>5.5110000000000001</v>
          </cell>
          <cell r="F476">
            <v>4.9210000000000003</v>
          </cell>
          <cell r="G476">
            <v>4.7549999999999999</v>
          </cell>
          <cell r="H476">
            <v>4.7050000000000001</v>
          </cell>
          <cell r="I476">
            <v>4.6749999999999998</v>
          </cell>
          <cell r="J476">
            <v>4.6550000000000002</v>
          </cell>
          <cell r="K476">
            <v>4.62</v>
          </cell>
          <cell r="L476">
            <v>4.6150000000000002</v>
          </cell>
          <cell r="M476">
            <v>4.76</v>
          </cell>
          <cell r="N476">
            <v>4.915</v>
          </cell>
        </row>
        <row r="477">
          <cell r="B477">
            <v>37730</v>
          </cell>
          <cell r="C477">
            <v>5.93</v>
          </cell>
          <cell r="D477">
            <v>5.7809999999999997</v>
          </cell>
          <cell r="E477">
            <v>5.5110000000000001</v>
          </cell>
          <cell r="F477">
            <v>4.9210000000000003</v>
          </cell>
          <cell r="G477">
            <v>4.7549999999999999</v>
          </cell>
          <cell r="H477">
            <v>4.7050000000000001</v>
          </cell>
          <cell r="I477">
            <v>4.6749999999999998</v>
          </cell>
          <cell r="J477">
            <v>4.6550000000000002</v>
          </cell>
          <cell r="K477">
            <v>4.62</v>
          </cell>
          <cell r="L477">
            <v>4.6150000000000002</v>
          </cell>
          <cell r="M477">
            <v>4.76</v>
          </cell>
          <cell r="N477">
            <v>4.915</v>
          </cell>
        </row>
        <row r="478">
          <cell r="B478">
            <v>37731</v>
          </cell>
          <cell r="C478">
            <v>5.93</v>
          </cell>
          <cell r="D478">
            <v>5.7809999999999997</v>
          </cell>
          <cell r="E478">
            <v>5.5110000000000001</v>
          </cell>
          <cell r="F478">
            <v>4.9210000000000003</v>
          </cell>
          <cell r="G478">
            <v>4.7549999999999999</v>
          </cell>
          <cell r="H478">
            <v>4.7050000000000001</v>
          </cell>
          <cell r="I478">
            <v>4.6749999999999998</v>
          </cell>
          <cell r="J478">
            <v>4.6550000000000002</v>
          </cell>
          <cell r="K478">
            <v>4.62</v>
          </cell>
          <cell r="L478">
            <v>4.6150000000000002</v>
          </cell>
          <cell r="M478">
            <v>4.76</v>
          </cell>
          <cell r="N478">
            <v>4.915</v>
          </cell>
        </row>
        <row r="479">
          <cell r="B479">
            <v>37732</v>
          </cell>
          <cell r="C479">
            <v>5.976</v>
          </cell>
          <cell r="D479">
            <v>5.8310000000000004</v>
          </cell>
          <cell r="E479">
            <v>5.556</v>
          </cell>
          <cell r="F479">
            <v>4.9260000000000002</v>
          </cell>
          <cell r="G479">
            <v>4.7560000000000002</v>
          </cell>
          <cell r="H479">
            <v>4.7060000000000004</v>
          </cell>
          <cell r="I479">
            <v>4.6760000000000002</v>
          </cell>
          <cell r="J479">
            <v>4.6660000000000004</v>
          </cell>
          <cell r="K479">
            <v>4.6559999999999997</v>
          </cell>
          <cell r="L479">
            <v>4.6509999999999998</v>
          </cell>
          <cell r="M479">
            <v>4.7960000000000003</v>
          </cell>
          <cell r="N479">
            <v>4.9710000000000001</v>
          </cell>
        </row>
        <row r="480">
          <cell r="B480">
            <v>37733</v>
          </cell>
          <cell r="C480">
            <v>5.9820000000000002</v>
          </cell>
          <cell r="D480">
            <v>5.8289999999999997</v>
          </cell>
          <cell r="E480">
            <v>5.5590000000000002</v>
          </cell>
          <cell r="F480">
            <v>4.9089999999999998</v>
          </cell>
          <cell r="G480">
            <v>4.7389999999999999</v>
          </cell>
          <cell r="H480">
            <v>4.6989999999999998</v>
          </cell>
          <cell r="I480">
            <v>4.6689999999999996</v>
          </cell>
          <cell r="J480">
            <v>4.6689999999999996</v>
          </cell>
          <cell r="K480">
            <v>4.6390000000000002</v>
          </cell>
          <cell r="L480">
            <v>4.6340000000000003</v>
          </cell>
          <cell r="M480">
            <v>4.7789999999999999</v>
          </cell>
          <cell r="N480">
            <v>4.9489999999999998</v>
          </cell>
        </row>
        <row r="481">
          <cell r="B481">
            <v>37734</v>
          </cell>
          <cell r="C481">
            <v>5.9740000000000002</v>
          </cell>
          <cell r="D481">
            <v>5.8289999999999997</v>
          </cell>
          <cell r="E481">
            <v>5.5640000000000001</v>
          </cell>
          <cell r="F481">
            <v>4.9139999999999997</v>
          </cell>
          <cell r="G481">
            <v>4.7489999999999997</v>
          </cell>
          <cell r="H481">
            <v>4.7190000000000003</v>
          </cell>
          <cell r="I481">
            <v>4.6989999999999998</v>
          </cell>
          <cell r="J481">
            <v>4.7039999999999997</v>
          </cell>
          <cell r="K481">
            <v>4.6790000000000003</v>
          </cell>
          <cell r="L481">
            <v>4.6740000000000004</v>
          </cell>
          <cell r="M481">
            <v>4.819</v>
          </cell>
          <cell r="N481">
            <v>4.9889999999999999</v>
          </cell>
        </row>
        <row r="482">
          <cell r="B482">
            <v>37735</v>
          </cell>
          <cell r="C482">
            <v>5.9</v>
          </cell>
          <cell r="D482">
            <v>5.7649999999999997</v>
          </cell>
          <cell r="E482">
            <v>5.5</v>
          </cell>
          <cell r="F482">
            <v>4.8499999999999996</v>
          </cell>
          <cell r="G482">
            <v>4.71</v>
          </cell>
          <cell r="H482">
            <v>4.66</v>
          </cell>
          <cell r="I482">
            <v>4.6500000000000004</v>
          </cell>
          <cell r="J482">
            <v>4.79</v>
          </cell>
          <cell r="K482">
            <v>4.6500000000000004</v>
          </cell>
          <cell r="L482">
            <v>4.59</v>
          </cell>
          <cell r="M482">
            <v>4.75</v>
          </cell>
          <cell r="N482">
            <v>4.9889999999999999</v>
          </cell>
        </row>
        <row r="483">
          <cell r="B483">
            <v>37736</v>
          </cell>
          <cell r="C483">
            <v>5.8760000000000003</v>
          </cell>
          <cell r="D483">
            <v>5.7409999999999997</v>
          </cell>
          <cell r="E483">
            <v>5.4859999999999998</v>
          </cell>
          <cell r="F483">
            <v>4.8360000000000003</v>
          </cell>
          <cell r="G483">
            <v>4.6840000000000002</v>
          </cell>
          <cell r="H483">
            <v>4.6539999999999999</v>
          </cell>
          <cell r="I483">
            <v>4.6440000000000001</v>
          </cell>
          <cell r="J483">
            <v>4.649</v>
          </cell>
          <cell r="K483">
            <v>4.6289999999999996</v>
          </cell>
          <cell r="L483">
            <v>4.6289999999999996</v>
          </cell>
          <cell r="M483">
            <v>4.774</v>
          </cell>
          <cell r="N483">
            <v>4.9589999999999996</v>
          </cell>
        </row>
        <row r="484">
          <cell r="B484">
            <v>37737</v>
          </cell>
          <cell r="C484">
            <v>5.8760000000000003</v>
          </cell>
          <cell r="D484">
            <v>5.7409999999999997</v>
          </cell>
          <cell r="E484">
            <v>5.4859999999999998</v>
          </cell>
          <cell r="F484">
            <v>4.8360000000000003</v>
          </cell>
          <cell r="G484">
            <v>4.6840000000000002</v>
          </cell>
          <cell r="H484">
            <v>4.6539999999999999</v>
          </cell>
          <cell r="I484">
            <v>4.6440000000000001</v>
          </cell>
          <cell r="J484">
            <v>4.649</v>
          </cell>
          <cell r="K484">
            <v>4.6289999999999996</v>
          </cell>
          <cell r="L484">
            <v>4.6289999999999996</v>
          </cell>
          <cell r="M484">
            <v>4.774</v>
          </cell>
          <cell r="N484">
            <v>4.9589999999999996</v>
          </cell>
        </row>
        <row r="485">
          <cell r="B485">
            <v>37738</v>
          </cell>
          <cell r="C485">
            <v>5.8760000000000003</v>
          </cell>
          <cell r="D485">
            <v>5.7409999999999997</v>
          </cell>
          <cell r="E485">
            <v>5.4859999999999998</v>
          </cell>
          <cell r="F485">
            <v>4.8360000000000003</v>
          </cell>
          <cell r="G485">
            <v>4.6840000000000002</v>
          </cell>
          <cell r="H485">
            <v>4.6539999999999999</v>
          </cell>
          <cell r="I485">
            <v>4.6440000000000001</v>
          </cell>
          <cell r="J485">
            <v>4.649</v>
          </cell>
          <cell r="K485">
            <v>4.6289999999999996</v>
          </cell>
          <cell r="L485">
            <v>4.6289999999999996</v>
          </cell>
          <cell r="M485">
            <v>4.774</v>
          </cell>
          <cell r="N485">
            <v>4.9589999999999996</v>
          </cell>
        </row>
        <row r="486">
          <cell r="B486">
            <v>37739</v>
          </cell>
          <cell r="C486">
            <v>5.67</v>
          </cell>
          <cell r="D486">
            <v>5.54</v>
          </cell>
          <cell r="E486">
            <v>5.3150000000000004</v>
          </cell>
          <cell r="F486">
            <v>4.7149999999999999</v>
          </cell>
          <cell r="G486">
            <v>4.625</v>
          </cell>
          <cell r="H486">
            <v>4.5999999999999996</v>
          </cell>
          <cell r="I486">
            <v>4.59</v>
          </cell>
          <cell r="J486">
            <v>4.5949999999999998</v>
          </cell>
          <cell r="K486">
            <v>4.585</v>
          </cell>
          <cell r="L486">
            <v>4.585</v>
          </cell>
          <cell r="M486">
            <v>4.7300000000000004</v>
          </cell>
          <cell r="N486">
            <v>4.915</v>
          </cell>
        </row>
        <row r="487">
          <cell r="B487">
            <v>37740</v>
          </cell>
          <cell r="C487">
            <v>5.6749999999999998</v>
          </cell>
          <cell r="D487">
            <v>5.5449999999999999</v>
          </cell>
          <cell r="E487">
            <v>5.3250000000000002</v>
          </cell>
          <cell r="F487">
            <v>4.7370000000000001</v>
          </cell>
          <cell r="G487">
            <v>4.6319999999999997</v>
          </cell>
          <cell r="H487">
            <v>4.6070000000000002</v>
          </cell>
          <cell r="I487">
            <v>4.5970000000000004</v>
          </cell>
          <cell r="J487">
            <v>4.6020000000000003</v>
          </cell>
          <cell r="K487">
            <v>4.6020000000000003</v>
          </cell>
          <cell r="L487">
            <v>4.6020000000000003</v>
          </cell>
          <cell r="M487">
            <v>4.7670000000000003</v>
          </cell>
          <cell r="N487">
            <v>4.9669999999999996</v>
          </cell>
        </row>
        <row r="488">
          <cell r="B488">
            <v>37741</v>
          </cell>
          <cell r="C488">
            <v>5.8250000000000002</v>
          </cell>
          <cell r="D488">
            <v>5.6950000000000003</v>
          </cell>
          <cell r="E488">
            <v>5.4749999999999996</v>
          </cell>
          <cell r="F488">
            <v>4.8869999999999996</v>
          </cell>
          <cell r="G488">
            <v>4.758</v>
          </cell>
          <cell r="H488">
            <v>4.7080000000000002</v>
          </cell>
          <cell r="I488">
            <v>4.6779999999999999</v>
          </cell>
          <cell r="J488">
            <v>4.6779999999999999</v>
          </cell>
          <cell r="K488">
            <v>4.6580000000000004</v>
          </cell>
          <cell r="L488">
            <v>4.6529999999999996</v>
          </cell>
          <cell r="M488">
            <v>4.7930000000000001</v>
          </cell>
          <cell r="N488">
            <v>4.9729999999999999</v>
          </cell>
        </row>
        <row r="489">
          <cell r="B489">
            <v>37742</v>
          </cell>
          <cell r="C489">
            <v>5.7080000000000002</v>
          </cell>
          <cell r="D489">
            <v>5.5880000000000001</v>
          </cell>
          <cell r="E489">
            <v>5.3879999999999999</v>
          </cell>
          <cell r="F489">
            <v>4.8280000000000003</v>
          </cell>
          <cell r="G489">
            <v>4.7229999999999999</v>
          </cell>
          <cell r="H489">
            <v>4.6859999999999999</v>
          </cell>
          <cell r="I489">
            <v>4.6559999999999997</v>
          </cell>
          <cell r="J489">
            <v>4.6760000000000002</v>
          </cell>
          <cell r="K489">
            <v>4.6459999999999999</v>
          </cell>
          <cell r="L489">
            <v>4.6360000000000001</v>
          </cell>
          <cell r="M489">
            <v>4.7759999999999998</v>
          </cell>
          <cell r="N489">
            <v>4.9710000000000001</v>
          </cell>
        </row>
        <row r="490">
          <cell r="B490">
            <v>37743</v>
          </cell>
          <cell r="C490">
            <v>5.6950000000000003</v>
          </cell>
          <cell r="D490">
            <v>5.5750000000000002</v>
          </cell>
          <cell r="E490">
            <v>5.375</v>
          </cell>
          <cell r="F490">
            <v>4.82</v>
          </cell>
          <cell r="G490">
            <v>4.71</v>
          </cell>
          <cell r="H490">
            <v>4.67</v>
          </cell>
          <cell r="I490">
            <v>4.66</v>
          </cell>
          <cell r="J490">
            <v>4.68</v>
          </cell>
          <cell r="K490">
            <v>4.6500000000000004</v>
          </cell>
          <cell r="L490">
            <v>4.6449999999999996</v>
          </cell>
          <cell r="M490">
            <v>4.7759999999999998</v>
          </cell>
          <cell r="N490">
            <v>4.9749999999999996</v>
          </cell>
        </row>
        <row r="491">
          <cell r="B491">
            <v>37744</v>
          </cell>
          <cell r="C491">
            <v>5.7080000000000002</v>
          </cell>
          <cell r="D491">
            <v>5.5880000000000001</v>
          </cell>
          <cell r="E491">
            <v>5.3879999999999999</v>
          </cell>
          <cell r="F491">
            <v>4.8280000000000003</v>
          </cell>
          <cell r="G491">
            <v>4.726</v>
          </cell>
          <cell r="H491">
            <v>4.6859999999999999</v>
          </cell>
          <cell r="I491">
            <v>4.6559999999999997</v>
          </cell>
          <cell r="J491">
            <v>4.6760000000000002</v>
          </cell>
          <cell r="K491">
            <v>4.6459999999999999</v>
          </cell>
          <cell r="L491">
            <v>4.6360000000000001</v>
          </cell>
          <cell r="M491">
            <v>4.7759999999999998</v>
          </cell>
          <cell r="N491">
            <v>4.9710000000000001</v>
          </cell>
        </row>
        <row r="492">
          <cell r="B492">
            <v>37745</v>
          </cell>
          <cell r="C492">
            <v>5.7080000000000002</v>
          </cell>
          <cell r="D492">
            <v>5.5880000000000001</v>
          </cell>
          <cell r="E492">
            <v>5.3879999999999999</v>
          </cell>
          <cell r="F492">
            <v>4.8280000000000003</v>
          </cell>
          <cell r="G492">
            <v>4.726</v>
          </cell>
          <cell r="H492">
            <v>4.6859999999999999</v>
          </cell>
          <cell r="I492">
            <v>4.6559999999999997</v>
          </cell>
          <cell r="J492">
            <v>4.6760000000000002</v>
          </cell>
          <cell r="K492">
            <v>4.6459999999999999</v>
          </cell>
          <cell r="L492">
            <v>4.6360000000000001</v>
          </cell>
          <cell r="M492">
            <v>4.7759999999999998</v>
          </cell>
          <cell r="N492">
            <v>4.9710000000000001</v>
          </cell>
        </row>
        <row r="493">
          <cell r="B493">
            <v>37746</v>
          </cell>
          <cell r="C493">
            <v>5.9690000000000003</v>
          </cell>
          <cell r="D493">
            <v>5.8390000000000004</v>
          </cell>
          <cell r="E493">
            <v>5.6289999999999996</v>
          </cell>
          <cell r="F493">
            <v>5.0289999999999999</v>
          </cell>
          <cell r="G493">
            <v>4.9089999999999998</v>
          </cell>
          <cell r="H493">
            <v>4.8689999999999998</v>
          </cell>
          <cell r="I493">
            <v>4.8490000000000002</v>
          </cell>
          <cell r="J493">
            <v>4.8540000000000001</v>
          </cell>
          <cell r="K493">
            <v>4.8289999999999997</v>
          </cell>
          <cell r="L493">
            <v>4.8289999999999997</v>
          </cell>
          <cell r="M493">
            <v>4.9640000000000004</v>
          </cell>
          <cell r="N493">
            <v>5.1390000000000002</v>
          </cell>
        </row>
        <row r="494">
          <cell r="B494">
            <v>37747</v>
          </cell>
          <cell r="C494">
            <v>5.91</v>
          </cell>
          <cell r="D494">
            <v>5.79</v>
          </cell>
          <cell r="E494">
            <v>5.59</v>
          </cell>
          <cell r="F494">
            <v>4.99</v>
          </cell>
          <cell r="G494">
            <v>4.88</v>
          </cell>
          <cell r="H494">
            <v>4.84</v>
          </cell>
          <cell r="I494">
            <v>4.83</v>
          </cell>
          <cell r="J494">
            <v>4.83</v>
          </cell>
          <cell r="K494">
            <v>4.82</v>
          </cell>
          <cell r="L494">
            <v>4.82</v>
          </cell>
          <cell r="M494">
            <v>4.95</v>
          </cell>
          <cell r="N494">
            <v>5.1100000000000003</v>
          </cell>
        </row>
        <row r="495">
          <cell r="B495">
            <v>37748</v>
          </cell>
          <cell r="C495">
            <v>5.968</v>
          </cell>
          <cell r="D495">
            <v>5.843</v>
          </cell>
          <cell r="E495">
            <v>5.6280000000000001</v>
          </cell>
          <cell r="F495">
            <v>5.0060000000000002</v>
          </cell>
          <cell r="G495">
            <v>4.8659999999999997</v>
          </cell>
          <cell r="H495">
            <v>4.8280000000000003</v>
          </cell>
          <cell r="I495">
            <v>4.8159999999999998</v>
          </cell>
          <cell r="J495">
            <v>4.8280000000000003</v>
          </cell>
          <cell r="K495">
            <v>4.8079999999999998</v>
          </cell>
          <cell r="L495">
            <v>4.8079999999999998</v>
          </cell>
          <cell r="M495">
            <v>4.9480000000000004</v>
          </cell>
          <cell r="N495">
            <v>5.1079999999999997</v>
          </cell>
        </row>
        <row r="496">
          <cell r="B496">
            <v>37749</v>
          </cell>
          <cell r="C496">
            <v>6.0860000000000003</v>
          </cell>
          <cell r="D496">
            <v>5.9560000000000004</v>
          </cell>
          <cell r="E496">
            <v>5.7359999999999998</v>
          </cell>
          <cell r="F496">
            <v>5.0960000000000001</v>
          </cell>
          <cell r="G496">
            <v>4.9509999999999996</v>
          </cell>
          <cell r="H496">
            <v>4.9180000000000001</v>
          </cell>
          <cell r="I496">
            <v>4.9059999999999997</v>
          </cell>
          <cell r="J496">
            <v>4.915</v>
          </cell>
          <cell r="K496">
            <v>4.9000000000000004</v>
          </cell>
          <cell r="L496">
            <v>4.9000000000000004</v>
          </cell>
          <cell r="M496">
            <v>5.04</v>
          </cell>
          <cell r="N496">
            <v>5.2050000000000001</v>
          </cell>
        </row>
        <row r="497">
          <cell r="B497">
            <v>37750</v>
          </cell>
          <cell r="C497">
            <v>6.1790000000000003</v>
          </cell>
          <cell r="D497">
            <v>6.0439999999999996</v>
          </cell>
          <cell r="E497">
            <v>5.819</v>
          </cell>
          <cell r="F497">
            <v>5.1639999999999997</v>
          </cell>
          <cell r="G497">
            <v>5.0190000000000001</v>
          </cell>
          <cell r="H497">
            <v>4.9859999999999998</v>
          </cell>
          <cell r="I497">
            <v>4.9740000000000002</v>
          </cell>
          <cell r="J497">
            <v>4.9829999999999997</v>
          </cell>
          <cell r="K497">
            <v>4.9729999999999999</v>
          </cell>
          <cell r="L497">
            <v>4.9779999999999998</v>
          </cell>
          <cell r="M497">
            <v>5.1280000000000001</v>
          </cell>
          <cell r="N497">
            <v>5.3179999999999996</v>
          </cell>
        </row>
        <row r="498">
          <cell r="B498">
            <v>37751</v>
          </cell>
          <cell r="C498">
            <v>5.7080000000000002</v>
          </cell>
          <cell r="D498">
            <v>5.5880000000000001</v>
          </cell>
          <cell r="E498">
            <v>5.3879999999999999</v>
          </cell>
          <cell r="F498">
            <v>4.8280000000000003</v>
          </cell>
          <cell r="G498">
            <v>4.726</v>
          </cell>
          <cell r="H498">
            <v>4.6859999999999999</v>
          </cell>
          <cell r="I498">
            <v>4.6559999999999997</v>
          </cell>
          <cell r="J498">
            <v>4.6760000000000002</v>
          </cell>
          <cell r="K498">
            <v>4.6459999999999999</v>
          </cell>
          <cell r="L498">
            <v>4.6360000000000001</v>
          </cell>
          <cell r="M498">
            <v>4.7759999999999998</v>
          </cell>
          <cell r="N498">
            <v>4.9710000000000001</v>
          </cell>
        </row>
        <row r="499">
          <cell r="B499">
            <v>37752</v>
          </cell>
          <cell r="C499">
            <v>5.7080000000000002</v>
          </cell>
          <cell r="D499">
            <v>5.5880000000000001</v>
          </cell>
          <cell r="E499">
            <v>5.3879999999999999</v>
          </cell>
          <cell r="F499">
            <v>4.8280000000000003</v>
          </cell>
          <cell r="G499">
            <v>4.726</v>
          </cell>
          <cell r="H499">
            <v>4.6859999999999999</v>
          </cell>
          <cell r="I499">
            <v>4.6559999999999997</v>
          </cell>
          <cell r="J499">
            <v>4.6760000000000002</v>
          </cell>
          <cell r="K499">
            <v>4.6459999999999999</v>
          </cell>
          <cell r="L499">
            <v>4.6360000000000001</v>
          </cell>
          <cell r="M499">
            <v>4.7759999999999998</v>
          </cell>
          <cell r="N499">
            <v>4.9710000000000001</v>
          </cell>
        </row>
        <row r="500">
          <cell r="B500">
            <v>37753</v>
          </cell>
          <cell r="C500">
            <v>6.32</v>
          </cell>
          <cell r="D500">
            <v>6.17</v>
          </cell>
          <cell r="E500">
            <v>5.915</v>
          </cell>
          <cell r="F500">
            <v>5.1849999999999996</v>
          </cell>
          <cell r="G500">
            <v>5.0350000000000001</v>
          </cell>
          <cell r="H500">
            <v>5.0019999999999998</v>
          </cell>
          <cell r="I500">
            <v>4.99</v>
          </cell>
          <cell r="J500">
            <v>4.9749999999999996</v>
          </cell>
          <cell r="K500">
            <v>4.9649999999999999</v>
          </cell>
          <cell r="L500">
            <v>4.9649999999999999</v>
          </cell>
          <cell r="M500">
            <v>5.14</v>
          </cell>
          <cell r="N500">
            <v>5.32</v>
          </cell>
        </row>
        <row r="501">
          <cell r="B501">
            <v>37754</v>
          </cell>
          <cell r="C501">
            <v>6.625</v>
          </cell>
          <cell r="D501">
            <v>6.44</v>
          </cell>
          <cell r="E501">
            <v>6.17</v>
          </cell>
          <cell r="F501">
            <v>5.34</v>
          </cell>
          <cell r="G501">
            <v>5.18</v>
          </cell>
          <cell r="H501">
            <v>5.0999999999999996</v>
          </cell>
          <cell r="I501">
            <v>5.0880000000000001</v>
          </cell>
          <cell r="J501">
            <v>5.0730000000000004</v>
          </cell>
          <cell r="K501">
            <v>5.0579999999999998</v>
          </cell>
          <cell r="L501">
            <v>5.05</v>
          </cell>
          <cell r="M501">
            <v>5.2</v>
          </cell>
          <cell r="N501">
            <v>5.37</v>
          </cell>
        </row>
        <row r="502">
          <cell r="B502">
            <v>37755</v>
          </cell>
          <cell r="C502">
            <v>6.6059999999999999</v>
          </cell>
          <cell r="D502">
            <v>6.4260000000000002</v>
          </cell>
          <cell r="E502">
            <v>6.1360000000000001</v>
          </cell>
          <cell r="F502">
            <v>5.24</v>
          </cell>
          <cell r="G502">
            <v>5.0599999999999996</v>
          </cell>
          <cell r="H502">
            <v>5.0049999999999999</v>
          </cell>
          <cell r="I502">
            <v>4.9950000000000001</v>
          </cell>
          <cell r="J502">
            <v>4.9850000000000003</v>
          </cell>
          <cell r="K502">
            <v>4.97</v>
          </cell>
          <cell r="L502">
            <v>4.9619999999999997</v>
          </cell>
          <cell r="M502">
            <v>5.1319999999999997</v>
          </cell>
          <cell r="N502">
            <v>5.3019999999999996</v>
          </cell>
        </row>
        <row r="503">
          <cell r="B503">
            <v>37756</v>
          </cell>
          <cell r="C503">
            <v>6.4989999999999997</v>
          </cell>
          <cell r="D503">
            <v>6.3239999999999998</v>
          </cell>
          <cell r="E503">
            <v>6.0389999999999997</v>
          </cell>
          <cell r="F503">
            <v>5.1589999999999998</v>
          </cell>
          <cell r="G503">
            <v>4.9859999999999998</v>
          </cell>
          <cell r="H503">
            <v>4.9390000000000001</v>
          </cell>
          <cell r="I503">
            <v>4.9290000000000003</v>
          </cell>
          <cell r="J503">
            <v>4.9260000000000002</v>
          </cell>
          <cell r="K503">
            <v>4.9109999999999996</v>
          </cell>
          <cell r="L503">
            <v>4.8959999999999999</v>
          </cell>
          <cell r="M503">
            <v>5.056</v>
          </cell>
          <cell r="N503">
            <v>5.2290000000000001</v>
          </cell>
        </row>
        <row r="504">
          <cell r="B504">
            <v>37757</v>
          </cell>
          <cell r="C504">
            <v>6.4939999999999998</v>
          </cell>
          <cell r="D504">
            <v>6.319</v>
          </cell>
          <cell r="E504">
            <v>6.0339999999999998</v>
          </cell>
          <cell r="F504">
            <v>5.1420000000000003</v>
          </cell>
          <cell r="G504">
            <v>4.9669999999999996</v>
          </cell>
          <cell r="H504">
            <v>4.92</v>
          </cell>
          <cell r="I504">
            <v>4.9089999999999998</v>
          </cell>
          <cell r="J504">
            <v>4.9039999999999999</v>
          </cell>
          <cell r="K504">
            <v>4.8789999999999996</v>
          </cell>
          <cell r="L504">
            <v>4.8639999999999999</v>
          </cell>
          <cell r="M504">
            <v>5.024</v>
          </cell>
          <cell r="N504">
            <v>5.1989999999999998</v>
          </cell>
        </row>
        <row r="505">
          <cell r="B505">
            <v>37758</v>
          </cell>
          <cell r="C505">
            <v>6.4939999999999998</v>
          </cell>
          <cell r="D505">
            <v>6.319</v>
          </cell>
          <cell r="E505">
            <v>6.0339999999999998</v>
          </cell>
          <cell r="F505">
            <v>5.1420000000000003</v>
          </cell>
          <cell r="G505">
            <v>4.9669999999999996</v>
          </cell>
          <cell r="H505">
            <v>4.92</v>
          </cell>
          <cell r="I505">
            <v>4.9089999999999998</v>
          </cell>
          <cell r="J505">
            <v>4.9039999999999999</v>
          </cell>
          <cell r="K505">
            <v>4.8789999999999996</v>
          </cell>
          <cell r="L505">
            <v>4.8639999999999999</v>
          </cell>
          <cell r="M505">
            <v>5.024</v>
          </cell>
          <cell r="N505">
            <v>5.1989999999999998</v>
          </cell>
        </row>
        <row r="506">
          <cell r="B506">
            <v>37759</v>
          </cell>
          <cell r="C506">
            <v>6.4939999999999998</v>
          </cell>
          <cell r="D506">
            <v>6.319</v>
          </cell>
          <cell r="E506">
            <v>6.0339999999999998</v>
          </cell>
          <cell r="F506">
            <v>5.1420000000000003</v>
          </cell>
          <cell r="G506">
            <v>4.9669999999999996</v>
          </cell>
          <cell r="H506">
            <v>4.92</v>
          </cell>
          <cell r="I506">
            <v>4.9089999999999998</v>
          </cell>
          <cell r="J506">
            <v>4.9039999999999999</v>
          </cell>
          <cell r="K506">
            <v>4.8789999999999996</v>
          </cell>
          <cell r="L506">
            <v>4.8639999999999999</v>
          </cell>
          <cell r="M506">
            <v>5.024</v>
          </cell>
          <cell r="N506">
            <v>5.1989999999999998</v>
          </cell>
        </row>
        <row r="507">
          <cell r="B507">
            <v>37760</v>
          </cell>
          <cell r="C507">
            <v>6.4329999999999998</v>
          </cell>
          <cell r="D507">
            <v>6.2679999999999998</v>
          </cell>
          <cell r="E507">
            <v>5.9829999999999997</v>
          </cell>
          <cell r="F507">
            <v>5.0979999999999999</v>
          </cell>
          <cell r="G507">
            <v>4.9180000000000001</v>
          </cell>
          <cell r="H507">
            <v>4.8710000000000004</v>
          </cell>
          <cell r="I507">
            <v>4.8600000000000003</v>
          </cell>
          <cell r="J507">
            <v>4.8550000000000004</v>
          </cell>
          <cell r="K507">
            <v>4.84</v>
          </cell>
          <cell r="L507">
            <v>4.835</v>
          </cell>
          <cell r="M507">
            <v>4.9950000000000001</v>
          </cell>
          <cell r="N507">
            <v>5.17</v>
          </cell>
        </row>
        <row r="508">
          <cell r="B508">
            <v>37761</v>
          </cell>
          <cell r="C508">
            <v>6.4530000000000003</v>
          </cell>
          <cell r="D508">
            <v>6.2830000000000004</v>
          </cell>
          <cell r="E508">
            <v>5.9880000000000004</v>
          </cell>
          <cell r="F508">
            <v>5.0810000000000004</v>
          </cell>
          <cell r="G508">
            <v>4.9009999999999998</v>
          </cell>
          <cell r="H508">
            <v>4.8529999999999998</v>
          </cell>
          <cell r="I508">
            <v>4.843</v>
          </cell>
          <cell r="J508">
            <v>4.843</v>
          </cell>
          <cell r="K508">
            <v>4.8179999999999996</v>
          </cell>
          <cell r="L508">
            <v>4.8</v>
          </cell>
          <cell r="M508">
            <v>4.9800000000000004</v>
          </cell>
          <cell r="N508">
            <v>5.16</v>
          </cell>
        </row>
        <row r="509">
          <cell r="B509">
            <v>37762</v>
          </cell>
          <cell r="C509">
            <v>6.5540000000000003</v>
          </cell>
          <cell r="D509">
            <v>6.3789999999999996</v>
          </cell>
          <cell r="E509">
            <v>6.0640000000000001</v>
          </cell>
          <cell r="F509">
            <v>5.1210000000000004</v>
          </cell>
          <cell r="G509">
            <v>4.9260000000000002</v>
          </cell>
          <cell r="H509">
            <v>4.88</v>
          </cell>
          <cell r="I509">
            <v>4.87</v>
          </cell>
          <cell r="J509">
            <v>4.87</v>
          </cell>
          <cell r="K509">
            <v>4.8449999999999998</v>
          </cell>
          <cell r="L509">
            <v>4.835</v>
          </cell>
          <cell r="M509">
            <v>4.9950000000000001</v>
          </cell>
          <cell r="N509">
            <v>5.165</v>
          </cell>
        </row>
        <row r="510">
          <cell r="B510">
            <v>37763</v>
          </cell>
          <cell r="C510">
            <v>6.4630000000000001</v>
          </cell>
          <cell r="D510">
            <v>6.3029999999999999</v>
          </cell>
          <cell r="E510">
            <v>5.9980000000000002</v>
          </cell>
          <cell r="F510">
            <v>5.0720000000000001</v>
          </cell>
          <cell r="G510">
            <v>4.8869999999999996</v>
          </cell>
          <cell r="H510">
            <v>4.8410000000000002</v>
          </cell>
          <cell r="I510">
            <v>4.8310000000000004</v>
          </cell>
          <cell r="J510">
            <v>4.8310000000000004</v>
          </cell>
          <cell r="K510">
            <v>4.8159999999999998</v>
          </cell>
          <cell r="L510">
            <v>4.8159999999999998</v>
          </cell>
          <cell r="M510">
            <v>4.976</v>
          </cell>
          <cell r="N510">
            <v>5.1559999999999997</v>
          </cell>
        </row>
        <row r="511">
          <cell r="B511">
            <v>37764</v>
          </cell>
          <cell r="C511">
            <v>6.5359999999999996</v>
          </cell>
          <cell r="D511">
            <v>6.3710000000000004</v>
          </cell>
          <cell r="E511">
            <v>6.0609999999999999</v>
          </cell>
          <cell r="F511">
            <v>5.1349999999999998</v>
          </cell>
          <cell r="G511">
            <v>4.95</v>
          </cell>
          <cell r="H511">
            <v>4.9039999999999999</v>
          </cell>
          <cell r="I511">
            <v>4.8890000000000002</v>
          </cell>
          <cell r="J511">
            <v>4.8890000000000002</v>
          </cell>
          <cell r="K511">
            <v>4.8739999999999997</v>
          </cell>
          <cell r="L511">
            <v>4.8789999999999996</v>
          </cell>
          <cell r="M511">
            <v>5.0490000000000004</v>
          </cell>
          <cell r="N511">
            <v>5.2140000000000004</v>
          </cell>
        </row>
        <row r="512">
          <cell r="B512">
            <v>37765</v>
          </cell>
          <cell r="C512">
            <v>6.5359999999999996</v>
          </cell>
          <cell r="D512">
            <v>6.3710000000000004</v>
          </cell>
          <cell r="E512">
            <v>6.0609999999999999</v>
          </cell>
          <cell r="F512">
            <v>5.1349999999999998</v>
          </cell>
          <cell r="G512">
            <v>4.95</v>
          </cell>
          <cell r="H512">
            <v>4.9039999999999999</v>
          </cell>
          <cell r="I512">
            <v>4.8890000000000002</v>
          </cell>
          <cell r="J512">
            <v>4.8890000000000002</v>
          </cell>
          <cell r="K512">
            <v>4.8739999999999997</v>
          </cell>
          <cell r="L512">
            <v>4.8789999999999996</v>
          </cell>
          <cell r="M512">
            <v>5.0490000000000004</v>
          </cell>
          <cell r="N512">
            <v>5.2140000000000004</v>
          </cell>
        </row>
        <row r="513">
          <cell r="B513">
            <v>37766</v>
          </cell>
          <cell r="C513">
            <v>6.5359999999999996</v>
          </cell>
          <cell r="D513">
            <v>6.3710000000000004</v>
          </cell>
          <cell r="E513">
            <v>6.0609999999999999</v>
          </cell>
          <cell r="F513">
            <v>5.1349999999999998</v>
          </cell>
          <cell r="G513">
            <v>4.95</v>
          </cell>
          <cell r="H513">
            <v>4.9039999999999999</v>
          </cell>
          <cell r="I513">
            <v>4.8890000000000002</v>
          </cell>
          <cell r="J513">
            <v>4.8890000000000002</v>
          </cell>
          <cell r="K513">
            <v>4.8739999999999997</v>
          </cell>
          <cell r="L513">
            <v>4.8789999999999996</v>
          </cell>
          <cell r="M513">
            <v>5.0490000000000004</v>
          </cell>
          <cell r="N513">
            <v>5.2140000000000004</v>
          </cell>
        </row>
        <row r="514">
          <cell r="B514">
            <v>37767</v>
          </cell>
          <cell r="C514">
            <v>6.5359999999999996</v>
          </cell>
          <cell r="D514">
            <v>6.3710000000000004</v>
          </cell>
          <cell r="E514">
            <v>6.0609999999999999</v>
          </cell>
          <cell r="F514">
            <v>5.1349999999999998</v>
          </cell>
          <cell r="G514">
            <v>4.95</v>
          </cell>
          <cell r="H514">
            <v>4.9039999999999999</v>
          </cell>
          <cell r="I514">
            <v>4.8890000000000002</v>
          </cell>
          <cell r="J514">
            <v>4.8890000000000002</v>
          </cell>
          <cell r="K514">
            <v>4.8739999999999997</v>
          </cell>
          <cell r="L514">
            <v>4.8789999999999996</v>
          </cell>
          <cell r="M514">
            <v>5.0490000000000004</v>
          </cell>
          <cell r="N514">
            <v>5.2140000000000004</v>
          </cell>
        </row>
        <row r="515">
          <cell r="B515">
            <v>37768</v>
          </cell>
          <cell r="C515">
            <v>6.39</v>
          </cell>
          <cell r="D515">
            <v>6.2450000000000001</v>
          </cell>
          <cell r="E515">
            <v>5.9749999999999996</v>
          </cell>
          <cell r="F515">
            <v>5.1100000000000003</v>
          </cell>
          <cell r="G515">
            <v>4.9349999999999996</v>
          </cell>
          <cell r="H515">
            <v>4.8890000000000002</v>
          </cell>
          <cell r="I515">
            <v>4.8840000000000003</v>
          </cell>
          <cell r="J515">
            <v>4.8819999999999997</v>
          </cell>
          <cell r="K515">
            <v>4.8719999999999999</v>
          </cell>
          <cell r="L515">
            <v>4.8869999999999996</v>
          </cell>
          <cell r="M515">
            <v>5.0570000000000004</v>
          </cell>
          <cell r="N515">
            <v>5.2370000000000001</v>
          </cell>
        </row>
        <row r="516">
          <cell r="B516">
            <v>37769</v>
          </cell>
          <cell r="C516">
            <v>6.3849999999999998</v>
          </cell>
          <cell r="D516">
            <v>6.24</v>
          </cell>
          <cell r="E516">
            <v>5.97</v>
          </cell>
          <cell r="F516">
            <v>5.1150000000000002</v>
          </cell>
          <cell r="G516">
            <v>4.9400000000000004</v>
          </cell>
          <cell r="H516">
            <v>4.8899999999999997</v>
          </cell>
          <cell r="I516">
            <v>4.88</v>
          </cell>
          <cell r="J516">
            <v>4.875</v>
          </cell>
          <cell r="K516">
            <v>4.8650000000000002</v>
          </cell>
          <cell r="L516">
            <v>4.88</v>
          </cell>
          <cell r="M516">
            <v>5.66</v>
          </cell>
          <cell r="N516">
            <v>5.24</v>
          </cell>
        </row>
        <row r="517">
          <cell r="B517">
            <v>37770</v>
          </cell>
          <cell r="C517">
            <v>6.4530000000000003</v>
          </cell>
          <cell r="D517">
            <v>6.3079999999999998</v>
          </cell>
          <cell r="E517">
            <v>6.0330000000000004</v>
          </cell>
          <cell r="F517">
            <v>5.1829999999999998</v>
          </cell>
          <cell r="G517">
            <v>5.0030000000000001</v>
          </cell>
          <cell r="H517">
            <v>4.9530000000000003</v>
          </cell>
          <cell r="I517">
            <v>4.9429999999999996</v>
          </cell>
          <cell r="J517">
            <v>4.9329999999999998</v>
          </cell>
          <cell r="K517">
            <v>4.923</v>
          </cell>
          <cell r="L517">
            <v>4.9329999999999998</v>
          </cell>
          <cell r="M517">
            <v>5.1130000000000004</v>
          </cell>
          <cell r="N517">
            <v>5.2930000000000001</v>
          </cell>
        </row>
        <row r="518">
          <cell r="B518">
            <v>37771</v>
          </cell>
          <cell r="C518">
            <v>6.5960000000000001</v>
          </cell>
          <cell r="D518">
            <v>6.4459999999999997</v>
          </cell>
          <cell r="E518">
            <v>6.1660000000000004</v>
          </cell>
          <cell r="F518">
            <v>5.3109999999999999</v>
          </cell>
          <cell r="G518">
            <v>5.1310000000000002</v>
          </cell>
          <cell r="H518">
            <v>5.0810000000000004</v>
          </cell>
          <cell r="I518">
            <v>5.0709999999999997</v>
          </cell>
          <cell r="J518">
            <v>5.0609999999999999</v>
          </cell>
          <cell r="K518">
            <v>5.0510000000000002</v>
          </cell>
          <cell r="L518">
            <v>5.0609999999999999</v>
          </cell>
          <cell r="M518">
            <v>5.2409999999999997</v>
          </cell>
          <cell r="N518">
            <v>5.4109999999999996</v>
          </cell>
        </row>
        <row r="519">
          <cell r="B519">
            <v>37772</v>
          </cell>
          <cell r="C519">
            <v>6.5960000000000001</v>
          </cell>
          <cell r="D519">
            <v>6.4459999999999997</v>
          </cell>
          <cell r="E519">
            <v>6.1660000000000004</v>
          </cell>
          <cell r="F519">
            <v>5.3109999999999999</v>
          </cell>
          <cell r="G519">
            <v>5.1310000000000002</v>
          </cell>
          <cell r="H519">
            <v>5.0810000000000004</v>
          </cell>
          <cell r="I519">
            <v>5.0709999999999997</v>
          </cell>
          <cell r="J519">
            <v>5.0609999999999999</v>
          </cell>
          <cell r="K519">
            <v>5.0510000000000002</v>
          </cell>
          <cell r="L519">
            <v>5.0609999999999999</v>
          </cell>
          <cell r="M519">
            <v>5.2409999999999997</v>
          </cell>
          <cell r="N519">
            <v>5.4109999999999996</v>
          </cell>
        </row>
        <row r="520">
          <cell r="B520">
            <v>37773</v>
          </cell>
          <cell r="C520">
            <v>6.5960000000000001</v>
          </cell>
          <cell r="D520">
            <v>6.4459999999999997</v>
          </cell>
          <cell r="E520">
            <v>6.1660000000000004</v>
          </cell>
          <cell r="F520">
            <v>5.3109999999999999</v>
          </cell>
          <cell r="G520">
            <v>5.1310000000000002</v>
          </cell>
          <cell r="H520">
            <v>5.0810000000000004</v>
          </cell>
          <cell r="I520">
            <v>5.0709999999999997</v>
          </cell>
          <cell r="J520">
            <v>5.0609999999999999</v>
          </cell>
          <cell r="K520">
            <v>5.0510000000000002</v>
          </cell>
          <cell r="L520">
            <v>5.0609999999999999</v>
          </cell>
          <cell r="M520">
            <v>5.2409999999999997</v>
          </cell>
          <cell r="N520">
            <v>5.4109999999999996</v>
          </cell>
        </row>
        <row r="521">
          <cell r="B521">
            <v>37774</v>
          </cell>
          <cell r="C521">
            <v>6.742</v>
          </cell>
          <cell r="D521">
            <v>6.5819999999999999</v>
          </cell>
          <cell r="E521">
            <v>6.266</v>
          </cell>
          <cell r="F521">
            <v>5.3710000000000004</v>
          </cell>
          <cell r="G521">
            <v>5.1710000000000003</v>
          </cell>
          <cell r="H521">
            <v>5.1310000000000002</v>
          </cell>
          <cell r="I521">
            <v>5.1210000000000004</v>
          </cell>
          <cell r="J521">
            <v>5.101</v>
          </cell>
          <cell r="K521">
            <v>5.0810000000000004</v>
          </cell>
          <cell r="L521">
            <v>5.0910000000000002</v>
          </cell>
          <cell r="M521">
            <v>5.2560000000000002</v>
          </cell>
          <cell r="N521">
            <v>5.4109999999999996</v>
          </cell>
        </row>
        <row r="522">
          <cell r="B522">
            <v>37775</v>
          </cell>
          <cell r="C522">
            <v>6.7140000000000004</v>
          </cell>
          <cell r="D522">
            <v>6.5640000000000001</v>
          </cell>
          <cell r="E522">
            <v>6.2640000000000002</v>
          </cell>
          <cell r="F522">
            <v>5.3689999999999998</v>
          </cell>
          <cell r="G522">
            <v>5.1689999999999996</v>
          </cell>
          <cell r="H522">
            <v>5.1440000000000001</v>
          </cell>
          <cell r="I522">
            <v>5.1340000000000003</v>
          </cell>
          <cell r="J522">
            <v>5.1239999999999997</v>
          </cell>
          <cell r="K522">
            <v>5.109</v>
          </cell>
          <cell r="L522">
            <v>5.109</v>
          </cell>
          <cell r="M522">
            <v>5.2789999999999999</v>
          </cell>
          <cell r="N522">
            <v>5.4390000000000001</v>
          </cell>
        </row>
        <row r="523">
          <cell r="B523">
            <v>37776</v>
          </cell>
          <cell r="C523">
            <v>6.7380000000000004</v>
          </cell>
          <cell r="D523">
            <v>6.5880000000000001</v>
          </cell>
          <cell r="E523">
            <v>6.2880000000000003</v>
          </cell>
          <cell r="F523">
            <v>5.3840000000000003</v>
          </cell>
          <cell r="G523">
            <v>5.1840000000000002</v>
          </cell>
          <cell r="H523">
            <v>5.1539999999999999</v>
          </cell>
          <cell r="I523">
            <v>5.1440000000000001</v>
          </cell>
          <cell r="J523">
            <v>5.1340000000000003</v>
          </cell>
          <cell r="K523">
            <v>5.1189999999999998</v>
          </cell>
          <cell r="L523">
            <v>5.1189999999999998</v>
          </cell>
          <cell r="M523">
            <v>5.2930000000000001</v>
          </cell>
          <cell r="N523">
            <v>5.4580000000000002</v>
          </cell>
        </row>
        <row r="524">
          <cell r="B524">
            <v>37777</v>
          </cell>
          <cell r="C524">
            <v>6.86</v>
          </cell>
          <cell r="D524">
            <v>6.72</v>
          </cell>
          <cell r="E524">
            <v>6.41</v>
          </cell>
          <cell r="F524">
            <v>5.48</v>
          </cell>
          <cell r="G524">
            <v>5.28</v>
          </cell>
          <cell r="H524">
            <v>5.25</v>
          </cell>
          <cell r="I524">
            <v>5.24</v>
          </cell>
          <cell r="J524">
            <v>5.23</v>
          </cell>
          <cell r="K524">
            <v>5.2149999999999999</v>
          </cell>
          <cell r="L524">
            <v>5.2149999999999999</v>
          </cell>
          <cell r="M524">
            <v>5.3890000000000002</v>
          </cell>
          <cell r="N524">
            <v>5.5540000000000003</v>
          </cell>
        </row>
        <row r="525">
          <cell r="B525">
            <v>37778</v>
          </cell>
          <cell r="C525">
            <v>6.8470000000000004</v>
          </cell>
          <cell r="D525">
            <v>6.7119999999999997</v>
          </cell>
          <cell r="E525">
            <v>6.3970000000000002</v>
          </cell>
          <cell r="F525">
            <v>5.4569999999999999</v>
          </cell>
          <cell r="G525">
            <v>5.2569999999999997</v>
          </cell>
          <cell r="H525">
            <v>5.2270000000000003</v>
          </cell>
          <cell r="I525">
            <v>5.2169999999999996</v>
          </cell>
          <cell r="J525">
            <v>5.2069999999999999</v>
          </cell>
          <cell r="K525">
            <v>5.1920000000000002</v>
          </cell>
          <cell r="L525">
            <v>5.1920000000000002</v>
          </cell>
          <cell r="M525">
            <v>5.3659999999999997</v>
          </cell>
          <cell r="N525">
            <v>5.5309999999999997</v>
          </cell>
        </row>
        <row r="526">
          <cell r="B526">
            <v>37779</v>
          </cell>
          <cell r="C526">
            <v>6.8470000000000004</v>
          </cell>
          <cell r="D526">
            <v>6.7119999999999997</v>
          </cell>
          <cell r="E526">
            <v>6.3970000000000002</v>
          </cell>
          <cell r="F526">
            <v>5.4569999999999999</v>
          </cell>
          <cell r="G526">
            <v>5.2569999999999997</v>
          </cell>
          <cell r="H526">
            <v>5.2270000000000003</v>
          </cell>
          <cell r="I526">
            <v>5.2169999999999996</v>
          </cell>
          <cell r="J526">
            <v>5.2069999999999999</v>
          </cell>
          <cell r="K526">
            <v>5.1920000000000002</v>
          </cell>
          <cell r="L526">
            <v>5.1920000000000002</v>
          </cell>
          <cell r="M526">
            <v>5.3659999999999997</v>
          </cell>
          <cell r="N526">
            <v>5.5309999999999997</v>
          </cell>
        </row>
        <row r="527">
          <cell r="B527">
            <v>37780</v>
          </cell>
          <cell r="C527">
            <v>6.8470000000000004</v>
          </cell>
          <cell r="D527">
            <v>6.7119999999999997</v>
          </cell>
          <cell r="E527">
            <v>6.3970000000000002</v>
          </cell>
          <cell r="F527">
            <v>5.4569999999999999</v>
          </cell>
          <cell r="G527">
            <v>5.2569999999999997</v>
          </cell>
          <cell r="H527">
            <v>5.2270000000000003</v>
          </cell>
          <cell r="I527">
            <v>5.2169999999999996</v>
          </cell>
          <cell r="J527">
            <v>5.2069999999999999</v>
          </cell>
          <cell r="K527">
            <v>5.1920000000000002</v>
          </cell>
          <cell r="L527">
            <v>5.1920000000000002</v>
          </cell>
          <cell r="M527">
            <v>5.3659999999999997</v>
          </cell>
          <cell r="N527">
            <v>5.5309999999999997</v>
          </cell>
        </row>
        <row r="528">
          <cell r="B528">
            <v>37781</v>
          </cell>
          <cell r="C528">
            <v>6.7590000000000003</v>
          </cell>
          <cell r="D528">
            <v>6.6340000000000003</v>
          </cell>
          <cell r="E528">
            <v>6.3239999999999998</v>
          </cell>
          <cell r="F528">
            <v>5.4039999999999999</v>
          </cell>
          <cell r="G528">
            <v>5.2039999999999997</v>
          </cell>
          <cell r="H528">
            <v>5.1740000000000004</v>
          </cell>
          <cell r="I528">
            <v>5.1639999999999997</v>
          </cell>
          <cell r="J528">
            <v>5.1639999999999997</v>
          </cell>
          <cell r="K528">
            <v>5.1440000000000001</v>
          </cell>
          <cell r="L528">
            <v>5.1440000000000001</v>
          </cell>
          <cell r="M528">
            <v>5.3209999999999997</v>
          </cell>
          <cell r="N528">
            <v>5.4889999999999999</v>
          </cell>
        </row>
        <row r="529">
          <cell r="B529">
            <v>37782</v>
          </cell>
          <cell r="C529">
            <v>6.7750000000000004</v>
          </cell>
          <cell r="D529">
            <v>6.6550000000000002</v>
          </cell>
          <cell r="E529">
            <v>6.3550000000000004</v>
          </cell>
          <cell r="F529">
            <v>5.4249999999999998</v>
          </cell>
          <cell r="G529">
            <v>5.2249999999999996</v>
          </cell>
          <cell r="H529">
            <v>5.1870000000000003</v>
          </cell>
          <cell r="I529">
            <v>5.1719999999999997</v>
          </cell>
          <cell r="J529">
            <v>5.165</v>
          </cell>
          <cell r="K529">
            <v>5.1449999999999996</v>
          </cell>
          <cell r="L529">
            <v>5.1449999999999996</v>
          </cell>
          <cell r="M529">
            <v>5.3220000000000001</v>
          </cell>
          <cell r="N529">
            <v>5.49</v>
          </cell>
        </row>
        <row r="530">
          <cell r="B530">
            <v>37783</v>
          </cell>
          <cell r="C530">
            <v>6.6870000000000003</v>
          </cell>
          <cell r="D530">
            <v>6.5780000000000003</v>
          </cell>
          <cell r="E530">
            <v>6.2880000000000003</v>
          </cell>
          <cell r="F530">
            <v>5.3680000000000003</v>
          </cell>
          <cell r="G530">
            <v>5.1829999999999998</v>
          </cell>
          <cell r="H530">
            <v>5.165</v>
          </cell>
          <cell r="I530">
            <v>5.1529999999999996</v>
          </cell>
          <cell r="J530">
            <v>5.1459999999999999</v>
          </cell>
          <cell r="K530">
            <v>5.1310000000000002</v>
          </cell>
          <cell r="L530">
            <v>5.1310000000000002</v>
          </cell>
          <cell r="M530">
            <v>5.3109999999999999</v>
          </cell>
          <cell r="N530">
            <v>5.4960000000000004</v>
          </cell>
        </row>
        <row r="531">
          <cell r="B531">
            <v>37784</v>
          </cell>
          <cell r="C531">
            <v>6.2910000000000004</v>
          </cell>
          <cell r="D531">
            <v>6.2160000000000002</v>
          </cell>
          <cell r="E531">
            <v>5.9809999999999999</v>
          </cell>
          <cell r="F531">
            <v>5.2709999999999999</v>
          </cell>
          <cell r="G531">
            <v>5.1260000000000003</v>
          </cell>
          <cell r="H531">
            <v>5.1159999999999997</v>
          </cell>
          <cell r="I531">
            <v>5.1059999999999999</v>
          </cell>
          <cell r="J531">
            <v>5.1159999999999997</v>
          </cell>
          <cell r="K531">
            <v>5.1159999999999997</v>
          </cell>
          <cell r="L531">
            <v>5.1260000000000003</v>
          </cell>
          <cell r="M531">
            <v>5.3159999999999998</v>
          </cell>
          <cell r="N531">
            <v>5.5060000000000002</v>
          </cell>
        </row>
        <row r="532">
          <cell r="B532">
            <v>37785</v>
          </cell>
          <cell r="C532">
            <v>6.2880000000000003</v>
          </cell>
          <cell r="D532">
            <v>6.2130000000000001</v>
          </cell>
          <cell r="E532">
            <v>5.9779999999999998</v>
          </cell>
          <cell r="F532">
            <v>5.2679999999999998</v>
          </cell>
          <cell r="G532">
            <v>5.1230000000000002</v>
          </cell>
          <cell r="H532">
            <v>5.1130000000000004</v>
          </cell>
          <cell r="I532">
            <v>5.1029999999999998</v>
          </cell>
          <cell r="J532">
            <v>5.1079999999999997</v>
          </cell>
          <cell r="K532">
            <v>5.1079999999999997</v>
          </cell>
          <cell r="L532">
            <v>5.1180000000000003</v>
          </cell>
          <cell r="M532">
            <v>5.3079999999999998</v>
          </cell>
          <cell r="N532">
            <v>5.4980000000000002</v>
          </cell>
        </row>
        <row r="533">
          <cell r="B533">
            <v>37786</v>
          </cell>
          <cell r="C533">
            <v>6.2880000000000003</v>
          </cell>
          <cell r="D533">
            <v>6.2130000000000001</v>
          </cell>
          <cell r="E533">
            <v>5.9779999999999998</v>
          </cell>
          <cell r="F533">
            <v>5.2679999999999998</v>
          </cell>
          <cell r="G533">
            <v>5.1230000000000002</v>
          </cell>
          <cell r="H533">
            <v>5.1130000000000004</v>
          </cell>
          <cell r="I533">
            <v>5.1029999999999998</v>
          </cell>
          <cell r="J533">
            <v>5.1079999999999997</v>
          </cell>
          <cell r="K533">
            <v>5.1079999999999997</v>
          </cell>
          <cell r="L533">
            <v>5.1180000000000003</v>
          </cell>
          <cell r="M533">
            <v>5.3079999999999998</v>
          </cell>
          <cell r="N533">
            <v>5.4980000000000002</v>
          </cell>
        </row>
        <row r="534">
          <cell r="B534">
            <v>37787</v>
          </cell>
          <cell r="C534">
            <v>6.2880000000000003</v>
          </cell>
          <cell r="D534">
            <v>6.2130000000000001</v>
          </cell>
          <cell r="E534">
            <v>5.9779999999999998</v>
          </cell>
          <cell r="F534">
            <v>5.2679999999999998</v>
          </cell>
          <cell r="G534">
            <v>5.1230000000000002</v>
          </cell>
          <cell r="H534">
            <v>5.1130000000000004</v>
          </cell>
          <cell r="I534">
            <v>5.1029999999999998</v>
          </cell>
          <cell r="J534">
            <v>5.1079999999999997</v>
          </cell>
          <cell r="K534">
            <v>5.1079999999999997</v>
          </cell>
          <cell r="L534">
            <v>5.1180000000000003</v>
          </cell>
          <cell r="M534">
            <v>5.3079999999999998</v>
          </cell>
          <cell r="N534">
            <v>5.4980000000000002</v>
          </cell>
        </row>
        <row r="535">
          <cell r="B535">
            <v>37788</v>
          </cell>
          <cell r="C535">
            <v>6.2930000000000001</v>
          </cell>
          <cell r="D535">
            <v>6.218</v>
          </cell>
          <cell r="E535">
            <v>5.9980000000000002</v>
          </cell>
          <cell r="F535">
            <v>5.3029999999999999</v>
          </cell>
          <cell r="G535">
            <v>5.1630000000000003</v>
          </cell>
          <cell r="H535">
            <v>5.1630000000000003</v>
          </cell>
          <cell r="I535">
            <v>5.1529999999999996</v>
          </cell>
          <cell r="J535">
            <v>5.1630000000000003</v>
          </cell>
          <cell r="K535">
            <v>5.1630000000000003</v>
          </cell>
          <cell r="L535">
            <v>5.1630000000000003</v>
          </cell>
          <cell r="M535">
            <v>5.3630000000000004</v>
          </cell>
          <cell r="N535">
            <v>5.5430000000000001</v>
          </cell>
        </row>
        <row r="536">
          <cell r="B536">
            <v>37789</v>
          </cell>
          <cell r="C536">
            <v>6.2569999999999997</v>
          </cell>
          <cell r="D536">
            <v>6.1769999999999996</v>
          </cell>
          <cell r="E536">
            <v>5.9569999999999999</v>
          </cell>
          <cell r="F536">
            <v>5.2469999999999999</v>
          </cell>
          <cell r="G536">
            <v>5.1070000000000002</v>
          </cell>
          <cell r="H536">
            <v>5.1020000000000003</v>
          </cell>
          <cell r="I536">
            <v>5.0919999999999996</v>
          </cell>
          <cell r="J536">
            <v>5.1020000000000003</v>
          </cell>
          <cell r="K536">
            <v>5.0869999999999997</v>
          </cell>
          <cell r="L536">
            <v>5.1070000000000002</v>
          </cell>
          <cell r="M536">
            <v>5.2969999999999997</v>
          </cell>
          <cell r="N536">
            <v>5.4770000000000003</v>
          </cell>
        </row>
        <row r="537">
          <cell r="B537">
            <v>37790</v>
          </cell>
          <cell r="C537">
            <v>6.1429999999999998</v>
          </cell>
          <cell r="D537">
            <v>6.0629999999999997</v>
          </cell>
          <cell r="E537">
            <v>5.843</v>
          </cell>
          <cell r="F537">
            <v>5.1529999999999996</v>
          </cell>
          <cell r="G537">
            <v>5.0279999999999996</v>
          </cell>
          <cell r="H537">
            <v>5.0220000000000002</v>
          </cell>
          <cell r="I537">
            <v>5.0069999999999997</v>
          </cell>
          <cell r="J537">
            <v>5.0220000000000002</v>
          </cell>
          <cell r="K537">
            <v>4.992</v>
          </cell>
          <cell r="L537">
            <v>5.0019999999999998</v>
          </cell>
          <cell r="M537">
            <v>5.1920000000000002</v>
          </cell>
          <cell r="N537">
            <v>5.3719999999999999</v>
          </cell>
        </row>
        <row r="538">
          <cell r="B538">
            <v>37791</v>
          </cell>
          <cell r="C538">
            <v>6.4219999999999997</v>
          </cell>
          <cell r="D538">
            <v>6.3319999999999999</v>
          </cell>
          <cell r="E538">
            <v>6.0819999999999999</v>
          </cell>
          <cell r="F538">
            <v>5.2519999999999998</v>
          </cell>
          <cell r="G538">
            <v>5.1120000000000001</v>
          </cell>
          <cell r="H538">
            <v>5.0949999999999998</v>
          </cell>
          <cell r="I538">
            <v>5.07</v>
          </cell>
          <cell r="J538">
            <v>5.08</v>
          </cell>
          <cell r="K538">
            <v>5.05</v>
          </cell>
          <cell r="L538">
            <v>5.0599999999999996</v>
          </cell>
          <cell r="M538">
            <v>5.25</v>
          </cell>
          <cell r="N538">
            <v>5.43</v>
          </cell>
        </row>
        <row r="539">
          <cell r="B539">
            <v>37792</v>
          </cell>
          <cell r="C539">
            <v>6.351</v>
          </cell>
          <cell r="D539">
            <v>6.2610000000000001</v>
          </cell>
          <cell r="E539">
            <v>6.0209999999999999</v>
          </cell>
          <cell r="F539">
            <v>5.1929999999999996</v>
          </cell>
          <cell r="G539">
            <v>5.048</v>
          </cell>
          <cell r="H539">
            <v>5.0309999999999997</v>
          </cell>
          <cell r="I539">
            <v>5.016</v>
          </cell>
          <cell r="J539">
            <v>5.0259999999999998</v>
          </cell>
          <cell r="K539">
            <v>5.0110000000000001</v>
          </cell>
          <cell r="L539">
            <v>5.0309999999999997</v>
          </cell>
          <cell r="M539">
            <v>5.2210000000000001</v>
          </cell>
          <cell r="N539">
            <v>5.4109999999999996</v>
          </cell>
        </row>
        <row r="540">
          <cell r="B540">
            <v>37793</v>
          </cell>
          <cell r="C540">
            <v>6.351</v>
          </cell>
          <cell r="D540">
            <v>6.2610000000000001</v>
          </cell>
          <cell r="E540">
            <v>6.0209999999999999</v>
          </cell>
          <cell r="F540">
            <v>5.1929999999999996</v>
          </cell>
          <cell r="G540">
            <v>5.048</v>
          </cell>
          <cell r="H540">
            <v>5.0309999999999997</v>
          </cell>
          <cell r="I540">
            <v>5.016</v>
          </cell>
          <cell r="J540">
            <v>5.0259999999999998</v>
          </cell>
          <cell r="K540">
            <v>5.0110000000000001</v>
          </cell>
          <cell r="L540">
            <v>5.0309999999999997</v>
          </cell>
          <cell r="M540">
            <v>5.2210000000000001</v>
          </cell>
          <cell r="N540">
            <v>5.4109999999999996</v>
          </cell>
        </row>
        <row r="541">
          <cell r="B541">
            <v>37794</v>
          </cell>
          <cell r="C541">
            <v>6.351</v>
          </cell>
          <cell r="D541">
            <v>6.2610000000000001</v>
          </cell>
          <cell r="E541">
            <v>6.0209999999999999</v>
          </cell>
          <cell r="F541">
            <v>5.1929999999999996</v>
          </cell>
          <cell r="G541">
            <v>5.048</v>
          </cell>
          <cell r="H541">
            <v>5.0309999999999997</v>
          </cell>
          <cell r="I541">
            <v>5.016</v>
          </cell>
          <cell r="J541">
            <v>5.0259999999999998</v>
          </cell>
          <cell r="K541">
            <v>5.0110000000000001</v>
          </cell>
          <cell r="L541">
            <v>5.0309999999999997</v>
          </cell>
          <cell r="M541">
            <v>5.2210000000000001</v>
          </cell>
          <cell r="N541">
            <v>5.4109999999999996</v>
          </cell>
        </row>
        <row r="542">
          <cell r="B542">
            <v>37795</v>
          </cell>
          <cell r="C542">
            <v>6.3979999999999997</v>
          </cell>
          <cell r="D542">
            <v>6.3129999999999997</v>
          </cell>
          <cell r="E542">
            <v>6.0730000000000004</v>
          </cell>
          <cell r="F542">
            <v>5.2380000000000004</v>
          </cell>
          <cell r="G542">
            <v>5.0880000000000001</v>
          </cell>
          <cell r="H542">
            <v>5.0730000000000004</v>
          </cell>
          <cell r="I542">
            <v>5.0579999999999998</v>
          </cell>
          <cell r="J542">
            <v>5.0679999999999996</v>
          </cell>
          <cell r="K542">
            <v>5.048</v>
          </cell>
          <cell r="L542">
            <v>5.0679999999999996</v>
          </cell>
          <cell r="M542">
            <v>5.2629999999999999</v>
          </cell>
          <cell r="N542">
            <v>5.4530000000000003</v>
          </cell>
        </row>
        <row r="543">
          <cell r="B543">
            <v>37796</v>
          </cell>
          <cell r="C543">
            <v>6.3979999999999997</v>
          </cell>
          <cell r="D543">
            <v>6.3129999999999997</v>
          </cell>
          <cell r="E543">
            <v>6.0730000000000004</v>
          </cell>
          <cell r="F543">
            <v>5.2380000000000004</v>
          </cell>
          <cell r="G543">
            <v>5.0880000000000001</v>
          </cell>
          <cell r="H543">
            <v>5.0730000000000004</v>
          </cell>
          <cell r="I543">
            <v>5.0579999999999998</v>
          </cell>
          <cell r="J543">
            <v>5.0679999999999996</v>
          </cell>
          <cell r="K543">
            <v>5.048</v>
          </cell>
          <cell r="L543">
            <v>5.0679999999999996</v>
          </cell>
          <cell r="M543">
            <v>5.2629999999999999</v>
          </cell>
          <cell r="N543">
            <v>5.4530000000000003</v>
          </cell>
        </row>
        <row r="544">
          <cell r="B544">
            <v>37797</v>
          </cell>
          <cell r="C544" t="str">
            <v>-</v>
          </cell>
          <cell r="D544" t="str">
            <v>-</v>
          </cell>
          <cell r="E544" t="str">
            <v>-</v>
          </cell>
          <cell r="F544" t="str">
            <v>-</v>
          </cell>
          <cell r="G544" t="str">
            <v>-</v>
          </cell>
          <cell r="H544" t="str">
            <v>-</v>
          </cell>
          <cell r="I544" t="str">
            <v>-</v>
          </cell>
          <cell r="J544" t="str">
            <v>-</v>
          </cell>
          <cell r="K544" t="str">
            <v>-</v>
          </cell>
          <cell r="L544" t="str">
            <v>-</v>
          </cell>
          <cell r="M544" t="str">
            <v>-</v>
          </cell>
          <cell r="N544" t="str">
            <v>-</v>
          </cell>
        </row>
        <row r="545">
          <cell r="B545">
            <v>37798</v>
          </cell>
          <cell r="C545" t="str">
            <v>-</v>
          </cell>
          <cell r="D545" t="str">
            <v>-</v>
          </cell>
          <cell r="E545" t="str">
            <v>-</v>
          </cell>
          <cell r="F545" t="str">
            <v>-</v>
          </cell>
          <cell r="G545" t="str">
            <v>-</v>
          </cell>
          <cell r="H545" t="str">
            <v>-</v>
          </cell>
          <cell r="I545" t="str">
            <v>-</v>
          </cell>
          <cell r="J545" t="str">
            <v>-</v>
          </cell>
          <cell r="K545" t="str">
            <v>-</v>
          </cell>
          <cell r="L545" t="str">
            <v>-</v>
          </cell>
          <cell r="M545" t="str">
            <v>-</v>
          </cell>
          <cell r="N545" t="str">
            <v>-</v>
          </cell>
        </row>
        <row r="546">
          <cell r="B546">
            <v>37799</v>
          </cell>
          <cell r="C546" t="str">
            <v>-</v>
          </cell>
          <cell r="D546" t="str">
            <v>-</v>
          </cell>
          <cell r="E546" t="str">
            <v>-</v>
          </cell>
          <cell r="F546" t="str">
            <v>-</v>
          </cell>
          <cell r="G546" t="str">
            <v>-</v>
          </cell>
          <cell r="H546" t="str">
            <v>-</v>
          </cell>
          <cell r="I546" t="str">
            <v>-</v>
          </cell>
          <cell r="J546" t="str">
            <v>-</v>
          </cell>
          <cell r="K546" t="str">
            <v>-</v>
          </cell>
          <cell r="L546" t="str">
            <v>-</v>
          </cell>
          <cell r="M546" t="str">
            <v>-</v>
          </cell>
          <cell r="N546" t="str">
            <v>-</v>
          </cell>
        </row>
        <row r="547">
          <cell r="B547">
            <v>37800</v>
          </cell>
          <cell r="C547" t="str">
            <v>-</v>
          </cell>
          <cell r="D547" t="str">
            <v>-</v>
          </cell>
          <cell r="E547" t="str">
            <v>-</v>
          </cell>
          <cell r="F547" t="str">
            <v>-</v>
          </cell>
          <cell r="G547" t="str">
            <v>-</v>
          </cell>
          <cell r="H547" t="str">
            <v>-</v>
          </cell>
          <cell r="I547" t="str">
            <v>-</v>
          </cell>
          <cell r="J547" t="str">
            <v>-</v>
          </cell>
          <cell r="K547" t="str">
            <v>-</v>
          </cell>
          <cell r="L547" t="str">
            <v>-</v>
          </cell>
          <cell r="M547" t="str">
            <v>-</v>
          </cell>
          <cell r="N547" t="str">
            <v>-</v>
          </cell>
        </row>
        <row r="548">
          <cell r="B548">
            <v>37801</v>
          </cell>
          <cell r="C548" t="str">
            <v>-</v>
          </cell>
          <cell r="D548" t="str">
            <v>-</v>
          </cell>
          <cell r="E548" t="str">
            <v>-</v>
          </cell>
          <cell r="F548" t="str">
            <v>-</v>
          </cell>
          <cell r="G548" t="str">
            <v>-</v>
          </cell>
          <cell r="H548" t="str">
            <v>-</v>
          </cell>
          <cell r="I548" t="str">
            <v>-</v>
          </cell>
          <cell r="J548" t="str">
            <v>-</v>
          </cell>
          <cell r="K548" t="str">
            <v>-</v>
          </cell>
          <cell r="L548" t="str">
            <v>-</v>
          </cell>
          <cell r="M548" t="str">
            <v>-</v>
          </cell>
          <cell r="N548" t="str">
            <v>-</v>
          </cell>
        </row>
        <row r="549">
          <cell r="B549">
            <v>37802</v>
          </cell>
          <cell r="C549" t="str">
            <v>-</v>
          </cell>
          <cell r="D549" t="str">
            <v>-</v>
          </cell>
          <cell r="E549" t="str">
            <v>-</v>
          </cell>
          <cell r="F549" t="str">
            <v>-</v>
          </cell>
          <cell r="G549" t="str">
            <v>-</v>
          </cell>
          <cell r="H549" t="str">
            <v>-</v>
          </cell>
          <cell r="I549" t="str">
            <v>-</v>
          </cell>
          <cell r="J549" t="str">
            <v>-</v>
          </cell>
          <cell r="K549" t="str">
            <v>-</v>
          </cell>
          <cell r="L549" t="str">
            <v>-</v>
          </cell>
          <cell r="M549" t="str">
            <v>-</v>
          </cell>
          <cell r="N549" t="str">
            <v>-</v>
          </cell>
        </row>
        <row r="550">
          <cell r="B550">
            <v>37803</v>
          </cell>
          <cell r="C550" t="str">
            <v>-</v>
          </cell>
          <cell r="D550" t="str">
            <v>-</v>
          </cell>
          <cell r="E550" t="str">
            <v>-</v>
          </cell>
          <cell r="F550" t="str">
            <v>-</v>
          </cell>
          <cell r="G550" t="str">
            <v>-</v>
          </cell>
          <cell r="H550" t="str">
            <v>-</v>
          </cell>
          <cell r="I550" t="str">
            <v>-</v>
          </cell>
          <cell r="J550" t="str">
            <v>-</v>
          </cell>
          <cell r="K550" t="str">
            <v>-</v>
          </cell>
          <cell r="L550" t="str">
            <v>-</v>
          </cell>
          <cell r="M550" t="str">
            <v>-</v>
          </cell>
          <cell r="N550" t="str">
            <v>-</v>
          </cell>
        </row>
        <row r="551">
          <cell r="B551">
            <v>37804</v>
          </cell>
          <cell r="C551" t="str">
            <v>-</v>
          </cell>
          <cell r="D551" t="str">
            <v>-</v>
          </cell>
          <cell r="E551" t="str">
            <v>-</v>
          </cell>
          <cell r="F551" t="str">
            <v>-</v>
          </cell>
          <cell r="G551" t="str">
            <v>-</v>
          </cell>
          <cell r="H551" t="str">
            <v>-</v>
          </cell>
          <cell r="I551" t="str">
            <v>-</v>
          </cell>
          <cell r="J551" t="str">
            <v>-</v>
          </cell>
          <cell r="K551" t="str">
            <v>-</v>
          </cell>
          <cell r="L551" t="str">
            <v>-</v>
          </cell>
          <cell r="M551" t="str">
            <v>-</v>
          </cell>
          <cell r="N551" t="str">
            <v>-</v>
          </cell>
        </row>
        <row r="552">
          <cell r="B552">
            <v>37805</v>
          </cell>
          <cell r="C552" t="str">
            <v>-</v>
          </cell>
          <cell r="D552" t="str">
            <v>-</v>
          </cell>
          <cell r="E552" t="str">
            <v>-</v>
          </cell>
          <cell r="F552" t="str">
            <v>-</v>
          </cell>
          <cell r="G552" t="str">
            <v>-</v>
          </cell>
          <cell r="H552" t="str">
            <v>-</v>
          </cell>
          <cell r="I552" t="str">
            <v>-</v>
          </cell>
          <cell r="J552" t="str">
            <v>-</v>
          </cell>
          <cell r="K552" t="str">
            <v>-</v>
          </cell>
          <cell r="L552" t="str">
            <v>-</v>
          </cell>
          <cell r="M552" t="str">
            <v>-</v>
          </cell>
          <cell r="N552" t="str">
            <v>-</v>
          </cell>
        </row>
        <row r="553">
          <cell r="B553">
            <v>37806</v>
          </cell>
          <cell r="C553" t="str">
            <v>-</v>
          </cell>
          <cell r="D553" t="str">
            <v>-</v>
          </cell>
          <cell r="E553" t="str">
            <v>-</v>
          </cell>
          <cell r="F553" t="str">
            <v>-</v>
          </cell>
          <cell r="G553" t="str">
            <v>-</v>
          </cell>
          <cell r="H553" t="str">
            <v>-</v>
          </cell>
          <cell r="I553" t="str">
            <v>-</v>
          </cell>
          <cell r="J553" t="str">
            <v>-</v>
          </cell>
          <cell r="K553" t="str">
            <v>-</v>
          </cell>
          <cell r="L553" t="str">
            <v>-</v>
          </cell>
          <cell r="M553" t="str">
            <v>-</v>
          </cell>
          <cell r="N553" t="str">
            <v>-</v>
          </cell>
        </row>
        <row r="554">
          <cell r="B554">
            <v>37807</v>
          </cell>
          <cell r="C554" t="str">
            <v>-</v>
          </cell>
          <cell r="D554" t="str">
            <v>-</v>
          </cell>
          <cell r="E554" t="str">
            <v>-</v>
          </cell>
          <cell r="F554" t="str">
            <v>-</v>
          </cell>
          <cell r="G554" t="str">
            <v>-</v>
          </cell>
          <cell r="H554" t="str">
            <v>-</v>
          </cell>
          <cell r="I554" t="str">
            <v>-</v>
          </cell>
          <cell r="J554" t="str">
            <v>-</v>
          </cell>
          <cell r="K554" t="str">
            <v>-</v>
          </cell>
          <cell r="L554" t="str">
            <v>-</v>
          </cell>
          <cell r="M554" t="str">
            <v>-</v>
          </cell>
          <cell r="N554" t="str">
            <v>-</v>
          </cell>
        </row>
        <row r="555">
          <cell r="B555">
            <v>37808</v>
          </cell>
          <cell r="C555" t="str">
            <v>-</v>
          </cell>
          <cell r="D555" t="str">
            <v>-</v>
          </cell>
          <cell r="E555" t="str">
            <v>-</v>
          </cell>
          <cell r="F555" t="str">
            <v>-</v>
          </cell>
          <cell r="G555" t="str">
            <v>-</v>
          </cell>
          <cell r="H555" t="str">
            <v>-</v>
          </cell>
          <cell r="I555" t="str">
            <v>-</v>
          </cell>
          <cell r="J555" t="str">
            <v>-</v>
          </cell>
          <cell r="K555" t="str">
            <v>-</v>
          </cell>
          <cell r="L555" t="str">
            <v>-</v>
          </cell>
          <cell r="M555" t="str">
            <v>-</v>
          </cell>
          <cell r="N555" t="str">
            <v>-</v>
          </cell>
        </row>
        <row r="556">
          <cell r="B556">
            <v>37809</v>
          </cell>
          <cell r="C556" t="str">
            <v>-</v>
          </cell>
          <cell r="D556" t="str">
            <v>-</v>
          </cell>
          <cell r="E556" t="str">
            <v>-</v>
          </cell>
          <cell r="F556" t="str">
            <v>-</v>
          </cell>
          <cell r="G556" t="str">
            <v>-</v>
          </cell>
          <cell r="H556" t="str">
            <v>-</v>
          </cell>
          <cell r="I556" t="str">
            <v>-</v>
          </cell>
          <cell r="J556" t="str">
            <v>-</v>
          </cell>
          <cell r="K556" t="str">
            <v>-</v>
          </cell>
          <cell r="L556" t="str">
            <v>-</v>
          </cell>
          <cell r="M556" t="str">
            <v>-</v>
          </cell>
          <cell r="N556" t="str">
            <v>-</v>
          </cell>
        </row>
        <row r="557">
          <cell r="B557">
            <v>37810</v>
          </cell>
          <cell r="C557" t="str">
            <v>-</v>
          </cell>
          <cell r="D557" t="str">
            <v>-</v>
          </cell>
          <cell r="E557" t="str">
            <v>-</v>
          </cell>
          <cell r="F557" t="str">
            <v>-</v>
          </cell>
          <cell r="G557" t="str">
            <v>-</v>
          </cell>
          <cell r="H557" t="str">
            <v>-</v>
          </cell>
          <cell r="I557" t="str">
            <v>-</v>
          </cell>
          <cell r="J557" t="str">
            <v>-</v>
          </cell>
          <cell r="K557" t="str">
            <v>-</v>
          </cell>
          <cell r="L557" t="str">
            <v>-</v>
          </cell>
          <cell r="M557" t="str">
            <v>-</v>
          </cell>
          <cell r="N557" t="str">
            <v>-</v>
          </cell>
        </row>
        <row r="558">
          <cell r="B558">
            <v>37811</v>
          </cell>
          <cell r="C558" t="str">
            <v>-</v>
          </cell>
          <cell r="D558" t="str">
            <v>-</v>
          </cell>
          <cell r="E558" t="str">
            <v>-</v>
          </cell>
          <cell r="F558" t="str">
            <v>-</v>
          </cell>
          <cell r="G558" t="str">
            <v>-</v>
          </cell>
          <cell r="H558" t="str">
            <v>-</v>
          </cell>
          <cell r="I558" t="str">
            <v>-</v>
          </cell>
          <cell r="J558" t="str">
            <v>-</v>
          </cell>
          <cell r="K558" t="str">
            <v>-</v>
          </cell>
          <cell r="L558" t="str">
            <v>-</v>
          </cell>
          <cell r="M558" t="str">
            <v>-</v>
          </cell>
          <cell r="N558" t="str">
            <v>-</v>
          </cell>
        </row>
        <row r="559">
          <cell r="B559">
            <v>37812</v>
          </cell>
          <cell r="C559" t="str">
            <v>-</v>
          </cell>
          <cell r="D559" t="str">
            <v>-</v>
          </cell>
          <cell r="E559" t="str">
            <v>-</v>
          </cell>
          <cell r="F559" t="str">
            <v>-</v>
          </cell>
          <cell r="G559" t="str">
            <v>-</v>
          </cell>
          <cell r="H559" t="str">
            <v>-</v>
          </cell>
          <cell r="I559" t="str">
            <v>-</v>
          </cell>
          <cell r="J559" t="str">
            <v>-</v>
          </cell>
          <cell r="K559" t="str">
            <v>-</v>
          </cell>
          <cell r="L559" t="str">
            <v>-</v>
          </cell>
          <cell r="M559" t="str">
            <v>-</v>
          </cell>
          <cell r="N559" t="str">
            <v>-</v>
          </cell>
        </row>
        <row r="560">
          <cell r="B560">
            <v>37813</v>
          </cell>
          <cell r="C560" t="str">
            <v>-</v>
          </cell>
          <cell r="D560" t="str">
            <v>-</v>
          </cell>
          <cell r="E560" t="str">
            <v>-</v>
          </cell>
          <cell r="F560" t="str">
            <v>-</v>
          </cell>
          <cell r="G560" t="str">
            <v>-</v>
          </cell>
          <cell r="H560" t="str">
            <v>-</v>
          </cell>
          <cell r="I560" t="str">
            <v>-</v>
          </cell>
          <cell r="J560" t="str">
            <v>-</v>
          </cell>
          <cell r="K560" t="str">
            <v>-</v>
          </cell>
          <cell r="L560" t="str">
            <v>-</v>
          </cell>
          <cell r="M560" t="str">
            <v>-</v>
          </cell>
          <cell r="N560" t="str">
            <v>-</v>
          </cell>
        </row>
        <row r="561">
          <cell r="B561">
            <v>37814</v>
          </cell>
          <cell r="C561" t="str">
            <v>-</v>
          </cell>
          <cell r="D561" t="str">
            <v>-</v>
          </cell>
          <cell r="E561" t="str">
            <v>-</v>
          </cell>
          <cell r="F561" t="str">
            <v>-</v>
          </cell>
          <cell r="G561" t="str">
            <v>-</v>
          </cell>
          <cell r="H561" t="str">
            <v>-</v>
          </cell>
          <cell r="I561" t="str">
            <v>-</v>
          </cell>
          <cell r="J561" t="str">
            <v>-</v>
          </cell>
          <cell r="K561" t="str">
            <v>-</v>
          </cell>
          <cell r="L561" t="str">
            <v>-</v>
          </cell>
          <cell r="M561" t="str">
            <v>-</v>
          </cell>
          <cell r="N561" t="str">
            <v>-</v>
          </cell>
        </row>
        <row r="562">
          <cell r="B562">
            <v>37815</v>
          </cell>
          <cell r="C562" t="str">
            <v>-</v>
          </cell>
          <cell r="D562" t="str">
            <v>-</v>
          </cell>
          <cell r="E562" t="str">
            <v>-</v>
          </cell>
          <cell r="F562" t="str">
            <v>-</v>
          </cell>
          <cell r="G562" t="str">
            <v>-</v>
          </cell>
          <cell r="H562" t="str">
            <v>-</v>
          </cell>
          <cell r="I562" t="str">
            <v>-</v>
          </cell>
          <cell r="J562" t="str">
            <v>-</v>
          </cell>
          <cell r="K562" t="str">
            <v>-</v>
          </cell>
          <cell r="L562" t="str">
            <v>-</v>
          </cell>
          <cell r="M562" t="str">
            <v>-</v>
          </cell>
          <cell r="N562" t="str">
            <v>-</v>
          </cell>
        </row>
        <row r="563">
          <cell r="B563">
            <v>37816</v>
          </cell>
          <cell r="C563" t="str">
            <v>-</v>
          </cell>
          <cell r="D563" t="str">
            <v>-</v>
          </cell>
          <cell r="E563" t="str">
            <v>-</v>
          </cell>
          <cell r="F563" t="str">
            <v>-</v>
          </cell>
          <cell r="G563" t="str">
            <v>-</v>
          </cell>
          <cell r="H563" t="str">
            <v>-</v>
          </cell>
          <cell r="I563" t="str">
            <v>-</v>
          </cell>
          <cell r="J563" t="str">
            <v>-</v>
          </cell>
          <cell r="K563" t="str">
            <v>-</v>
          </cell>
          <cell r="L563" t="str">
            <v>-</v>
          </cell>
          <cell r="M563" t="str">
            <v>-</v>
          </cell>
          <cell r="N563" t="str">
            <v>-</v>
          </cell>
        </row>
        <row r="564">
          <cell r="B564">
            <v>37817</v>
          </cell>
          <cell r="C564" t="str">
            <v>-</v>
          </cell>
          <cell r="D564" t="str">
            <v>-</v>
          </cell>
          <cell r="E564" t="str">
            <v>-</v>
          </cell>
          <cell r="F564" t="str">
            <v>-</v>
          </cell>
          <cell r="G564" t="str">
            <v>-</v>
          </cell>
          <cell r="H564" t="str">
            <v>-</v>
          </cell>
          <cell r="I564" t="str">
            <v>-</v>
          </cell>
          <cell r="J564" t="str">
            <v>-</v>
          </cell>
          <cell r="K564" t="str">
            <v>-</v>
          </cell>
          <cell r="L564" t="str">
            <v>-</v>
          </cell>
          <cell r="M564" t="str">
            <v>-</v>
          </cell>
          <cell r="N564" t="str">
            <v>-</v>
          </cell>
        </row>
        <row r="565">
          <cell r="B565">
            <v>37818</v>
          </cell>
          <cell r="C565" t="str">
            <v>-</v>
          </cell>
          <cell r="D565" t="str">
            <v>-</v>
          </cell>
          <cell r="E565" t="str">
            <v>-</v>
          </cell>
          <cell r="F565" t="str">
            <v>-</v>
          </cell>
          <cell r="G565" t="str">
            <v>-</v>
          </cell>
          <cell r="H565" t="str">
            <v>-</v>
          </cell>
          <cell r="I565" t="str">
            <v>-</v>
          </cell>
          <cell r="J565" t="str">
            <v>-</v>
          </cell>
          <cell r="K565" t="str">
            <v>-</v>
          </cell>
          <cell r="L565" t="str">
            <v>-</v>
          </cell>
          <cell r="M565" t="str">
            <v>-</v>
          </cell>
          <cell r="N565" t="str">
            <v>-</v>
          </cell>
        </row>
        <row r="566">
          <cell r="B566">
            <v>37819</v>
          </cell>
          <cell r="C566" t="str">
            <v>-</v>
          </cell>
          <cell r="D566" t="str">
            <v>-</v>
          </cell>
          <cell r="E566" t="str">
            <v>-</v>
          </cell>
          <cell r="F566" t="str">
            <v>-</v>
          </cell>
          <cell r="G566" t="str">
            <v>-</v>
          </cell>
          <cell r="H566" t="str">
            <v>-</v>
          </cell>
          <cell r="I566" t="str">
            <v>-</v>
          </cell>
          <cell r="J566" t="str">
            <v>-</v>
          </cell>
          <cell r="K566" t="str">
            <v>-</v>
          </cell>
          <cell r="L566" t="str">
            <v>-</v>
          </cell>
          <cell r="M566" t="str">
            <v>-</v>
          </cell>
          <cell r="N566" t="str">
            <v>-</v>
          </cell>
        </row>
        <row r="567">
          <cell r="B567">
            <v>37820</v>
          </cell>
          <cell r="C567" t="str">
            <v>-</v>
          </cell>
          <cell r="D567" t="str">
            <v>-</v>
          </cell>
          <cell r="E567" t="str">
            <v>-</v>
          </cell>
          <cell r="F567" t="str">
            <v>-</v>
          </cell>
          <cell r="G567" t="str">
            <v>-</v>
          </cell>
          <cell r="H567" t="str">
            <v>-</v>
          </cell>
          <cell r="I567" t="str">
            <v>-</v>
          </cell>
          <cell r="J567" t="str">
            <v>-</v>
          </cell>
          <cell r="K567" t="str">
            <v>-</v>
          </cell>
          <cell r="L567" t="str">
            <v>-</v>
          </cell>
          <cell r="M567" t="str">
            <v>-</v>
          </cell>
          <cell r="N567" t="str">
            <v>-</v>
          </cell>
        </row>
        <row r="568">
          <cell r="B568">
            <v>37821</v>
          </cell>
          <cell r="C568" t="str">
            <v>-</v>
          </cell>
          <cell r="D568" t="str">
            <v>-</v>
          </cell>
          <cell r="E568" t="str">
            <v>-</v>
          </cell>
          <cell r="F568" t="str">
            <v>-</v>
          </cell>
          <cell r="G568" t="str">
            <v>-</v>
          </cell>
          <cell r="H568" t="str">
            <v>-</v>
          </cell>
          <cell r="I568" t="str">
            <v>-</v>
          </cell>
          <cell r="J568" t="str">
            <v>-</v>
          </cell>
          <cell r="K568" t="str">
            <v>-</v>
          </cell>
          <cell r="L568" t="str">
            <v>-</v>
          </cell>
          <cell r="M568" t="str">
            <v>-</v>
          </cell>
          <cell r="N568" t="str">
            <v>-</v>
          </cell>
        </row>
        <row r="569">
          <cell r="B569">
            <v>37822</v>
          </cell>
          <cell r="C569" t="str">
            <v>-</v>
          </cell>
          <cell r="D569" t="str">
            <v>-</v>
          </cell>
          <cell r="E569" t="str">
            <v>-</v>
          </cell>
          <cell r="F569" t="str">
            <v>-</v>
          </cell>
          <cell r="G569" t="str">
            <v>-</v>
          </cell>
          <cell r="H569" t="str">
            <v>-</v>
          </cell>
          <cell r="I569" t="str">
            <v>-</v>
          </cell>
          <cell r="J569" t="str">
            <v>-</v>
          </cell>
          <cell r="K569" t="str">
            <v>-</v>
          </cell>
          <cell r="L569" t="str">
            <v>-</v>
          </cell>
          <cell r="M569" t="str">
            <v>-</v>
          </cell>
          <cell r="N569" t="str">
            <v>-</v>
          </cell>
        </row>
        <row r="570">
          <cell r="B570">
            <v>37823</v>
          </cell>
          <cell r="C570" t="str">
            <v>-</v>
          </cell>
          <cell r="D570" t="str">
            <v>-</v>
          </cell>
          <cell r="E570" t="str">
            <v>-</v>
          </cell>
          <cell r="F570" t="str">
            <v>-</v>
          </cell>
          <cell r="G570" t="str">
            <v>-</v>
          </cell>
          <cell r="H570" t="str">
            <v>-</v>
          </cell>
          <cell r="I570" t="str">
            <v>-</v>
          </cell>
          <cell r="J570" t="str">
            <v>-</v>
          </cell>
          <cell r="K570" t="str">
            <v>-</v>
          </cell>
          <cell r="L570" t="str">
            <v>-</v>
          </cell>
          <cell r="M570" t="str">
            <v>-</v>
          </cell>
          <cell r="N570" t="str">
            <v>-</v>
          </cell>
        </row>
        <row r="571">
          <cell r="B571">
            <v>37824</v>
          </cell>
          <cell r="C571" t="str">
            <v>-</v>
          </cell>
          <cell r="D571" t="str">
            <v>-</v>
          </cell>
          <cell r="E571" t="str">
            <v>-</v>
          </cell>
          <cell r="F571" t="str">
            <v>-</v>
          </cell>
          <cell r="G571" t="str">
            <v>-</v>
          </cell>
          <cell r="H571" t="str">
            <v>-</v>
          </cell>
          <cell r="I571" t="str">
            <v>-</v>
          </cell>
          <cell r="J571" t="str">
            <v>-</v>
          </cell>
          <cell r="K571" t="str">
            <v>-</v>
          </cell>
          <cell r="L571" t="str">
            <v>-</v>
          </cell>
          <cell r="M571" t="str">
            <v>-</v>
          </cell>
          <cell r="N571" t="str">
            <v>-</v>
          </cell>
        </row>
        <row r="572">
          <cell r="B572">
            <v>37825</v>
          </cell>
          <cell r="C572" t="str">
            <v>-</v>
          </cell>
          <cell r="D572" t="str">
            <v>-</v>
          </cell>
          <cell r="E572" t="str">
            <v>-</v>
          </cell>
          <cell r="F572" t="str">
            <v>-</v>
          </cell>
          <cell r="G572" t="str">
            <v>-</v>
          </cell>
          <cell r="H572" t="str">
            <v>-</v>
          </cell>
          <cell r="I572" t="str">
            <v>-</v>
          </cell>
          <cell r="J572" t="str">
            <v>-</v>
          </cell>
          <cell r="K572" t="str">
            <v>-</v>
          </cell>
          <cell r="L572" t="str">
            <v>-</v>
          </cell>
          <cell r="M572" t="str">
            <v>-</v>
          </cell>
          <cell r="N572" t="str">
            <v>-</v>
          </cell>
        </row>
        <row r="573">
          <cell r="B573">
            <v>37826</v>
          </cell>
          <cell r="C573" t="str">
            <v>-</v>
          </cell>
          <cell r="D573" t="str">
            <v>-</v>
          </cell>
          <cell r="E573" t="str">
            <v>-</v>
          </cell>
          <cell r="F573" t="str">
            <v>-</v>
          </cell>
          <cell r="G573" t="str">
            <v>-</v>
          </cell>
          <cell r="H573" t="str">
            <v>-</v>
          </cell>
          <cell r="I573" t="str">
            <v>-</v>
          </cell>
          <cell r="J573" t="str">
            <v>-</v>
          </cell>
          <cell r="K573" t="str">
            <v>-</v>
          </cell>
          <cell r="L573" t="str">
            <v>-</v>
          </cell>
          <cell r="M573" t="str">
            <v>-</v>
          </cell>
          <cell r="N573" t="str">
            <v>-</v>
          </cell>
        </row>
        <row r="574">
          <cell r="B574">
            <v>37827</v>
          </cell>
          <cell r="C574" t="str">
            <v>-</v>
          </cell>
          <cell r="D574" t="str">
            <v>-</v>
          </cell>
          <cell r="E574" t="str">
            <v>-</v>
          </cell>
          <cell r="F574" t="str">
            <v>-</v>
          </cell>
          <cell r="G574" t="str">
            <v>-</v>
          </cell>
          <cell r="H574" t="str">
            <v>-</v>
          </cell>
          <cell r="I574" t="str">
            <v>-</v>
          </cell>
          <cell r="J574" t="str">
            <v>-</v>
          </cell>
          <cell r="K574" t="str">
            <v>-</v>
          </cell>
          <cell r="L574" t="str">
            <v>-</v>
          </cell>
          <cell r="M574" t="str">
            <v>-</v>
          </cell>
          <cell r="N574" t="str">
            <v>-</v>
          </cell>
        </row>
        <row r="575">
          <cell r="B575">
            <v>37828</v>
          </cell>
          <cell r="C575" t="str">
            <v>-</v>
          </cell>
          <cell r="D575" t="str">
            <v>-</v>
          </cell>
          <cell r="E575" t="str">
            <v>-</v>
          </cell>
          <cell r="F575" t="str">
            <v>-</v>
          </cell>
          <cell r="G575" t="str">
            <v>-</v>
          </cell>
          <cell r="H575" t="str">
            <v>-</v>
          </cell>
          <cell r="I575" t="str">
            <v>-</v>
          </cell>
          <cell r="J575" t="str">
            <v>-</v>
          </cell>
          <cell r="K575" t="str">
            <v>-</v>
          </cell>
          <cell r="L575" t="str">
            <v>-</v>
          </cell>
          <cell r="M575" t="str">
            <v>-</v>
          </cell>
          <cell r="N575" t="str">
            <v>-</v>
          </cell>
        </row>
        <row r="576">
          <cell r="B576">
            <v>37829</v>
          </cell>
          <cell r="C576" t="str">
            <v>-</v>
          </cell>
          <cell r="D576" t="str">
            <v>-</v>
          </cell>
          <cell r="E576" t="str">
            <v>-</v>
          </cell>
          <cell r="F576" t="str">
            <v>-</v>
          </cell>
          <cell r="G576" t="str">
            <v>-</v>
          </cell>
          <cell r="H576" t="str">
            <v>-</v>
          </cell>
          <cell r="I576" t="str">
            <v>-</v>
          </cell>
          <cell r="J576" t="str">
            <v>-</v>
          </cell>
          <cell r="K576" t="str">
            <v>-</v>
          </cell>
          <cell r="L576" t="str">
            <v>-</v>
          </cell>
          <cell r="M576" t="str">
            <v>-</v>
          </cell>
          <cell r="N576" t="str">
            <v>-</v>
          </cell>
        </row>
        <row r="577">
          <cell r="B577">
            <v>37830</v>
          </cell>
          <cell r="C577" t="str">
            <v>-</v>
          </cell>
          <cell r="D577" t="str">
            <v>-</v>
          </cell>
          <cell r="E577" t="str">
            <v>-</v>
          </cell>
          <cell r="F577" t="str">
            <v>-</v>
          </cell>
          <cell r="G577" t="str">
            <v>-</v>
          </cell>
          <cell r="H577" t="str">
            <v>-</v>
          </cell>
          <cell r="I577" t="str">
            <v>-</v>
          </cell>
          <cell r="J577" t="str">
            <v>-</v>
          </cell>
          <cell r="K577" t="str">
            <v>-</v>
          </cell>
          <cell r="L577" t="str">
            <v>-</v>
          </cell>
          <cell r="M577" t="str">
            <v>-</v>
          </cell>
          <cell r="N577" t="str">
            <v>-</v>
          </cell>
        </row>
        <row r="578">
          <cell r="B578">
            <v>37831</v>
          </cell>
          <cell r="C578" t="str">
            <v>-</v>
          </cell>
          <cell r="D578" t="str">
            <v>-</v>
          </cell>
          <cell r="E578" t="str">
            <v>-</v>
          </cell>
          <cell r="F578" t="str">
            <v>-</v>
          </cell>
          <cell r="G578" t="str">
            <v>-</v>
          </cell>
          <cell r="H578" t="str">
            <v>-</v>
          </cell>
          <cell r="I578" t="str">
            <v>-</v>
          </cell>
          <cell r="J578" t="str">
            <v>-</v>
          </cell>
          <cell r="K578" t="str">
            <v>-</v>
          </cell>
          <cell r="L578" t="str">
            <v>-</v>
          </cell>
          <cell r="M578" t="str">
            <v>-</v>
          </cell>
          <cell r="N578" t="str">
            <v>-</v>
          </cell>
        </row>
        <row r="579">
          <cell r="B579">
            <v>37832</v>
          </cell>
          <cell r="C579" t="str">
            <v>-</v>
          </cell>
          <cell r="D579" t="str">
            <v>-</v>
          </cell>
          <cell r="E579" t="str">
            <v>-</v>
          </cell>
          <cell r="F579" t="str">
            <v>-</v>
          </cell>
          <cell r="G579" t="str">
            <v>-</v>
          </cell>
          <cell r="H579" t="str">
            <v>-</v>
          </cell>
          <cell r="I579" t="str">
            <v>-</v>
          </cell>
          <cell r="J579" t="str">
            <v>-</v>
          </cell>
          <cell r="K579" t="str">
            <v>-</v>
          </cell>
          <cell r="L579" t="str">
            <v>-</v>
          </cell>
          <cell r="M579" t="str">
            <v>-</v>
          </cell>
          <cell r="N579" t="str">
            <v>-</v>
          </cell>
        </row>
        <row r="580">
          <cell r="B580">
            <v>37833</v>
          </cell>
          <cell r="C580" t="str">
            <v>-</v>
          </cell>
          <cell r="D580" t="str">
            <v>-</v>
          </cell>
          <cell r="E580" t="str">
            <v>-</v>
          </cell>
          <cell r="F580" t="str">
            <v>-</v>
          </cell>
          <cell r="G580" t="str">
            <v>-</v>
          </cell>
          <cell r="H580" t="str">
            <v>-</v>
          </cell>
          <cell r="I580" t="str">
            <v>-</v>
          </cell>
          <cell r="J580" t="str">
            <v>-</v>
          </cell>
          <cell r="K580" t="str">
            <v>-</v>
          </cell>
          <cell r="L580" t="str">
            <v>-</v>
          </cell>
          <cell r="M580" t="str">
            <v>-</v>
          </cell>
          <cell r="N580" t="str">
            <v>-</v>
          </cell>
        </row>
        <row r="581">
          <cell r="B581">
            <v>37834</v>
          </cell>
          <cell r="C581" t="str">
            <v>-</v>
          </cell>
          <cell r="D581" t="str">
            <v>-</v>
          </cell>
          <cell r="E581" t="str">
            <v>-</v>
          </cell>
          <cell r="F581" t="str">
            <v>-</v>
          </cell>
          <cell r="G581" t="str">
            <v>-</v>
          </cell>
          <cell r="H581" t="str">
            <v>-</v>
          </cell>
          <cell r="I581" t="str">
            <v>-</v>
          </cell>
          <cell r="J581" t="str">
            <v>-</v>
          </cell>
          <cell r="K581" t="str">
            <v>-</v>
          </cell>
          <cell r="L581" t="str">
            <v>-</v>
          </cell>
          <cell r="M581" t="str">
            <v>-</v>
          </cell>
          <cell r="N581" t="str">
            <v>-</v>
          </cell>
        </row>
        <row r="582">
          <cell r="B582">
            <v>37835</v>
          </cell>
          <cell r="C582" t="str">
            <v>-</v>
          </cell>
          <cell r="D582" t="str">
            <v>-</v>
          </cell>
          <cell r="E582" t="str">
            <v>-</v>
          </cell>
          <cell r="F582" t="str">
            <v>-</v>
          </cell>
          <cell r="G582" t="str">
            <v>-</v>
          </cell>
          <cell r="H582" t="str">
            <v>-</v>
          </cell>
          <cell r="I582" t="str">
            <v>-</v>
          </cell>
          <cell r="J582" t="str">
            <v>-</v>
          </cell>
          <cell r="K582" t="str">
            <v>-</v>
          </cell>
          <cell r="L582" t="str">
            <v>-</v>
          </cell>
          <cell r="M582" t="str">
            <v>-</v>
          </cell>
          <cell r="N582" t="str">
            <v>-</v>
          </cell>
        </row>
        <row r="583">
          <cell r="B583">
            <v>37836</v>
          </cell>
          <cell r="C583" t="str">
            <v>-</v>
          </cell>
          <cell r="D583" t="str">
            <v>-</v>
          </cell>
          <cell r="E583" t="str">
            <v>-</v>
          </cell>
          <cell r="F583" t="str">
            <v>-</v>
          </cell>
          <cell r="G583" t="str">
            <v>-</v>
          </cell>
          <cell r="H583" t="str">
            <v>-</v>
          </cell>
          <cell r="I583" t="str">
            <v>-</v>
          </cell>
          <cell r="J583" t="str">
            <v>-</v>
          </cell>
          <cell r="K583" t="str">
            <v>-</v>
          </cell>
          <cell r="L583" t="str">
            <v>-</v>
          </cell>
          <cell r="M583" t="str">
            <v>-</v>
          </cell>
          <cell r="N583" t="str">
            <v>-</v>
          </cell>
        </row>
        <row r="584">
          <cell r="B584">
            <v>37837</v>
          </cell>
          <cell r="C584" t="str">
            <v>-</v>
          </cell>
          <cell r="D584" t="str">
            <v>-</v>
          </cell>
          <cell r="E584" t="str">
            <v>-</v>
          </cell>
          <cell r="F584" t="str">
            <v>-</v>
          </cell>
          <cell r="G584" t="str">
            <v>-</v>
          </cell>
          <cell r="H584" t="str">
            <v>-</v>
          </cell>
          <cell r="I584" t="str">
            <v>-</v>
          </cell>
          <cell r="J584" t="str">
            <v>-</v>
          </cell>
          <cell r="K584" t="str">
            <v>-</v>
          </cell>
          <cell r="L584" t="str">
            <v>-</v>
          </cell>
          <cell r="M584" t="str">
            <v>-</v>
          </cell>
          <cell r="N584" t="str">
            <v>-</v>
          </cell>
        </row>
        <row r="585">
          <cell r="B585">
            <v>37838</v>
          </cell>
          <cell r="C585" t="str">
            <v>-</v>
          </cell>
          <cell r="D585" t="str">
            <v>-</v>
          </cell>
          <cell r="E585" t="str">
            <v>-</v>
          </cell>
          <cell r="F585" t="str">
            <v>-</v>
          </cell>
          <cell r="G585" t="str">
            <v>-</v>
          </cell>
          <cell r="H585" t="str">
            <v>-</v>
          </cell>
          <cell r="I585" t="str">
            <v>-</v>
          </cell>
          <cell r="J585" t="str">
            <v>-</v>
          </cell>
          <cell r="K585" t="str">
            <v>-</v>
          </cell>
          <cell r="L585" t="str">
            <v>-</v>
          </cell>
          <cell r="M585" t="str">
            <v>-</v>
          </cell>
          <cell r="N585" t="str">
            <v>-</v>
          </cell>
        </row>
        <row r="586">
          <cell r="B586">
            <v>37839</v>
          </cell>
          <cell r="C586" t="str">
            <v>-</v>
          </cell>
          <cell r="D586" t="str">
            <v>-</v>
          </cell>
          <cell r="E586" t="str">
            <v>-</v>
          </cell>
          <cell r="F586" t="str">
            <v>-</v>
          </cell>
          <cell r="G586" t="str">
            <v>-</v>
          </cell>
          <cell r="H586" t="str">
            <v>-</v>
          </cell>
          <cell r="I586" t="str">
            <v>-</v>
          </cell>
          <cell r="J586" t="str">
            <v>-</v>
          </cell>
          <cell r="K586" t="str">
            <v>-</v>
          </cell>
          <cell r="L586" t="str">
            <v>-</v>
          </cell>
          <cell r="M586" t="str">
            <v>-</v>
          </cell>
          <cell r="N586" t="str">
            <v>-</v>
          </cell>
        </row>
        <row r="587">
          <cell r="B587">
            <v>37840</v>
          </cell>
          <cell r="C587" t="str">
            <v>-</v>
          </cell>
          <cell r="D587" t="str">
            <v>-</v>
          </cell>
          <cell r="E587" t="str">
            <v>-</v>
          </cell>
          <cell r="F587" t="str">
            <v>-</v>
          </cell>
          <cell r="G587" t="str">
            <v>-</v>
          </cell>
          <cell r="H587" t="str">
            <v>-</v>
          </cell>
          <cell r="I587" t="str">
            <v>-</v>
          </cell>
          <cell r="J587" t="str">
            <v>-</v>
          </cell>
          <cell r="K587" t="str">
            <v>-</v>
          </cell>
          <cell r="L587" t="str">
            <v>-</v>
          </cell>
          <cell r="M587" t="str">
            <v>-</v>
          </cell>
          <cell r="N587" t="str">
            <v>-</v>
          </cell>
        </row>
        <row r="588">
          <cell r="B588">
            <v>37841</v>
          </cell>
          <cell r="C588" t="str">
            <v>-</v>
          </cell>
          <cell r="D588" t="str">
            <v>-</v>
          </cell>
          <cell r="E588" t="str">
            <v>-</v>
          </cell>
          <cell r="F588" t="str">
            <v>-</v>
          </cell>
          <cell r="G588" t="str">
            <v>-</v>
          </cell>
          <cell r="H588" t="str">
            <v>-</v>
          </cell>
          <cell r="I588" t="str">
            <v>-</v>
          </cell>
          <cell r="J588" t="str">
            <v>-</v>
          </cell>
          <cell r="K588" t="str">
            <v>-</v>
          </cell>
          <cell r="L588" t="str">
            <v>-</v>
          </cell>
          <cell r="M588" t="str">
            <v>-</v>
          </cell>
          <cell r="N588" t="str">
            <v>-</v>
          </cell>
        </row>
        <row r="589">
          <cell r="B589">
            <v>37842</v>
          </cell>
          <cell r="C589" t="str">
            <v>-</v>
          </cell>
          <cell r="D589" t="str">
            <v>-</v>
          </cell>
          <cell r="E589" t="str">
            <v>-</v>
          </cell>
          <cell r="F589" t="str">
            <v>-</v>
          </cell>
          <cell r="G589" t="str">
            <v>-</v>
          </cell>
          <cell r="H589" t="str">
            <v>-</v>
          </cell>
          <cell r="I589" t="str">
            <v>-</v>
          </cell>
          <cell r="J589" t="str">
            <v>-</v>
          </cell>
          <cell r="K589" t="str">
            <v>-</v>
          </cell>
          <cell r="L589" t="str">
            <v>-</v>
          </cell>
          <cell r="M589" t="str">
            <v>-</v>
          </cell>
          <cell r="N589" t="str">
            <v>-</v>
          </cell>
        </row>
        <row r="590">
          <cell r="B590">
            <v>37843</v>
          </cell>
          <cell r="C590" t="str">
            <v>-</v>
          </cell>
          <cell r="D590" t="str">
            <v>-</v>
          </cell>
          <cell r="E590" t="str">
            <v>-</v>
          </cell>
          <cell r="F590" t="str">
            <v>-</v>
          </cell>
          <cell r="G590" t="str">
            <v>-</v>
          </cell>
          <cell r="H590" t="str">
            <v>-</v>
          </cell>
          <cell r="I590" t="str">
            <v>-</v>
          </cell>
          <cell r="J590" t="str">
            <v>-</v>
          </cell>
          <cell r="K590" t="str">
            <v>-</v>
          </cell>
          <cell r="L590" t="str">
            <v>-</v>
          </cell>
          <cell r="M590" t="str">
            <v>-</v>
          </cell>
          <cell r="N590" t="str">
            <v>-</v>
          </cell>
        </row>
        <row r="591">
          <cell r="B591">
            <v>37844</v>
          </cell>
          <cell r="C591" t="str">
            <v>-</v>
          </cell>
          <cell r="D591" t="str">
            <v>-</v>
          </cell>
          <cell r="E591" t="str">
            <v>-</v>
          </cell>
          <cell r="F591" t="str">
            <v>-</v>
          </cell>
          <cell r="G591" t="str">
            <v>-</v>
          </cell>
          <cell r="H591" t="str">
            <v>-</v>
          </cell>
          <cell r="I591" t="str">
            <v>-</v>
          </cell>
          <cell r="J591" t="str">
            <v>-</v>
          </cell>
          <cell r="K591" t="str">
            <v>-</v>
          </cell>
          <cell r="L591" t="str">
            <v>-</v>
          </cell>
          <cell r="M591" t="str">
            <v>-</v>
          </cell>
          <cell r="N591" t="str">
            <v>-</v>
          </cell>
        </row>
        <row r="592">
          <cell r="B592">
            <v>37845</v>
          </cell>
          <cell r="C592" t="str">
            <v>-</v>
          </cell>
          <cell r="D592" t="str">
            <v>-</v>
          </cell>
          <cell r="E592" t="str">
            <v>-</v>
          </cell>
          <cell r="F592" t="str">
            <v>-</v>
          </cell>
          <cell r="G592" t="str">
            <v>-</v>
          </cell>
          <cell r="H592" t="str">
            <v>-</v>
          </cell>
          <cell r="I592" t="str">
            <v>-</v>
          </cell>
          <cell r="J592" t="str">
            <v>-</v>
          </cell>
          <cell r="K592" t="str">
            <v>-</v>
          </cell>
          <cell r="L592" t="str">
            <v>-</v>
          </cell>
          <cell r="M592" t="str">
            <v>-</v>
          </cell>
          <cell r="N592" t="str">
            <v>-</v>
          </cell>
        </row>
        <row r="593">
          <cell r="B593">
            <v>37846</v>
          </cell>
          <cell r="C593" t="str">
            <v>-</v>
          </cell>
          <cell r="D593" t="str">
            <v>-</v>
          </cell>
          <cell r="E593" t="str">
            <v>-</v>
          </cell>
          <cell r="F593" t="str">
            <v>-</v>
          </cell>
          <cell r="G593" t="str">
            <v>-</v>
          </cell>
          <cell r="H593" t="str">
            <v>-</v>
          </cell>
          <cell r="I593" t="str">
            <v>-</v>
          </cell>
          <cell r="J593" t="str">
            <v>-</v>
          </cell>
          <cell r="K593" t="str">
            <v>-</v>
          </cell>
          <cell r="L593" t="str">
            <v>-</v>
          </cell>
          <cell r="M593" t="str">
            <v>-</v>
          </cell>
          <cell r="N593" t="str">
            <v>-</v>
          </cell>
        </row>
        <row r="594">
          <cell r="B594">
            <v>37847</v>
          </cell>
          <cell r="C594" t="str">
            <v>-</v>
          </cell>
          <cell r="D594" t="str">
            <v>-</v>
          </cell>
          <cell r="E594" t="str">
            <v>-</v>
          </cell>
          <cell r="F594" t="str">
            <v>-</v>
          </cell>
          <cell r="G594" t="str">
            <v>-</v>
          </cell>
          <cell r="H594" t="str">
            <v>-</v>
          </cell>
          <cell r="I594" t="str">
            <v>-</v>
          </cell>
          <cell r="J594" t="str">
            <v>-</v>
          </cell>
          <cell r="K594" t="str">
            <v>-</v>
          </cell>
          <cell r="L594" t="str">
            <v>-</v>
          </cell>
          <cell r="M594" t="str">
            <v>-</v>
          </cell>
          <cell r="N594" t="str">
            <v>-</v>
          </cell>
        </row>
        <row r="595">
          <cell r="B595">
            <v>37848</v>
          </cell>
          <cell r="C595" t="str">
            <v>-</v>
          </cell>
          <cell r="D595" t="str">
            <v>-</v>
          </cell>
          <cell r="E595" t="str">
            <v>-</v>
          </cell>
          <cell r="F595" t="str">
            <v>-</v>
          </cell>
          <cell r="G595" t="str">
            <v>-</v>
          </cell>
          <cell r="H595" t="str">
            <v>-</v>
          </cell>
          <cell r="I595" t="str">
            <v>-</v>
          </cell>
          <cell r="J595" t="str">
            <v>-</v>
          </cell>
          <cell r="K595" t="str">
            <v>-</v>
          </cell>
          <cell r="L595" t="str">
            <v>-</v>
          </cell>
          <cell r="M595" t="str">
            <v>-</v>
          </cell>
          <cell r="N595" t="str">
            <v>-</v>
          </cell>
        </row>
        <row r="596">
          <cell r="B596">
            <v>37849</v>
          </cell>
          <cell r="C596" t="str">
            <v>-</v>
          </cell>
          <cell r="D596" t="str">
            <v>-</v>
          </cell>
          <cell r="E596" t="str">
            <v>-</v>
          </cell>
          <cell r="F596" t="str">
            <v>-</v>
          </cell>
          <cell r="G596" t="str">
            <v>-</v>
          </cell>
          <cell r="H596" t="str">
            <v>-</v>
          </cell>
          <cell r="I596" t="str">
            <v>-</v>
          </cell>
          <cell r="J596" t="str">
            <v>-</v>
          </cell>
          <cell r="K596" t="str">
            <v>-</v>
          </cell>
          <cell r="L596" t="str">
            <v>-</v>
          </cell>
          <cell r="M596" t="str">
            <v>-</v>
          </cell>
          <cell r="N596" t="str">
            <v>-</v>
          </cell>
        </row>
        <row r="597">
          <cell r="B597">
            <v>37850</v>
          </cell>
          <cell r="C597" t="str">
            <v>-</v>
          </cell>
          <cell r="D597" t="str">
            <v>-</v>
          </cell>
          <cell r="E597" t="str">
            <v>-</v>
          </cell>
          <cell r="F597" t="str">
            <v>-</v>
          </cell>
          <cell r="G597" t="str">
            <v>-</v>
          </cell>
          <cell r="H597" t="str">
            <v>-</v>
          </cell>
          <cell r="I597" t="str">
            <v>-</v>
          </cell>
          <cell r="J597" t="str">
            <v>-</v>
          </cell>
          <cell r="K597" t="str">
            <v>-</v>
          </cell>
          <cell r="L597" t="str">
            <v>-</v>
          </cell>
          <cell r="M597" t="str">
            <v>-</v>
          </cell>
          <cell r="N597" t="str">
            <v>-</v>
          </cell>
        </row>
        <row r="598">
          <cell r="B598">
            <v>37851</v>
          </cell>
          <cell r="C598" t="str">
            <v>-</v>
          </cell>
          <cell r="D598" t="str">
            <v>-</v>
          </cell>
          <cell r="E598" t="str">
            <v>-</v>
          </cell>
          <cell r="F598" t="str">
            <v>-</v>
          </cell>
          <cell r="G598" t="str">
            <v>-</v>
          </cell>
          <cell r="H598" t="str">
            <v>-</v>
          </cell>
          <cell r="I598" t="str">
            <v>-</v>
          </cell>
          <cell r="J598" t="str">
            <v>-</v>
          </cell>
          <cell r="K598" t="str">
            <v>-</v>
          </cell>
          <cell r="L598" t="str">
            <v>-</v>
          </cell>
          <cell r="M598" t="str">
            <v>-</v>
          </cell>
          <cell r="N598" t="str">
            <v>-</v>
          </cell>
        </row>
        <row r="599">
          <cell r="B599">
            <v>37852</v>
          </cell>
          <cell r="C599" t="str">
            <v>-</v>
          </cell>
          <cell r="D599" t="str">
            <v>-</v>
          </cell>
          <cell r="E599" t="str">
            <v>-</v>
          </cell>
          <cell r="F599" t="str">
            <v>-</v>
          </cell>
          <cell r="G599" t="str">
            <v>-</v>
          </cell>
          <cell r="H599" t="str">
            <v>-</v>
          </cell>
          <cell r="I599" t="str">
            <v>-</v>
          </cell>
          <cell r="J599" t="str">
            <v>-</v>
          </cell>
          <cell r="K599" t="str">
            <v>-</v>
          </cell>
          <cell r="L599" t="str">
            <v>-</v>
          </cell>
          <cell r="M599" t="str">
            <v>-</v>
          </cell>
          <cell r="N599" t="str">
            <v>-</v>
          </cell>
        </row>
        <row r="600">
          <cell r="B600">
            <v>37853</v>
          </cell>
          <cell r="C600" t="str">
            <v>-</v>
          </cell>
          <cell r="D600" t="str">
            <v>-</v>
          </cell>
          <cell r="E600" t="str">
            <v>-</v>
          </cell>
          <cell r="F600" t="str">
            <v>-</v>
          </cell>
          <cell r="G600" t="str">
            <v>-</v>
          </cell>
          <cell r="H600" t="str">
            <v>-</v>
          </cell>
          <cell r="I600" t="str">
            <v>-</v>
          </cell>
          <cell r="J600" t="str">
            <v>-</v>
          </cell>
          <cell r="K600" t="str">
            <v>-</v>
          </cell>
          <cell r="L600" t="str">
            <v>-</v>
          </cell>
          <cell r="M600" t="str">
            <v>-</v>
          </cell>
          <cell r="N600" t="str">
            <v>-</v>
          </cell>
        </row>
        <row r="601">
          <cell r="B601">
            <v>37854</v>
          </cell>
          <cell r="C601" t="str">
            <v>-</v>
          </cell>
          <cell r="D601" t="str">
            <v>-</v>
          </cell>
          <cell r="E601" t="str">
            <v>-</v>
          </cell>
          <cell r="F601" t="str">
            <v>-</v>
          </cell>
          <cell r="G601" t="str">
            <v>-</v>
          </cell>
          <cell r="H601" t="str">
            <v>-</v>
          </cell>
          <cell r="I601" t="str">
            <v>-</v>
          </cell>
          <cell r="J601" t="str">
            <v>-</v>
          </cell>
          <cell r="K601" t="str">
            <v>-</v>
          </cell>
          <cell r="L601" t="str">
            <v>-</v>
          </cell>
          <cell r="M601" t="str">
            <v>-</v>
          </cell>
          <cell r="N601" t="str">
            <v>-</v>
          </cell>
        </row>
        <row r="602">
          <cell r="B602">
            <v>37855</v>
          </cell>
          <cell r="C602" t="str">
            <v>-</v>
          </cell>
          <cell r="D602" t="str">
            <v>-</v>
          </cell>
          <cell r="E602" t="str">
            <v>-</v>
          </cell>
          <cell r="F602" t="str">
            <v>-</v>
          </cell>
          <cell r="G602" t="str">
            <v>-</v>
          </cell>
          <cell r="H602" t="str">
            <v>-</v>
          </cell>
          <cell r="I602" t="str">
            <v>-</v>
          </cell>
          <cell r="J602" t="str">
            <v>-</v>
          </cell>
          <cell r="K602" t="str">
            <v>-</v>
          </cell>
          <cell r="L602" t="str">
            <v>-</v>
          </cell>
          <cell r="M602" t="str">
            <v>-</v>
          </cell>
          <cell r="N602" t="str">
            <v>-</v>
          </cell>
        </row>
        <row r="603">
          <cell r="B603">
            <v>37856</v>
          </cell>
          <cell r="C603" t="str">
            <v>-</v>
          </cell>
          <cell r="D603" t="str">
            <v>-</v>
          </cell>
          <cell r="E603" t="str">
            <v>-</v>
          </cell>
          <cell r="F603" t="str">
            <v>-</v>
          </cell>
          <cell r="G603" t="str">
            <v>-</v>
          </cell>
          <cell r="H603" t="str">
            <v>-</v>
          </cell>
          <cell r="I603" t="str">
            <v>-</v>
          </cell>
          <cell r="J603" t="str">
            <v>-</v>
          </cell>
          <cell r="K603" t="str">
            <v>-</v>
          </cell>
          <cell r="L603" t="str">
            <v>-</v>
          </cell>
          <cell r="M603" t="str">
            <v>-</v>
          </cell>
          <cell r="N603" t="str">
            <v>-</v>
          </cell>
        </row>
        <row r="604">
          <cell r="B604">
            <v>37857</v>
          </cell>
          <cell r="C604" t="str">
            <v>-</v>
          </cell>
          <cell r="D604" t="str">
            <v>-</v>
          </cell>
          <cell r="E604" t="str">
            <v>-</v>
          </cell>
          <cell r="F604" t="str">
            <v>-</v>
          </cell>
          <cell r="G604" t="str">
            <v>-</v>
          </cell>
          <cell r="H604" t="str">
            <v>-</v>
          </cell>
          <cell r="I604" t="str">
            <v>-</v>
          </cell>
          <cell r="J604" t="str">
            <v>-</v>
          </cell>
          <cell r="K604" t="str">
            <v>-</v>
          </cell>
          <cell r="L604" t="str">
            <v>-</v>
          </cell>
          <cell r="M604" t="str">
            <v>-</v>
          </cell>
          <cell r="N604" t="str">
            <v>-</v>
          </cell>
        </row>
        <row r="605">
          <cell r="B605">
            <v>37858</v>
          </cell>
          <cell r="C605" t="str">
            <v>-</v>
          </cell>
          <cell r="D605" t="str">
            <v>-</v>
          </cell>
          <cell r="E605" t="str">
            <v>-</v>
          </cell>
          <cell r="F605" t="str">
            <v>-</v>
          </cell>
          <cell r="G605" t="str">
            <v>-</v>
          </cell>
          <cell r="H605" t="str">
            <v>-</v>
          </cell>
          <cell r="I605" t="str">
            <v>-</v>
          </cell>
          <cell r="J605" t="str">
            <v>-</v>
          </cell>
          <cell r="K605" t="str">
            <v>-</v>
          </cell>
          <cell r="L605" t="str">
            <v>-</v>
          </cell>
          <cell r="M605" t="str">
            <v>-</v>
          </cell>
          <cell r="N605" t="str">
            <v>-</v>
          </cell>
        </row>
        <row r="606">
          <cell r="B606">
            <v>37859</v>
          </cell>
          <cell r="C606" t="str">
            <v>-</v>
          </cell>
          <cell r="D606" t="str">
            <v>-</v>
          </cell>
          <cell r="E606" t="str">
            <v>-</v>
          </cell>
          <cell r="F606" t="str">
            <v>-</v>
          </cell>
          <cell r="G606" t="str">
            <v>-</v>
          </cell>
          <cell r="H606" t="str">
            <v>-</v>
          </cell>
          <cell r="I606" t="str">
            <v>-</v>
          </cell>
          <cell r="J606" t="str">
            <v>-</v>
          </cell>
          <cell r="K606" t="str">
            <v>-</v>
          </cell>
          <cell r="L606" t="str">
            <v>-</v>
          </cell>
          <cell r="M606" t="str">
            <v>-</v>
          </cell>
          <cell r="N606" t="str">
            <v>-</v>
          </cell>
        </row>
        <row r="607">
          <cell r="B607">
            <v>37860</v>
          </cell>
          <cell r="C607" t="str">
            <v>-</v>
          </cell>
          <cell r="D607" t="str">
            <v>-</v>
          </cell>
          <cell r="E607" t="str">
            <v>-</v>
          </cell>
          <cell r="F607" t="str">
            <v>-</v>
          </cell>
          <cell r="G607" t="str">
            <v>-</v>
          </cell>
          <cell r="H607" t="str">
            <v>-</v>
          </cell>
          <cell r="I607" t="str">
            <v>-</v>
          </cell>
          <cell r="J607" t="str">
            <v>-</v>
          </cell>
          <cell r="K607" t="str">
            <v>-</v>
          </cell>
          <cell r="L607" t="str">
            <v>-</v>
          </cell>
          <cell r="M607" t="str">
            <v>-</v>
          </cell>
          <cell r="N607" t="str">
            <v>-</v>
          </cell>
        </row>
        <row r="608">
          <cell r="B608">
            <v>37861</v>
          </cell>
          <cell r="C608" t="str">
            <v>-</v>
          </cell>
          <cell r="D608" t="str">
            <v>-</v>
          </cell>
          <cell r="E608" t="str">
            <v>-</v>
          </cell>
          <cell r="F608" t="str">
            <v>-</v>
          </cell>
          <cell r="G608" t="str">
            <v>-</v>
          </cell>
          <cell r="H608" t="str">
            <v>-</v>
          </cell>
          <cell r="I608" t="str">
            <v>-</v>
          </cell>
          <cell r="J608" t="str">
            <v>-</v>
          </cell>
          <cell r="K608" t="str">
            <v>-</v>
          </cell>
          <cell r="L608" t="str">
            <v>-</v>
          </cell>
          <cell r="M608" t="str">
            <v>-</v>
          </cell>
          <cell r="N608" t="str">
            <v>-</v>
          </cell>
        </row>
        <row r="609">
          <cell r="B609">
            <v>37862</v>
          </cell>
          <cell r="C609" t="str">
            <v>-</v>
          </cell>
          <cell r="D609" t="str">
            <v>-</v>
          </cell>
          <cell r="E609" t="str">
            <v>-</v>
          </cell>
          <cell r="F609" t="str">
            <v>-</v>
          </cell>
          <cell r="G609" t="str">
            <v>-</v>
          </cell>
          <cell r="H609" t="str">
            <v>-</v>
          </cell>
          <cell r="I609" t="str">
            <v>-</v>
          </cell>
          <cell r="J609" t="str">
            <v>-</v>
          </cell>
          <cell r="K609" t="str">
            <v>-</v>
          </cell>
          <cell r="L609" t="str">
            <v>-</v>
          </cell>
          <cell r="M609" t="str">
            <v>-</v>
          </cell>
          <cell r="N609" t="str">
            <v>-</v>
          </cell>
        </row>
        <row r="610">
          <cell r="B610">
            <v>37863</v>
          </cell>
          <cell r="C610" t="str">
            <v>-</v>
          </cell>
          <cell r="D610" t="str">
            <v>-</v>
          </cell>
          <cell r="E610" t="str">
            <v>-</v>
          </cell>
          <cell r="F610" t="str">
            <v>-</v>
          </cell>
          <cell r="G610" t="str">
            <v>-</v>
          </cell>
          <cell r="H610" t="str">
            <v>-</v>
          </cell>
          <cell r="I610" t="str">
            <v>-</v>
          </cell>
          <cell r="J610" t="str">
            <v>-</v>
          </cell>
          <cell r="K610" t="str">
            <v>-</v>
          </cell>
          <cell r="L610" t="str">
            <v>-</v>
          </cell>
          <cell r="M610" t="str">
            <v>-</v>
          </cell>
          <cell r="N610" t="str">
            <v>-</v>
          </cell>
        </row>
        <row r="611">
          <cell r="B611">
            <v>37864</v>
          </cell>
          <cell r="C611" t="str">
            <v>-</v>
          </cell>
          <cell r="D611" t="str">
            <v>-</v>
          </cell>
          <cell r="E611" t="str">
            <v>-</v>
          </cell>
          <cell r="F611" t="str">
            <v>-</v>
          </cell>
          <cell r="G611" t="str">
            <v>-</v>
          </cell>
          <cell r="H611" t="str">
            <v>-</v>
          </cell>
          <cell r="I611" t="str">
            <v>-</v>
          </cell>
          <cell r="J611" t="str">
            <v>-</v>
          </cell>
          <cell r="K611" t="str">
            <v>-</v>
          </cell>
          <cell r="L611" t="str">
            <v>-</v>
          </cell>
          <cell r="M611" t="str">
            <v>-</v>
          </cell>
          <cell r="N611" t="str">
            <v>-</v>
          </cell>
        </row>
        <row r="612">
          <cell r="B612">
            <v>37865</v>
          </cell>
          <cell r="C612" t="str">
            <v>-</v>
          </cell>
          <cell r="D612" t="str">
            <v>-</v>
          </cell>
          <cell r="E612" t="str">
            <v>-</v>
          </cell>
          <cell r="F612" t="str">
            <v>-</v>
          </cell>
          <cell r="G612" t="str">
            <v>-</v>
          </cell>
          <cell r="H612" t="str">
            <v>-</v>
          </cell>
          <cell r="I612" t="str">
            <v>-</v>
          </cell>
          <cell r="J612" t="str">
            <v>-</v>
          </cell>
          <cell r="K612" t="str">
            <v>-</v>
          </cell>
          <cell r="L612" t="str">
            <v>-</v>
          </cell>
          <cell r="M612" t="str">
            <v>-</v>
          </cell>
          <cell r="N612" t="str">
            <v>-</v>
          </cell>
        </row>
        <row r="613">
          <cell r="B613">
            <v>37866</v>
          </cell>
          <cell r="C613" t="str">
            <v>-</v>
          </cell>
          <cell r="D613" t="str">
            <v>-</v>
          </cell>
          <cell r="E613" t="str">
            <v>-</v>
          </cell>
          <cell r="F613" t="str">
            <v>-</v>
          </cell>
          <cell r="G613" t="str">
            <v>-</v>
          </cell>
          <cell r="H613" t="str">
            <v>-</v>
          </cell>
          <cell r="I613" t="str">
            <v>-</v>
          </cell>
          <cell r="J613" t="str">
            <v>-</v>
          </cell>
          <cell r="K613" t="str">
            <v>-</v>
          </cell>
          <cell r="L613" t="str">
            <v>-</v>
          </cell>
          <cell r="M613" t="str">
            <v>-</v>
          </cell>
          <cell r="N613" t="str">
            <v>-</v>
          </cell>
        </row>
        <row r="614">
          <cell r="B614">
            <v>37867</v>
          </cell>
          <cell r="C614" t="str">
            <v>-</v>
          </cell>
          <cell r="D614" t="str">
            <v>-</v>
          </cell>
          <cell r="E614" t="str">
            <v>-</v>
          </cell>
          <cell r="F614" t="str">
            <v>-</v>
          </cell>
          <cell r="G614" t="str">
            <v>-</v>
          </cell>
          <cell r="H614" t="str">
            <v>-</v>
          </cell>
          <cell r="I614" t="str">
            <v>-</v>
          </cell>
          <cell r="J614" t="str">
            <v>-</v>
          </cell>
          <cell r="K614" t="str">
            <v>-</v>
          </cell>
          <cell r="L614" t="str">
            <v>-</v>
          </cell>
          <cell r="M614" t="str">
            <v>-</v>
          </cell>
          <cell r="N614" t="str">
            <v>-</v>
          </cell>
        </row>
        <row r="615">
          <cell r="B615">
            <v>37868</v>
          </cell>
          <cell r="C615" t="str">
            <v>-</v>
          </cell>
          <cell r="D615" t="str">
            <v>-</v>
          </cell>
          <cell r="E615" t="str">
            <v>-</v>
          </cell>
          <cell r="F615" t="str">
            <v>-</v>
          </cell>
          <cell r="G615" t="str">
            <v>-</v>
          </cell>
          <cell r="H615" t="str">
            <v>-</v>
          </cell>
          <cell r="I615" t="str">
            <v>-</v>
          </cell>
          <cell r="J615" t="str">
            <v>-</v>
          </cell>
          <cell r="K615" t="str">
            <v>-</v>
          </cell>
          <cell r="L615" t="str">
            <v>-</v>
          </cell>
          <cell r="M615" t="str">
            <v>-</v>
          </cell>
          <cell r="N615" t="str">
            <v>-</v>
          </cell>
        </row>
        <row r="616">
          <cell r="B616">
            <v>37869</v>
          </cell>
          <cell r="C616" t="str">
            <v>-</v>
          </cell>
          <cell r="D616" t="str">
            <v>-</v>
          </cell>
          <cell r="E616" t="str">
            <v>-</v>
          </cell>
          <cell r="F616" t="str">
            <v>-</v>
          </cell>
          <cell r="G616" t="str">
            <v>-</v>
          </cell>
          <cell r="H616" t="str">
            <v>-</v>
          </cell>
          <cell r="I616" t="str">
            <v>-</v>
          </cell>
          <cell r="J616" t="str">
            <v>-</v>
          </cell>
          <cell r="K616" t="str">
            <v>-</v>
          </cell>
          <cell r="L616" t="str">
            <v>-</v>
          </cell>
          <cell r="M616" t="str">
            <v>-</v>
          </cell>
          <cell r="N616" t="str">
            <v>-</v>
          </cell>
        </row>
        <row r="617">
          <cell r="B617">
            <v>37870</v>
          </cell>
          <cell r="C617" t="str">
            <v>-</v>
          </cell>
          <cell r="D617" t="str">
            <v>-</v>
          </cell>
          <cell r="E617" t="str">
            <v>-</v>
          </cell>
          <cell r="F617" t="str">
            <v>-</v>
          </cell>
          <cell r="G617" t="str">
            <v>-</v>
          </cell>
          <cell r="H617" t="str">
            <v>-</v>
          </cell>
          <cell r="I617" t="str">
            <v>-</v>
          </cell>
          <cell r="J617" t="str">
            <v>-</v>
          </cell>
          <cell r="K617" t="str">
            <v>-</v>
          </cell>
          <cell r="L617" t="str">
            <v>-</v>
          </cell>
          <cell r="M617" t="str">
            <v>-</v>
          </cell>
          <cell r="N617" t="str">
            <v>-</v>
          </cell>
        </row>
        <row r="618">
          <cell r="B618">
            <v>37871</v>
          </cell>
          <cell r="C618" t="str">
            <v>-</v>
          </cell>
          <cell r="D618" t="str">
            <v>-</v>
          </cell>
          <cell r="E618" t="str">
            <v>-</v>
          </cell>
          <cell r="F618" t="str">
            <v>-</v>
          </cell>
          <cell r="G618" t="str">
            <v>-</v>
          </cell>
          <cell r="H618" t="str">
            <v>-</v>
          </cell>
          <cell r="I618" t="str">
            <v>-</v>
          </cell>
          <cell r="J618" t="str">
            <v>-</v>
          </cell>
          <cell r="K618" t="str">
            <v>-</v>
          </cell>
          <cell r="L618" t="str">
            <v>-</v>
          </cell>
          <cell r="M618" t="str">
            <v>-</v>
          </cell>
          <cell r="N618" t="str">
            <v>-</v>
          </cell>
        </row>
        <row r="619">
          <cell r="B619">
            <v>37872</v>
          </cell>
          <cell r="C619" t="str">
            <v>-</v>
          </cell>
          <cell r="D619" t="str">
            <v>-</v>
          </cell>
          <cell r="E619" t="str">
            <v>-</v>
          </cell>
          <cell r="F619" t="str">
            <v>-</v>
          </cell>
          <cell r="G619" t="str">
            <v>-</v>
          </cell>
          <cell r="H619" t="str">
            <v>-</v>
          </cell>
          <cell r="I619" t="str">
            <v>-</v>
          </cell>
          <cell r="J619" t="str">
            <v>-</v>
          </cell>
          <cell r="K619" t="str">
            <v>-</v>
          </cell>
          <cell r="L619" t="str">
            <v>-</v>
          </cell>
          <cell r="M619" t="str">
            <v>-</v>
          </cell>
          <cell r="N619" t="str">
            <v>-</v>
          </cell>
        </row>
        <row r="620">
          <cell r="B620">
            <v>37873</v>
          </cell>
          <cell r="C620" t="str">
            <v>-</v>
          </cell>
          <cell r="D620" t="str">
            <v>-</v>
          </cell>
          <cell r="E620" t="str">
            <v>-</v>
          </cell>
          <cell r="F620" t="str">
            <v>-</v>
          </cell>
          <cell r="G620" t="str">
            <v>-</v>
          </cell>
          <cell r="H620" t="str">
            <v>-</v>
          </cell>
          <cell r="I620" t="str">
            <v>-</v>
          </cell>
          <cell r="J620" t="str">
            <v>-</v>
          </cell>
          <cell r="K620" t="str">
            <v>-</v>
          </cell>
          <cell r="L620" t="str">
            <v>-</v>
          </cell>
          <cell r="M620" t="str">
            <v>-</v>
          </cell>
          <cell r="N620" t="str">
            <v>-</v>
          </cell>
        </row>
        <row r="621">
          <cell r="B621">
            <v>37874</v>
          </cell>
          <cell r="C621" t="str">
            <v>-</v>
          </cell>
          <cell r="D621" t="str">
            <v>-</v>
          </cell>
          <cell r="E621" t="str">
            <v>-</v>
          </cell>
          <cell r="F621" t="str">
            <v>-</v>
          </cell>
          <cell r="G621" t="str">
            <v>-</v>
          </cell>
          <cell r="H621" t="str">
            <v>-</v>
          </cell>
          <cell r="I621" t="str">
            <v>-</v>
          </cell>
          <cell r="J621" t="str">
            <v>-</v>
          </cell>
          <cell r="K621" t="str">
            <v>-</v>
          </cell>
          <cell r="L621" t="str">
            <v>-</v>
          </cell>
          <cell r="M621" t="str">
            <v>-</v>
          </cell>
          <cell r="N621" t="str">
            <v>-</v>
          </cell>
        </row>
        <row r="622">
          <cell r="B622">
            <v>37875</v>
          </cell>
          <cell r="C622" t="str">
            <v>-</v>
          </cell>
          <cell r="D622" t="str">
            <v>-</v>
          </cell>
          <cell r="E622" t="str">
            <v>-</v>
          </cell>
          <cell r="F622" t="str">
            <v>-</v>
          </cell>
          <cell r="G622" t="str">
            <v>-</v>
          </cell>
          <cell r="H622" t="str">
            <v>-</v>
          </cell>
          <cell r="I622" t="str">
            <v>-</v>
          </cell>
          <cell r="J622" t="str">
            <v>-</v>
          </cell>
          <cell r="K622" t="str">
            <v>-</v>
          </cell>
          <cell r="L622" t="str">
            <v>-</v>
          </cell>
          <cell r="M622" t="str">
            <v>-</v>
          </cell>
          <cell r="N622" t="str">
            <v>-</v>
          </cell>
        </row>
        <row r="623">
          <cell r="B623">
            <v>37876</v>
          </cell>
          <cell r="C623" t="str">
            <v>-</v>
          </cell>
          <cell r="D623" t="str">
            <v>-</v>
          </cell>
          <cell r="E623" t="str">
            <v>-</v>
          </cell>
          <cell r="F623" t="str">
            <v>-</v>
          </cell>
          <cell r="G623" t="str">
            <v>-</v>
          </cell>
          <cell r="H623" t="str">
            <v>-</v>
          </cell>
          <cell r="I623" t="str">
            <v>-</v>
          </cell>
          <cell r="J623" t="str">
            <v>-</v>
          </cell>
          <cell r="K623" t="str">
            <v>-</v>
          </cell>
          <cell r="L623" t="str">
            <v>-</v>
          </cell>
          <cell r="M623" t="str">
            <v>-</v>
          </cell>
          <cell r="N623" t="str">
            <v>-</v>
          </cell>
        </row>
        <row r="624">
          <cell r="B624">
            <v>37877</v>
          </cell>
          <cell r="C624" t="str">
            <v>-</v>
          </cell>
          <cell r="D624" t="str">
            <v>-</v>
          </cell>
          <cell r="E624" t="str">
            <v>-</v>
          </cell>
          <cell r="F624" t="str">
            <v>-</v>
          </cell>
          <cell r="G624" t="str">
            <v>-</v>
          </cell>
          <cell r="H624" t="str">
            <v>-</v>
          </cell>
          <cell r="I624" t="str">
            <v>-</v>
          </cell>
          <cell r="J624" t="str">
            <v>-</v>
          </cell>
          <cell r="K624" t="str">
            <v>-</v>
          </cell>
          <cell r="L624" t="str">
            <v>-</v>
          </cell>
          <cell r="M624" t="str">
            <v>-</v>
          </cell>
          <cell r="N624" t="str">
            <v>-</v>
          </cell>
        </row>
        <row r="625">
          <cell r="B625">
            <v>37878</v>
          </cell>
          <cell r="C625" t="str">
            <v>-</v>
          </cell>
          <cell r="D625" t="str">
            <v>-</v>
          </cell>
          <cell r="E625" t="str">
            <v>-</v>
          </cell>
          <cell r="F625" t="str">
            <v>-</v>
          </cell>
          <cell r="G625" t="str">
            <v>-</v>
          </cell>
          <cell r="H625" t="str">
            <v>-</v>
          </cell>
          <cell r="I625" t="str">
            <v>-</v>
          </cell>
          <cell r="J625" t="str">
            <v>-</v>
          </cell>
          <cell r="K625" t="str">
            <v>-</v>
          </cell>
          <cell r="L625" t="str">
            <v>-</v>
          </cell>
          <cell r="M625" t="str">
            <v>-</v>
          </cell>
          <cell r="N625" t="str">
            <v>-</v>
          </cell>
        </row>
        <row r="626">
          <cell r="B626">
            <v>37879</v>
          </cell>
          <cell r="C626" t="str">
            <v>-</v>
          </cell>
          <cell r="D626" t="str">
            <v>-</v>
          </cell>
          <cell r="E626" t="str">
            <v>-</v>
          </cell>
          <cell r="F626" t="str">
            <v>-</v>
          </cell>
          <cell r="G626" t="str">
            <v>-</v>
          </cell>
          <cell r="H626" t="str">
            <v>-</v>
          </cell>
          <cell r="I626" t="str">
            <v>-</v>
          </cell>
          <cell r="J626" t="str">
            <v>-</v>
          </cell>
          <cell r="K626" t="str">
            <v>-</v>
          </cell>
          <cell r="L626" t="str">
            <v>-</v>
          </cell>
          <cell r="M626" t="str">
            <v>-</v>
          </cell>
          <cell r="N626" t="str">
            <v>-</v>
          </cell>
        </row>
        <row r="627">
          <cell r="B627">
            <v>37880</v>
          </cell>
          <cell r="C627" t="str">
            <v>-</v>
          </cell>
          <cell r="D627" t="str">
            <v>-</v>
          </cell>
          <cell r="E627" t="str">
            <v>-</v>
          </cell>
          <cell r="F627" t="str">
            <v>-</v>
          </cell>
          <cell r="G627" t="str">
            <v>-</v>
          </cell>
          <cell r="H627" t="str">
            <v>-</v>
          </cell>
          <cell r="I627" t="str">
            <v>-</v>
          </cell>
          <cell r="J627" t="str">
            <v>-</v>
          </cell>
          <cell r="K627" t="str">
            <v>-</v>
          </cell>
          <cell r="L627" t="str">
            <v>-</v>
          </cell>
          <cell r="M627" t="str">
            <v>-</v>
          </cell>
          <cell r="N627" t="str">
            <v>-</v>
          </cell>
        </row>
        <row r="628">
          <cell r="B628">
            <v>37881</v>
          </cell>
          <cell r="C628" t="str">
            <v>-</v>
          </cell>
          <cell r="D628" t="str">
            <v>-</v>
          </cell>
          <cell r="E628" t="str">
            <v>-</v>
          </cell>
          <cell r="F628" t="str">
            <v>-</v>
          </cell>
          <cell r="G628" t="str">
            <v>-</v>
          </cell>
          <cell r="H628" t="str">
            <v>-</v>
          </cell>
          <cell r="I628" t="str">
            <v>-</v>
          </cell>
          <cell r="J628" t="str">
            <v>-</v>
          </cell>
          <cell r="K628" t="str">
            <v>-</v>
          </cell>
          <cell r="L628" t="str">
            <v>-</v>
          </cell>
          <cell r="M628" t="str">
            <v>-</v>
          </cell>
          <cell r="N628" t="str">
            <v>-</v>
          </cell>
        </row>
        <row r="629">
          <cell r="B629">
            <v>37882</v>
          </cell>
          <cell r="C629" t="str">
            <v>-</v>
          </cell>
          <cell r="D629" t="str">
            <v>-</v>
          </cell>
          <cell r="E629" t="str">
            <v>-</v>
          </cell>
          <cell r="F629" t="str">
            <v>-</v>
          </cell>
          <cell r="G629" t="str">
            <v>-</v>
          </cell>
          <cell r="H629" t="str">
            <v>-</v>
          </cell>
          <cell r="I629" t="str">
            <v>-</v>
          </cell>
          <cell r="J629" t="str">
            <v>-</v>
          </cell>
          <cell r="K629" t="str">
            <v>-</v>
          </cell>
          <cell r="L629" t="str">
            <v>-</v>
          </cell>
          <cell r="M629" t="str">
            <v>-</v>
          </cell>
          <cell r="N629" t="str">
            <v>-</v>
          </cell>
        </row>
        <row r="630">
          <cell r="B630">
            <v>37883</v>
          </cell>
          <cell r="C630" t="str">
            <v>-</v>
          </cell>
          <cell r="D630" t="str">
            <v>-</v>
          </cell>
          <cell r="E630" t="str">
            <v>-</v>
          </cell>
          <cell r="F630" t="str">
            <v>-</v>
          </cell>
          <cell r="G630" t="str">
            <v>-</v>
          </cell>
          <cell r="H630" t="str">
            <v>-</v>
          </cell>
          <cell r="I630" t="str">
            <v>-</v>
          </cell>
          <cell r="J630" t="str">
            <v>-</v>
          </cell>
          <cell r="K630" t="str">
            <v>-</v>
          </cell>
          <cell r="L630" t="str">
            <v>-</v>
          </cell>
          <cell r="M630" t="str">
            <v>-</v>
          </cell>
          <cell r="N630" t="str">
            <v>-</v>
          </cell>
        </row>
        <row r="631">
          <cell r="B631">
            <v>37884</v>
          </cell>
          <cell r="C631" t="str">
            <v>-</v>
          </cell>
          <cell r="D631" t="str">
            <v>-</v>
          </cell>
          <cell r="E631" t="str">
            <v>-</v>
          </cell>
          <cell r="F631" t="str">
            <v>-</v>
          </cell>
          <cell r="G631" t="str">
            <v>-</v>
          </cell>
          <cell r="H631" t="str">
            <v>-</v>
          </cell>
          <cell r="I631" t="str">
            <v>-</v>
          </cell>
          <cell r="J631" t="str">
            <v>-</v>
          </cell>
          <cell r="K631" t="str">
            <v>-</v>
          </cell>
          <cell r="L631" t="str">
            <v>-</v>
          </cell>
          <cell r="M631" t="str">
            <v>-</v>
          </cell>
          <cell r="N631" t="str">
            <v>-</v>
          </cell>
        </row>
        <row r="632">
          <cell r="B632">
            <v>37885</v>
          </cell>
          <cell r="C632" t="str">
            <v>-</v>
          </cell>
          <cell r="D632" t="str">
            <v>-</v>
          </cell>
          <cell r="E632" t="str">
            <v>-</v>
          </cell>
          <cell r="F632" t="str">
            <v>-</v>
          </cell>
          <cell r="G632" t="str">
            <v>-</v>
          </cell>
          <cell r="H632" t="str">
            <v>-</v>
          </cell>
          <cell r="I632" t="str">
            <v>-</v>
          </cell>
          <cell r="J632" t="str">
            <v>-</v>
          </cell>
          <cell r="K632" t="str">
            <v>-</v>
          </cell>
          <cell r="L632" t="str">
            <v>-</v>
          </cell>
          <cell r="M632" t="str">
            <v>-</v>
          </cell>
          <cell r="N632" t="str">
            <v>-</v>
          </cell>
        </row>
        <row r="633">
          <cell r="B633">
            <v>37886</v>
          </cell>
          <cell r="C633" t="str">
            <v>-</v>
          </cell>
          <cell r="D633" t="str">
            <v>-</v>
          </cell>
          <cell r="E633" t="str">
            <v>-</v>
          </cell>
          <cell r="F633" t="str">
            <v>-</v>
          </cell>
          <cell r="G633" t="str">
            <v>-</v>
          </cell>
          <cell r="H633" t="str">
            <v>-</v>
          </cell>
          <cell r="I633" t="str">
            <v>-</v>
          </cell>
          <cell r="J633" t="str">
            <v>-</v>
          </cell>
          <cell r="K633" t="str">
            <v>-</v>
          </cell>
          <cell r="L633" t="str">
            <v>-</v>
          </cell>
          <cell r="M633" t="str">
            <v>-</v>
          </cell>
          <cell r="N633" t="str">
            <v>-</v>
          </cell>
        </row>
        <row r="634">
          <cell r="B634">
            <v>37887</v>
          </cell>
          <cell r="C634" t="str">
            <v>-</v>
          </cell>
          <cell r="D634" t="str">
            <v>-</v>
          </cell>
          <cell r="E634" t="str">
            <v>-</v>
          </cell>
          <cell r="F634" t="str">
            <v>-</v>
          </cell>
          <cell r="G634" t="str">
            <v>-</v>
          </cell>
          <cell r="H634" t="str">
            <v>-</v>
          </cell>
          <cell r="I634" t="str">
            <v>-</v>
          </cell>
          <cell r="J634" t="str">
            <v>-</v>
          </cell>
          <cell r="K634" t="str">
            <v>-</v>
          </cell>
          <cell r="L634" t="str">
            <v>-</v>
          </cell>
          <cell r="M634" t="str">
            <v>-</v>
          </cell>
          <cell r="N634" t="str">
            <v>-</v>
          </cell>
        </row>
        <row r="635">
          <cell r="B635">
            <v>37888</v>
          </cell>
          <cell r="C635" t="str">
            <v>-</v>
          </cell>
          <cell r="D635" t="str">
            <v>-</v>
          </cell>
          <cell r="E635" t="str">
            <v>-</v>
          </cell>
          <cell r="F635" t="str">
            <v>-</v>
          </cell>
          <cell r="G635" t="str">
            <v>-</v>
          </cell>
          <cell r="H635" t="str">
            <v>-</v>
          </cell>
          <cell r="I635" t="str">
            <v>-</v>
          </cell>
          <cell r="J635" t="str">
            <v>-</v>
          </cell>
          <cell r="K635" t="str">
            <v>-</v>
          </cell>
          <cell r="L635" t="str">
            <v>-</v>
          </cell>
          <cell r="M635" t="str">
            <v>-</v>
          </cell>
          <cell r="N635" t="str">
            <v>-</v>
          </cell>
        </row>
        <row r="636">
          <cell r="B636">
            <v>37889</v>
          </cell>
          <cell r="C636" t="str">
            <v>-</v>
          </cell>
          <cell r="D636" t="str">
            <v>-</v>
          </cell>
          <cell r="E636" t="str">
            <v>-</v>
          </cell>
          <cell r="F636" t="str">
            <v>-</v>
          </cell>
          <cell r="G636" t="str">
            <v>-</v>
          </cell>
          <cell r="H636" t="str">
            <v>-</v>
          </cell>
          <cell r="I636" t="str">
            <v>-</v>
          </cell>
          <cell r="J636" t="str">
            <v>-</v>
          </cell>
          <cell r="K636" t="str">
            <v>-</v>
          </cell>
          <cell r="L636" t="str">
            <v>-</v>
          </cell>
          <cell r="M636" t="str">
            <v>-</v>
          </cell>
          <cell r="N636" t="str">
            <v>-</v>
          </cell>
        </row>
        <row r="637">
          <cell r="B637">
            <v>37890</v>
          </cell>
          <cell r="C637" t="str">
            <v>-</v>
          </cell>
          <cell r="D637" t="str">
            <v>-</v>
          </cell>
          <cell r="E637" t="str">
            <v>-</v>
          </cell>
          <cell r="F637" t="str">
            <v>-</v>
          </cell>
          <cell r="G637" t="str">
            <v>-</v>
          </cell>
          <cell r="H637" t="str">
            <v>-</v>
          </cell>
          <cell r="I637" t="str">
            <v>-</v>
          </cell>
          <cell r="J637" t="str">
            <v>-</v>
          </cell>
          <cell r="K637" t="str">
            <v>-</v>
          </cell>
          <cell r="L637" t="str">
            <v>-</v>
          </cell>
          <cell r="M637" t="str">
            <v>-</v>
          </cell>
          <cell r="N637" t="str">
            <v>-</v>
          </cell>
        </row>
        <row r="638">
          <cell r="B638">
            <v>37891</v>
          </cell>
          <cell r="C638" t="str">
            <v>-</v>
          </cell>
          <cell r="D638" t="str">
            <v>-</v>
          </cell>
          <cell r="E638" t="str">
            <v>-</v>
          </cell>
          <cell r="F638" t="str">
            <v>-</v>
          </cell>
          <cell r="G638" t="str">
            <v>-</v>
          </cell>
          <cell r="H638" t="str">
            <v>-</v>
          </cell>
          <cell r="I638" t="str">
            <v>-</v>
          </cell>
          <cell r="J638" t="str">
            <v>-</v>
          </cell>
          <cell r="K638" t="str">
            <v>-</v>
          </cell>
          <cell r="L638" t="str">
            <v>-</v>
          </cell>
          <cell r="M638" t="str">
            <v>-</v>
          </cell>
          <cell r="N638" t="str">
            <v>-</v>
          </cell>
        </row>
        <row r="639">
          <cell r="B639">
            <v>37892</v>
          </cell>
          <cell r="C639" t="str">
            <v>-</v>
          </cell>
          <cell r="D639" t="str">
            <v>-</v>
          </cell>
          <cell r="E639" t="str">
            <v>-</v>
          </cell>
          <cell r="F639" t="str">
            <v>-</v>
          </cell>
          <cell r="G639" t="str">
            <v>-</v>
          </cell>
          <cell r="H639" t="str">
            <v>-</v>
          </cell>
          <cell r="I639" t="str">
            <v>-</v>
          </cell>
          <cell r="J639" t="str">
            <v>-</v>
          </cell>
          <cell r="K639" t="str">
            <v>-</v>
          </cell>
          <cell r="L639" t="str">
            <v>-</v>
          </cell>
          <cell r="M639" t="str">
            <v>-</v>
          </cell>
          <cell r="N639" t="str">
            <v>-</v>
          </cell>
        </row>
        <row r="640">
          <cell r="B640">
            <v>37893</v>
          </cell>
          <cell r="C640" t="str">
            <v>-</v>
          </cell>
          <cell r="D640" t="str">
            <v>-</v>
          </cell>
          <cell r="E640" t="str">
            <v>-</v>
          </cell>
          <cell r="F640" t="str">
            <v>-</v>
          </cell>
          <cell r="G640" t="str">
            <v>-</v>
          </cell>
          <cell r="H640" t="str">
            <v>-</v>
          </cell>
          <cell r="I640" t="str">
            <v>-</v>
          </cell>
          <cell r="J640" t="str">
            <v>-</v>
          </cell>
          <cell r="K640" t="str">
            <v>-</v>
          </cell>
          <cell r="L640" t="str">
            <v>-</v>
          </cell>
          <cell r="M640" t="str">
            <v>-</v>
          </cell>
          <cell r="N640" t="str">
            <v>-</v>
          </cell>
        </row>
        <row r="641">
          <cell r="B641">
            <v>37894</v>
          </cell>
          <cell r="C641" t="str">
            <v>-</v>
          </cell>
          <cell r="D641" t="str">
            <v>-</v>
          </cell>
          <cell r="E641" t="str">
            <v>-</v>
          </cell>
          <cell r="F641" t="str">
            <v>-</v>
          </cell>
          <cell r="G641" t="str">
            <v>-</v>
          </cell>
          <cell r="H641" t="str">
            <v>-</v>
          </cell>
          <cell r="I641" t="str">
            <v>-</v>
          </cell>
          <cell r="J641" t="str">
            <v>-</v>
          </cell>
          <cell r="K641" t="str">
            <v>-</v>
          </cell>
          <cell r="L641" t="str">
            <v>-</v>
          </cell>
          <cell r="M641" t="str">
            <v>-</v>
          </cell>
          <cell r="N641" t="str">
            <v>-</v>
          </cell>
        </row>
        <row r="642">
          <cell r="B642">
            <v>37895</v>
          </cell>
          <cell r="C642" t="str">
            <v>-</v>
          </cell>
          <cell r="D642" t="str">
            <v>-</v>
          </cell>
          <cell r="E642" t="str">
            <v>-</v>
          </cell>
          <cell r="F642" t="str">
            <v>-</v>
          </cell>
          <cell r="G642" t="str">
            <v>-</v>
          </cell>
          <cell r="H642" t="str">
            <v>-</v>
          </cell>
          <cell r="I642" t="str">
            <v>-</v>
          </cell>
          <cell r="J642" t="str">
            <v>-</v>
          </cell>
          <cell r="K642" t="str">
            <v>-</v>
          </cell>
          <cell r="L642" t="str">
            <v>-</v>
          </cell>
          <cell r="M642" t="str">
            <v>-</v>
          </cell>
          <cell r="N642" t="str">
            <v>-</v>
          </cell>
        </row>
        <row r="643">
          <cell r="B643">
            <v>37896</v>
          </cell>
          <cell r="C643" t="str">
            <v>-</v>
          </cell>
          <cell r="D643" t="str">
            <v>-</v>
          </cell>
          <cell r="E643" t="str">
            <v>-</v>
          </cell>
          <cell r="F643" t="str">
            <v>-</v>
          </cell>
          <cell r="G643" t="str">
            <v>-</v>
          </cell>
          <cell r="H643" t="str">
            <v>-</v>
          </cell>
          <cell r="I643" t="str">
            <v>-</v>
          </cell>
          <cell r="J643" t="str">
            <v>-</v>
          </cell>
          <cell r="K643" t="str">
            <v>-</v>
          </cell>
          <cell r="L643" t="str">
            <v>-</v>
          </cell>
          <cell r="M643" t="str">
            <v>-</v>
          </cell>
          <cell r="N643" t="str">
            <v>-</v>
          </cell>
        </row>
        <row r="644">
          <cell r="B644">
            <v>37897</v>
          </cell>
          <cell r="C644" t="str">
            <v>-</v>
          </cell>
          <cell r="D644" t="str">
            <v>-</v>
          </cell>
          <cell r="E644" t="str">
            <v>-</v>
          </cell>
          <cell r="F644" t="str">
            <v>-</v>
          </cell>
          <cell r="G644" t="str">
            <v>-</v>
          </cell>
          <cell r="H644" t="str">
            <v>-</v>
          </cell>
          <cell r="I644" t="str">
            <v>-</v>
          </cell>
          <cell r="J644" t="str">
            <v>-</v>
          </cell>
          <cell r="K644" t="str">
            <v>-</v>
          </cell>
          <cell r="L644" t="str">
            <v>-</v>
          </cell>
          <cell r="M644" t="str">
            <v>-</v>
          </cell>
          <cell r="N644" t="str">
            <v>-</v>
          </cell>
        </row>
        <row r="645">
          <cell r="B645">
            <v>37898</v>
          </cell>
          <cell r="C645" t="str">
            <v>-</v>
          </cell>
          <cell r="D645" t="str">
            <v>-</v>
          </cell>
          <cell r="E645" t="str">
            <v>-</v>
          </cell>
          <cell r="F645" t="str">
            <v>-</v>
          </cell>
          <cell r="G645" t="str">
            <v>-</v>
          </cell>
          <cell r="H645" t="str">
            <v>-</v>
          </cell>
          <cell r="I645" t="str">
            <v>-</v>
          </cell>
          <cell r="J645" t="str">
            <v>-</v>
          </cell>
          <cell r="K645" t="str">
            <v>-</v>
          </cell>
          <cell r="L645" t="str">
            <v>-</v>
          </cell>
          <cell r="M645" t="str">
            <v>-</v>
          </cell>
          <cell r="N645" t="str">
            <v>-</v>
          </cell>
        </row>
        <row r="646">
          <cell r="B646">
            <v>37899</v>
          </cell>
          <cell r="C646" t="str">
            <v>-</v>
          </cell>
          <cell r="D646" t="str">
            <v>-</v>
          </cell>
          <cell r="E646" t="str">
            <v>-</v>
          </cell>
          <cell r="F646" t="str">
            <v>-</v>
          </cell>
          <cell r="G646" t="str">
            <v>-</v>
          </cell>
          <cell r="H646" t="str">
            <v>-</v>
          </cell>
          <cell r="I646" t="str">
            <v>-</v>
          </cell>
          <cell r="J646" t="str">
            <v>-</v>
          </cell>
          <cell r="K646" t="str">
            <v>-</v>
          </cell>
          <cell r="L646" t="str">
            <v>-</v>
          </cell>
          <cell r="M646" t="str">
            <v>-</v>
          </cell>
          <cell r="N646" t="str">
            <v>-</v>
          </cell>
        </row>
        <row r="647">
          <cell r="B647">
            <v>37900</v>
          </cell>
          <cell r="C647" t="str">
            <v>-</v>
          </cell>
          <cell r="D647" t="str">
            <v>-</v>
          </cell>
          <cell r="E647" t="str">
            <v>-</v>
          </cell>
          <cell r="F647" t="str">
            <v>-</v>
          </cell>
          <cell r="G647" t="str">
            <v>-</v>
          </cell>
          <cell r="H647" t="str">
            <v>-</v>
          </cell>
          <cell r="I647" t="str">
            <v>-</v>
          </cell>
          <cell r="J647" t="str">
            <v>-</v>
          </cell>
          <cell r="K647" t="str">
            <v>-</v>
          </cell>
          <cell r="L647" t="str">
            <v>-</v>
          </cell>
          <cell r="M647" t="str">
            <v>-</v>
          </cell>
          <cell r="N647" t="str">
            <v>-</v>
          </cell>
        </row>
        <row r="648">
          <cell r="B648">
            <v>37901</v>
          </cell>
          <cell r="C648" t="str">
            <v>-</v>
          </cell>
          <cell r="D648" t="str">
            <v>-</v>
          </cell>
          <cell r="E648" t="str">
            <v>-</v>
          </cell>
          <cell r="F648" t="str">
            <v>-</v>
          </cell>
          <cell r="G648" t="str">
            <v>-</v>
          </cell>
          <cell r="H648" t="str">
            <v>-</v>
          </cell>
          <cell r="I648" t="str">
            <v>-</v>
          </cell>
          <cell r="J648" t="str">
            <v>-</v>
          </cell>
          <cell r="K648" t="str">
            <v>-</v>
          </cell>
          <cell r="L648" t="str">
            <v>-</v>
          </cell>
          <cell r="M648" t="str">
            <v>-</v>
          </cell>
          <cell r="N648" t="str">
            <v>-</v>
          </cell>
        </row>
        <row r="649">
          <cell r="B649">
            <v>37902</v>
          </cell>
          <cell r="C649" t="str">
            <v>-</v>
          </cell>
          <cell r="D649" t="str">
            <v>-</v>
          </cell>
          <cell r="E649" t="str">
            <v>-</v>
          </cell>
          <cell r="F649" t="str">
            <v>-</v>
          </cell>
          <cell r="G649" t="str">
            <v>-</v>
          </cell>
          <cell r="H649" t="str">
            <v>-</v>
          </cell>
          <cell r="I649" t="str">
            <v>-</v>
          </cell>
          <cell r="J649" t="str">
            <v>-</v>
          </cell>
          <cell r="K649" t="str">
            <v>-</v>
          </cell>
          <cell r="L649" t="str">
            <v>-</v>
          </cell>
          <cell r="M649" t="str">
            <v>-</v>
          </cell>
          <cell r="N649" t="str">
            <v>-</v>
          </cell>
        </row>
        <row r="650">
          <cell r="B650">
            <v>37903</v>
          </cell>
          <cell r="C650" t="str">
            <v>-</v>
          </cell>
          <cell r="D650" t="str">
            <v>-</v>
          </cell>
          <cell r="E650" t="str">
            <v>-</v>
          </cell>
          <cell r="F650" t="str">
            <v>-</v>
          </cell>
          <cell r="G650" t="str">
            <v>-</v>
          </cell>
          <cell r="H650" t="str">
            <v>-</v>
          </cell>
          <cell r="I650" t="str">
            <v>-</v>
          </cell>
          <cell r="J650" t="str">
            <v>-</v>
          </cell>
          <cell r="K650" t="str">
            <v>-</v>
          </cell>
          <cell r="L650" t="str">
            <v>-</v>
          </cell>
          <cell r="M650" t="str">
            <v>-</v>
          </cell>
          <cell r="N650" t="str">
            <v>-</v>
          </cell>
        </row>
        <row r="651">
          <cell r="B651">
            <v>37904</v>
          </cell>
          <cell r="C651" t="str">
            <v>-</v>
          </cell>
          <cell r="D651" t="str">
            <v>-</v>
          </cell>
          <cell r="E651" t="str">
            <v>-</v>
          </cell>
          <cell r="F651" t="str">
            <v>-</v>
          </cell>
          <cell r="G651" t="str">
            <v>-</v>
          </cell>
          <cell r="H651" t="str">
            <v>-</v>
          </cell>
          <cell r="I651" t="str">
            <v>-</v>
          </cell>
          <cell r="J651" t="str">
            <v>-</v>
          </cell>
          <cell r="K651" t="str">
            <v>-</v>
          </cell>
          <cell r="L651" t="str">
            <v>-</v>
          </cell>
          <cell r="M651" t="str">
            <v>-</v>
          </cell>
          <cell r="N651" t="str">
            <v>-</v>
          </cell>
        </row>
        <row r="652">
          <cell r="B652">
            <v>37905</v>
          </cell>
          <cell r="C652" t="str">
            <v>-</v>
          </cell>
          <cell r="D652" t="str">
            <v>-</v>
          </cell>
          <cell r="E652" t="str">
            <v>-</v>
          </cell>
          <cell r="F652" t="str">
            <v>-</v>
          </cell>
          <cell r="G652" t="str">
            <v>-</v>
          </cell>
          <cell r="H652" t="str">
            <v>-</v>
          </cell>
          <cell r="I652" t="str">
            <v>-</v>
          </cell>
          <cell r="J652" t="str">
            <v>-</v>
          </cell>
          <cell r="K652" t="str">
            <v>-</v>
          </cell>
          <cell r="L652" t="str">
            <v>-</v>
          </cell>
          <cell r="M652" t="str">
            <v>-</v>
          </cell>
          <cell r="N652" t="str">
            <v>-</v>
          </cell>
        </row>
        <row r="653">
          <cell r="B653">
            <v>37906</v>
          </cell>
          <cell r="C653" t="str">
            <v>-</v>
          </cell>
          <cell r="D653" t="str">
            <v>-</v>
          </cell>
          <cell r="E653" t="str">
            <v>-</v>
          </cell>
          <cell r="F653" t="str">
            <v>-</v>
          </cell>
          <cell r="G653" t="str">
            <v>-</v>
          </cell>
          <cell r="H653" t="str">
            <v>-</v>
          </cell>
          <cell r="I653" t="str">
            <v>-</v>
          </cell>
          <cell r="J653" t="str">
            <v>-</v>
          </cell>
          <cell r="K653" t="str">
            <v>-</v>
          </cell>
          <cell r="L653" t="str">
            <v>-</v>
          </cell>
          <cell r="M653" t="str">
            <v>-</v>
          </cell>
          <cell r="N653" t="str">
            <v>-</v>
          </cell>
        </row>
        <row r="654">
          <cell r="B654">
            <v>37907</v>
          </cell>
          <cell r="C654" t="str">
            <v>-</v>
          </cell>
          <cell r="D654" t="str">
            <v>-</v>
          </cell>
          <cell r="E654" t="str">
            <v>-</v>
          </cell>
          <cell r="F654" t="str">
            <v>-</v>
          </cell>
          <cell r="G654" t="str">
            <v>-</v>
          </cell>
          <cell r="H654" t="str">
            <v>-</v>
          </cell>
          <cell r="I654" t="str">
            <v>-</v>
          </cell>
          <cell r="J654" t="str">
            <v>-</v>
          </cell>
          <cell r="K654" t="str">
            <v>-</v>
          </cell>
          <cell r="L654" t="str">
            <v>-</v>
          </cell>
          <cell r="M654" t="str">
            <v>-</v>
          </cell>
          <cell r="N654" t="str">
            <v>-</v>
          </cell>
        </row>
        <row r="655">
          <cell r="B655">
            <v>37908</v>
          </cell>
          <cell r="C655" t="str">
            <v>-</v>
          </cell>
          <cell r="D655" t="str">
            <v>-</v>
          </cell>
          <cell r="E655" t="str">
            <v>-</v>
          </cell>
          <cell r="F655" t="str">
            <v>-</v>
          </cell>
          <cell r="G655" t="str">
            <v>-</v>
          </cell>
          <cell r="H655" t="str">
            <v>-</v>
          </cell>
          <cell r="I655" t="str">
            <v>-</v>
          </cell>
          <cell r="J655" t="str">
            <v>-</v>
          </cell>
          <cell r="K655" t="str">
            <v>-</v>
          </cell>
          <cell r="L655" t="str">
            <v>-</v>
          </cell>
          <cell r="M655" t="str">
            <v>-</v>
          </cell>
          <cell r="N655" t="str">
            <v>-</v>
          </cell>
        </row>
        <row r="656">
          <cell r="B656">
            <v>37909</v>
          </cell>
          <cell r="C656" t="str">
            <v>-</v>
          </cell>
          <cell r="D656" t="str">
            <v>-</v>
          </cell>
          <cell r="E656" t="str">
            <v>-</v>
          </cell>
          <cell r="F656" t="str">
            <v>-</v>
          </cell>
          <cell r="G656" t="str">
            <v>-</v>
          </cell>
          <cell r="H656" t="str">
            <v>-</v>
          </cell>
          <cell r="I656" t="str">
            <v>-</v>
          </cell>
          <cell r="J656" t="str">
            <v>-</v>
          </cell>
          <cell r="K656" t="str">
            <v>-</v>
          </cell>
          <cell r="L656" t="str">
            <v>-</v>
          </cell>
          <cell r="M656" t="str">
            <v>-</v>
          </cell>
          <cell r="N656" t="str">
            <v>-</v>
          </cell>
        </row>
        <row r="657">
          <cell r="B657">
            <v>37910</v>
          </cell>
          <cell r="C657" t="str">
            <v>-</v>
          </cell>
          <cell r="D657" t="str">
            <v>-</v>
          </cell>
          <cell r="E657" t="str">
            <v>-</v>
          </cell>
          <cell r="F657" t="str">
            <v>-</v>
          </cell>
          <cell r="G657" t="str">
            <v>-</v>
          </cell>
          <cell r="H657" t="str">
            <v>-</v>
          </cell>
          <cell r="I657" t="str">
            <v>-</v>
          </cell>
          <cell r="J657" t="str">
            <v>-</v>
          </cell>
          <cell r="K657" t="str">
            <v>-</v>
          </cell>
          <cell r="L657" t="str">
            <v>-</v>
          </cell>
          <cell r="M657" t="str">
            <v>-</v>
          </cell>
          <cell r="N657" t="str">
            <v>-</v>
          </cell>
        </row>
        <row r="658">
          <cell r="B658">
            <v>37911</v>
          </cell>
          <cell r="C658" t="str">
            <v>-</v>
          </cell>
          <cell r="D658" t="str">
            <v>-</v>
          </cell>
          <cell r="E658" t="str">
            <v>-</v>
          </cell>
          <cell r="F658" t="str">
            <v>-</v>
          </cell>
          <cell r="G658" t="str">
            <v>-</v>
          </cell>
          <cell r="H658" t="str">
            <v>-</v>
          </cell>
          <cell r="I658" t="str">
            <v>-</v>
          </cell>
          <cell r="J658" t="str">
            <v>-</v>
          </cell>
          <cell r="K658" t="str">
            <v>-</v>
          </cell>
          <cell r="L658" t="str">
            <v>-</v>
          </cell>
          <cell r="M658" t="str">
            <v>-</v>
          </cell>
          <cell r="N658" t="str">
            <v>-</v>
          </cell>
        </row>
        <row r="659">
          <cell r="B659">
            <v>37912</v>
          </cell>
          <cell r="C659" t="str">
            <v>-</v>
          </cell>
          <cell r="D659" t="str">
            <v>-</v>
          </cell>
          <cell r="E659" t="str">
            <v>-</v>
          </cell>
          <cell r="F659" t="str">
            <v>-</v>
          </cell>
          <cell r="G659" t="str">
            <v>-</v>
          </cell>
          <cell r="H659" t="str">
            <v>-</v>
          </cell>
          <cell r="I659" t="str">
            <v>-</v>
          </cell>
          <cell r="J659" t="str">
            <v>-</v>
          </cell>
          <cell r="K659" t="str">
            <v>-</v>
          </cell>
          <cell r="L659" t="str">
            <v>-</v>
          </cell>
          <cell r="M659" t="str">
            <v>-</v>
          </cell>
          <cell r="N659" t="str">
            <v>-</v>
          </cell>
        </row>
        <row r="660">
          <cell r="B660">
            <v>37913</v>
          </cell>
          <cell r="C660" t="str">
            <v>-</v>
          </cell>
          <cell r="D660" t="str">
            <v>-</v>
          </cell>
          <cell r="E660" t="str">
            <v>-</v>
          </cell>
          <cell r="F660" t="str">
            <v>-</v>
          </cell>
          <cell r="G660" t="str">
            <v>-</v>
          </cell>
          <cell r="H660" t="str">
            <v>-</v>
          </cell>
          <cell r="I660" t="str">
            <v>-</v>
          </cell>
          <cell r="J660" t="str">
            <v>-</v>
          </cell>
          <cell r="K660" t="str">
            <v>-</v>
          </cell>
          <cell r="L660" t="str">
            <v>-</v>
          </cell>
          <cell r="M660" t="str">
            <v>-</v>
          </cell>
          <cell r="N660" t="str">
            <v>-</v>
          </cell>
        </row>
        <row r="661">
          <cell r="B661">
            <v>37914</v>
          </cell>
          <cell r="C661" t="str">
            <v>-</v>
          </cell>
          <cell r="D661" t="str">
            <v>-</v>
          </cell>
          <cell r="E661" t="str">
            <v>-</v>
          </cell>
          <cell r="F661" t="str">
            <v>-</v>
          </cell>
          <cell r="G661" t="str">
            <v>-</v>
          </cell>
          <cell r="H661" t="str">
            <v>-</v>
          </cell>
          <cell r="I661" t="str">
            <v>-</v>
          </cell>
          <cell r="J661" t="str">
            <v>-</v>
          </cell>
          <cell r="K661" t="str">
            <v>-</v>
          </cell>
          <cell r="L661" t="str">
            <v>-</v>
          </cell>
          <cell r="M661" t="str">
            <v>-</v>
          </cell>
          <cell r="N661" t="str">
            <v>-</v>
          </cell>
        </row>
        <row r="662">
          <cell r="B662">
            <v>37915</v>
          </cell>
          <cell r="C662" t="str">
            <v>-</v>
          </cell>
          <cell r="D662" t="str">
            <v>-</v>
          </cell>
          <cell r="E662" t="str">
            <v>-</v>
          </cell>
          <cell r="F662" t="str">
            <v>-</v>
          </cell>
          <cell r="G662" t="str">
            <v>-</v>
          </cell>
          <cell r="H662" t="str">
            <v>-</v>
          </cell>
          <cell r="I662" t="str">
            <v>-</v>
          </cell>
          <cell r="J662" t="str">
            <v>-</v>
          </cell>
          <cell r="K662" t="str">
            <v>-</v>
          </cell>
          <cell r="L662" t="str">
            <v>-</v>
          </cell>
          <cell r="M662" t="str">
            <v>-</v>
          </cell>
          <cell r="N662" t="str">
            <v>-</v>
          </cell>
        </row>
        <row r="663">
          <cell r="B663">
            <v>37916</v>
          </cell>
          <cell r="C663" t="str">
            <v>-</v>
          </cell>
          <cell r="D663" t="str">
            <v>-</v>
          </cell>
          <cell r="E663" t="str">
            <v>-</v>
          </cell>
          <cell r="F663" t="str">
            <v>-</v>
          </cell>
          <cell r="G663" t="str">
            <v>-</v>
          </cell>
          <cell r="H663" t="str">
            <v>-</v>
          </cell>
          <cell r="I663" t="str">
            <v>-</v>
          </cell>
          <cell r="J663" t="str">
            <v>-</v>
          </cell>
          <cell r="K663" t="str">
            <v>-</v>
          </cell>
          <cell r="L663" t="str">
            <v>-</v>
          </cell>
          <cell r="M663" t="str">
            <v>-</v>
          </cell>
          <cell r="N663" t="str">
            <v>-</v>
          </cell>
        </row>
        <row r="664">
          <cell r="B664">
            <v>37917</v>
          </cell>
          <cell r="C664" t="str">
            <v>-</v>
          </cell>
          <cell r="D664" t="str">
            <v>-</v>
          </cell>
          <cell r="E664" t="str">
            <v>-</v>
          </cell>
          <cell r="F664" t="str">
            <v>-</v>
          </cell>
          <cell r="G664" t="str">
            <v>-</v>
          </cell>
          <cell r="H664" t="str">
            <v>-</v>
          </cell>
          <cell r="I664" t="str">
            <v>-</v>
          </cell>
          <cell r="J664" t="str">
            <v>-</v>
          </cell>
          <cell r="K664" t="str">
            <v>-</v>
          </cell>
          <cell r="L664" t="str">
            <v>-</v>
          </cell>
          <cell r="M664" t="str">
            <v>-</v>
          </cell>
          <cell r="N664" t="str">
            <v>-</v>
          </cell>
        </row>
        <row r="665">
          <cell r="B665">
            <v>37918</v>
          </cell>
          <cell r="C665" t="str">
            <v>-</v>
          </cell>
          <cell r="D665" t="str">
            <v>-</v>
          </cell>
          <cell r="E665" t="str">
            <v>-</v>
          </cell>
          <cell r="F665" t="str">
            <v>-</v>
          </cell>
          <cell r="G665" t="str">
            <v>-</v>
          </cell>
          <cell r="H665" t="str">
            <v>-</v>
          </cell>
          <cell r="I665" t="str">
            <v>-</v>
          </cell>
          <cell r="J665" t="str">
            <v>-</v>
          </cell>
          <cell r="K665" t="str">
            <v>-</v>
          </cell>
          <cell r="L665" t="str">
            <v>-</v>
          </cell>
          <cell r="M665" t="str">
            <v>-</v>
          </cell>
          <cell r="N665" t="str">
            <v>-</v>
          </cell>
        </row>
        <row r="666">
          <cell r="B666">
            <v>37919</v>
          </cell>
          <cell r="C666" t="str">
            <v>-</v>
          </cell>
          <cell r="D666" t="str">
            <v>-</v>
          </cell>
          <cell r="E666" t="str">
            <v>-</v>
          </cell>
          <cell r="F666" t="str">
            <v>-</v>
          </cell>
          <cell r="G666" t="str">
            <v>-</v>
          </cell>
          <cell r="H666" t="str">
            <v>-</v>
          </cell>
          <cell r="I666" t="str">
            <v>-</v>
          </cell>
          <cell r="J666" t="str">
            <v>-</v>
          </cell>
          <cell r="K666" t="str">
            <v>-</v>
          </cell>
          <cell r="L666" t="str">
            <v>-</v>
          </cell>
          <cell r="M666" t="str">
            <v>-</v>
          </cell>
          <cell r="N666" t="str">
            <v>-</v>
          </cell>
        </row>
        <row r="667">
          <cell r="B667">
            <v>37920</v>
          </cell>
          <cell r="C667" t="str">
            <v>-</v>
          </cell>
          <cell r="D667" t="str">
            <v>-</v>
          </cell>
          <cell r="E667" t="str">
            <v>-</v>
          </cell>
          <cell r="F667" t="str">
            <v>-</v>
          </cell>
          <cell r="G667" t="str">
            <v>-</v>
          </cell>
          <cell r="H667" t="str">
            <v>-</v>
          </cell>
          <cell r="I667" t="str">
            <v>-</v>
          </cell>
          <cell r="J667" t="str">
            <v>-</v>
          </cell>
          <cell r="K667" t="str">
            <v>-</v>
          </cell>
          <cell r="L667" t="str">
            <v>-</v>
          </cell>
          <cell r="M667" t="str">
            <v>-</v>
          </cell>
          <cell r="N667" t="str">
            <v>-</v>
          </cell>
        </row>
        <row r="668">
          <cell r="B668">
            <v>37921</v>
          </cell>
          <cell r="C668" t="str">
            <v>-</v>
          </cell>
          <cell r="D668" t="str">
            <v>-</v>
          </cell>
          <cell r="E668" t="str">
            <v>-</v>
          </cell>
          <cell r="F668" t="str">
            <v>-</v>
          </cell>
          <cell r="G668" t="str">
            <v>-</v>
          </cell>
          <cell r="H668" t="str">
            <v>-</v>
          </cell>
          <cell r="I668" t="str">
            <v>-</v>
          </cell>
          <cell r="J668" t="str">
            <v>-</v>
          </cell>
          <cell r="K668" t="str">
            <v>-</v>
          </cell>
          <cell r="L668" t="str">
            <v>-</v>
          </cell>
          <cell r="M668" t="str">
            <v>-</v>
          </cell>
          <cell r="N668" t="str">
            <v>-</v>
          </cell>
        </row>
        <row r="669">
          <cell r="B669">
            <v>37922</v>
          </cell>
          <cell r="C669" t="str">
            <v>-</v>
          </cell>
          <cell r="D669" t="str">
            <v>-</v>
          </cell>
          <cell r="E669" t="str">
            <v>-</v>
          </cell>
          <cell r="F669" t="str">
            <v>-</v>
          </cell>
          <cell r="G669" t="str">
            <v>-</v>
          </cell>
          <cell r="H669" t="str">
            <v>-</v>
          </cell>
          <cell r="I669" t="str">
            <v>-</v>
          </cell>
          <cell r="J669" t="str">
            <v>-</v>
          </cell>
          <cell r="K669" t="str">
            <v>-</v>
          </cell>
          <cell r="L669" t="str">
            <v>-</v>
          </cell>
          <cell r="M669" t="str">
            <v>-</v>
          </cell>
          <cell r="N669" t="str">
            <v>-</v>
          </cell>
        </row>
        <row r="670">
          <cell r="B670">
            <v>37923</v>
          </cell>
          <cell r="C670" t="str">
            <v>-</v>
          </cell>
          <cell r="D670" t="str">
            <v>-</v>
          </cell>
          <cell r="E670" t="str">
            <v>-</v>
          </cell>
          <cell r="F670" t="str">
            <v>-</v>
          </cell>
          <cell r="G670" t="str">
            <v>-</v>
          </cell>
          <cell r="H670" t="str">
            <v>-</v>
          </cell>
          <cell r="I670" t="str">
            <v>-</v>
          </cell>
          <cell r="J670" t="str">
            <v>-</v>
          </cell>
          <cell r="K670" t="str">
            <v>-</v>
          </cell>
          <cell r="L670" t="str">
            <v>-</v>
          </cell>
          <cell r="M670" t="str">
            <v>-</v>
          </cell>
          <cell r="N670" t="str">
            <v>-</v>
          </cell>
        </row>
        <row r="671">
          <cell r="B671">
            <v>37924</v>
          </cell>
          <cell r="C671" t="str">
            <v>-</v>
          </cell>
          <cell r="D671" t="str">
            <v>-</v>
          </cell>
          <cell r="E671" t="str">
            <v>-</v>
          </cell>
          <cell r="F671" t="str">
            <v>-</v>
          </cell>
          <cell r="G671" t="str">
            <v>-</v>
          </cell>
          <cell r="H671" t="str">
            <v>-</v>
          </cell>
          <cell r="I671" t="str">
            <v>-</v>
          </cell>
          <cell r="J671" t="str">
            <v>-</v>
          </cell>
          <cell r="K671" t="str">
            <v>-</v>
          </cell>
          <cell r="L671" t="str">
            <v>-</v>
          </cell>
          <cell r="M671" t="str">
            <v>-</v>
          </cell>
          <cell r="N671" t="str">
            <v>-</v>
          </cell>
        </row>
        <row r="672">
          <cell r="B672">
            <v>37925</v>
          </cell>
          <cell r="C672" t="str">
            <v>-</v>
          </cell>
          <cell r="D672" t="str">
            <v>-</v>
          </cell>
          <cell r="E672" t="str">
            <v>-</v>
          </cell>
          <cell r="F672" t="str">
            <v>-</v>
          </cell>
          <cell r="G672" t="str">
            <v>-</v>
          </cell>
          <cell r="H672" t="str">
            <v>-</v>
          </cell>
          <cell r="I672" t="str">
            <v>-</v>
          </cell>
          <cell r="J672" t="str">
            <v>-</v>
          </cell>
          <cell r="K672" t="str">
            <v>-</v>
          </cell>
          <cell r="L672" t="str">
            <v>-</v>
          </cell>
          <cell r="M672" t="str">
            <v>-</v>
          </cell>
          <cell r="N672" t="str">
            <v>-</v>
          </cell>
        </row>
        <row r="673">
          <cell r="B673">
            <v>37926</v>
          </cell>
          <cell r="C673" t="str">
            <v>-</v>
          </cell>
          <cell r="D673" t="str">
            <v>-</v>
          </cell>
          <cell r="E673" t="str">
            <v>-</v>
          </cell>
          <cell r="F673" t="str">
            <v>-</v>
          </cell>
          <cell r="G673" t="str">
            <v>-</v>
          </cell>
          <cell r="H673" t="str">
            <v>-</v>
          </cell>
          <cell r="I673" t="str">
            <v>-</v>
          </cell>
          <cell r="J673" t="str">
            <v>-</v>
          </cell>
          <cell r="K673" t="str">
            <v>-</v>
          </cell>
          <cell r="L673" t="str">
            <v>-</v>
          </cell>
          <cell r="M673" t="str">
            <v>-</v>
          </cell>
          <cell r="N673" t="str">
            <v>-</v>
          </cell>
        </row>
        <row r="674">
          <cell r="B674">
            <v>37927</v>
          </cell>
          <cell r="C674" t="str">
            <v>-</v>
          </cell>
          <cell r="D674" t="str">
            <v>-</v>
          </cell>
          <cell r="E674" t="str">
            <v>-</v>
          </cell>
          <cell r="F674" t="str">
            <v>-</v>
          </cell>
          <cell r="G674" t="str">
            <v>-</v>
          </cell>
          <cell r="H674" t="str">
            <v>-</v>
          </cell>
          <cell r="I674" t="str">
            <v>-</v>
          </cell>
          <cell r="J674" t="str">
            <v>-</v>
          </cell>
          <cell r="K674" t="str">
            <v>-</v>
          </cell>
          <cell r="L674" t="str">
            <v>-</v>
          </cell>
          <cell r="M674" t="str">
            <v>-</v>
          </cell>
          <cell r="N674" t="str">
            <v>-</v>
          </cell>
        </row>
        <row r="675">
          <cell r="B675">
            <v>37928</v>
          </cell>
          <cell r="C675" t="str">
            <v>-</v>
          </cell>
          <cell r="D675" t="str">
            <v>-</v>
          </cell>
          <cell r="E675" t="str">
            <v>-</v>
          </cell>
          <cell r="F675" t="str">
            <v>-</v>
          </cell>
          <cell r="G675" t="str">
            <v>-</v>
          </cell>
          <cell r="H675" t="str">
            <v>-</v>
          </cell>
          <cell r="I675" t="str">
            <v>-</v>
          </cell>
          <cell r="J675" t="str">
            <v>-</v>
          </cell>
          <cell r="K675" t="str">
            <v>-</v>
          </cell>
          <cell r="L675" t="str">
            <v>-</v>
          </cell>
          <cell r="M675" t="str">
            <v>-</v>
          </cell>
          <cell r="N675" t="str">
            <v>-</v>
          </cell>
        </row>
        <row r="676">
          <cell r="B676">
            <v>37929</v>
          </cell>
          <cell r="C676" t="str">
            <v>-</v>
          </cell>
          <cell r="D676" t="str">
            <v>-</v>
          </cell>
          <cell r="E676" t="str">
            <v>-</v>
          </cell>
          <cell r="F676" t="str">
            <v>-</v>
          </cell>
          <cell r="G676" t="str">
            <v>-</v>
          </cell>
          <cell r="H676" t="str">
            <v>-</v>
          </cell>
          <cell r="I676" t="str">
            <v>-</v>
          </cell>
          <cell r="J676" t="str">
            <v>-</v>
          </cell>
          <cell r="K676" t="str">
            <v>-</v>
          </cell>
          <cell r="L676" t="str">
            <v>-</v>
          </cell>
          <cell r="M676" t="str">
            <v>-</v>
          </cell>
          <cell r="N676" t="str">
            <v>-</v>
          </cell>
        </row>
        <row r="677">
          <cell r="B677">
            <v>37930</v>
          </cell>
          <cell r="C677" t="str">
            <v>-</v>
          </cell>
          <cell r="D677" t="str">
            <v>-</v>
          </cell>
          <cell r="E677" t="str">
            <v>-</v>
          </cell>
          <cell r="F677" t="str">
            <v>-</v>
          </cell>
          <cell r="G677" t="str">
            <v>-</v>
          </cell>
          <cell r="H677" t="str">
            <v>-</v>
          </cell>
          <cell r="I677" t="str">
            <v>-</v>
          </cell>
          <cell r="J677" t="str">
            <v>-</v>
          </cell>
          <cell r="K677" t="str">
            <v>-</v>
          </cell>
          <cell r="L677" t="str">
            <v>-</v>
          </cell>
          <cell r="M677" t="str">
            <v>-</v>
          </cell>
          <cell r="N677" t="str">
            <v>-</v>
          </cell>
        </row>
        <row r="678">
          <cell r="B678">
            <v>37931</v>
          </cell>
          <cell r="C678" t="str">
            <v>-</v>
          </cell>
          <cell r="D678" t="str">
            <v>-</v>
          </cell>
          <cell r="E678" t="str">
            <v>-</v>
          </cell>
          <cell r="F678" t="str">
            <v>-</v>
          </cell>
          <cell r="G678" t="str">
            <v>-</v>
          </cell>
          <cell r="H678" t="str">
            <v>-</v>
          </cell>
          <cell r="I678" t="str">
            <v>-</v>
          </cell>
          <cell r="J678" t="str">
            <v>-</v>
          </cell>
          <cell r="K678" t="str">
            <v>-</v>
          </cell>
          <cell r="L678" t="str">
            <v>-</v>
          </cell>
          <cell r="M678" t="str">
            <v>-</v>
          </cell>
          <cell r="N678" t="str">
            <v>-</v>
          </cell>
        </row>
        <row r="679">
          <cell r="B679">
            <v>37932</v>
          </cell>
          <cell r="C679" t="str">
            <v>-</v>
          </cell>
          <cell r="D679" t="str">
            <v>-</v>
          </cell>
          <cell r="E679" t="str">
            <v>-</v>
          </cell>
          <cell r="F679" t="str">
            <v>-</v>
          </cell>
          <cell r="G679" t="str">
            <v>-</v>
          </cell>
          <cell r="H679" t="str">
            <v>-</v>
          </cell>
          <cell r="I679" t="str">
            <v>-</v>
          </cell>
          <cell r="J679" t="str">
            <v>-</v>
          </cell>
          <cell r="K679" t="str">
            <v>-</v>
          </cell>
          <cell r="L679" t="str">
            <v>-</v>
          </cell>
          <cell r="M679" t="str">
            <v>-</v>
          </cell>
          <cell r="N679" t="str">
            <v>-</v>
          </cell>
        </row>
        <row r="680">
          <cell r="B680">
            <v>37933</v>
          </cell>
          <cell r="C680" t="str">
            <v>-</v>
          </cell>
          <cell r="D680" t="str">
            <v>-</v>
          </cell>
          <cell r="E680" t="str">
            <v>-</v>
          </cell>
          <cell r="F680" t="str">
            <v>-</v>
          </cell>
          <cell r="G680" t="str">
            <v>-</v>
          </cell>
          <cell r="H680" t="str">
            <v>-</v>
          </cell>
          <cell r="I680" t="str">
            <v>-</v>
          </cell>
          <cell r="J680" t="str">
            <v>-</v>
          </cell>
          <cell r="K680" t="str">
            <v>-</v>
          </cell>
          <cell r="L680" t="str">
            <v>-</v>
          </cell>
          <cell r="M680" t="str">
            <v>-</v>
          </cell>
          <cell r="N680" t="str">
            <v>-</v>
          </cell>
        </row>
        <row r="681">
          <cell r="B681">
            <v>37934</v>
          </cell>
          <cell r="C681" t="str">
            <v>-</v>
          </cell>
          <cell r="D681" t="str">
            <v>-</v>
          </cell>
          <cell r="E681" t="str">
            <v>-</v>
          </cell>
          <cell r="F681" t="str">
            <v>-</v>
          </cell>
          <cell r="G681" t="str">
            <v>-</v>
          </cell>
          <cell r="H681" t="str">
            <v>-</v>
          </cell>
          <cell r="I681" t="str">
            <v>-</v>
          </cell>
          <cell r="J681" t="str">
            <v>-</v>
          </cell>
          <cell r="K681" t="str">
            <v>-</v>
          </cell>
          <cell r="L681" t="str">
            <v>-</v>
          </cell>
          <cell r="M681" t="str">
            <v>-</v>
          </cell>
          <cell r="N681" t="str">
            <v>-</v>
          </cell>
        </row>
        <row r="682">
          <cell r="B682">
            <v>37935</v>
          </cell>
          <cell r="C682" t="str">
            <v>-</v>
          </cell>
          <cell r="D682" t="str">
            <v>-</v>
          </cell>
          <cell r="E682" t="str">
            <v>-</v>
          </cell>
          <cell r="F682" t="str">
            <v>-</v>
          </cell>
          <cell r="G682" t="str">
            <v>-</v>
          </cell>
          <cell r="H682" t="str">
            <v>-</v>
          </cell>
          <cell r="I682" t="str">
            <v>-</v>
          </cell>
          <cell r="J682" t="str">
            <v>-</v>
          </cell>
          <cell r="K682" t="str">
            <v>-</v>
          </cell>
          <cell r="L682" t="str">
            <v>-</v>
          </cell>
          <cell r="M682" t="str">
            <v>-</v>
          </cell>
          <cell r="N682" t="str">
            <v>-</v>
          </cell>
        </row>
        <row r="683">
          <cell r="B683">
            <v>37936</v>
          </cell>
          <cell r="C683" t="str">
            <v>-</v>
          </cell>
          <cell r="D683" t="str">
            <v>-</v>
          </cell>
          <cell r="E683" t="str">
            <v>-</v>
          </cell>
          <cell r="F683" t="str">
            <v>-</v>
          </cell>
          <cell r="G683" t="str">
            <v>-</v>
          </cell>
          <cell r="H683" t="str">
            <v>-</v>
          </cell>
          <cell r="I683" t="str">
            <v>-</v>
          </cell>
          <cell r="J683" t="str">
            <v>-</v>
          </cell>
          <cell r="K683" t="str">
            <v>-</v>
          </cell>
          <cell r="L683" t="str">
            <v>-</v>
          </cell>
          <cell r="M683" t="str">
            <v>-</v>
          </cell>
          <cell r="N683" t="str">
            <v>-</v>
          </cell>
        </row>
        <row r="684">
          <cell r="B684">
            <v>37937</v>
          </cell>
          <cell r="C684" t="str">
            <v>-</v>
          </cell>
          <cell r="D684" t="str">
            <v>-</v>
          </cell>
          <cell r="E684" t="str">
            <v>-</v>
          </cell>
          <cell r="F684" t="str">
            <v>-</v>
          </cell>
          <cell r="G684" t="str">
            <v>-</v>
          </cell>
          <cell r="H684" t="str">
            <v>-</v>
          </cell>
          <cell r="I684" t="str">
            <v>-</v>
          </cell>
          <cell r="J684" t="str">
            <v>-</v>
          </cell>
          <cell r="K684" t="str">
            <v>-</v>
          </cell>
          <cell r="L684" t="str">
            <v>-</v>
          </cell>
          <cell r="M684" t="str">
            <v>-</v>
          </cell>
          <cell r="N684" t="str">
            <v>-</v>
          </cell>
        </row>
        <row r="685">
          <cell r="B685">
            <v>37938</v>
          </cell>
          <cell r="C685" t="str">
            <v>-</v>
          </cell>
          <cell r="D685" t="str">
            <v>-</v>
          </cell>
          <cell r="E685" t="str">
            <v>-</v>
          </cell>
          <cell r="F685" t="str">
            <v>-</v>
          </cell>
          <cell r="G685" t="str">
            <v>-</v>
          </cell>
          <cell r="H685" t="str">
            <v>-</v>
          </cell>
          <cell r="I685" t="str">
            <v>-</v>
          </cell>
          <cell r="J685" t="str">
            <v>-</v>
          </cell>
          <cell r="K685" t="str">
            <v>-</v>
          </cell>
          <cell r="L685" t="str">
            <v>-</v>
          </cell>
          <cell r="M685" t="str">
            <v>-</v>
          </cell>
          <cell r="N685" t="str">
            <v>-</v>
          </cell>
        </row>
        <row r="686">
          <cell r="B686">
            <v>37939</v>
          </cell>
          <cell r="C686" t="str">
            <v>-</v>
          </cell>
          <cell r="D686" t="str">
            <v>-</v>
          </cell>
          <cell r="E686" t="str">
            <v>-</v>
          </cell>
          <cell r="F686" t="str">
            <v>-</v>
          </cell>
          <cell r="G686" t="str">
            <v>-</v>
          </cell>
          <cell r="H686" t="str">
            <v>-</v>
          </cell>
          <cell r="I686" t="str">
            <v>-</v>
          </cell>
          <cell r="J686" t="str">
            <v>-</v>
          </cell>
          <cell r="K686" t="str">
            <v>-</v>
          </cell>
          <cell r="L686" t="str">
            <v>-</v>
          </cell>
          <cell r="M686" t="str">
            <v>-</v>
          </cell>
          <cell r="N686" t="str">
            <v>-</v>
          </cell>
        </row>
        <row r="687">
          <cell r="B687">
            <v>37940</v>
          </cell>
          <cell r="C687" t="str">
            <v>-</v>
          </cell>
          <cell r="D687" t="str">
            <v>-</v>
          </cell>
          <cell r="E687" t="str">
            <v>-</v>
          </cell>
          <cell r="F687" t="str">
            <v>-</v>
          </cell>
          <cell r="G687" t="str">
            <v>-</v>
          </cell>
          <cell r="H687" t="str">
            <v>-</v>
          </cell>
          <cell r="I687" t="str">
            <v>-</v>
          </cell>
          <cell r="J687" t="str">
            <v>-</v>
          </cell>
          <cell r="K687" t="str">
            <v>-</v>
          </cell>
          <cell r="L687" t="str">
            <v>-</v>
          </cell>
          <cell r="M687" t="str">
            <v>-</v>
          </cell>
          <cell r="N687" t="str">
            <v>-</v>
          </cell>
        </row>
        <row r="688">
          <cell r="B688">
            <v>37941</v>
          </cell>
          <cell r="C688" t="str">
            <v>-</v>
          </cell>
          <cell r="D688" t="str">
            <v>-</v>
          </cell>
          <cell r="E688" t="str">
            <v>-</v>
          </cell>
          <cell r="F688" t="str">
            <v>-</v>
          </cell>
          <cell r="G688" t="str">
            <v>-</v>
          </cell>
          <cell r="H688" t="str">
            <v>-</v>
          </cell>
          <cell r="I688" t="str">
            <v>-</v>
          </cell>
          <cell r="J688" t="str">
            <v>-</v>
          </cell>
          <cell r="K688" t="str">
            <v>-</v>
          </cell>
          <cell r="L688" t="str">
            <v>-</v>
          </cell>
          <cell r="M688" t="str">
            <v>-</v>
          </cell>
          <cell r="N688" t="str">
            <v>-</v>
          </cell>
        </row>
        <row r="689">
          <cell r="B689">
            <v>37942</v>
          </cell>
          <cell r="C689" t="str">
            <v>-</v>
          </cell>
          <cell r="D689" t="str">
            <v>-</v>
          </cell>
          <cell r="E689" t="str">
            <v>-</v>
          </cell>
          <cell r="F689" t="str">
            <v>-</v>
          </cell>
          <cell r="G689" t="str">
            <v>-</v>
          </cell>
          <cell r="H689" t="str">
            <v>-</v>
          </cell>
          <cell r="I689" t="str">
            <v>-</v>
          </cell>
          <cell r="J689" t="str">
            <v>-</v>
          </cell>
          <cell r="K689" t="str">
            <v>-</v>
          </cell>
          <cell r="L689" t="str">
            <v>-</v>
          </cell>
          <cell r="M689" t="str">
            <v>-</v>
          </cell>
          <cell r="N689" t="str">
            <v>-</v>
          </cell>
        </row>
        <row r="690">
          <cell r="B690">
            <v>37943</v>
          </cell>
          <cell r="C690" t="str">
            <v>-</v>
          </cell>
          <cell r="D690" t="str">
            <v>-</v>
          </cell>
          <cell r="E690" t="str">
            <v>-</v>
          </cell>
          <cell r="F690" t="str">
            <v>-</v>
          </cell>
          <cell r="G690" t="str">
            <v>-</v>
          </cell>
          <cell r="H690" t="str">
            <v>-</v>
          </cell>
          <cell r="I690" t="str">
            <v>-</v>
          </cell>
          <cell r="J690" t="str">
            <v>-</v>
          </cell>
          <cell r="K690" t="str">
            <v>-</v>
          </cell>
          <cell r="L690" t="str">
            <v>-</v>
          </cell>
          <cell r="M690" t="str">
            <v>-</v>
          </cell>
          <cell r="N690" t="str">
            <v>-</v>
          </cell>
        </row>
        <row r="691">
          <cell r="B691">
            <v>37944</v>
          </cell>
          <cell r="C691" t="str">
            <v>-</v>
          </cell>
          <cell r="D691" t="str">
            <v>-</v>
          </cell>
          <cell r="E691" t="str">
            <v>-</v>
          </cell>
          <cell r="F691" t="str">
            <v>-</v>
          </cell>
          <cell r="G691" t="str">
            <v>-</v>
          </cell>
          <cell r="H691" t="str">
            <v>-</v>
          </cell>
          <cell r="I691" t="str">
            <v>-</v>
          </cell>
          <cell r="J691" t="str">
            <v>-</v>
          </cell>
          <cell r="K691" t="str">
            <v>-</v>
          </cell>
          <cell r="L691" t="str">
            <v>-</v>
          </cell>
          <cell r="M691" t="str">
            <v>-</v>
          </cell>
          <cell r="N691" t="str">
            <v>-</v>
          </cell>
        </row>
        <row r="692">
          <cell r="B692">
            <v>37945</v>
          </cell>
          <cell r="C692" t="str">
            <v>-</v>
          </cell>
          <cell r="D692" t="str">
            <v>-</v>
          </cell>
          <cell r="E692" t="str">
            <v>-</v>
          </cell>
          <cell r="F692" t="str">
            <v>-</v>
          </cell>
          <cell r="G692" t="str">
            <v>-</v>
          </cell>
          <cell r="H692" t="str">
            <v>-</v>
          </cell>
          <cell r="I692" t="str">
            <v>-</v>
          </cell>
          <cell r="J692" t="str">
            <v>-</v>
          </cell>
          <cell r="K692" t="str">
            <v>-</v>
          </cell>
          <cell r="L692" t="str">
            <v>-</v>
          </cell>
          <cell r="M692" t="str">
            <v>-</v>
          </cell>
          <cell r="N692" t="str">
            <v>-</v>
          </cell>
        </row>
        <row r="693">
          <cell r="B693">
            <v>37946</v>
          </cell>
          <cell r="C693" t="str">
            <v>-</v>
          </cell>
          <cell r="D693" t="str">
            <v>-</v>
          </cell>
          <cell r="E693" t="str">
            <v>-</v>
          </cell>
          <cell r="F693" t="str">
            <v>-</v>
          </cell>
          <cell r="G693" t="str">
            <v>-</v>
          </cell>
          <cell r="H693" t="str">
            <v>-</v>
          </cell>
          <cell r="I693" t="str">
            <v>-</v>
          </cell>
          <cell r="J693" t="str">
            <v>-</v>
          </cell>
          <cell r="K693" t="str">
            <v>-</v>
          </cell>
          <cell r="L693" t="str">
            <v>-</v>
          </cell>
          <cell r="M693" t="str">
            <v>-</v>
          </cell>
          <cell r="N693" t="str">
            <v>-</v>
          </cell>
        </row>
        <row r="694">
          <cell r="B694">
            <v>37947</v>
          </cell>
          <cell r="C694" t="str">
            <v>-</v>
          </cell>
          <cell r="D694" t="str">
            <v>-</v>
          </cell>
          <cell r="E694" t="str">
            <v>-</v>
          </cell>
          <cell r="F694" t="str">
            <v>-</v>
          </cell>
          <cell r="G694" t="str">
            <v>-</v>
          </cell>
          <cell r="H694" t="str">
            <v>-</v>
          </cell>
          <cell r="I694" t="str">
            <v>-</v>
          </cell>
          <cell r="J694" t="str">
            <v>-</v>
          </cell>
          <cell r="K694" t="str">
            <v>-</v>
          </cell>
          <cell r="L694" t="str">
            <v>-</v>
          </cell>
          <cell r="M694" t="str">
            <v>-</v>
          </cell>
          <cell r="N694" t="str">
            <v>-</v>
          </cell>
        </row>
        <row r="695">
          <cell r="B695">
            <v>37948</v>
          </cell>
          <cell r="C695" t="str">
            <v>-</v>
          </cell>
          <cell r="D695" t="str">
            <v>-</v>
          </cell>
          <cell r="E695" t="str">
            <v>-</v>
          </cell>
          <cell r="F695" t="str">
            <v>-</v>
          </cell>
          <cell r="G695" t="str">
            <v>-</v>
          </cell>
          <cell r="H695" t="str">
            <v>-</v>
          </cell>
          <cell r="I695" t="str">
            <v>-</v>
          </cell>
          <cell r="J695" t="str">
            <v>-</v>
          </cell>
          <cell r="K695" t="str">
            <v>-</v>
          </cell>
          <cell r="L695" t="str">
            <v>-</v>
          </cell>
          <cell r="M695" t="str">
            <v>-</v>
          </cell>
          <cell r="N695" t="str">
            <v>-</v>
          </cell>
        </row>
        <row r="696">
          <cell r="B696">
            <v>37949</v>
          </cell>
          <cell r="C696" t="str">
            <v>-</v>
          </cell>
          <cell r="D696" t="str">
            <v>-</v>
          </cell>
          <cell r="E696" t="str">
            <v>-</v>
          </cell>
          <cell r="F696" t="str">
            <v>-</v>
          </cell>
          <cell r="G696" t="str">
            <v>-</v>
          </cell>
          <cell r="H696" t="str">
            <v>-</v>
          </cell>
          <cell r="I696" t="str">
            <v>-</v>
          </cell>
          <cell r="J696" t="str">
            <v>-</v>
          </cell>
          <cell r="K696" t="str">
            <v>-</v>
          </cell>
          <cell r="L696" t="str">
            <v>-</v>
          </cell>
          <cell r="M696" t="str">
            <v>-</v>
          </cell>
          <cell r="N696" t="str">
            <v>-</v>
          </cell>
        </row>
        <row r="697">
          <cell r="B697">
            <v>37950</v>
          </cell>
          <cell r="C697" t="str">
            <v>-</v>
          </cell>
          <cell r="D697" t="str">
            <v>-</v>
          </cell>
          <cell r="E697" t="str">
            <v>-</v>
          </cell>
          <cell r="F697" t="str">
            <v>-</v>
          </cell>
          <cell r="G697" t="str">
            <v>-</v>
          </cell>
          <cell r="H697" t="str">
            <v>-</v>
          </cell>
          <cell r="I697" t="str">
            <v>-</v>
          </cell>
          <cell r="J697" t="str">
            <v>-</v>
          </cell>
          <cell r="K697" t="str">
            <v>-</v>
          </cell>
          <cell r="L697" t="str">
            <v>-</v>
          </cell>
          <cell r="M697" t="str">
            <v>-</v>
          </cell>
          <cell r="N697" t="str">
            <v>-</v>
          </cell>
        </row>
        <row r="698">
          <cell r="B698">
            <v>37951</v>
          </cell>
          <cell r="C698" t="str">
            <v>-</v>
          </cell>
          <cell r="D698" t="str">
            <v>-</v>
          </cell>
          <cell r="E698" t="str">
            <v>-</v>
          </cell>
          <cell r="F698" t="str">
            <v>-</v>
          </cell>
          <cell r="G698" t="str">
            <v>-</v>
          </cell>
          <cell r="H698" t="str">
            <v>-</v>
          </cell>
          <cell r="I698" t="str">
            <v>-</v>
          </cell>
          <cell r="J698" t="str">
            <v>-</v>
          </cell>
          <cell r="K698" t="str">
            <v>-</v>
          </cell>
          <cell r="L698" t="str">
            <v>-</v>
          </cell>
          <cell r="M698" t="str">
            <v>-</v>
          </cell>
          <cell r="N698" t="str">
            <v>-</v>
          </cell>
        </row>
        <row r="699">
          <cell r="B699">
            <v>37952</v>
          </cell>
          <cell r="C699" t="str">
            <v>-</v>
          </cell>
          <cell r="D699" t="str">
            <v>-</v>
          </cell>
          <cell r="E699" t="str">
            <v>-</v>
          </cell>
          <cell r="F699" t="str">
            <v>-</v>
          </cell>
          <cell r="G699" t="str">
            <v>-</v>
          </cell>
          <cell r="H699" t="str">
            <v>-</v>
          </cell>
          <cell r="I699" t="str">
            <v>-</v>
          </cell>
          <cell r="J699" t="str">
            <v>-</v>
          </cell>
          <cell r="K699" t="str">
            <v>-</v>
          </cell>
          <cell r="L699" t="str">
            <v>-</v>
          </cell>
          <cell r="M699" t="str">
            <v>-</v>
          </cell>
          <cell r="N699" t="str">
            <v>-</v>
          </cell>
        </row>
        <row r="700">
          <cell r="B700">
            <v>37953</v>
          </cell>
          <cell r="C700" t="str">
            <v>-</v>
          </cell>
          <cell r="D700" t="str">
            <v>-</v>
          </cell>
          <cell r="E700" t="str">
            <v>-</v>
          </cell>
          <cell r="F700" t="str">
            <v>-</v>
          </cell>
          <cell r="G700" t="str">
            <v>-</v>
          </cell>
          <cell r="H700" t="str">
            <v>-</v>
          </cell>
          <cell r="I700" t="str">
            <v>-</v>
          </cell>
          <cell r="J700" t="str">
            <v>-</v>
          </cell>
          <cell r="K700" t="str">
            <v>-</v>
          </cell>
          <cell r="L700" t="str">
            <v>-</v>
          </cell>
          <cell r="M700" t="str">
            <v>-</v>
          </cell>
          <cell r="N700" t="str">
            <v>-</v>
          </cell>
        </row>
        <row r="701">
          <cell r="B701">
            <v>37954</v>
          </cell>
          <cell r="C701" t="str">
            <v>-</v>
          </cell>
          <cell r="D701" t="str">
            <v>-</v>
          </cell>
          <cell r="E701" t="str">
            <v>-</v>
          </cell>
          <cell r="F701" t="str">
            <v>-</v>
          </cell>
          <cell r="G701" t="str">
            <v>-</v>
          </cell>
          <cell r="H701" t="str">
            <v>-</v>
          </cell>
          <cell r="I701" t="str">
            <v>-</v>
          </cell>
          <cell r="J701" t="str">
            <v>-</v>
          </cell>
          <cell r="K701" t="str">
            <v>-</v>
          </cell>
          <cell r="L701" t="str">
            <v>-</v>
          </cell>
          <cell r="M701" t="str">
            <v>-</v>
          </cell>
          <cell r="N701" t="str">
            <v>-</v>
          </cell>
        </row>
        <row r="702">
          <cell r="B702">
            <v>37955</v>
          </cell>
          <cell r="C702" t="str">
            <v>-</v>
          </cell>
          <cell r="D702" t="str">
            <v>-</v>
          </cell>
          <cell r="E702" t="str">
            <v>-</v>
          </cell>
          <cell r="F702" t="str">
            <v>-</v>
          </cell>
          <cell r="G702" t="str">
            <v>-</v>
          </cell>
          <cell r="H702" t="str">
            <v>-</v>
          </cell>
          <cell r="I702" t="str">
            <v>-</v>
          </cell>
          <cell r="J702" t="str">
            <v>-</v>
          </cell>
          <cell r="K702" t="str">
            <v>-</v>
          </cell>
          <cell r="L702" t="str">
            <v>-</v>
          </cell>
          <cell r="M702" t="str">
            <v>-</v>
          </cell>
          <cell r="N702" t="str">
            <v>-</v>
          </cell>
        </row>
        <row r="703">
          <cell r="B703">
            <v>37956</v>
          </cell>
          <cell r="C703" t="str">
            <v>-</v>
          </cell>
          <cell r="D703" t="str">
            <v>-</v>
          </cell>
          <cell r="E703" t="str">
            <v>-</v>
          </cell>
          <cell r="F703" t="str">
            <v>-</v>
          </cell>
          <cell r="G703" t="str">
            <v>-</v>
          </cell>
          <cell r="H703" t="str">
            <v>-</v>
          </cell>
          <cell r="I703" t="str">
            <v>-</v>
          </cell>
          <cell r="J703" t="str">
            <v>-</v>
          </cell>
          <cell r="K703" t="str">
            <v>-</v>
          </cell>
          <cell r="L703" t="str">
            <v>-</v>
          </cell>
          <cell r="M703" t="str">
            <v>-</v>
          </cell>
          <cell r="N703" t="str">
            <v>-</v>
          </cell>
        </row>
        <row r="704">
          <cell r="B704">
            <v>37957</v>
          </cell>
          <cell r="C704" t="str">
            <v>-</v>
          </cell>
          <cell r="D704" t="str">
            <v>-</v>
          </cell>
          <cell r="E704" t="str">
            <v>-</v>
          </cell>
          <cell r="F704" t="str">
            <v>-</v>
          </cell>
          <cell r="G704" t="str">
            <v>-</v>
          </cell>
          <cell r="H704" t="str">
            <v>-</v>
          </cell>
          <cell r="I704" t="str">
            <v>-</v>
          </cell>
          <cell r="J704" t="str">
            <v>-</v>
          </cell>
          <cell r="K704" t="str">
            <v>-</v>
          </cell>
          <cell r="L704" t="str">
            <v>-</v>
          </cell>
          <cell r="M704" t="str">
            <v>-</v>
          </cell>
          <cell r="N704" t="str">
            <v>-</v>
          </cell>
        </row>
        <row r="705">
          <cell r="B705">
            <v>37958</v>
          </cell>
          <cell r="C705" t="str">
            <v>-</v>
          </cell>
          <cell r="D705" t="str">
            <v>-</v>
          </cell>
          <cell r="E705" t="str">
            <v>-</v>
          </cell>
          <cell r="F705" t="str">
            <v>-</v>
          </cell>
          <cell r="G705" t="str">
            <v>-</v>
          </cell>
          <cell r="H705" t="str">
            <v>-</v>
          </cell>
          <cell r="I705" t="str">
            <v>-</v>
          </cell>
          <cell r="J705" t="str">
            <v>-</v>
          </cell>
          <cell r="K705" t="str">
            <v>-</v>
          </cell>
          <cell r="L705" t="str">
            <v>-</v>
          </cell>
          <cell r="M705" t="str">
            <v>-</v>
          </cell>
          <cell r="N705" t="str">
            <v>-</v>
          </cell>
        </row>
        <row r="706">
          <cell r="B706">
            <v>37959</v>
          </cell>
          <cell r="C706" t="str">
            <v>-</v>
          </cell>
          <cell r="D706" t="str">
            <v>-</v>
          </cell>
          <cell r="E706" t="str">
            <v>-</v>
          </cell>
          <cell r="F706" t="str">
            <v>-</v>
          </cell>
          <cell r="G706" t="str">
            <v>-</v>
          </cell>
          <cell r="H706" t="str">
            <v>-</v>
          </cell>
          <cell r="I706" t="str">
            <v>-</v>
          </cell>
          <cell r="J706" t="str">
            <v>-</v>
          </cell>
          <cell r="K706" t="str">
            <v>-</v>
          </cell>
          <cell r="L706" t="str">
            <v>-</v>
          </cell>
          <cell r="M706" t="str">
            <v>-</v>
          </cell>
          <cell r="N706" t="str">
            <v>-</v>
          </cell>
        </row>
        <row r="707">
          <cell r="B707">
            <v>37960</v>
          </cell>
          <cell r="C707" t="str">
            <v>-</v>
          </cell>
          <cell r="D707" t="str">
            <v>-</v>
          </cell>
          <cell r="E707" t="str">
            <v>-</v>
          </cell>
          <cell r="F707" t="str">
            <v>-</v>
          </cell>
          <cell r="G707" t="str">
            <v>-</v>
          </cell>
          <cell r="H707" t="str">
            <v>-</v>
          </cell>
          <cell r="I707" t="str">
            <v>-</v>
          </cell>
          <cell r="J707" t="str">
            <v>-</v>
          </cell>
          <cell r="K707" t="str">
            <v>-</v>
          </cell>
          <cell r="L707" t="str">
            <v>-</v>
          </cell>
          <cell r="M707" t="str">
            <v>-</v>
          </cell>
          <cell r="N707" t="str">
            <v>-</v>
          </cell>
        </row>
        <row r="708">
          <cell r="B708">
            <v>37961</v>
          </cell>
          <cell r="C708" t="str">
            <v>-</v>
          </cell>
          <cell r="D708" t="str">
            <v>-</v>
          </cell>
          <cell r="E708" t="str">
            <v>-</v>
          </cell>
          <cell r="F708" t="str">
            <v>-</v>
          </cell>
          <cell r="G708" t="str">
            <v>-</v>
          </cell>
          <cell r="H708" t="str">
            <v>-</v>
          </cell>
          <cell r="I708" t="str">
            <v>-</v>
          </cell>
          <cell r="J708" t="str">
            <v>-</v>
          </cell>
          <cell r="K708" t="str">
            <v>-</v>
          </cell>
          <cell r="L708" t="str">
            <v>-</v>
          </cell>
          <cell r="M708" t="str">
            <v>-</v>
          </cell>
          <cell r="N708" t="str">
            <v>-</v>
          </cell>
        </row>
        <row r="709">
          <cell r="B709">
            <v>37962</v>
          </cell>
          <cell r="C709" t="str">
            <v>-</v>
          </cell>
          <cell r="D709" t="str">
            <v>-</v>
          </cell>
          <cell r="E709" t="str">
            <v>-</v>
          </cell>
          <cell r="F709" t="str">
            <v>-</v>
          </cell>
          <cell r="G709" t="str">
            <v>-</v>
          </cell>
          <cell r="H709" t="str">
            <v>-</v>
          </cell>
          <cell r="I709" t="str">
            <v>-</v>
          </cell>
          <cell r="J709" t="str">
            <v>-</v>
          </cell>
          <cell r="K709" t="str">
            <v>-</v>
          </cell>
          <cell r="L709" t="str">
            <v>-</v>
          </cell>
          <cell r="M709" t="str">
            <v>-</v>
          </cell>
          <cell r="N709" t="str">
            <v>-</v>
          </cell>
        </row>
        <row r="710">
          <cell r="B710">
            <v>37963</v>
          </cell>
          <cell r="C710" t="str">
            <v>-</v>
          </cell>
          <cell r="D710" t="str">
            <v>-</v>
          </cell>
          <cell r="E710" t="str">
            <v>-</v>
          </cell>
          <cell r="F710" t="str">
            <v>-</v>
          </cell>
          <cell r="G710" t="str">
            <v>-</v>
          </cell>
          <cell r="H710" t="str">
            <v>-</v>
          </cell>
          <cell r="I710" t="str">
            <v>-</v>
          </cell>
          <cell r="J710" t="str">
            <v>-</v>
          </cell>
          <cell r="K710" t="str">
            <v>-</v>
          </cell>
          <cell r="L710" t="str">
            <v>-</v>
          </cell>
          <cell r="M710" t="str">
            <v>-</v>
          </cell>
          <cell r="N710" t="str">
            <v>-</v>
          </cell>
        </row>
        <row r="711">
          <cell r="B711">
            <v>37964</v>
          </cell>
          <cell r="C711" t="str">
            <v>-</v>
          </cell>
          <cell r="D711" t="str">
            <v>-</v>
          </cell>
          <cell r="E711" t="str">
            <v>-</v>
          </cell>
          <cell r="F711" t="str">
            <v>-</v>
          </cell>
          <cell r="G711" t="str">
            <v>-</v>
          </cell>
          <cell r="H711" t="str">
            <v>-</v>
          </cell>
          <cell r="I711" t="str">
            <v>-</v>
          </cell>
          <cell r="J711" t="str">
            <v>-</v>
          </cell>
          <cell r="K711" t="str">
            <v>-</v>
          </cell>
          <cell r="L711" t="str">
            <v>-</v>
          </cell>
          <cell r="M711" t="str">
            <v>-</v>
          </cell>
          <cell r="N711" t="str">
            <v>-</v>
          </cell>
        </row>
        <row r="712">
          <cell r="B712">
            <v>37965</v>
          </cell>
          <cell r="C712" t="str">
            <v>-</v>
          </cell>
          <cell r="D712" t="str">
            <v>-</v>
          </cell>
          <cell r="E712" t="str">
            <v>-</v>
          </cell>
          <cell r="F712" t="str">
            <v>-</v>
          </cell>
          <cell r="G712" t="str">
            <v>-</v>
          </cell>
          <cell r="H712" t="str">
            <v>-</v>
          </cell>
          <cell r="I712" t="str">
            <v>-</v>
          </cell>
          <cell r="J712" t="str">
            <v>-</v>
          </cell>
          <cell r="K712" t="str">
            <v>-</v>
          </cell>
          <cell r="L712" t="str">
            <v>-</v>
          </cell>
          <cell r="M712" t="str">
            <v>-</v>
          </cell>
          <cell r="N712" t="str">
            <v>-</v>
          </cell>
        </row>
        <row r="713">
          <cell r="B713">
            <v>37966</v>
          </cell>
          <cell r="C713" t="str">
            <v>-</v>
          </cell>
          <cell r="D713" t="str">
            <v>-</v>
          </cell>
          <cell r="E713" t="str">
            <v>-</v>
          </cell>
          <cell r="F713" t="str">
            <v>-</v>
          </cell>
          <cell r="G713" t="str">
            <v>-</v>
          </cell>
          <cell r="H713" t="str">
            <v>-</v>
          </cell>
          <cell r="I713" t="str">
            <v>-</v>
          </cell>
          <cell r="J713" t="str">
            <v>-</v>
          </cell>
          <cell r="K713" t="str">
            <v>-</v>
          </cell>
          <cell r="L713" t="str">
            <v>-</v>
          </cell>
          <cell r="M713" t="str">
            <v>-</v>
          </cell>
          <cell r="N713" t="str">
            <v>-</v>
          </cell>
        </row>
        <row r="714">
          <cell r="B714">
            <v>37967</v>
          </cell>
          <cell r="C714" t="str">
            <v>-</v>
          </cell>
          <cell r="D714" t="str">
            <v>-</v>
          </cell>
          <cell r="E714" t="str">
            <v>-</v>
          </cell>
          <cell r="F714" t="str">
            <v>-</v>
          </cell>
          <cell r="G714" t="str">
            <v>-</v>
          </cell>
          <cell r="H714" t="str">
            <v>-</v>
          </cell>
          <cell r="I714" t="str">
            <v>-</v>
          </cell>
          <cell r="J714" t="str">
            <v>-</v>
          </cell>
          <cell r="K714" t="str">
            <v>-</v>
          </cell>
          <cell r="L714" t="str">
            <v>-</v>
          </cell>
          <cell r="M714" t="str">
            <v>-</v>
          </cell>
          <cell r="N714" t="str">
            <v>-</v>
          </cell>
        </row>
        <row r="715">
          <cell r="B715">
            <v>37968</v>
          </cell>
          <cell r="C715" t="str">
            <v>-</v>
          </cell>
          <cell r="D715" t="str">
            <v>-</v>
          </cell>
          <cell r="E715" t="str">
            <v>-</v>
          </cell>
          <cell r="F715" t="str">
            <v>-</v>
          </cell>
          <cell r="G715" t="str">
            <v>-</v>
          </cell>
          <cell r="H715" t="str">
            <v>-</v>
          </cell>
          <cell r="I715" t="str">
            <v>-</v>
          </cell>
          <cell r="J715" t="str">
            <v>-</v>
          </cell>
          <cell r="K715" t="str">
            <v>-</v>
          </cell>
          <cell r="L715" t="str">
            <v>-</v>
          </cell>
          <cell r="M715" t="str">
            <v>-</v>
          </cell>
          <cell r="N715" t="str">
            <v>-</v>
          </cell>
        </row>
        <row r="716">
          <cell r="B716">
            <v>37969</v>
          </cell>
          <cell r="C716" t="str">
            <v>-</v>
          </cell>
          <cell r="D716" t="str">
            <v>-</v>
          </cell>
          <cell r="E716" t="str">
            <v>-</v>
          </cell>
          <cell r="F716" t="str">
            <v>-</v>
          </cell>
          <cell r="G716" t="str">
            <v>-</v>
          </cell>
          <cell r="H716" t="str">
            <v>-</v>
          </cell>
          <cell r="I716" t="str">
            <v>-</v>
          </cell>
          <cell r="J716" t="str">
            <v>-</v>
          </cell>
          <cell r="K716" t="str">
            <v>-</v>
          </cell>
          <cell r="L716" t="str">
            <v>-</v>
          </cell>
          <cell r="M716" t="str">
            <v>-</v>
          </cell>
          <cell r="N716" t="str">
            <v>-</v>
          </cell>
        </row>
        <row r="717">
          <cell r="B717">
            <v>37970</v>
          </cell>
          <cell r="C717" t="str">
            <v>-</v>
          </cell>
          <cell r="D717" t="str">
            <v>-</v>
          </cell>
          <cell r="E717" t="str">
            <v>-</v>
          </cell>
          <cell r="F717" t="str">
            <v>-</v>
          </cell>
          <cell r="G717" t="str">
            <v>-</v>
          </cell>
          <cell r="H717" t="str">
            <v>-</v>
          </cell>
          <cell r="I717" t="str">
            <v>-</v>
          </cell>
          <cell r="J717" t="str">
            <v>-</v>
          </cell>
          <cell r="K717" t="str">
            <v>-</v>
          </cell>
          <cell r="L717" t="str">
            <v>-</v>
          </cell>
          <cell r="M717" t="str">
            <v>-</v>
          </cell>
          <cell r="N717" t="str">
            <v>-</v>
          </cell>
        </row>
        <row r="718">
          <cell r="B718">
            <v>37971</v>
          </cell>
          <cell r="C718" t="str">
            <v>-</v>
          </cell>
          <cell r="D718" t="str">
            <v>-</v>
          </cell>
          <cell r="E718" t="str">
            <v>-</v>
          </cell>
          <cell r="F718" t="str">
            <v>-</v>
          </cell>
          <cell r="G718" t="str">
            <v>-</v>
          </cell>
          <cell r="H718" t="str">
            <v>-</v>
          </cell>
          <cell r="I718" t="str">
            <v>-</v>
          </cell>
          <cell r="J718" t="str">
            <v>-</v>
          </cell>
          <cell r="K718" t="str">
            <v>-</v>
          </cell>
          <cell r="L718" t="str">
            <v>-</v>
          </cell>
          <cell r="M718" t="str">
            <v>-</v>
          </cell>
          <cell r="N718" t="str">
            <v>-</v>
          </cell>
        </row>
        <row r="719">
          <cell r="B719">
            <v>37972</v>
          </cell>
          <cell r="C719" t="str">
            <v>-</v>
          </cell>
          <cell r="D719" t="str">
            <v>-</v>
          </cell>
          <cell r="E719" t="str">
            <v>-</v>
          </cell>
          <cell r="F719" t="str">
            <v>-</v>
          </cell>
          <cell r="G719" t="str">
            <v>-</v>
          </cell>
          <cell r="H719" t="str">
            <v>-</v>
          </cell>
          <cell r="I719" t="str">
            <v>-</v>
          </cell>
          <cell r="J719" t="str">
            <v>-</v>
          </cell>
          <cell r="K719" t="str">
            <v>-</v>
          </cell>
          <cell r="L719" t="str">
            <v>-</v>
          </cell>
          <cell r="M719" t="str">
            <v>-</v>
          </cell>
          <cell r="N719" t="str">
            <v>-</v>
          </cell>
        </row>
        <row r="720">
          <cell r="B720">
            <v>37973</v>
          </cell>
          <cell r="C720" t="str">
            <v>-</v>
          </cell>
          <cell r="D720" t="str">
            <v>-</v>
          </cell>
          <cell r="E720" t="str">
            <v>-</v>
          </cell>
          <cell r="F720" t="str">
            <v>-</v>
          </cell>
          <cell r="G720" t="str">
            <v>-</v>
          </cell>
          <cell r="H720" t="str">
            <v>-</v>
          </cell>
          <cell r="I720" t="str">
            <v>-</v>
          </cell>
          <cell r="J720" t="str">
            <v>-</v>
          </cell>
          <cell r="K720" t="str">
            <v>-</v>
          </cell>
          <cell r="L720" t="str">
            <v>-</v>
          </cell>
          <cell r="M720" t="str">
            <v>-</v>
          </cell>
          <cell r="N720" t="str">
            <v>-</v>
          </cell>
        </row>
        <row r="721">
          <cell r="B721">
            <v>37974</v>
          </cell>
          <cell r="C721" t="str">
            <v>-</v>
          </cell>
          <cell r="D721" t="str">
            <v>-</v>
          </cell>
          <cell r="E721" t="str">
            <v>-</v>
          </cell>
          <cell r="F721" t="str">
            <v>-</v>
          </cell>
          <cell r="G721" t="str">
            <v>-</v>
          </cell>
          <cell r="H721" t="str">
            <v>-</v>
          </cell>
          <cell r="I721" t="str">
            <v>-</v>
          </cell>
          <cell r="J721" t="str">
            <v>-</v>
          </cell>
          <cell r="K721" t="str">
            <v>-</v>
          </cell>
          <cell r="L721" t="str">
            <v>-</v>
          </cell>
          <cell r="M721" t="str">
            <v>-</v>
          </cell>
          <cell r="N721" t="str">
            <v>-</v>
          </cell>
        </row>
        <row r="722">
          <cell r="B722">
            <v>37975</v>
          </cell>
          <cell r="C722" t="str">
            <v>-</v>
          </cell>
          <cell r="D722" t="str">
            <v>-</v>
          </cell>
          <cell r="E722" t="str">
            <v>-</v>
          </cell>
          <cell r="F722" t="str">
            <v>-</v>
          </cell>
          <cell r="G722" t="str">
            <v>-</v>
          </cell>
          <cell r="H722" t="str">
            <v>-</v>
          </cell>
          <cell r="I722" t="str">
            <v>-</v>
          </cell>
          <cell r="J722" t="str">
            <v>-</v>
          </cell>
          <cell r="K722" t="str">
            <v>-</v>
          </cell>
          <cell r="L722" t="str">
            <v>-</v>
          </cell>
          <cell r="M722" t="str">
            <v>-</v>
          </cell>
          <cell r="N722" t="str">
            <v>-</v>
          </cell>
        </row>
        <row r="723">
          <cell r="B723">
            <v>37976</v>
          </cell>
          <cell r="C723" t="str">
            <v>-</v>
          </cell>
          <cell r="D723" t="str">
            <v>-</v>
          </cell>
          <cell r="E723" t="str">
            <v>-</v>
          </cell>
          <cell r="F723" t="str">
            <v>-</v>
          </cell>
          <cell r="G723" t="str">
            <v>-</v>
          </cell>
          <cell r="H723" t="str">
            <v>-</v>
          </cell>
          <cell r="I723" t="str">
            <v>-</v>
          </cell>
          <cell r="J723" t="str">
            <v>-</v>
          </cell>
          <cell r="K723" t="str">
            <v>-</v>
          </cell>
          <cell r="L723" t="str">
            <v>-</v>
          </cell>
          <cell r="M723" t="str">
            <v>-</v>
          </cell>
          <cell r="N723" t="str">
            <v>-</v>
          </cell>
        </row>
        <row r="724">
          <cell r="B724">
            <v>37977</v>
          </cell>
          <cell r="C724" t="str">
            <v>-</v>
          </cell>
          <cell r="D724" t="str">
            <v>-</v>
          </cell>
          <cell r="E724" t="str">
            <v>-</v>
          </cell>
          <cell r="F724" t="str">
            <v>-</v>
          </cell>
          <cell r="G724" t="str">
            <v>-</v>
          </cell>
          <cell r="H724" t="str">
            <v>-</v>
          </cell>
          <cell r="I724" t="str">
            <v>-</v>
          </cell>
          <cell r="J724" t="str">
            <v>-</v>
          </cell>
          <cell r="K724" t="str">
            <v>-</v>
          </cell>
          <cell r="L724" t="str">
            <v>-</v>
          </cell>
          <cell r="M724" t="str">
            <v>-</v>
          </cell>
          <cell r="N724" t="str">
            <v>-</v>
          </cell>
        </row>
        <row r="725">
          <cell r="B725">
            <v>37978</v>
          </cell>
          <cell r="C725" t="str">
            <v>-</v>
          </cell>
          <cell r="D725" t="str">
            <v>-</v>
          </cell>
          <cell r="E725" t="str">
            <v>-</v>
          </cell>
          <cell r="F725" t="str">
            <v>-</v>
          </cell>
          <cell r="G725" t="str">
            <v>-</v>
          </cell>
          <cell r="H725" t="str">
            <v>-</v>
          </cell>
          <cell r="I725" t="str">
            <v>-</v>
          </cell>
          <cell r="J725" t="str">
            <v>-</v>
          </cell>
          <cell r="K725" t="str">
            <v>-</v>
          </cell>
          <cell r="L725" t="str">
            <v>-</v>
          </cell>
          <cell r="M725" t="str">
            <v>-</v>
          </cell>
          <cell r="N725" t="str">
            <v>-</v>
          </cell>
        </row>
        <row r="726">
          <cell r="B726">
            <v>37979</v>
          </cell>
          <cell r="C726" t="str">
            <v>-</v>
          </cell>
          <cell r="D726" t="str">
            <v>-</v>
          </cell>
          <cell r="E726" t="str">
            <v>-</v>
          </cell>
          <cell r="F726" t="str">
            <v>-</v>
          </cell>
          <cell r="G726" t="str">
            <v>-</v>
          </cell>
          <cell r="H726" t="str">
            <v>-</v>
          </cell>
          <cell r="I726" t="str">
            <v>-</v>
          </cell>
          <cell r="J726" t="str">
            <v>-</v>
          </cell>
          <cell r="K726" t="str">
            <v>-</v>
          </cell>
          <cell r="L726" t="str">
            <v>-</v>
          </cell>
          <cell r="M726" t="str">
            <v>-</v>
          </cell>
          <cell r="N726" t="str">
            <v>-</v>
          </cell>
        </row>
        <row r="727">
          <cell r="B727">
            <v>37980</v>
          </cell>
          <cell r="C727" t="str">
            <v>-</v>
          </cell>
          <cell r="D727" t="str">
            <v>-</v>
          </cell>
          <cell r="E727" t="str">
            <v>-</v>
          </cell>
          <cell r="F727" t="str">
            <v>-</v>
          </cell>
          <cell r="G727" t="str">
            <v>-</v>
          </cell>
          <cell r="H727" t="str">
            <v>-</v>
          </cell>
          <cell r="I727" t="str">
            <v>-</v>
          </cell>
          <cell r="J727" t="str">
            <v>-</v>
          </cell>
          <cell r="K727" t="str">
            <v>-</v>
          </cell>
          <cell r="L727" t="str">
            <v>-</v>
          </cell>
          <cell r="M727" t="str">
            <v>-</v>
          </cell>
          <cell r="N727" t="str">
            <v>-</v>
          </cell>
        </row>
        <row r="728">
          <cell r="B728">
            <v>37981</v>
          </cell>
          <cell r="C728" t="str">
            <v>-</v>
          </cell>
          <cell r="D728" t="str">
            <v>-</v>
          </cell>
          <cell r="E728" t="str">
            <v>-</v>
          </cell>
          <cell r="F728" t="str">
            <v>-</v>
          </cell>
          <cell r="G728" t="str">
            <v>-</v>
          </cell>
          <cell r="H728" t="str">
            <v>-</v>
          </cell>
          <cell r="I728" t="str">
            <v>-</v>
          </cell>
          <cell r="J728" t="str">
            <v>-</v>
          </cell>
          <cell r="K728" t="str">
            <v>-</v>
          </cell>
          <cell r="L728" t="str">
            <v>-</v>
          </cell>
          <cell r="M728" t="str">
            <v>-</v>
          </cell>
          <cell r="N728" t="str">
            <v>-</v>
          </cell>
        </row>
        <row r="729">
          <cell r="B729">
            <v>37982</v>
          </cell>
          <cell r="C729" t="str">
            <v>-</v>
          </cell>
          <cell r="D729" t="str">
            <v>-</v>
          </cell>
          <cell r="E729" t="str">
            <v>-</v>
          </cell>
          <cell r="F729" t="str">
            <v>-</v>
          </cell>
          <cell r="G729" t="str">
            <v>-</v>
          </cell>
          <cell r="H729" t="str">
            <v>-</v>
          </cell>
          <cell r="I729" t="str">
            <v>-</v>
          </cell>
          <cell r="J729" t="str">
            <v>-</v>
          </cell>
          <cell r="K729" t="str">
            <v>-</v>
          </cell>
          <cell r="L729" t="str">
            <v>-</v>
          </cell>
          <cell r="M729" t="str">
            <v>-</v>
          </cell>
          <cell r="N729" t="str">
            <v>-</v>
          </cell>
        </row>
        <row r="730">
          <cell r="B730">
            <v>37983</v>
          </cell>
          <cell r="C730" t="str">
            <v>-</v>
          </cell>
          <cell r="D730" t="str">
            <v>-</v>
          </cell>
          <cell r="E730" t="str">
            <v>-</v>
          </cell>
          <cell r="F730" t="str">
            <v>-</v>
          </cell>
          <cell r="G730" t="str">
            <v>-</v>
          </cell>
          <cell r="H730" t="str">
            <v>-</v>
          </cell>
          <cell r="I730" t="str">
            <v>-</v>
          </cell>
          <cell r="J730" t="str">
            <v>-</v>
          </cell>
          <cell r="K730" t="str">
            <v>-</v>
          </cell>
          <cell r="L730" t="str">
            <v>-</v>
          </cell>
          <cell r="M730" t="str">
            <v>-</v>
          </cell>
          <cell r="N730" t="str">
            <v>-</v>
          </cell>
        </row>
        <row r="731">
          <cell r="B731">
            <v>37984</v>
          </cell>
          <cell r="C731" t="str">
            <v>-</v>
          </cell>
          <cell r="D731" t="str">
            <v>-</v>
          </cell>
          <cell r="E731" t="str">
            <v>-</v>
          </cell>
          <cell r="F731" t="str">
            <v>-</v>
          </cell>
          <cell r="G731" t="str">
            <v>-</v>
          </cell>
          <cell r="H731" t="str">
            <v>-</v>
          </cell>
          <cell r="I731" t="str">
            <v>-</v>
          </cell>
          <cell r="J731" t="str">
            <v>-</v>
          </cell>
          <cell r="K731" t="str">
            <v>-</v>
          </cell>
          <cell r="L731" t="str">
            <v>-</v>
          </cell>
          <cell r="M731" t="str">
            <v>-</v>
          </cell>
          <cell r="N731" t="str">
            <v>-</v>
          </cell>
        </row>
        <row r="732">
          <cell r="B732">
            <v>37985</v>
          </cell>
          <cell r="C732" t="str">
            <v>-</v>
          </cell>
          <cell r="D732" t="str">
            <v>-</v>
          </cell>
          <cell r="E732" t="str">
            <v>-</v>
          </cell>
          <cell r="F732" t="str">
            <v>-</v>
          </cell>
          <cell r="G732" t="str">
            <v>-</v>
          </cell>
          <cell r="H732" t="str">
            <v>-</v>
          </cell>
          <cell r="I732" t="str">
            <v>-</v>
          </cell>
          <cell r="J732" t="str">
            <v>-</v>
          </cell>
          <cell r="K732" t="str">
            <v>-</v>
          </cell>
          <cell r="L732" t="str">
            <v>-</v>
          </cell>
          <cell r="M732" t="str">
            <v>-</v>
          </cell>
          <cell r="N732" t="str">
            <v>-</v>
          </cell>
        </row>
        <row r="733">
          <cell r="B733">
            <v>37986</v>
          </cell>
          <cell r="C733" t="str">
            <v>-</v>
          </cell>
          <cell r="D733" t="str">
            <v>-</v>
          </cell>
          <cell r="E733" t="str">
            <v>-</v>
          </cell>
          <cell r="F733" t="str">
            <v>-</v>
          </cell>
          <cell r="G733" t="str">
            <v>-</v>
          </cell>
          <cell r="H733" t="str">
            <v>-</v>
          </cell>
          <cell r="I733" t="str">
            <v>-</v>
          </cell>
          <cell r="J733" t="str">
            <v>-</v>
          </cell>
          <cell r="K733" t="str">
            <v>-</v>
          </cell>
          <cell r="L733" t="str">
            <v>-</v>
          </cell>
          <cell r="M733" t="str">
            <v>-</v>
          </cell>
          <cell r="N733" t="str">
            <v>-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 03&amp;04"/>
      <sheetName val="Cal 03"/>
      <sheetName val="Cal 04"/>
      <sheetName val="Gas Volumes"/>
      <sheetName val="Sheet3"/>
    </sheetNames>
    <sheetDataSet>
      <sheetData sheetId="0"/>
      <sheetData sheetId="1"/>
      <sheetData sheetId="2"/>
      <sheetData sheetId="3"/>
      <sheetData sheetId="4" refreshError="1">
        <row r="1">
          <cell r="A1">
            <v>37257</v>
          </cell>
        </row>
        <row r="2">
          <cell r="A2">
            <v>37258</v>
          </cell>
        </row>
        <row r="3">
          <cell r="A3">
            <v>37259</v>
          </cell>
        </row>
        <row r="4">
          <cell r="A4">
            <v>37260</v>
          </cell>
        </row>
        <row r="5">
          <cell r="A5">
            <v>37261</v>
          </cell>
        </row>
        <row r="6">
          <cell r="A6">
            <v>37262</v>
          </cell>
        </row>
        <row r="7">
          <cell r="A7">
            <v>37263</v>
          </cell>
        </row>
        <row r="8">
          <cell r="A8">
            <v>37264</v>
          </cell>
        </row>
        <row r="9">
          <cell r="A9">
            <v>37265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37268</v>
          </cell>
        </row>
        <row r="13">
          <cell r="A13">
            <v>37269</v>
          </cell>
        </row>
        <row r="14">
          <cell r="A14">
            <v>37270</v>
          </cell>
        </row>
        <row r="15">
          <cell r="A15">
            <v>37271</v>
          </cell>
        </row>
        <row r="16">
          <cell r="A16">
            <v>37272</v>
          </cell>
        </row>
        <row r="17">
          <cell r="A17">
            <v>37273</v>
          </cell>
        </row>
        <row r="18">
          <cell r="A18">
            <v>37274</v>
          </cell>
        </row>
        <row r="19">
          <cell r="A19">
            <v>37275</v>
          </cell>
        </row>
        <row r="20">
          <cell r="A20">
            <v>37276</v>
          </cell>
        </row>
        <row r="21">
          <cell r="A21">
            <v>37277</v>
          </cell>
        </row>
        <row r="22">
          <cell r="A22">
            <v>37278</v>
          </cell>
        </row>
        <row r="23">
          <cell r="A23">
            <v>37279</v>
          </cell>
        </row>
        <row r="24">
          <cell r="A24">
            <v>37280</v>
          </cell>
        </row>
        <row r="25">
          <cell r="A25">
            <v>37281</v>
          </cell>
        </row>
        <row r="26">
          <cell r="A26">
            <v>37282</v>
          </cell>
        </row>
        <row r="27">
          <cell r="A27">
            <v>37283</v>
          </cell>
        </row>
        <row r="28">
          <cell r="A28">
            <v>37284</v>
          </cell>
        </row>
        <row r="29">
          <cell r="A29">
            <v>37285</v>
          </cell>
        </row>
        <row r="30">
          <cell r="A30">
            <v>37286</v>
          </cell>
        </row>
        <row r="31">
          <cell r="A31">
            <v>37287</v>
          </cell>
        </row>
        <row r="32">
          <cell r="A32">
            <v>37288</v>
          </cell>
        </row>
        <row r="33">
          <cell r="A33">
            <v>37289</v>
          </cell>
        </row>
        <row r="34">
          <cell r="A34">
            <v>37290</v>
          </cell>
        </row>
        <row r="35">
          <cell r="A35">
            <v>37291</v>
          </cell>
        </row>
        <row r="36">
          <cell r="A36">
            <v>37292</v>
          </cell>
        </row>
        <row r="37">
          <cell r="A37">
            <v>37293</v>
          </cell>
        </row>
        <row r="38">
          <cell r="A38">
            <v>37294</v>
          </cell>
        </row>
        <row r="39">
          <cell r="A39">
            <v>37295</v>
          </cell>
        </row>
        <row r="40">
          <cell r="A40">
            <v>37296</v>
          </cell>
        </row>
        <row r="41">
          <cell r="A41">
            <v>37297</v>
          </cell>
        </row>
        <row r="42">
          <cell r="A42">
            <v>37298</v>
          </cell>
        </row>
        <row r="43">
          <cell r="A43">
            <v>37299</v>
          </cell>
        </row>
        <row r="44">
          <cell r="A44">
            <v>37300</v>
          </cell>
        </row>
        <row r="45">
          <cell r="A45">
            <v>37301</v>
          </cell>
        </row>
        <row r="46">
          <cell r="A46">
            <v>37302</v>
          </cell>
        </row>
        <row r="47">
          <cell r="A47">
            <v>37303</v>
          </cell>
        </row>
        <row r="48">
          <cell r="A48">
            <v>37304</v>
          </cell>
        </row>
        <row r="49">
          <cell r="A49">
            <v>37305</v>
          </cell>
        </row>
        <row r="50">
          <cell r="A50">
            <v>37306</v>
          </cell>
        </row>
        <row r="51">
          <cell r="A51">
            <v>37307</v>
          </cell>
        </row>
        <row r="52">
          <cell r="A52">
            <v>37308</v>
          </cell>
        </row>
        <row r="53">
          <cell r="A53">
            <v>37309</v>
          </cell>
        </row>
        <row r="54">
          <cell r="A54">
            <v>37310</v>
          </cell>
        </row>
        <row r="55">
          <cell r="A55">
            <v>37311</v>
          </cell>
        </row>
        <row r="56">
          <cell r="A56">
            <v>37312</v>
          </cell>
        </row>
        <row r="57">
          <cell r="A57">
            <v>37313</v>
          </cell>
        </row>
        <row r="58">
          <cell r="A58">
            <v>37314</v>
          </cell>
        </row>
        <row r="59">
          <cell r="A59">
            <v>37315</v>
          </cell>
        </row>
        <row r="60">
          <cell r="A60">
            <v>37316</v>
          </cell>
        </row>
        <row r="61">
          <cell r="A61">
            <v>37317</v>
          </cell>
        </row>
        <row r="62">
          <cell r="A62">
            <v>37318</v>
          </cell>
        </row>
        <row r="63">
          <cell r="A63">
            <v>37319</v>
          </cell>
        </row>
        <row r="64">
          <cell r="A64">
            <v>37320</v>
          </cell>
        </row>
        <row r="65">
          <cell r="A65">
            <v>37321</v>
          </cell>
        </row>
        <row r="66">
          <cell r="A66">
            <v>37322</v>
          </cell>
        </row>
        <row r="67">
          <cell r="A67">
            <v>37323</v>
          </cell>
        </row>
        <row r="68">
          <cell r="A68">
            <v>37324</v>
          </cell>
        </row>
        <row r="69">
          <cell r="A69">
            <v>37325</v>
          </cell>
        </row>
        <row r="70">
          <cell r="A70">
            <v>37326</v>
          </cell>
        </row>
        <row r="71">
          <cell r="A71">
            <v>37327</v>
          </cell>
        </row>
        <row r="72">
          <cell r="A72">
            <v>37328</v>
          </cell>
        </row>
        <row r="73">
          <cell r="A73">
            <v>37329</v>
          </cell>
        </row>
        <row r="74">
          <cell r="A74">
            <v>37330</v>
          </cell>
        </row>
        <row r="75">
          <cell r="A75">
            <v>37331</v>
          </cell>
        </row>
        <row r="76">
          <cell r="A76">
            <v>37332</v>
          </cell>
        </row>
        <row r="77">
          <cell r="A77">
            <v>37333</v>
          </cell>
        </row>
        <row r="78">
          <cell r="A78">
            <v>37334</v>
          </cell>
        </row>
        <row r="79">
          <cell r="A79">
            <v>37335</v>
          </cell>
        </row>
        <row r="80">
          <cell r="A80">
            <v>37336</v>
          </cell>
        </row>
        <row r="81">
          <cell r="A81">
            <v>37337</v>
          </cell>
        </row>
        <row r="82">
          <cell r="A82">
            <v>37338</v>
          </cell>
        </row>
        <row r="83">
          <cell r="A83">
            <v>37339</v>
          </cell>
        </row>
        <row r="84">
          <cell r="A84">
            <v>37340</v>
          </cell>
        </row>
        <row r="85">
          <cell r="A85">
            <v>37341</v>
          </cell>
        </row>
        <row r="86">
          <cell r="A86">
            <v>37342</v>
          </cell>
        </row>
        <row r="87">
          <cell r="A87">
            <v>37343</v>
          </cell>
        </row>
        <row r="88">
          <cell r="A88">
            <v>37344</v>
          </cell>
        </row>
        <row r="89">
          <cell r="A89">
            <v>37345</v>
          </cell>
        </row>
        <row r="90">
          <cell r="A90">
            <v>37346</v>
          </cell>
        </row>
        <row r="91">
          <cell r="A91">
            <v>37347</v>
          </cell>
        </row>
        <row r="92">
          <cell r="A92">
            <v>37348</v>
          </cell>
        </row>
        <row r="93">
          <cell r="A93">
            <v>37349</v>
          </cell>
        </row>
        <row r="94">
          <cell r="A94">
            <v>37350</v>
          </cell>
        </row>
        <row r="95">
          <cell r="A95">
            <v>37351</v>
          </cell>
        </row>
        <row r="96">
          <cell r="A96">
            <v>37352</v>
          </cell>
        </row>
        <row r="97">
          <cell r="A97">
            <v>37353</v>
          </cell>
        </row>
        <row r="98">
          <cell r="A98">
            <v>37354</v>
          </cell>
        </row>
        <row r="99">
          <cell r="A99">
            <v>37355</v>
          </cell>
        </row>
        <row r="100">
          <cell r="A100">
            <v>37356</v>
          </cell>
        </row>
        <row r="101">
          <cell r="A101">
            <v>37357</v>
          </cell>
        </row>
        <row r="102">
          <cell r="A102">
            <v>37358</v>
          </cell>
        </row>
        <row r="103">
          <cell r="A103">
            <v>37359</v>
          </cell>
        </row>
        <row r="104">
          <cell r="A104">
            <v>37360</v>
          </cell>
        </row>
        <row r="105">
          <cell r="A105">
            <v>37361</v>
          </cell>
        </row>
        <row r="106">
          <cell r="A106">
            <v>37362</v>
          </cell>
        </row>
        <row r="107">
          <cell r="A107">
            <v>37363</v>
          </cell>
        </row>
        <row r="108">
          <cell r="A108">
            <v>37364</v>
          </cell>
        </row>
        <row r="109">
          <cell r="A109">
            <v>37365</v>
          </cell>
        </row>
        <row r="110">
          <cell r="A110">
            <v>37366</v>
          </cell>
        </row>
        <row r="111">
          <cell r="A111">
            <v>37367</v>
          </cell>
        </row>
        <row r="112">
          <cell r="A112">
            <v>37368</v>
          </cell>
        </row>
        <row r="113">
          <cell r="A113">
            <v>37369</v>
          </cell>
        </row>
        <row r="114">
          <cell r="A114">
            <v>37370</v>
          </cell>
        </row>
        <row r="115">
          <cell r="A115">
            <v>37371</v>
          </cell>
        </row>
        <row r="116">
          <cell r="A116">
            <v>37372</v>
          </cell>
        </row>
        <row r="117">
          <cell r="A117">
            <v>37373</v>
          </cell>
        </row>
        <row r="118">
          <cell r="A118">
            <v>37374</v>
          </cell>
        </row>
        <row r="119">
          <cell r="A119">
            <v>37375</v>
          </cell>
        </row>
        <row r="120">
          <cell r="A120">
            <v>37376</v>
          </cell>
        </row>
        <row r="121">
          <cell r="A121">
            <v>37377</v>
          </cell>
        </row>
        <row r="122">
          <cell r="A122">
            <v>37378</v>
          </cell>
        </row>
        <row r="123">
          <cell r="A123">
            <v>37379</v>
          </cell>
        </row>
        <row r="124">
          <cell r="A124">
            <v>37380</v>
          </cell>
        </row>
        <row r="125">
          <cell r="A125">
            <v>37381</v>
          </cell>
        </row>
        <row r="126">
          <cell r="A126">
            <v>37382</v>
          </cell>
        </row>
        <row r="127">
          <cell r="A127">
            <v>37383</v>
          </cell>
        </row>
        <row r="128">
          <cell r="A128">
            <v>37384</v>
          </cell>
        </row>
        <row r="129">
          <cell r="A129">
            <v>37385</v>
          </cell>
        </row>
        <row r="130">
          <cell r="A130">
            <v>37386</v>
          </cell>
        </row>
        <row r="131">
          <cell r="A131">
            <v>37387</v>
          </cell>
        </row>
        <row r="132">
          <cell r="A132">
            <v>37388</v>
          </cell>
        </row>
        <row r="133">
          <cell r="A133">
            <v>37389</v>
          </cell>
        </row>
        <row r="134">
          <cell r="A134">
            <v>37390</v>
          </cell>
        </row>
        <row r="135">
          <cell r="A135">
            <v>37391</v>
          </cell>
        </row>
        <row r="136">
          <cell r="A136">
            <v>37392</v>
          </cell>
        </row>
        <row r="137">
          <cell r="A137">
            <v>37393</v>
          </cell>
        </row>
        <row r="138">
          <cell r="A138">
            <v>37394</v>
          </cell>
        </row>
        <row r="139">
          <cell r="A139">
            <v>37395</v>
          </cell>
        </row>
        <row r="140">
          <cell r="A140">
            <v>37396</v>
          </cell>
        </row>
        <row r="141">
          <cell r="A141">
            <v>37397</v>
          </cell>
        </row>
        <row r="142">
          <cell r="A142">
            <v>37398</v>
          </cell>
        </row>
        <row r="143">
          <cell r="A143">
            <v>37399</v>
          </cell>
        </row>
        <row r="144">
          <cell r="A144">
            <v>37400</v>
          </cell>
        </row>
        <row r="145">
          <cell r="A145">
            <v>37401</v>
          </cell>
        </row>
        <row r="146">
          <cell r="A146">
            <v>37402</v>
          </cell>
        </row>
        <row r="147">
          <cell r="A147">
            <v>37403</v>
          </cell>
        </row>
        <row r="148">
          <cell r="A148">
            <v>37404</v>
          </cell>
        </row>
        <row r="149">
          <cell r="A149">
            <v>37405</v>
          </cell>
        </row>
        <row r="150">
          <cell r="A150">
            <v>37406</v>
          </cell>
        </row>
        <row r="151">
          <cell r="A151">
            <v>37407</v>
          </cell>
        </row>
        <row r="152">
          <cell r="A152">
            <v>37408</v>
          </cell>
        </row>
        <row r="153">
          <cell r="A153">
            <v>37409</v>
          </cell>
        </row>
        <row r="154">
          <cell r="A154">
            <v>37410</v>
          </cell>
        </row>
        <row r="155">
          <cell r="A155">
            <v>37411</v>
          </cell>
        </row>
        <row r="156">
          <cell r="A156">
            <v>37412</v>
          </cell>
        </row>
        <row r="157">
          <cell r="A157">
            <v>37413</v>
          </cell>
        </row>
        <row r="158">
          <cell r="A158">
            <v>37414</v>
          </cell>
        </row>
        <row r="159">
          <cell r="A159">
            <v>37415</v>
          </cell>
        </row>
        <row r="160">
          <cell r="A160">
            <v>37416</v>
          </cell>
        </row>
        <row r="161">
          <cell r="A161">
            <v>37417</v>
          </cell>
        </row>
        <row r="162">
          <cell r="A162">
            <v>37418</v>
          </cell>
        </row>
        <row r="163">
          <cell r="A163">
            <v>37419</v>
          </cell>
        </row>
        <row r="164">
          <cell r="A164">
            <v>37420</v>
          </cell>
        </row>
        <row r="165">
          <cell r="A165">
            <v>37421</v>
          </cell>
        </row>
        <row r="166">
          <cell r="A166">
            <v>37422</v>
          </cell>
        </row>
        <row r="167">
          <cell r="A167">
            <v>37423</v>
          </cell>
        </row>
        <row r="168">
          <cell r="A168">
            <v>37424</v>
          </cell>
        </row>
        <row r="169">
          <cell r="A169">
            <v>37425</v>
          </cell>
        </row>
        <row r="170">
          <cell r="A170">
            <v>37426</v>
          </cell>
        </row>
        <row r="171">
          <cell r="A171">
            <v>37427</v>
          </cell>
        </row>
        <row r="172">
          <cell r="A172">
            <v>37428</v>
          </cell>
        </row>
        <row r="173">
          <cell r="A173">
            <v>37429</v>
          </cell>
        </row>
        <row r="174">
          <cell r="A174">
            <v>37430</v>
          </cell>
        </row>
        <row r="175">
          <cell r="A175">
            <v>37431</v>
          </cell>
        </row>
        <row r="176">
          <cell r="A176">
            <v>37432</v>
          </cell>
        </row>
        <row r="177">
          <cell r="A177">
            <v>37433</v>
          </cell>
        </row>
        <row r="178">
          <cell r="A178">
            <v>37434</v>
          </cell>
        </row>
        <row r="179">
          <cell r="A179">
            <v>37435</v>
          </cell>
        </row>
        <row r="180">
          <cell r="A180">
            <v>37436</v>
          </cell>
        </row>
        <row r="181">
          <cell r="A181">
            <v>37437</v>
          </cell>
        </row>
        <row r="182">
          <cell r="A182">
            <v>37438</v>
          </cell>
        </row>
        <row r="183">
          <cell r="A183">
            <v>37439</v>
          </cell>
        </row>
        <row r="184">
          <cell r="A184">
            <v>37440</v>
          </cell>
        </row>
        <row r="185">
          <cell r="A185">
            <v>37441</v>
          </cell>
        </row>
        <row r="186">
          <cell r="A186">
            <v>37442</v>
          </cell>
        </row>
        <row r="187">
          <cell r="A187">
            <v>37443</v>
          </cell>
        </row>
        <row r="188">
          <cell r="A188">
            <v>37444</v>
          </cell>
        </row>
        <row r="189">
          <cell r="A189">
            <v>37445</v>
          </cell>
        </row>
        <row r="190">
          <cell r="A190">
            <v>37446</v>
          </cell>
        </row>
        <row r="191">
          <cell r="A191">
            <v>37447</v>
          </cell>
        </row>
        <row r="192">
          <cell r="A192">
            <v>37448</v>
          </cell>
        </row>
        <row r="193">
          <cell r="A193">
            <v>37449</v>
          </cell>
        </row>
        <row r="194">
          <cell r="A194">
            <v>37450</v>
          </cell>
        </row>
        <row r="195">
          <cell r="A195">
            <v>37451</v>
          </cell>
        </row>
        <row r="196">
          <cell r="A196">
            <v>37452</v>
          </cell>
        </row>
        <row r="197">
          <cell r="A197">
            <v>37453</v>
          </cell>
        </row>
        <row r="198">
          <cell r="A198">
            <v>37454</v>
          </cell>
        </row>
        <row r="199">
          <cell r="A199">
            <v>37455</v>
          </cell>
        </row>
        <row r="200">
          <cell r="A200">
            <v>37456</v>
          </cell>
        </row>
        <row r="201">
          <cell r="A201">
            <v>37457</v>
          </cell>
        </row>
        <row r="202">
          <cell r="A202">
            <v>37458</v>
          </cell>
        </row>
        <row r="203">
          <cell r="A203">
            <v>37459</v>
          </cell>
        </row>
        <row r="204">
          <cell r="A204">
            <v>37460</v>
          </cell>
        </row>
        <row r="205">
          <cell r="A205">
            <v>37461</v>
          </cell>
        </row>
        <row r="206">
          <cell r="A206">
            <v>37462</v>
          </cell>
        </row>
        <row r="207">
          <cell r="A207">
            <v>37463</v>
          </cell>
        </row>
        <row r="208">
          <cell r="A208">
            <v>37464</v>
          </cell>
        </row>
        <row r="209">
          <cell r="A209">
            <v>37465</v>
          </cell>
        </row>
        <row r="210">
          <cell r="A210">
            <v>37466</v>
          </cell>
        </row>
        <row r="211">
          <cell r="A211">
            <v>37467</v>
          </cell>
        </row>
        <row r="212">
          <cell r="A212">
            <v>37468</v>
          </cell>
        </row>
        <row r="213">
          <cell r="A213">
            <v>37469</v>
          </cell>
        </row>
        <row r="214">
          <cell r="A214">
            <v>37470</v>
          </cell>
        </row>
        <row r="215">
          <cell r="A215">
            <v>37471</v>
          </cell>
        </row>
        <row r="216">
          <cell r="A216">
            <v>37472</v>
          </cell>
        </row>
        <row r="217">
          <cell r="A217">
            <v>37473</v>
          </cell>
        </row>
        <row r="218">
          <cell r="A218">
            <v>37474</v>
          </cell>
        </row>
        <row r="219">
          <cell r="A219">
            <v>37475</v>
          </cell>
        </row>
        <row r="220">
          <cell r="A220">
            <v>37476</v>
          </cell>
        </row>
        <row r="221">
          <cell r="A221">
            <v>37477</v>
          </cell>
        </row>
        <row r="222">
          <cell r="A222">
            <v>37478</v>
          </cell>
        </row>
        <row r="223">
          <cell r="A223">
            <v>37479</v>
          </cell>
        </row>
        <row r="224">
          <cell r="A224">
            <v>37480</v>
          </cell>
        </row>
        <row r="225">
          <cell r="A225">
            <v>37481</v>
          </cell>
        </row>
        <row r="226">
          <cell r="A226">
            <v>37482</v>
          </cell>
        </row>
        <row r="227">
          <cell r="A227">
            <v>37483</v>
          </cell>
        </row>
        <row r="228">
          <cell r="A228">
            <v>37484</v>
          </cell>
        </row>
        <row r="229">
          <cell r="A229">
            <v>37485</v>
          </cell>
        </row>
        <row r="230">
          <cell r="A230">
            <v>37486</v>
          </cell>
        </row>
        <row r="231">
          <cell r="A231">
            <v>37487</v>
          </cell>
        </row>
        <row r="232">
          <cell r="A232">
            <v>37488</v>
          </cell>
        </row>
        <row r="233">
          <cell r="A233">
            <v>37489</v>
          </cell>
        </row>
        <row r="234">
          <cell r="A234">
            <v>37490</v>
          </cell>
        </row>
        <row r="235">
          <cell r="A235">
            <v>37491</v>
          </cell>
        </row>
        <row r="236">
          <cell r="A236">
            <v>37492</v>
          </cell>
        </row>
        <row r="237">
          <cell r="A237">
            <v>37493</v>
          </cell>
        </row>
        <row r="238">
          <cell r="A238">
            <v>37494</v>
          </cell>
        </row>
        <row r="239">
          <cell r="A239">
            <v>37495</v>
          </cell>
        </row>
        <row r="240">
          <cell r="A240">
            <v>37496</v>
          </cell>
        </row>
        <row r="241">
          <cell r="A241">
            <v>37497</v>
          </cell>
        </row>
        <row r="242">
          <cell r="A242">
            <v>37498</v>
          </cell>
        </row>
        <row r="243">
          <cell r="A243">
            <v>37499</v>
          </cell>
        </row>
        <row r="244">
          <cell r="A244">
            <v>37500</v>
          </cell>
        </row>
        <row r="245">
          <cell r="A245">
            <v>37501</v>
          </cell>
        </row>
        <row r="246">
          <cell r="A246">
            <v>37502</v>
          </cell>
        </row>
        <row r="247">
          <cell r="A247">
            <v>37503</v>
          </cell>
        </row>
        <row r="248">
          <cell r="A248">
            <v>37504</v>
          </cell>
        </row>
        <row r="249">
          <cell r="A249">
            <v>37505</v>
          </cell>
        </row>
        <row r="250">
          <cell r="A250">
            <v>37506</v>
          </cell>
        </row>
        <row r="251">
          <cell r="A251">
            <v>37507</v>
          </cell>
        </row>
        <row r="252">
          <cell r="A252">
            <v>37508</v>
          </cell>
        </row>
        <row r="253">
          <cell r="A253">
            <v>37509</v>
          </cell>
        </row>
        <row r="254">
          <cell r="A254">
            <v>37510</v>
          </cell>
        </row>
        <row r="255">
          <cell r="A255">
            <v>37511</v>
          </cell>
        </row>
        <row r="256">
          <cell r="A256">
            <v>37512</v>
          </cell>
        </row>
        <row r="257">
          <cell r="A257">
            <v>37513</v>
          </cell>
        </row>
        <row r="258">
          <cell r="A258">
            <v>37514</v>
          </cell>
        </row>
        <row r="259">
          <cell r="A259">
            <v>37515</v>
          </cell>
        </row>
        <row r="260">
          <cell r="A260">
            <v>37516</v>
          </cell>
        </row>
        <row r="261">
          <cell r="A261">
            <v>37517</v>
          </cell>
        </row>
        <row r="262">
          <cell r="A262">
            <v>37518</v>
          </cell>
        </row>
        <row r="263">
          <cell r="A263">
            <v>37519</v>
          </cell>
        </row>
        <row r="264">
          <cell r="A264">
            <v>37520</v>
          </cell>
        </row>
        <row r="265">
          <cell r="A265">
            <v>37521</v>
          </cell>
        </row>
        <row r="266">
          <cell r="A266">
            <v>37522</v>
          </cell>
        </row>
        <row r="267">
          <cell r="A267">
            <v>37523</v>
          </cell>
        </row>
        <row r="268">
          <cell r="A268">
            <v>37524</v>
          </cell>
        </row>
        <row r="269">
          <cell r="A269">
            <v>37525</v>
          </cell>
        </row>
        <row r="270">
          <cell r="A270">
            <v>37526</v>
          </cell>
        </row>
        <row r="271">
          <cell r="A271">
            <v>37527</v>
          </cell>
        </row>
        <row r="272">
          <cell r="A272">
            <v>37528</v>
          </cell>
        </row>
        <row r="273">
          <cell r="A273">
            <v>37529</v>
          </cell>
        </row>
        <row r="274">
          <cell r="A274">
            <v>37530</v>
          </cell>
        </row>
        <row r="275">
          <cell r="A275">
            <v>37531</v>
          </cell>
        </row>
        <row r="276">
          <cell r="A276">
            <v>37532</v>
          </cell>
        </row>
        <row r="277">
          <cell r="A277">
            <v>37533</v>
          </cell>
        </row>
        <row r="278">
          <cell r="A278">
            <v>37534</v>
          </cell>
        </row>
        <row r="279">
          <cell r="A279">
            <v>37535</v>
          </cell>
        </row>
        <row r="280">
          <cell r="A280">
            <v>37536</v>
          </cell>
        </row>
        <row r="281">
          <cell r="A281">
            <v>37537</v>
          </cell>
        </row>
        <row r="282">
          <cell r="A282">
            <v>37538</v>
          </cell>
        </row>
        <row r="283">
          <cell r="A283">
            <v>37539</v>
          </cell>
        </row>
        <row r="284">
          <cell r="A284">
            <v>37540</v>
          </cell>
        </row>
        <row r="285">
          <cell r="A285">
            <v>37541</v>
          </cell>
        </row>
        <row r="286">
          <cell r="A286">
            <v>37542</v>
          </cell>
        </row>
        <row r="287">
          <cell r="A287">
            <v>37543</v>
          </cell>
        </row>
        <row r="288">
          <cell r="A288">
            <v>37544</v>
          </cell>
        </row>
        <row r="289">
          <cell r="A289">
            <v>37545</v>
          </cell>
        </row>
        <row r="290">
          <cell r="A290">
            <v>37546</v>
          </cell>
        </row>
        <row r="291">
          <cell r="A291">
            <v>37547</v>
          </cell>
        </row>
        <row r="292">
          <cell r="A292">
            <v>37548</v>
          </cell>
        </row>
        <row r="293">
          <cell r="A293">
            <v>37549</v>
          </cell>
        </row>
        <row r="294">
          <cell r="A294">
            <v>37550</v>
          </cell>
        </row>
        <row r="295">
          <cell r="A295">
            <v>37551</v>
          </cell>
        </row>
        <row r="296">
          <cell r="A296">
            <v>37552</v>
          </cell>
        </row>
        <row r="297">
          <cell r="A297">
            <v>37553</v>
          </cell>
        </row>
        <row r="298">
          <cell r="A298">
            <v>37554</v>
          </cell>
        </row>
        <row r="299">
          <cell r="A299">
            <v>37555</v>
          </cell>
        </row>
        <row r="300">
          <cell r="A300">
            <v>37556</v>
          </cell>
        </row>
        <row r="301">
          <cell r="A301">
            <v>37557</v>
          </cell>
        </row>
        <row r="302">
          <cell r="A302">
            <v>37558</v>
          </cell>
        </row>
        <row r="303">
          <cell r="A303">
            <v>37559</v>
          </cell>
        </row>
        <row r="304">
          <cell r="A304">
            <v>37560</v>
          </cell>
        </row>
        <row r="305">
          <cell r="A305">
            <v>37561</v>
          </cell>
        </row>
        <row r="306">
          <cell r="A306">
            <v>37562</v>
          </cell>
        </row>
        <row r="307">
          <cell r="A307">
            <v>37563</v>
          </cell>
        </row>
        <row r="308">
          <cell r="A308">
            <v>37564</v>
          </cell>
        </row>
        <row r="309">
          <cell r="A309">
            <v>37565</v>
          </cell>
        </row>
        <row r="310">
          <cell r="A310">
            <v>37566</v>
          </cell>
        </row>
        <row r="311">
          <cell r="A311">
            <v>37567</v>
          </cell>
        </row>
        <row r="312">
          <cell r="A312">
            <v>37568</v>
          </cell>
        </row>
        <row r="313">
          <cell r="A313">
            <v>37569</v>
          </cell>
        </row>
        <row r="314">
          <cell r="A314">
            <v>37570</v>
          </cell>
        </row>
        <row r="315">
          <cell r="A315">
            <v>37571</v>
          </cell>
        </row>
        <row r="316">
          <cell r="A316">
            <v>37572</v>
          </cell>
        </row>
        <row r="317">
          <cell r="A317">
            <v>37573</v>
          </cell>
        </row>
        <row r="318">
          <cell r="A318">
            <v>37574</v>
          </cell>
        </row>
        <row r="319">
          <cell r="A319">
            <v>37575</v>
          </cell>
        </row>
        <row r="320">
          <cell r="A320">
            <v>37576</v>
          </cell>
        </row>
        <row r="321">
          <cell r="A321">
            <v>37577</v>
          </cell>
        </row>
        <row r="322">
          <cell r="A322">
            <v>37578</v>
          </cell>
        </row>
        <row r="323">
          <cell r="A323">
            <v>37579</v>
          </cell>
        </row>
        <row r="324">
          <cell r="A324">
            <v>37580</v>
          </cell>
        </row>
        <row r="325">
          <cell r="A325">
            <v>37581</v>
          </cell>
        </row>
        <row r="326">
          <cell r="A326">
            <v>37582</v>
          </cell>
        </row>
        <row r="327">
          <cell r="A327">
            <v>37583</v>
          </cell>
        </row>
        <row r="328">
          <cell r="A328">
            <v>37584</v>
          </cell>
        </row>
        <row r="329">
          <cell r="A329">
            <v>37585</v>
          </cell>
        </row>
        <row r="330">
          <cell r="A330">
            <v>37586</v>
          </cell>
        </row>
        <row r="331">
          <cell r="A331">
            <v>37587</v>
          </cell>
        </row>
        <row r="332">
          <cell r="A332">
            <v>37588</v>
          </cell>
        </row>
        <row r="333">
          <cell r="A333">
            <v>37589</v>
          </cell>
        </row>
        <row r="334">
          <cell r="A334">
            <v>37590</v>
          </cell>
        </row>
        <row r="335">
          <cell r="A335">
            <v>37591</v>
          </cell>
        </row>
        <row r="336">
          <cell r="A336">
            <v>37592</v>
          </cell>
        </row>
        <row r="337">
          <cell r="A337">
            <v>37593</v>
          </cell>
        </row>
        <row r="338">
          <cell r="A338">
            <v>37594</v>
          </cell>
        </row>
        <row r="339">
          <cell r="A339">
            <v>37595</v>
          </cell>
        </row>
        <row r="340">
          <cell r="A340">
            <v>37596</v>
          </cell>
        </row>
        <row r="341">
          <cell r="A341">
            <v>37597</v>
          </cell>
        </row>
        <row r="342">
          <cell r="A342">
            <v>37598</v>
          </cell>
        </row>
        <row r="343">
          <cell r="A343">
            <v>37599</v>
          </cell>
        </row>
        <row r="344">
          <cell r="A344">
            <v>37600</v>
          </cell>
        </row>
        <row r="345">
          <cell r="A345">
            <v>37601</v>
          </cell>
        </row>
        <row r="346">
          <cell r="A346">
            <v>37602</v>
          </cell>
        </row>
        <row r="347">
          <cell r="A347">
            <v>37603</v>
          </cell>
        </row>
        <row r="348">
          <cell r="A348">
            <v>37604</v>
          </cell>
        </row>
        <row r="349">
          <cell r="A349">
            <v>37605</v>
          </cell>
        </row>
        <row r="350">
          <cell r="A350">
            <v>37606</v>
          </cell>
        </row>
        <row r="351">
          <cell r="A351">
            <v>37607</v>
          </cell>
        </row>
        <row r="352">
          <cell r="A352">
            <v>37608</v>
          </cell>
        </row>
        <row r="353">
          <cell r="A353">
            <v>37609</v>
          </cell>
        </row>
        <row r="354">
          <cell r="A354">
            <v>37610</v>
          </cell>
        </row>
        <row r="355">
          <cell r="A355">
            <v>37611</v>
          </cell>
        </row>
        <row r="356">
          <cell r="A356">
            <v>37612</v>
          </cell>
        </row>
        <row r="357">
          <cell r="A357">
            <v>37613</v>
          </cell>
        </row>
        <row r="358">
          <cell r="A358">
            <v>37614</v>
          </cell>
        </row>
        <row r="359">
          <cell r="A359">
            <v>37615</v>
          </cell>
        </row>
        <row r="360">
          <cell r="A360">
            <v>37616</v>
          </cell>
        </row>
        <row r="361">
          <cell r="A361">
            <v>37617</v>
          </cell>
        </row>
        <row r="362">
          <cell r="A362">
            <v>37618</v>
          </cell>
        </row>
        <row r="363">
          <cell r="A363">
            <v>37619</v>
          </cell>
        </row>
        <row r="364">
          <cell r="A364">
            <v>37620</v>
          </cell>
        </row>
        <row r="365">
          <cell r="A365">
            <v>37621</v>
          </cell>
        </row>
        <row r="366">
          <cell r="A366">
            <v>37622</v>
          </cell>
        </row>
        <row r="367">
          <cell r="A367">
            <v>37623</v>
          </cell>
        </row>
        <row r="368">
          <cell r="A368">
            <v>37624</v>
          </cell>
        </row>
        <row r="369">
          <cell r="A369">
            <v>37625</v>
          </cell>
        </row>
        <row r="370">
          <cell r="A370">
            <v>37626</v>
          </cell>
        </row>
        <row r="371">
          <cell r="A371">
            <v>37627</v>
          </cell>
        </row>
        <row r="372">
          <cell r="A372">
            <v>37628</v>
          </cell>
        </row>
        <row r="373">
          <cell r="A373">
            <v>37629</v>
          </cell>
        </row>
        <row r="374">
          <cell r="A374">
            <v>37630</v>
          </cell>
        </row>
        <row r="375">
          <cell r="A375">
            <v>37631</v>
          </cell>
        </row>
        <row r="376">
          <cell r="A376">
            <v>37632</v>
          </cell>
        </row>
        <row r="377">
          <cell r="A377">
            <v>37633</v>
          </cell>
        </row>
        <row r="378">
          <cell r="A378">
            <v>37634</v>
          </cell>
        </row>
        <row r="379">
          <cell r="A379">
            <v>37635</v>
          </cell>
        </row>
        <row r="380">
          <cell r="A380">
            <v>37636</v>
          </cell>
        </row>
        <row r="381">
          <cell r="A381">
            <v>37637</v>
          </cell>
        </row>
        <row r="382">
          <cell r="A382">
            <v>37638</v>
          </cell>
        </row>
        <row r="383">
          <cell r="A383">
            <v>37639</v>
          </cell>
        </row>
        <row r="384">
          <cell r="A384">
            <v>37640</v>
          </cell>
        </row>
        <row r="385">
          <cell r="A385">
            <v>37641</v>
          </cell>
        </row>
        <row r="386">
          <cell r="A386">
            <v>37642</v>
          </cell>
        </row>
        <row r="387">
          <cell r="A387">
            <v>37643</v>
          </cell>
        </row>
        <row r="388">
          <cell r="A388">
            <v>37644</v>
          </cell>
        </row>
        <row r="389">
          <cell r="A389">
            <v>37645</v>
          </cell>
        </row>
        <row r="390">
          <cell r="A390">
            <v>37646</v>
          </cell>
        </row>
        <row r="391">
          <cell r="A391">
            <v>37647</v>
          </cell>
        </row>
        <row r="392">
          <cell r="A392">
            <v>37648</v>
          </cell>
        </row>
        <row r="393">
          <cell r="A393">
            <v>37649</v>
          </cell>
        </row>
        <row r="394">
          <cell r="A394">
            <v>37650</v>
          </cell>
        </row>
        <row r="395">
          <cell r="A395">
            <v>37651</v>
          </cell>
        </row>
        <row r="396">
          <cell r="A396">
            <v>37652</v>
          </cell>
        </row>
        <row r="397">
          <cell r="A397">
            <v>37653</v>
          </cell>
        </row>
        <row r="398">
          <cell r="A398">
            <v>37654</v>
          </cell>
        </row>
        <row r="399">
          <cell r="A399">
            <v>37655</v>
          </cell>
        </row>
        <row r="400">
          <cell r="A400">
            <v>37656</v>
          </cell>
        </row>
        <row r="401">
          <cell r="A401">
            <v>37657</v>
          </cell>
        </row>
        <row r="402">
          <cell r="A402">
            <v>37658</v>
          </cell>
        </row>
        <row r="403">
          <cell r="A403">
            <v>37659</v>
          </cell>
        </row>
        <row r="404">
          <cell r="A404">
            <v>37660</v>
          </cell>
        </row>
        <row r="405">
          <cell r="A405">
            <v>37661</v>
          </cell>
        </row>
        <row r="406">
          <cell r="A406">
            <v>37662</v>
          </cell>
        </row>
        <row r="407">
          <cell r="A407">
            <v>37663</v>
          </cell>
        </row>
        <row r="408">
          <cell r="A408">
            <v>37664</v>
          </cell>
        </row>
        <row r="409">
          <cell r="A409">
            <v>37665</v>
          </cell>
        </row>
        <row r="410">
          <cell r="A410">
            <v>37666</v>
          </cell>
        </row>
        <row r="411">
          <cell r="A411">
            <v>37667</v>
          </cell>
        </row>
        <row r="412">
          <cell r="A412">
            <v>37668</v>
          </cell>
        </row>
        <row r="413">
          <cell r="A413">
            <v>37669</v>
          </cell>
        </row>
        <row r="414">
          <cell r="A414">
            <v>37670</v>
          </cell>
        </row>
        <row r="415">
          <cell r="A415">
            <v>37671</v>
          </cell>
        </row>
        <row r="416">
          <cell r="A416">
            <v>37672</v>
          </cell>
        </row>
        <row r="417">
          <cell r="A417">
            <v>37673</v>
          </cell>
        </row>
        <row r="418">
          <cell r="A418">
            <v>37674</v>
          </cell>
        </row>
        <row r="419">
          <cell r="A419">
            <v>37675</v>
          </cell>
        </row>
        <row r="420">
          <cell r="A420">
            <v>37676</v>
          </cell>
        </row>
        <row r="421">
          <cell r="A421">
            <v>37677</v>
          </cell>
        </row>
        <row r="422">
          <cell r="A422">
            <v>37678</v>
          </cell>
        </row>
        <row r="423">
          <cell r="A423">
            <v>37679</v>
          </cell>
        </row>
        <row r="424">
          <cell r="A424">
            <v>37680</v>
          </cell>
        </row>
        <row r="425">
          <cell r="A425">
            <v>37681</v>
          </cell>
        </row>
        <row r="426">
          <cell r="A426">
            <v>37682</v>
          </cell>
        </row>
        <row r="427">
          <cell r="A427">
            <v>37683</v>
          </cell>
        </row>
        <row r="428">
          <cell r="A428">
            <v>37684</v>
          </cell>
        </row>
        <row r="429">
          <cell r="A429">
            <v>37685</v>
          </cell>
        </row>
        <row r="430">
          <cell r="A430">
            <v>37686</v>
          </cell>
        </row>
        <row r="431">
          <cell r="A431">
            <v>37687</v>
          </cell>
        </row>
        <row r="432">
          <cell r="A432">
            <v>37688</v>
          </cell>
        </row>
        <row r="433">
          <cell r="A433">
            <v>37689</v>
          </cell>
        </row>
        <row r="434">
          <cell r="A434">
            <v>37690</v>
          </cell>
        </row>
        <row r="435">
          <cell r="A435">
            <v>37691</v>
          </cell>
        </row>
        <row r="436">
          <cell r="A436">
            <v>37692</v>
          </cell>
        </row>
        <row r="437">
          <cell r="A437">
            <v>37693</v>
          </cell>
        </row>
        <row r="438">
          <cell r="A438">
            <v>37694</v>
          </cell>
        </row>
        <row r="439">
          <cell r="A439">
            <v>37695</v>
          </cell>
        </row>
        <row r="440">
          <cell r="A440">
            <v>37696</v>
          </cell>
        </row>
        <row r="441">
          <cell r="A441">
            <v>37697</v>
          </cell>
        </row>
        <row r="442">
          <cell r="A442">
            <v>37698</v>
          </cell>
        </row>
        <row r="443">
          <cell r="A443">
            <v>37699</v>
          </cell>
        </row>
        <row r="444">
          <cell r="A444">
            <v>37700</v>
          </cell>
        </row>
        <row r="445">
          <cell r="A445">
            <v>37701</v>
          </cell>
        </row>
        <row r="446">
          <cell r="A446">
            <v>37702</v>
          </cell>
        </row>
        <row r="447">
          <cell r="A447">
            <v>37703</v>
          </cell>
        </row>
        <row r="448">
          <cell r="A448">
            <v>37704</v>
          </cell>
        </row>
        <row r="449">
          <cell r="A449">
            <v>37705</v>
          </cell>
        </row>
        <row r="450">
          <cell r="A450">
            <v>37706</v>
          </cell>
        </row>
        <row r="451">
          <cell r="A451">
            <v>37707</v>
          </cell>
        </row>
        <row r="452">
          <cell r="A452">
            <v>37708</v>
          </cell>
        </row>
        <row r="453">
          <cell r="A453">
            <v>37709</v>
          </cell>
        </row>
        <row r="454">
          <cell r="A454">
            <v>37710</v>
          </cell>
        </row>
        <row r="455">
          <cell r="A455">
            <v>37711</v>
          </cell>
        </row>
        <row r="456">
          <cell r="A456">
            <v>37712</v>
          </cell>
        </row>
        <row r="457">
          <cell r="A457">
            <v>37713</v>
          </cell>
        </row>
        <row r="458">
          <cell r="A458">
            <v>37714</v>
          </cell>
        </row>
        <row r="459">
          <cell r="A459">
            <v>37715</v>
          </cell>
        </row>
        <row r="460">
          <cell r="A460">
            <v>37716</v>
          </cell>
        </row>
        <row r="461">
          <cell r="A461">
            <v>37717</v>
          </cell>
        </row>
        <row r="462">
          <cell r="A462">
            <v>37718</v>
          </cell>
        </row>
        <row r="463">
          <cell r="A463">
            <v>37719</v>
          </cell>
        </row>
        <row r="464">
          <cell r="A464">
            <v>37720</v>
          </cell>
        </row>
        <row r="465">
          <cell r="A465">
            <v>37721</v>
          </cell>
        </row>
        <row r="466">
          <cell r="A466">
            <v>37722</v>
          </cell>
        </row>
        <row r="467">
          <cell r="A467">
            <v>37723</v>
          </cell>
        </row>
        <row r="468">
          <cell r="A468">
            <v>37724</v>
          </cell>
        </row>
        <row r="469">
          <cell r="A469">
            <v>37725</v>
          </cell>
        </row>
        <row r="470">
          <cell r="A470">
            <v>37726</v>
          </cell>
        </row>
        <row r="471">
          <cell r="A471">
            <v>37727</v>
          </cell>
        </row>
        <row r="472">
          <cell r="A472">
            <v>37728</v>
          </cell>
        </row>
        <row r="473">
          <cell r="A473">
            <v>37729</v>
          </cell>
        </row>
        <row r="474">
          <cell r="A474">
            <v>37730</v>
          </cell>
        </row>
        <row r="475">
          <cell r="A475">
            <v>37731</v>
          </cell>
        </row>
        <row r="476">
          <cell r="A476">
            <v>37732</v>
          </cell>
        </row>
        <row r="477">
          <cell r="A477">
            <v>37733</v>
          </cell>
        </row>
        <row r="478">
          <cell r="A478">
            <v>37734</v>
          </cell>
        </row>
        <row r="479">
          <cell r="A479">
            <v>37735</v>
          </cell>
        </row>
        <row r="480">
          <cell r="A480">
            <v>37736</v>
          </cell>
        </row>
        <row r="481">
          <cell r="A481">
            <v>37737</v>
          </cell>
        </row>
        <row r="482">
          <cell r="A482">
            <v>37738</v>
          </cell>
        </row>
        <row r="483">
          <cell r="A483">
            <v>37739</v>
          </cell>
        </row>
        <row r="484">
          <cell r="A484">
            <v>37740</v>
          </cell>
        </row>
        <row r="485">
          <cell r="A485">
            <v>37741</v>
          </cell>
        </row>
        <row r="486">
          <cell r="A486">
            <v>37742</v>
          </cell>
        </row>
        <row r="487">
          <cell r="A487">
            <v>37743</v>
          </cell>
        </row>
        <row r="488">
          <cell r="A488">
            <v>37744</v>
          </cell>
        </row>
        <row r="489">
          <cell r="A489">
            <v>37745</v>
          </cell>
        </row>
        <row r="490">
          <cell r="A490">
            <v>37746</v>
          </cell>
        </row>
        <row r="491">
          <cell r="A491">
            <v>37747</v>
          </cell>
        </row>
        <row r="492">
          <cell r="A492">
            <v>37748</v>
          </cell>
        </row>
        <row r="493">
          <cell r="A493">
            <v>37749</v>
          </cell>
        </row>
        <row r="494">
          <cell r="A494">
            <v>37750</v>
          </cell>
        </row>
        <row r="495">
          <cell r="A495">
            <v>37751</v>
          </cell>
        </row>
        <row r="496">
          <cell r="A496">
            <v>37752</v>
          </cell>
        </row>
        <row r="497">
          <cell r="A497">
            <v>37753</v>
          </cell>
        </row>
        <row r="498">
          <cell r="A498">
            <v>37754</v>
          </cell>
        </row>
        <row r="499">
          <cell r="A499">
            <v>37755</v>
          </cell>
        </row>
        <row r="500">
          <cell r="A500">
            <v>37756</v>
          </cell>
        </row>
        <row r="501">
          <cell r="A501">
            <v>37757</v>
          </cell>
        </row>
        <row r="502">
          <cell r="A502">
            <v>37758</v>
          </cell>
        </row>
        <row r="503">
          <cell r="A503">
            <v>37759</v>
          </cell>
        </row>
        <row r="504">
          <cell r="A504">
            <v>37760</v>
          </cell>
        </row>
        <row r="505">
          <cell r="A505">
            <v>37761</v>
          </cell>
        </row>
        <row r="506">
          <cell r="A506">
            <v>37762</v>
          </cell>
        </row>
        <row r="507">
          <cell r="A507">
            <v>37763</v>
          </cell>
        </row>
        <row r="508">
          <cell r="A508">
            <v>37764</v>
          </cell>
        </row>
        <row r="509">
          <cell r="A509">
            <v>37765</v>
          </cell>
        </row>
        <row r="510">
          <cell r="A510">
            <v>37766</v>
          </cell>
        </row>
        <row r="511">
          <cell r="A511">
            <v>37767</v>
          </cell>
        </row>
        <row r="512">
          <cell r="A512">
            <v>37768</v>
          </cell>
        </row>
        <row r="513">
          <cell r="A513">
            <v>37769</v>
          </cell>
        </row>
        <row r="514">
          <cell r="A514">
            <v>37770</v>
          </cell>
        </row>
        <row r="515">
          <cell r="A515">
            <v>37771</v>
          </cell>
        </row>
        <row r="516">
          <cell r="A516">
            <v>37772</v>
          </cell>
        </row>
        <row r="517">
          <cell r="A517">
            <v>37773</v>
          </cell>
        </row>
        <row r="518">
          <cell r="A518">
            <v>37774</v>
          </cell>
        </row>
        <row r="519">
          <cell r="A519">
            <v>37775</v>
          </cell>
        </row>
        <row r="520">
          <cell r="A520">
            <v>37776</v>
          </cell>
        </row>
        <row r="521">
          <cell r="A521">
            <v>37777</v>
          </cell>
        </row>
        <row r="522">
          <cell r="A522">
            <v>37778</v>
          </cell>
        </row>
        <row r="523">
          <cell r="A523">
            <v>37779</v>
          </cell>
        </row>
        <row r="524">
          <cell r="A524">
            <v>37780</v>
          </cell>
        </row>
        <row r="525">
          <cell r="A525">
            <v>37781</v>
          </cell>
        </row>
        <row r="526">
          <cell r="A526">
            <v>37782</v>
          </cell>
        </row>
        <row r="527">
          <cell r="A527">
            <v>37783</v>
          </cell>
        </row>
        <row r="528">
          <cell r="A528">
            <v>37784</v>
          </cell>
        </row>
        <row r="529">
          <cell r="A529">
            <v>37785</v>
          </cell>
        </row>
        <row r="530">
          <cell r="A530">
            <v>37786</v>
          </cell>
        </row>
        <row r="531">
          <cell r="A531">
            <v>37787</v>
          </cell>
        </row>
        <row r="532">
          <cell r="A532">
            <v>37788</v>
          </cell>
        </row>
        <row r="533">
          <cell r="A533">
            <v>37789</v>
          </cell>
        </row>
        <row r="534">
          <cell r="A534">
            <v>37790</v>
          </cell>
        </row>
        <row r="535">
          <cell r="A535">
            <v>37791</v>
          </cell>
        </row>
        <row r="536">
          <cell r="A536">
            <v>37792</v>
          </cell>
        </row>
        <row r="537">
          <cell r="A537">
            <v>37793</v>
          </cell>
        </row>
        <row r="538">
          <cell r="A538">
            <v>37794</v>
          </cell>
        </row>
        <row r="539">
          <cell r="A539">
            <v>37795</v>
          </cell>
        </row>
        <row r="540">
          <cell r="A540">
            <v>37796</v>
          </cell>
        </row>
        <row r="541">
          <cell r="A541">
            <v>37797</v>
          </cell>
        </row>
        <row r="542">
          <cell r="A542">
            <v>37798</v>
          </cell>
        </row>
        <row r="543">
          <cell r="A543">
            <v>37799</v>
          </cell>
        </row>
        <row r="544">
          <cell r="A544">
            <v>37800</v>
          </cell>
        </row>
        <row r="545">
          <cell r="A545">
            <v>37801</v>
          </cell>
        </row>
        <row r="546">
          <cell r="A546">
            <v>37802</v>
          </cell>
        </row>
        <row r="547">
          <cell r="A547">
            <v>37803</v>
          </cell>
        </row>
        <row r="548">
          <cell r="A548">
            <v>37804</v>
          </cell>
        </row>
        <row r="549">
          <cell r="A549">
            <v>37805</v>
          </cell>
        </row>
        <row r="550">
          <cell r="A550">
            <v>37806</v>
          </cell>
        </row>
        <row r="551">
          <cell r="A551">
            <v>37807</v>
          </cell>
        </row>
        <row r="552">
          <cell r="A552">
            <v>37808</v>
          </cell>
        </row>
        <row r="553">
          <cell r="A553">
            <v>37809</v>
          </cell>
        </row>
        <row r="554">
          <cell r="A554">
            <v>37810</v>
          </cell>
        </row>
        <row r="555">
          <cell r="A555">
            <v>37811</v>
          </cell>
        </row>
        <row r="556">
          <cell r="A556">
            <v>37812</v>
          </cell>
        </row>
        <row r="557">
          <cell r="A557">
            <v>37813</v>
          </cell>
        </row>
        <row r="558">
          <cell r="A558">
            <v>37814</v>
          </cell>
        </row>
        <row r="559">
          <cell r="A559">
            <v>37815</v>
          </cell>
        </row>
        <row r="560">
          <cell r="A560">
            <v>37816</v>
          </cell>
        </row>
        <row r="561">
          <cell r="A561">
            <v>37817</v>
          </cell>
        </row>
        <row r="562">
          <cell r="A562">
            <v>37818</v>
          </cell>
        </row>
        <row r="563">
          <cell r="A563">
            <v>37819</v>
          </cell>
        </row>
        <row r="564">
          <cell r="A564">
            <v>37820</v>
          </cell>
        </row>
        <row r="565">
          <cell r="A565">
            <v>37821</v>
          </cell>
        </row>
        <row r="566">
          <cell r="A566">
            <v>37822</v>
          </cell>
        </row>
        <row r="567">
          <cell r="A567">
            <v>37823</v>
          </cell>
        </row>
        <row r="568">
          <cell r="A568">
            <v>37824</v>
          </cell>
        </row>
        <row r="569">
          <cell r="A569">
            <v>37825</v>
          </cell>
        </row>
        <row r="570">
          <cell r="A570">
            <v>37826</v>
          </cell>
        </row>
        <row r="571">
          <cell r="A571">
            <v>37827</v>
          </cell>
        </row>
        <row r="572">
          <cell r="A572">
            <v>37828</v>
          </cell>
        </row>
        <row r="573">
          <cell r="A573">
            <v>37829</v>
          </cell>
        </row>
        <row r="574">
          <cell r="A574">
            <v>37830</v>
          </cell>
        </row>
        <row r="575">
          <cell r="A575">
            <v>37831</v>
          </cell>
        </row>
        <row r="576">
          <cell r="A576">
            <v>37832</v>
          </cell>
        </row>
        <row r="577">
          <cell r="A577">
            <v>37833</v>
          </cell>
        </row>
        <row r="578">
          <cell r="A578">
            <v>37834</v>
          </cell>
        </row>
        <row r="579">
          <cell r="A579">
            <v>37835</v>
          </cell>
        </row>
        <row r="580">
          <cell r="A580">
            <v>37836</v>
          </cell>
        </row>
        <row r="581">
          <cell r="A581">
            <v>37837</v>
          </cell>
        </row>
        <row r="582">
          <cell r="A582">
            <v>37838</v>
          </cell>
        </row>
        <row r="583">
          <cell r="A583">
            <v>37839</v>
          </cell>
        </row>
        <row r="584">
          <cell r="A584">
            <v>37840</v>
          </cell>
        </row>
        <row r="585">
          <cell r="A585">
            <v>37841</v>
          </cell>
        </row>
        <row r="586">
          <cell r="A586">
            <v>37842</v>
          </cell>
        </row>
        <row r="587">
          <cell r="A587">
            <v>37843</v>
          </cell>
        </row>
        <row r="588">
          <cell r="A588">
            <v>37844</v>
          </cell>
        </row>
        <row r="589">
          <cell r="A589">
            <v>37845</v>
          </cell>
        </row>
        <row r="590">
          <cell r="A590">
            <v>37846</v>
          </cell>
        </row>
        <row r="591">
          <cell r="A591">
            <v>37847</v>
          </cell>
        </row>
        <row r="592">
          <cell r="A592">
            <v>37848</v>
          </cell>
        </row>
        <row r="593">
          <cell r="A593">
            <v>37849</v>
          </cell>
        </row>
        <row r="594">
          <cell r="A594">
            <v>37850</v>
          </cell>
        </row>
        <row r="595">
          <cell r="A595">
            <v>37851</v>
          </cell>
        </row>
        <row r="596">
          <cell r="A596">
            <v>37852</v>
          </cell>
        </row>
        <row r="597">
          <cell r="A597">
            <v>37853</v>
          </cell>
        </row>
        <row r="598">
          <cell r="A598">
            <v>37854</v>
          </cell>
        </row>
        <row r="599">
          <cell r="A599">
            <v>37855</v>
          </cell>
        </row>
        <row r="600">
          <cell r="A600">
            <v>37856</v>
          </cell>
        </row>
        <row r="601">
          <cell r="A601">
            <v>37857</v>
          </cell>
        </row>
        <row r="602">
          <cell r="A602">
            <v>37858</v>
          </cell>
        </row>
        <row r="603">
          <cell r="A603">
            <v>37859</v>
          </cell>
        </row>
        <row r="604">
          <cell r="A604">
            <v>37860</v>
          </cell>
        </row>
        <row r="605">
          <cell r="A605">
            <v>37861</v>
          </cell>
        </row>
        <row r="606">
          <cell r="A606">
            <v>37862</v>
          </cell>
        </row>
        <row r="607">
          <cell r="A607">
            <v>37863</v>
          </cell>
        </row>
        <row r="608">
          <cell r="A608">
            <v>37864</v>
          </cell>
        </row>
        <row r="609">
          <cell r="A609">
            <v>37865</v>
          </cell>
        </row>
        <row r="610">
          <cell r="A610">
            <v>37866</v>
          </cell>
        </row>
        <row r="611">
          <cell r="A611">
            <v>37867</v>
          </cell>
        </row>
        <row r="612">
          <cell r="A612">
            <v>37868</v>
          </cell>
        </row>
        <row r="613">
          <cell r="A613">
            <v>37869</v>
          </cell>
        </row>
        <row r="614">
          <cell r="A614">
            <v>37870</v>
          </cell>
        </row>
        <row r="615">
          <cell r="A615">
            <v>37871</v>
          </cell>
        </row>
        <row r="616">
          <cell r="A616">
            <v>37872</v>
          </cell>
        </row>
        <row r="617">
          <cell r="A617">
            <v>37873</v>
          </cell>
        </row>
        <row r="618">
          <cell r="A618">
            <v>37874</v>
          </cell>
        </row>
        <row r="619">
          <cell r="A619">
            <v>37875</v>
          </cell>
        </row>
        <row r="620">
          <cell r="A620">
            <v>37876</v>
          </cell>
        </row>
        <row r="621">
          <cell r="A621">
            <v>37877</v>
          </cell>
        </row>
        <row r="622">
          <cell r="A622">
            <v>37878</v>
          </cell>
        </row>
        <row r="623">
          <cell r="A623">
            <v>37879</v>
          </cell>
        </row>
        <row r="624">
          <cell r="A624">
            <v>37880</v>
          </cell>
        </row>
        <row r="625">
          <cell r="A625">
            <v>37881</v>
          </cell>
        </row>
        <row r="626">
          <cell r="A626">
            <v>37882</v>
          </cell>
        </row>
        <row r="627">
          <cell r="A627">
            <v>37883</v>
          </cell>
        </row>
        <row r="628">
          <cell r="A628">
            <v>37884</v>
          </cell>
        </row>
        <row r="629">
          <cell r="A629">
            <v>37885</v>
          </cell>
        </row>
        <row r="630">
          <cell r="A630">
            <v>37886</v>
          </cell>
        </row>
        <row r="631">
          <cell r="A631">
            <v>37887</v>
          </cell>
        </row>
        <row r="632">
          <cell r="A632">
            <v>37888</v>
          </cell>
        </row>
        <row r="633">
          <cell r="A633">
            <v>37889</v>
          </cell>
        </row>
        <row r="634">
          <cell r="A634">
            <v>37890</v>
          </cell>
        </row>
        <row r="635">
          <cell r="A635">
            <v>37891</v>
          </cell>
        </row>
        <row r="636">
          <cell r="A636">
            <v>37892</v>
          </cell>
        </row>
        <row r="637">
          <cell r="A637">
            <v>37893</v>
          </cell>
        </row>
        <row r="638">
          <cell r="A638">
            <v>37894</v>
          </cell>
        </row>
        <row r="639">
          <cell r="A639">
            <v>37895</v>
          </cell>
        </row>
        <row r="640">
          <cell r="A640">
            <v>37896</v>
          </cell>
        </row>
        <row r="641">
          <cell r="A641">
            <v>37897</v>
          </cell>
        </row>
        <row r="642">
          <cell r="A642">
            <v>37898</v>
          </cell>
        </row>
        <row r="643">
          <cell r="A643">
            <v>37899</v>
          </cell>
        </row>
        <row r="644">
          <cell r="A644">
            <v>37900</v>
          </cell>
        </row>
        <row r="645">
          <cell r="A645">
            <v>37901</v>
          </cell>
        </row>
        <row r="646">
          <cell r="A646">
            <v>37902</v>
          </cell>
        </row>
        <row r="647">
          <cell r="A647">
            <v>37903</v>
          </cell>
        </row>
        <row r="648">
          <cell r="A648">
            <v>37904</v>
          </cell>
        </row>
        <row r="649">
          <cell r="A649">
            <v>37905</v>
          </cell>
        </row>
        <row r="650">
          <cell r="A650">
            <v>37906</v>
          </cell>
        </row>
        <row r="651">
          <cell r="A651">
            <v>37907</v>
          </cell>
        </row>
        <row r="652">
          <cell r="A652">
            <v>37908</v>
          </cell>
        </row>
        <row r="653">
          <cell r="A653">
            <v>37909</v>
          </cell>
        </row>
        <row r="654">
          <cell r="A654">
            <v>37910</v>
          </cell>
        </row>
        <row r="655">
          <cell r="A655">
            <v>37911</v>
          </cell>
        </row>
        <row r="656">
          <cell r="A656">
            <v>37912</v>
          </cell>
        </row>
        <row r="657">
          <cell r="A657">
            <v>37913</v>
          </cell>
        </row>
        <row r="658">
          <cell r="A658">
            <v>37914</v>
          </cell>
        </row>
        <row r="659">
          <cell r="A659">
            <v>37915</v>
          </cell>
        </row>
        <row r="660">
          <cell r="A660">
            <v>37916</v>
          </cell>
        </row>
        <row r="661">
          <cell r="A661">
            <v>37917</v>
          </cell>
        </row>
        <row r="662">
          <cell r="A662">
            <v>37918</v>
          </cell>
        </row>
        <row r="663">
          <cell r="A663">
            <v>37919</v>
          </cell>
        </row>
        <row r="664">
          <cell r="A664">
            <v>37920</v>
          </cell>
        </row>
        <row r="665">
          <cell r="A665">
            <v>37921</v>
          </cell>
        </row>
        <row r="666">
          <cell r="A666">
            <v>37922</v>
          </cell>
        </row>
        <row r="667">
          <cell r="A667">
            <v>37923</v>
          </cell>
        </row>
        <row r="668">
          <cell r="A668">
            <v>37924</v>
          </cell>
        </row>
        <row r="669">
          <cell r="A669">
            <v>37925</v>
          </cell>
        </row>
        <row r="670">
          <cell r="A670">
            <v>37926</v>
          </cell>
        </row>
        <row r="671">
          <cell r="A671">
            <v>37927</v>
          </cell>
        </row>
        <row r="672">
          <cell r="A672">
            <v>37928</v>
          </cell>
        </row>
        <row r="673">
          <cell r="A673">
            <v>37929</v>
          </cell>
        </row>
        <row r="674">
          <cell r="A674">
            <v>37930</v>
          </cell>
        </row>
        <row r="675">
          <cell r="A675">
            <v>37931</v>
          </cell>
        </row>
        <row r="676">
          <cell r="A676">
            <v>37932</v>
          </cell>
        </row>
        <row r="677">
          <cell r="A677">
            <v>37933</v>
          </cell>
        </row>
        <row r="678">
          <cell r="A678">
            <v>37934</v>
          </cell>
        </row>
        <row r="679">
          <cell r="A679">
            <v>37935</v>
          </cell>
        </row>
        <row r="680">
          <cell r="A680">
            <v>37936</v>
          </cell>
        </row>
        <row r="681">
          <cell r="A681">
            <v>37937</v>
          </cell>
        </row>
        <row r="682">
          <cell r="A682">
            <v>37938</v>
          </cell>
        </row>
        <row r="683">
          <cell r="A683">
            <v>37939</v>
          </cell>
        </row>
        <row r="684">
          <cell r="A684">
            <v>37940</v>
          </cell>
        </row>
        <row r="685">
          <cell r="A685">
            <v>37941</v>
          </cell>
        </row>
        <row r="686">
          <cell r="A686">
            <v>37942</v>
          </cell>
        </row>
        <row r="687">
          <cell r="A687">
            <v>37943</v>
          </cell>
        </row>
        <row r="688">
          <cell r="A688">
            <v>37944</v>
          </cell>
        </row>
        <row r="689">
          <cell r="A689">
            <v>37945</v>
          </cell>
        </row>
        <row r="690">
          <cell r="A690">
            <v>37946</v>
          </cell>
        </row>
        <row r="691">
          <cell r="A691">
            <v>37947</v>
          </cell>
        </row>
        <row r="692">
          <cell r="A692">
            <v>37948</v>
          </cell>
        </row>
        <row r="693">
          <cell r="A693">
            <v>37949</v>
          </cell>
        </row>
        <row r="694">
          <cell r="A694">
            <v>37950</v>
          </cell>
        </row>
        <row r="695">
          <cell r="A695">
            <v>37951</v>
          </cell>
        </row>
        <row r="696">
          <cell r="A696">
            <v>37952</v>
          </cell>
        </row>
        <row r="697">
          <cell r="A697">
            <v>37953</v>
          </cell>
        </row>
        <row r="698">
          <cell r="A698">
            <v>37954</v>
          </cell>
        </row>
        <row r="699">
          <cell r="A699">
            <v>37955</v>
          </cell>
        </row>
        <row r="700">
          <cell r="A700">
            <v>37956</v>
          </cell>
        </row>
        <row r="701">
          <cell r="A701">
            <v>37957</v>
          </cell>
        </row>
        <row r="702">
          <cell r="A702">
            <v>37958</v>
          </cell>
        </row>
        <row r="703">
          <cell r="A703">
            <v>37959</v>
          </cell>
        </row>
        <row r="704">
          <cell r="A704">
            <v>37960</v>
          </cell>
        </row>
        <row r="705">
          <cell r="A705">
            <v>37961</v>
          </cell>
        </row>
        <row r="706">
          <cell r="A706">
            <v>37962</v>
          </cell>
        </row>
        <row r="707">
          <cell r="A707">
            <v>37963</v>
          </cell>
        </row>
        <row r="708">
          <cell r="A708">
            <v>37964</v>
          </cell>
        </row>
        <row r="709">
          <cell r="A709">
            <v>37965</v>
          </cell>
        </row>
        <row r="710">
          <cell r="A710">
            <v>37966</v>
          </cell>
        </row>
        <row r="711">
          <cell r="A711">
            <v>37967</v>
          </cell>
        </row>
        <row r="712">
          <cell r="A712">
            <v>37968</v>
          </cell>
        </row>
        <row r="713">
          <cell r="A713">
            <v>37969</v>
          </cell>
        </row>
        <row r="714">
          <cell r="A714">
            <v>37970</v>
          </cell>
        </row>
        <row r="715">
          <cell r="A715">
            <v>37971</v>
          </cell>
        </row>
        <row r="716">
          <cell r="A716">
            <v>37972</v>
          </cell>
        </row>
        <row r="717">
          <cell r="A717">
            <v>37973</v>
          </cell>
        </row>
        <row r="718">
          <cell r="A718">
            <v>37974</v>
          </cell>
        </row>
        <row r="719">
          <cell r="A719">
            <v>37975</v>
          </cell>
        </row>
        <row r="720">
          <cell r="A720">
            <v>37976</v>
          </cell>
        </row>
        <row r="721">
          <cell r="A721">
            <v>37977</v>
          </cell>
        </row>
        <row r="722">
          <cell r="A722">
            <v>37978</v>
          </cell>
        </row>
        <row r="723">
          <cell r="A723">
            <v>37979</v>
          </cell>
        </row>
        <row r="724">
          <cell r="A724">
            <v>37980</v>
          </cell>
        </row>
        <row r="725">
          <cell r="A725">
            <v>37981</v>
          </cell>
        </row>
        <row r="726">
          <cell r="A726">
            <v>37982</v>
          </cell>
        </row>
        <row r="727">
          <cell r="A727">
            <v>37983</v>
          </cell>
        </row>
        <row r="728">
          <cell r="A728">
            <v>37984</v>
          </cell>
        </row>
        <row r="729">
          <cell r="A729">
            <v>37985</v>
          </cell>
        </row>
        <row r="730">
          <cell r="A730">
            <v>37986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by Sol Area"/>
      <sheetName val="Ess Rev by Sector"/>
      <sheetName val="Backup &gt;&gt;"/>
      <sheetName val="Revenue by Sol Area (2)"/>
      <sheetName val="Ess Sign by Sector (2)"/>
      <sheetName val="Looking for Fed Public"/>
      <sheetName val="SA Default Sol Area"/>
      <sheetName val="Revene by Offering Code"/>
      <sheetName val="Instructions"/>
      <sheetName val="Top 20 Enterprises by Revenue"/>
      <sheetName val="Top 20 Enterprises by CGP"/>
      <sheetName val="BCS Results for Top SO Accounts"/>
      <sheetName val="BCS PTI with BTO"/>
      <sheetName val="PTI ESSBASE Pull"/>
      <sheetName val="PTI ESSBASE Pull (2)"/>
      <sheetName val="PTI ESSBASE Pull (3)"/>
      <sheetName val="PTI ESSBASE Pull (4)"/>
      <sheetName val="Historical Results"/>
      <sheetName val="Rev and GP by Mth"/>
      <sheetName val="YTD QTD Rev and GP"/>
      <sheetName val="Comm Details YTD wo BTO"/>
      <sheetName val="BCS YTD"/>
      <sheetName val="Comm Details YTD with BTO"/>
      <sheetName val="Sheet2"/>
      <sheetName val="Format for YTD Pivot with BTO"/>
      <sheetName val="ESSBASE Pull"/>
      <sheetName val="Enterprise Number and Name"/>
      <sheetName val="YTY Pivot"/>
      <sheetName val="Comm Details YTY Revenue"/>
      <sheetName val="YTY Rev Pivot"/>
      <sheetName val="Comm Details YTY Rev"/>
      <sheetName val="YTY CGP Pivot"/>
      <sheetName val="Comm Details YTY CGP"/>
      <sheetName val="YTY Signings Pivot"/>
      <sheetName val="Comm Details YTY Sign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4">
          <cell r="B4" t="str">
            <v>Enterprise #</v>
          </cell>
          <cell r="C4" t="str">
            <v>Single Enterprise Name</v>
          </cell>
        </row>
        <row r="5">
          <cell r="B5">
            <v>0</v>
          </cell>
          <cell r="C5" t="str">
            <v>Corio</v>
          </cell>
        </row>
        <row r="6">
          <cell r="B6" t="str">
            <v xml:space="preserve">  99100</v>
          </cell>
          <cell r="C6" t="str">
            <v>ALABAMA GAS</v>
          </cell>
        </row>
        <row r="7">
          <cell r="B7" t="str">
            <v xml:space="preserve"> 100455</v>
          </cell>
          <cell r="C7" t="str">
            <v>AKAMAI TECHNOLO</v>
          </cell>
        </row>
        <row r="8">
          <cell r="B8" t="str">
            <v xml:space="preserve"> 101000</v>
          </cell>
          <cell r="C8" t="str">
            <v>AL P BIRMINGHAM</v>
          </cell>
        </row>
        <row r="9">
          <cell r="B9" t="str">
            <v xml:space="preserve"> 134184</v>
          </cell>
          <cell r="C9" t="str">
            <v>ALLEGI TELECOM</v>
          </cell>
        </row>
        <row r="10">
          <cell r="B10" t="str">
            <v xml:space="preserve"> 136053</v>
          </cell>
          <cell r="C10" t="str">
            <v>ALLEGI TELECOM</v>
          </cell>
        </row>
        <row r="11">
          <cell r="B11" t="str">
            <v xml:space="preserve"> 152247</v>
          </cell>
          <cell r="C11" t="str">
            <v>ALLIAN ENER INT</v>
          </cell>
        </row>
        <row r="12">
          <cell r="B12" t="str">
            <v xml:space="preserve"> 189497</v>
          </cell>
          <cell r="C12" t="str">
            <v>AMDOCS/CINGULAR</v>
          </cell>
        </row>
        <row r="13">
          <cell r="B13" t="str">
            <v xml:space="preserve"> 198194</v>
          </cell>
          <cell r="C13" t="str">
            <v>AMER BD PEDIATR</v>
          </cell>
        </row>
        <row r="14">
          <cell r="B14" t="str">
            <v xml:space="preserve"> 204725</v>
          </cell>
          <cell r="C14" t="str">
            <v>AAA/STATE OF NY</v>
          </cell>
        </row>
        <row r="15">
          <cell r="B15" t="str">
            <v xml:space="preserve"> 207913</v>
          </cell>
          <cell r="C15" t="str">
            <v>AT&amp;T WIRE SV</v>
          </cell>
        </row>
        <row r="16">
          <cell r="B16" t="str">
            <v xml:space="preserve"> 211743</v>
          </cell>
          <cell r="C16" t="str">
            <v>AARP</v>
          </cell>
        </row>
        <row r="17">
          <cell r="B17" t="str">
            <v xml:space="preserve"> 224000</v>
          </cell>
          <cell r="C17" t="str">
            <v>AMER CANC SOCIE</v>
          </cell>
        </row>
        <row r="18">
          <cell r="B18" t="str">
            <v xml:space="preserve"> 234575</v>
          </cell>
          <cell r="C18" t="str">
            <v>AMER BD OPTICIA</v>
          </cell>
        </row>
        <row r="19">
          <cell r="B19" t="str">
            <v xml:space="preserve"> 244700</v>
          </cell>
          <cell r="C19" t="str">
            <v>AEP SERV CORP</v>
          </cell>
        </row>
        <row r="20">
          <cell r="B20" t="str">
            <v xml:space="preserve"> 332232</v>
          </cell>
          <cell r="C20" t="str">
            <v>AMER COLL CARDI</v>
          </cell>
        </row>
        <row r="21">
          <cell r="B21" t="str">
            <v xml:space="preserve"> 347970</v>
          </cell>
          <cell r="C21" t="str">
            <v>AMER GOLF</v>
          </cell>
        </row>
        <row r="22">
          <cell r="B22" t="str">
            <v xml:space="preserve"> 371000</v>
          </cell>
          <cell r="C22" t="str">
            <v>THE AMER NAT RE</v>
          </cell>
        </row>
        <row r="23">
          <cell r="B23" t="str">
            <v xml:space="preserve"> 413000</v>
          </cell>
          <cell r="C23" t="str">
            <v>AT&amp;T</v>
          </cell>
        </row>
        <row r="24">
          <cell r="B24" t="str">
            <v xml:space="preserve"> 431800</v>
          </cell>
          <cell r="C24" t="str">
            <v>ELIZAB WATER</v>
          </cell>
        </row>
        <row r="25">
          <cell r="B25" t="str">
            <v xml:space="preserve"> 505600</v>
          </cell>
          <cell r="C25" t="str">
            <v>ARINC</v>
          </cell>
        </row>
        <row r="26">
          <cell r="B26" t="str">
            <v xml:space="preserve"> 506300</v>
          </cell>
          <cell r="C26" t="str">
            <v>ARENA GOLF</v>
          </cell>
        </row>
        <row r="27">
          <cell r="B27" t="str">
            <v xml:space="preserve"> 508800</v>
          </cell>
          <cell r="C27" t="str">
            <v>APS</v>
          </cell>
        </row>
        <row r="28">
          <cell r="B28" t="str">
            <v xml:space="preserve"> 518335</v>
          </cell>
          <cell r="C28" t="str">
            <v>ARCHON GROU LP</v>
          </cell>
        </row>
        <row r="29">
          <cell r="B29" t="str">
            <v>0531834</v>
          </cell>
          <cell r="C29" t="str">
            <v>AZ PUBL SV</v>
          </cell>
        </row>
        <row r="30">
          <cell r="B30" t="str">
            <v xml:space="preserve"> 547647</v>
          </cell>
          <cell r="C30" t="str">
            <v>ASBURY METH VIL</v>
          </cell>
        </row>
        <row r="31">
          <cell r="B31" t="str">
            <v xml:space="preserve"> 569345</v>
          </cell>
          <cell r="C31" t="str">
            <v>ASSN ST &amp; TER H</v>
          </cell>
        </row>
        <row r="32">
          <cell r="B32" t="str">
            <v xml:space="preserve"> 582000</v>
          </cell>
          <cell r="C32" t="str">
            <v>THE ASSO PRESS</v>
          </cell>
        </row>
        <row r="33">
          <cell r="B33" t="str">
            <v xml:space="preserve"> 606000</v>
          </cell>
          <cell r="C33" t="str">
            <v>ATLANT GAS LIGH</v>
          </cell>
        </row>
        <row r="34">
          <cell r="B34" t="str">
            <v xml:space="preserve"> 647500</v>
          </cell>
          <cell r="C34" t="str">
            <v>COX COM</v>
          </cell>
        </row>
        <row r="35">
          <cell r="B35" t="str">
            <v xml:space="preserve"> 735700</v>
          </cell>
          <cell r="C35" t="str">
            <v>CONSTE ENER GRO</v>
          </cell>
        </row>
        <row r="36">
          <cell r="B36" t="str">
            <v xml:space="preserve"> 804700</v>
          </cell>
          <cell r="C36" t="str">
            <v>BANTA</v>
          </cell>
        </row>
        <row r="37">
          <cell r="B37" t="str">
            <v xml:space="preserve"> 862802</v>
          </cell>
          <cell r="C37" t="str">
            <v>BLOC/DALLAS ELM</v>
          </cell>
        </row>
        <row r="38">
          <cell r="B38" t="str">
            <v xml:space="preserve"> 899000</v>
          </cell>
          <cell r="C38" t="str">
            <v>VERIZON</v>
          </cell>
        </row>
        <row r="39">
          <cell r="B39" t="str">
            <v xml:space="preserve"> 904000</v>
          </cell>
          <cell r="C39" t="str">
            <v>BELLSOUTH</v>
          </cell>
        </row>
        <row r="40">
          <cell r="B40" t="str">
            <v>0924340</v>
          </cell>
          <cell r="C40" t="str">
            <v>BA/AIN</v>
          </cell>
        </row>
        <row r="41">
          <cell r="B41">
            <v>953818</v>
          </cell>
          <cell r="C41" t="str">
            <v>SONY BMG MUS EN</v>
          </cell>
        </row>
        <row r="42">
          <cell r="B42" t="str">
            <v xml:space="preserve"> 953818</v>
          </cell>
          <cell r="C42" t="str">
            <v>SONY BMG MUS EN</v>
          </cell>
        </row>
        <row r="43">
          <cell r="B43" t="str">
            <v xml:space="preserve"> 982226</v>
          </cell>
          <cell r="C43" t="str">
            <v>DELUXE MEDI SV</v>
          </cell>
        </row>
        <row r="44">
          <cell r="B44" t="str">
            <v>1032814</v>
          </cell>
          <cell r="C44" t="str">
            <v>BLOOMBERG FINAN</v>
          </cell>
        </row>
        <row r="45">
          <cell r="B45" t="str">
            <v>1052000</v>
          </cell>
          <cell r="C45" t="str">
            <v>JEPPESEN</v>
          </cell>
        </row>
        <row r="46">
          <cell r="B46" t="str">
            <v>1228800</v>
          </cell>
          <cell r="C46" t="str">
            <v>ALLIED WAST IND</v>
          </cell>
        </row>
        <row r="47">
          <cell r="B47" t="str">
            <v>1246136</v>
          </cell>
          <cell r="C47" t="str">
            <v>BT AMERICAS</v>
          </cell>
        </row>
        <row r="48">
          <cell r="B48" t="str">
            <v>1331761</v>
          </cell>
          <cell r="C48" t="str">
            <v>CABLE SV GROUP</v>
          </cell>
        </row>
        <row r="49">
          <cell r="B49" t="str">
            <v>1473000</v>
          </cell>
          <cell r="C49" t="str">
            <v>PROGRESS ENERGY</v>
          </cell>
        </row>
        <row r="50">
          <cell r="B50" t="str">
            <v>1515136</v>
          </cell>
          <cell r="C50" t="str">
            <v>CATALI MARKETIN</v>
          </cell>
        </row>
        <row r="51">
          <cell r="B51" t="str">
            <v>1525867</v>
          </cell>
          <cell r="C51" t="str">
            <v>GAZETT COM</v>
          </cell>
        </row>
        <row r="52">
          <cell r="B52" t="str">
            <v>1547125</v>
          </cell>
          <cell r="C52" t="str">
            <v>CENTRA IN COR P</v>
          </cell>
        </row>
        <row r="53">
          <cell r="B53" t="str">
            <v>1560435</v>
          </cell>
          <cell r="C53" t="str">
            <v>CENTER ENER SV</v>
          </cell>
        </row>
        <row r="54">
          <cell r="B54" t="str">
            <v>1584598</v>
          </cell>
          <cell r="C54" t="str">
            <v>CONVER</v>
          </cell>
        </row>
        <row r="55">
          <cell r="B55" t="str">
            <v>1644769</v>
          </cell>
          <cell r="C55" t="str">
            <v>CHESAP BAY FOUN</v>
          </cell>
        </row>
        <row r="56">
          <cell r="B56" t="str">
            <v>1693051</v>
          </cell>
          <cell r="C56" t="str">
            <v>SESAME WORKSHOP</v>
          </cell>
        </row>
        <row r="57">
          <cell r="B57" t="str">
            <v>1709180</v>
          </cell>
          <cell r="C57" t="str">
            <v>CHUBU ELEC POWE</v>
          </cell>
        </row>
        <row r="58">
          <cell r="B58" t="str">
            <v>1714162</v>
          </cell>
          <cell r="C58" t="str">
            <v>LDS CHURCH CC</v>
          </cell>
        </row>
        <row r="59">
          <cell r="B59" t="str">
            <v>1714626</v>
          </cell>
          <cell r="C59" t="str">
            <v>CHURCH SCIE INT</v>
          </cell>
        </row>
        <row r="60">
          <cell r="B60" t="str">
            <v>1730339</v>
          </cell>
          <cell r="C60" t="str">
            <v>CINGUL WIRE LLC</v>
          </cell>
        </row>
        <row r="61">
          <cell r="B61" t="str">
            <v>1891189</v>
          </cell>
          <cell r="C61" t="str">
            <v>IMS HEALTH</v>
          </cell>
        </row>
        <row r="62">
          <cell r="B62" t="str">
            <v>1944788</v>
          </cell>
          <cell r="C62" t="str">
            <v>CMP MEDIA</v>
          </cell>
        </row>
        <row r="63">
          <cell r="B63" t="str">
            <v>1948628</v>
          </cell>
          <cell r="C63" t="str">
            <v>THE COLU PUBLIS</v>
          </cell>
        </row>
        <row r="64">
          <cell r="B64" t="str">
            <v>1980930</v>
          </cell>
          <cell r="C64" t="str">
            <v>QVC</v>
          </cell>
        </row>
        <row r="65">
          <cell r="B65" t="str">
            <v>1991950</v>
          </cell>
          <cell r="C65" t="str">
            <v>COMETA NETWORKS</v>
          </cell>
        </row>
        <row r="66">
          <cell r="B66" t="str">
            <v>2035184</v>
          </cell>
          <cell r="C66" t="str">
            <v>NEXTEL COM</v>
          </cell>
        </row>
        <row r="67">
          <cell r="B67" t="str">
            <v>2096000</v>
          </cell>
          <cell r="C67" t="str">
            <v>CON EDISON NY</v>
          </cell>
        </row>
        <row r="68">
          <cell r="B68" t="str">
            <v>2120500</v>
          </cell>
          <cell r="C68" t="str">
            <v>CMS ENERGY</v>
          </cell>
        </row>
        <row r="69">
          <cell r="B69" t="str">
            <v>2131000</v>
          </cell>
          <cell r="C69" t="str">
            <v>LEVEL 3 COM</v>
          </cell>
        </row>
        <row r="70">
          <cell r="B70" t="str">
            <v>2320816</v>
          </cell>
          <cell r="C70" t="str">
            <v>CYCLON MICROSYS</v>
          </cell>
        </row>
        <row r="71">
          <cell r="B71" t="str">
            <v>2322159</v>
          </cell>
          <cell r="C71" t="str">
            <v>CYSTIC FIBR FOU</v>
          </cell>
        </row>
        <row r="72">
          <cell r="B72" t="str">
            <v>2322412</v>
          </cell>
          <cell r="C72" t="str">
            <v>D E COM</v>
          </cell>
        </row>
        <row r="73">
          <cell r="B73" t="str">
            <v>2337400</v>
          </cell>
          <cell r="C73" t="str">
            <v>TDMN</v>
          </cell>
        </row>
        <row r="74">
          <cell r="B74" t="str">
            <v>2371542</v>
          </cell>
          <cell r="C74" t="str">
            <v>GARTNE</v>
          </cell>
        </row>
        <row r="75">
          <cell r="B75" t="str">
            <v>2428600</v>
          </cell>
          <cell r="C75" t="str">
            <v>PEPCO HOLDINGS</v>
          </cell>
        </row>
        <row r="76">
          <cell r="B76" t="str">
            <v>2464729</v>
          </cell>
          <cell r="C76" t="str">
            <v>DESIGN THINKR</v>
          </cell>
        </row>
        <row r="77">
          <cell r="B77" t="str">
            <v>2507100</v>
          </cell>
          <cell r="C77" t="str">
            <v>DISPAT PRINTING</v>
          </cell>
        </row>
        <row r="78">
          <cell r="B78" t="str">
            <v>2512097</v>
          </cell>
          <cell r="C78" t="str">
            <v>INTERL</v>
          </cell>
        </row>
        <row r="79">
          <cell r="B79" t="str">
            <v>2534092</v>
          </cell>
          <cell r="C79" t="str">
            <v>DIGITA CONN COM</v>
          </cell>
        </row>
        <row r="80">
          <cell r="B80" t="str">
            <v>2556267</v>
          </cell>
          <cell r="C80" t="str">
            <v>DISNEY WORL SV</v>
          </cell>
        </row>
        <row r="81">
          <cell r="B81" t="str">
            <v>2570500</v>
          </cell>
          <cell r="C81" t="str">
            <v>DOW JONES</v>
          </cell>
        </row>
        <row r="82">
          <cell r="B82" t="str">
            <v>2602000</v>
          </cell>
          <cell r="C82" t="str">
            <v>DUKE ENERGY</v>
          </cell>
        </row>
        <row r="83">
          <cell r="B83" t="str">
            <v>2606000</v>
          </cell>
          <cell r="C83" t="str">
            <v>DUN &amp; BRAD 2135</v>
          </cell>
        </row>
        <row r="84">
          <cell r="B84" t="str">
            <v>2695000</v>
          </cell>
          <cell r="C84" t="str">
            <v>EBSCO INDUSTRIE</v>
          </cell>
        </row>
        <row r="85">
          <cell r="B85" t="str">
            <v>2695102</v>
          </cell>
          <cell r="C85" t="str">
            <v>DTE ENERGY</v>
          </cell>
        </row>
        <row r="86">
          <cell r="B86" t="str">
            <v>2696055</v>
          </cell>
          <cell r="C86" t="str">
            <v>ECHOSP</v>
          </cell>
        </row>
        <row r="87">
          <cell r="B87" t="str">
            <v>2719742</v>
          </cell>
          <cell r="C87" t="str">
            <v>EHEALT INITIATI</v>
          </cell>
        </row>
        <row r="88">
          <cell r="B88" t="str">
            <v>2815331</v>
          </cell>
          <cell r="C88" t="str">
            <v>THE N POWER</v>
          </cell>
        </row>
        <row r="89">
          <cell r="B89" t="str">
            <v>2832051</v>
          </cell>
          <cell r="C89" t="str">
            <v>ATMOS ENERGY</v>
          </cell>
        </row>
        <row r="90">
          <cell r="B90" t="str">
            <v>2890503</v>
          </cell>
          <cell r="C90" t="str">
            <v>EXCELL CONSULTI</v>
          </cell>
        </row>
        <row r="91">
          <cell r="B91" t="str">
            <v>3435500</v>
          </cell>
          <cell r="C91" t="str">
            <v>FLORIDA P&amp;L</v>
          </cell>
        </row>
        <row r="92">
          <cell r="B92" t="str">
            <v>3450568</v>
          </cell>
          <cell r="C92" t="str">
            <v>FOCUS ON FAMILY</v>
          </cell>
        </row>
        <row r="93">
          <cell r="B93" t="str">
            <v>3574317</v>
          </cell>
          <cell r="C93" t="str">
            <v>FUJITS NETW COM</v>
          </cell>
        </row>
        <row r="94">
          <cell r="B94" t="str">
            <v>3663000</v>
          </cell>
          <cell r="C94" t="str">
            <v>NBC UNIVERSAL</v>
          </cell>
        </row>
        <row r="95">
          <cell r="B95" t="str">
            <v>3692002</v>
          </cell>
          <cell r="C95" t="str">
            <v>HUGHES NETW SYS</v>
          </cell>
        </row>
        <row r="96">
          <cell r="B96" t="str">
            <v>3787723</v>
          </cell>
          <cell r="C96" t="str">
            <v>GLOBAL INT</v>
          </cell>
        </row>
        <row r="97">
          <cell r="B97" t="str">
            <v>3879940</v>
          </cell>
          <cell r="C97" t="str">
            <v>TOBIN INT</v>
          </cell>
        </row>
        <row r="98">
          <cell r="B98" t="str">
            <v>3895882</v>
          </cell>
          <cell r="C98" t="str">
            <v>GREATE BALT ALL</v>
          </cell>
        </row>
        <row r="99">
          <cell r="B99" t="str">
            <v>3896056</v>
          </cell>
          <cell r="C99" t="str">
            <v>GREATE PHOE ECO</v>
          </cell>
        </row>
        <row r="100">
          <cell r="B100" t="str">
            <v>3955116</v>
          </cell>
          <cell r="C100" t="str">
            <v>GROCER MFG AME</v>
          </cell>
        </row>
        <row r="101">
          <cell r="B101" t="str">
            <v>4026896</v>
          </cell>
          <cell r="C101" t="str">
            <v>HADASS WOME ZIO</v>
          </cell>
        </row>
        <row r="102">
          <cell r="B102" t="str">
            <v>4121400</v>
          </cell>
          <cell r="C102" t="str">
            <v>JOHN H HARLAND</v>
          </cell>
        </row>
        <row r="103">
          <cell r="B103" t="str">
            <v>4148200</v>
          </cell>
          <cell r="C103" t="str">
            <v>HARSCO</v>
          </cell>
        </row>
        <row r="104">
          <cell r="B104" t="str">
            <v>4199000</v>
          </cell>
          <cell r="C104" t="str">
            <v>HEARST COMMUNIC</v>
          </cell>
        </row>
        <row r="105">
          <cell r="B105" t="str">
            <v>4398000</v>
          </cell>
          <cell r="C105" t="str">
            <v>HOUGHT MIFFLIN</v>
          </cell>
        </row>
        <row r="106">
          <cell r="B106" t="str">
            <v>4475000</v>
          </cell>
          <cell r="C106" t="str">
            <v>IDAHO POWER CO</v>
          </cell>
        </row>
        <row r="107">
          <cell r="B107" t="str">
            <v>4524962</v>
          </cell>
          <cell r="C107" t="str">
            <v>INDIAN SYMP ORC</v>
          </cell>
        </row>
        <row r="108">
          <cell r="B108" t="str">
            <v>4592585</v>
          </cell>
          <cell r="C108" t="str">
            <v>INT COPP ASSN</v>
          </cell>
        </row>
        <row r="109">
          <cell r="B109" t="str">
            <v>4670950</v>
          </cell>
          <cell r="C109" t="str">
            <v>IPSOS-</v>
          </cell>
        </row>
        <row r="110">
          <cell r="B110" t="str">
            <v>4794801</v>
          </cell>
          <cell r="C110" t="str">
            <v>ADVO SYS</v>
          </cell>
        </row>
        <row r="111">
          <cell r="B111" t="str">
            <v>4796000</v>
          </cell>
          <cell r="C111" t="str">
            <v>KS CY POW LIGHT</v>
          </cell>
        </row>
        <row r="112">
          <cell r="B112" t="str">
            <v>4802000</v>
          </cell>
          <cell r="C112" t="str">
            <v>WRI</v>
          </cell>
        </row>
        <row r="113">
          <cell r="B113" t="str">
            <v>4829245</v>
          </cell>
          <cell r="C113" t="str">
            <v>KEENELAND ASSOC</v>
          </cell>
        </row>
        <row r="114">
          <cell r="B114" t="str">
            <v>4952060</v>
          </cell>
          <cell r="C114" t="str">
            <v>KNIGHTSBRIDGE</v>
          </cell>
        </row>
        <row r="115">
          <cell r="B115" t="str">
            <v>4957400</v>
          </cell>
          <cell r="C115" t="str">
            <v>KNOXVI UTIL BD</v>
          </cell>
        </row>
        <row r="116">
          <cell r="B116" t="str">
            <v>5013600</v>
          </cell>
          <cell r="C116" t="str">
            <v>SJI</v>
          </cell>
        </row>
        <row r="117">
          <cell r="B117" t="str">
            <v>5169036</v>
          </cell>
          <cell r="C117" t="str">
            <v>MCI WORLDCOM</v>
          </cell>
        </row>
        <row r="118">
          <cell r="B118" t="str">
            <v>5196400</v>
          </cell>
          <cell r="C118" t="str">
            <v>CENTRA LINC PUD</v>
          </cell>
        </row>
        <row r="119">
          <cell r="B119" t="str">
            <v>5817700</v>
          </cell>
          <cell r="C119" t="str">
            <v>ALLTEL COM</v>
          </cell>
        </row>
        <row r="120">
          <cell r="B120" t="str">
            <v>5283255</v>
          </cell>
          <cell r="C120" t="str">
            <v>DIGITE</v>
          </cell>
        </row>
        <row r="121">
          <cell r="B121" t="str">
            <v>5351182</v>
          </cell>
          <cell r="C121" t="str">
            <v>WORKBR/SPRINT</v>
          </cell>
        </row>
        <row r="122">
          <cell r="B122" t="str">
            <v>5424426</v>
          </cell>
          <cell r="C122" t="str">
            <v>MAJOR LEAG BAS</v>
          </cell>
        </row>
        <row r="123">
          <cell r="B123" t="str">
            <v>5476326</v>
          </cell>
          <cell r="C123" t="str">
            <v>AMER CHEM COUNC</v>
          </cell>
        </row>
        <row r="124">
          <cell r="B124" t="str">
            <v>5630300</v>
          </cell>
          <cell r="C124" t="str">
            <v>THE MCGR COMPAN</v>
          </cell>
        </row>
        <row r="125">
          <cell r="B125" t="str">
            <v>5653445</v>
          </cell>
          <cell r="C125" t="str">
            <v>MCN ENER GROUP</v>
          </cell>
        </row>
        <row r="126">
          <cell r="B126" t="str">
            <v>5845830</v>
          </cell>
          <cell r="C126" t="str">
            <v>MIDWEST ISO</v>
          </cell>
        </row>
        <row r="127">
          <cell r="B127" t="str">
            <v>5878082</v>
          </cell>
          <cell r="C127" t="str">
            <v>KEYSPA</v>
          </cell>
        </row>
        <row r="128">
          <cell r="B128" t="str">
            <v>5882700</v>
          </cell>
          <cell r="C128" t="str">
            <v>ENTERG SV</v>
          </cell>
        </row>
        <row r="129">
          <cell r="B129" t="str">
            <v>5885300</v>
          </cell>
          <cell r="C129" t="str">
            <v>MILLIO DOLL ROU</v>
          </cell>
        </row>
        <row r="130">
          <cell r="B130" t="str">
            <v>6061243</v>
          </cell>
          <cell r="C130" t="str">
            <v>MOUNTAIN RURAL</v>
          </cell>
        </row>
        <row r="131">
          <cell r="B131" t="str">
            <v>6102442</v>
          </cell>
          <cell r="C131" t="str">
            <v>NORTHS TRAV MED</v>
          </cell>
        </row>
        <row r="132">
          <cell r="B132" t="str">
            <v>6175641</v>
          </cell>
          <cell r="C132" t="str">
            <v>NAT GEOG SOCIET</v>
          </cell>
        </row>
        <row r="133">
          <cell r="B133" t="str">
            <v>6179036</v>
          </cell>
          <cell r="C133" t="str">
            <v>NAT COLL ATH AS</v>
          </cell>
        </row>
        <row r="134">
          <cell r="B134" t="str">
            <v>6179116</v>
          </cell>
          <cell r="C134" t="str">
            <v>NCS PEARSON</v>
          </cell>
        </row>
        <row r="135">
          <cell r="B135" t="str">
            <v>6189736</v>
          </cell>
          <cell r="C135" t="str">
            <v>NAT SHRI IMM CO</v>
          </cell>
        </row>
        <row r="136">
          <cell r="B136" t="str">
            <v>6192100</v>
          </cell>
          <cell r="C136" t="str">
            <v>LEXIS NEXIS</v>
          </cell>
        </row>
        <row r="137">
          <cell r="B137" t="str">
            <v>6203000</v>
          </cell>
          <cell r="C137" t="str">
            <v>THE WILLIAMS</v>
          </cell>
        </row>
        <row r="138">
          <cell r="B138" t="str">
            <v>6213263</v>
          </cell>
          <cell r="C138" t="str">
            <v>E-STUD</v>
          </cell>
        </row>
        <row r="139">
          <cell r="B139" t="str">
            <v>6358941</v>
          </cell>
          <cell r="C139" t="str">
            <v>NAT GRID USA SV</v>
          </cell>
        </row>
        <row r="140">
          <cell r="B140" t="str">
            <v>6366000</v>
          </cell>
          <cell r="C140" t="str">
            <v>NUI</v>
          </cell>
        </row>
        <row r="141">
          <cell r="B141" t="str">
            <v>6382786</v>
          </cell>
          <cell r="C141" t="str">
            <v>NBC UNIVERSAL</v>
          </cell>
        </row>
        <row r="142">
          <cell r="B142" t="str">
            <v>6419000</v>
          </cell>
          <cell r="C142" t="str">
            <v>NAT GRID USA SV</v>
          </cell>
        </row>
        <row r="143">
          <cell r="B143" t="str">
            <v>6426587</v>
          </cell>
          <cell r="C143" t="str">
            <v>N F L PRO 14T F</v>
          </cell>
        </row>
        <row r="144">
          <cell r="B144" t="str">
            <v>6438953</v>
          </cell>
          <cell r="C144" t="str">
            <v>T-MOBI USA</v>
          </cell>
        </row>
        <row r="145">
          <cell r="B145" t="str">
            <v>6485000</v>
          </cell>
          <cell r="C145" t="str">
            <v>N Y ST POW AUTH</v>
          </cell>
        </row>
        <row r="146">
          <cell r="B146" t="str">
            <v>6487000</v>
          </cell>
          <cell r="C146" t="str">
            <v>ENERGY EAST</v>
          </cell>
        </row>
        <row r="147">
          <cell r="B147" t="str">
            <v>6493000</v>
          </cell>
          <cell r="C147" t="str">
            <v>BOSTON</v>
          </cell>
        </row>
        <row r="148">
          <cell r="B148" t="str">
            <v>6496203</v>
          </cell>
          <cell r="C148" t="str">
            <v>NAT INVE HAL FA</v>
          </cell>
        </row>
        <row r="149">
          <cell r="B149" t="str">
            <v>6506400</v>
          </cell>
          <cell r="C149" t="str">
            <v>WA POST</v>
          </cell>
        </row>
        <row r="150">
          <cell r="B150" t="str">
            <v>6508962</v>
          </cell>
          <cell r="C150" t="str">
            <v>XO COM</v>
          </cell>
        </row>
        <row r="151">
          <cell r="B151" t="str">
            <v>6525734</v>
          </cell>
          <cell r="C151" t="str">
            <v>NISOUR CORP SV</v>
          </cell>
        </row>
        <row r="152">
          <cell r="B152" t="str">
            <v>6565500</v>
          </cell>
          <cell r="C152" t="str">
            <v>NORTHE UTIL SV</v>
          </cell>
        </row>
        <row r="153">
          <cell r="B153" t="str">
            <v>6588068</v>
          </cell>
          <cell r="C153" t="str">
            <v>AT&amp;T LEGG PLATT</v>
          </cell>
        </row>
        <row r="154">
          <cell r="B154" t="str">
            <v>6592000</v>
          </cell>
          <cell r="C154" t="str">
            <v>PORTLAND GE</v>
          </cell>
        </row>
        <row r="155">
          <cell r="B155" t="str">
            <v>6643450</v>
          </cell>
          <cell r="C155" t="str">
            <v>NSTAR</v>
          </cell>
        </row>
        <row r="156">
          <cell r="B156" t="str">
            <v>6675400</v>
          </cell>
          <cell r="C156" t="str">
            <v>THE OGIL GROUP</v>
          </cell>
        </row>
        <row r="157">
          <cell r="B157" t="str">
            <v>6723000</v>
          </cell>
          <cell r="C157" t="str">
            <v>OKG&amp;E/CORP HQ</v>
          </cell>
        </row>
        <row r="158">
          <cell r="B158" t="str">
            <v>6725000</v>
          </cell>
          <cell r="C158" t="str">
            <v>ONEOK INC</v>
          </cell>
        </row>
        <row r="159">
          <cell r="B159" t="str">
            <v>6739447</v>
          </cell>
          <cell r="C159" t="str">
            <v>NEXTEL COM</v>
          </cell>
        </row>
        <row r="160">
          <cell r="B160" t="str">
            <v>6761889</v>
          </cell>
          <cell r="C160" t="str">
            <v>ONDEO OPR</v>
          </cell>
        </row>
        <row r="161">
          <cell r="B161" t="str">
            <v>6767895</v>
          </cell>
          <cell r="C161" t="str">
            <v>OMNICO CAPITAL</v>
          </cell>
        </row>
        <row r="162">
          <cell r="B162" t="str">
            <v>6820676</v>
          </cell>
          <cell r="C162" t="str">
            <v>PSCO</v>
          </cell>
        </row>
        <row r="163">
          <cell r="B163" t="str">
            <v>6840000</v>
          </cell>
          <cell r="C163" t="str">
            <v>PG&amp;E</v>
          </cell>
        </row>
        <row r="164">
          <cell r="B164" t="str">
            <v>6851027</v>
          </cell>
          <cell r="C164" t="str">
            <v>PJM</v>
          </cell>
        </row>
        <row r="165">
          <cell r="B165" t="str">
            <v>6882973</v>
          </cell>
          <cell r="C165" t="str">
            <v>PANDA GILA RIV</v>
          </cell>
        </row>
        <row r="166">
          <cell r="B166" t="str">
            <v>6889029</v>
          </cell>
          <cell r="C166" t="str">
            <v>PANHAN TEL COOP</v>
          </cell>
        </row>
        <row r="167">
          <cell r="B167" t="str">
            <v>6897190</v>
          </cell>
          <cell r="C167" t="str">
            <v>24 HOUR FIT USA</v>
          </cell>
        </row>
        <row r="168">
          <cell r="B168" t="str">
            <v>6901224</v>
          </cell>
          <cell r="C168" t="str">
            <v>PARA PICTURES</v>
          </cell>
        </row>
        <row r="169">
          <cell r="B169" t="str">
            <v>6920612</v>
          </cell>
          <cell r="C169" t="str">
            <v>ORBIMAGE</v>
          </cell>
        </row>
        <row r="170">
          <cell r="B170" t="str">
            <v>6937700</v>
          </cell>
          <cell r="C170" t="str">
            <v>ADVANC MAGA PUB</v>
          </cell>
        </row>
        <row r="171">
          <cell r="B171" t="str">
            <v>6952628</v>
          </cell>
          <cell r="C171" t="str">
            <v>PEARSO TECH</v>
          </cell>
        </row>
        <row r="172">
          <cell r="B172" t="str">
            <v>6969569</v>
          </cell>
          <cell r="C172" t="str">
            <v>PA ST EDU ASSN</v>
          </cell>
        </row>
        <row r="173">
          <cell r="B173" t="str">
            <v>7019746</v>
          </cell>
          <cell r="C173" t="str">
            <v>PEOPLE/AZ PUBLI</v>
          </cell>
        </row>
        <row r="174">
          <cell r="B174" t="str">
            <v>7023212</v>
          </cell>
          <cell r="C174" t="str">
            <v>NATURE AMERICA</v>
          </cell>
        </row>
        <row r="175">
          <cell r="B175" t="str">
            <v>7101000</v>
          </cell>
          <cell r="C175" t="str">
            <v>EXELON BUSI SV</v>
          </cell>
        </row>
        <row r="176">
          <cell r="B176" t="str">
            <v>7335019</v>
          </cell>
          <cell r="C176" t="str">
            <v>PROQUE</v>
          </cell>
        </row>
        <row r="177">
          <cell r="B177" t="str">
            <v>7368000</v>
          </cell>
          <cell r="C177" t="str">
            <v>CGE/139 E 4TH</v>
          </cell>
        </row>
        <row r="178">
          <cell r="B178" t="str">
            <v>7369500</v>
          </cell>
          <cell r="C178" t="str">
            <v>PUBLIC SV N M</v>
          </cell>
        </row>
        <row r="179">
          <cell r="B179" t="str">
            <v>7373000</v>
          </cell>
          <cell r="C179" t="str">
            <v>PUBLIC SV ELE G</v>
          </cell>
        </row>
        <row r="180">
          <cell r="B180" t="str">
            <v>7383000</v>
          </cell>
          <cell r="C180" t="str">
            <v>PUGET SOUN ENER</v>
          </cell>
        </row>
        <row r="181">
          <cell r="B181" t="str">
            <v>7400964</v>
          </cell>
          <cell r="C181" t="str">
            <v>QPASS</v>
          </cell>
        </row>
        <row r="182">
          <cell r="B182" t="str">
            <v>7433158</v>
          </cell>
          <cell r="C182" t="str">
            <v>RRI</v>
          </cell>
        </row>
        <row r="183">
          <cell r="B183" t="str">
            <v>7522014</v>
          </cell>
          <cell r="C183" t="str">
            <v>ORACLE</v>
          </cell>
        </row>
        <row r="184">
          <cell r="B184" t="str">
            <v>7522129</v>
          </cell>
          <cell r="C184" t="str">
            <v>RELATI</v>
          </cell>
        </row>
        <row r="185">
          <cell r="B185" t="str">
            <v>7579213</v>
          </cell>
          <cell r="C185" t="str">
            <v>REUTER</v>
          </cell>
        </row>
        <row r="186">
          <cell r="B186" t="str">
            <v>7633004</v>
          </cell>
          <cell r="C186" t="str">
            <v>RIGHTS</v>
          </cell>
        </row>
        <row r="187">
          <cell r="B187" t="str">
            <v>7713124</v>
          </cell>
          <cell r="C187" t="str">
            <v>CA INDE SYS OPE</v>
          </cell>
        </row>
        <row r="188">
          <cell r="B188" t="str">
            <v>7721432</v>
          </cell>
          <cell r="C188" t="str">
            <v>CHARTE COM</v>
          </cell>
        </row>
        <row r="189">
          <cell r="B189" t="str">
            <v>7735600</v>
          </cell>
          <cell r="C189" t="str">
            <v>SUREWEST</v>
          </cell>
        </row>
        <row r="190">
          <cell r="B190" t="str">
            <v>7745363</v>
          </cell>
          <cell r="C190" t="str">
            <v>QVC</v>
          </cell>
        </row>
        <row r="191">
          <cell r="B191" t="str">
            <v>7753771</v>
          </cell>
          <cell r="C191" t="str">
            <v>NAPSTE LLC</v>
          </cell>
        </row>
        <row r="192">
          <cell r="B192" t="str">
            <v>7754174</v>
          </cell>
          <cell r="C192" t="str">
            <v>YAHOO</v>
          </cell>
        </row>
        <row r="193">
          <cell r="B193" t="str">
            <v>7767931</v>
          </cell>
          <cell r="C193" t="str">
            <v>CENTER ENERGY</v>
          </cell>
        </row>
        <row r="194">
          <cell r="B194" t="str">
            <v>7816600</v>
          </cell>
          <cell r="C194" t="str">
            <v>SAFE HARB WAT P</v>
          </cell>
        </row>
        <row r="195">
          <cell r="B195" t="str">
            <v>7873500</v>
          </cell>
          <cell r="C195" t="str">
            <v>SALESI MISSIONS</v>
          </cell>
        </row>
        <row r="196">
          <cell r="B196" t="str">
            <v>7875000</v>
          </cell>
          <cell r="C196" t="str">
            <v>SRP</v>
          </cell>
        </row>
        <row r="197">
          <cell r="B197" t="str">
            <v>7908323</v>
          </cell>
          <cell r="C197" t="str">
            <v>SANTEE COOPER</v>
          </cell>
        </row>
        <row r="198">
          <cell r="B198" t="str">
            <v>7962800</v>
          </cell>
          <cell r="C198" t="str">
            <v>SCHOLA</v>
          </cell>
        </row>
        <row r="199">
          <cell r="B199" t="str">
            <v>7979183</v>
          </cell>
          <cell r="C199" t="str">
            <v>MANUGI/AT&amp;T</v>
          </cell>
        </row>
        <row r="200">
          <cell r="B200" t="str">
            <v>7988180</v>
          </cell>
          <cell r="C200" t="str">
            <v>PP&amp;L-PORT WP</v>
          </cell>
        </row>
        <row r="201">
          <cell r="B201" t="str">
            <v>7995500</v>
          </cell>
          <cell r="C201" t="str">
            <v>TELCORDIA</v>
          </cell>
        </row>
        <row r="202">
          <cell r="B202" t="str">
            <v>8005000</v>
          </cell>
          <cell r="C202" t="str">
            <v>UNIVER CY STUDI</v>
          </cell>
        </row>
        <row r="203">
          <cell r="B203" t="str">
            <v>8081643</v>
          </cell>
          <cell r="C203" t="str">
            <v>SELECT</v>
          </cell>
        </row>
        <row r="204">
          <cell r="B204" t="str">
            <v>8107138</v>
          </cell>
          <cell r="C204" t="str">
            <v>SEMPRA ENERGY</v>
          </cell>
        </row>
        <row r="205">
          <cell r="B205" t="str">
            <v>8160480</v>
          </cell>
          <cell r="C205" t="str">
            <v>SIEBEL</v>
          </cell>
        </row>
        <row r="206">
          <cell r="B206" t="str">
            <v>8165778</v>
          </cell>
          <cell r="C206" t="str">
            <v>VECTRE</v>
          </cell>
        </row>
        <row r="207">
          <cell r="B207" t="str">
            <v>8197526</v>
          </cell>
          <cell r="C207" t="str">
            <v>SKYWOR SOLUTION</v>
          </cell>
        </row>
        <row r="208">
          <cell r="B208" t="str">
            <v>8237800</v>
          </cell>
          <cell r="C208" t="str">
            <v>SNOHOM CTY PUB</v>
          </cell>
        </row>
        <row r="209">
          <cell r="B209" t="str">
            <v>8250500</v>
          </cell>
          <cell r="C209" t="str">
            <v>SONY PICT ENTER</v>
          </cell>
        </row>
        <row r="210">
          <cell r="B210" t="str">
            <v>8260000</v>
          </cell>
          <cell r="C210" t="str">
            <v>SCANA SV</v>
          </cell>
        </row>
        <row r="211">
          <cell r="B211" t="str">
            <v>8300000</v>
          </cell>
          <cell r="C211" t="str">
            <v>SCE RSMD DP</v>
          </cell>
        </row>
        <row r="212">
          <cell r="B212" t="str">
            <v>8333000</v>
          </cell>
          <cell r="C212" t="str">
            <v>CINGULAR</v>
          </cell>
        </row>
        <row r="213">
          <cell r="B213" t="str">
            <v>8333000</v>
          </cell>
          <cell r="C213" t="str">
            <v>SBC</v>
          </cell>
        </row>
        <row r="214">
          <cell r="B214" t="str">
            <v>8348327</v>
          </cell>
          <cell r="C214" t="str">
            <v>GU TEL AUTHORIT</v>
          </cell>
        </row>
        <row r="215">
          <cell r="B215" t="str">
            <v>8388721</v>
          </cell>
          <cell r="C215" t="str">
            <v>SPRINT SPEC L P</v>
          </cell>
        </row>
        <row r="216">
          <cell r="B216" t="str">
            <v>8390178</v>
          </cell>
          <cell r="C216" t="str">
            <v>SPRINT</v>
          </cell>
        </row>
        <row r="217">
          <cell r="B217" t="str">
            <v>8390364</v>
          </cell>
          <cell r="C217" t="str">
            <v xml:space="preserve"> SPRINT/UNITED</v>
          </cell>
        </row>
        <row r="218">
          <cell r="B218" t="str">
            <v>8702572</v>
          </cell>
          <cell r="C218" t="str">
            <v>CENTUR THEATRES</v>
          </cell>
        </row>
        <row r="219">
          <cell r="B219" t="str">
            <v>8705329</v>
          </cell>
          <cell r="C219" t="str">
            <v>MEGGITT SAFETY</v>
          </cell>
        </row>
        <row r="220">
          <cell r="B220" t="str">
            <v>8707123</v>
          </cell>
          <cell r="C220" t="str">
            <v>SAP AMERICA</v>
          </cell>
        </row>
        <row r="221">
          <cell r="B221" t="str">
            <v>8724368</v>
          </cell>
          <cell r="C221" t="str">
            <v>TAKE-T INTE SOF</v>
          </cell>
        </row>
        <row r="222">
          <cell r="B222" t="str">
            <v>8739331</v>
          </cell>
          <cell r="C222" t="str">
            <v>TAYLOR GLEN MIL</v>
          </cell>
        </row>
        <row r="223">
          <cell r="B223" t="str">
            <v>8741312</v>
          </cell>
          <cell r="C223" t="str">
            <v>CABLE WIRE USA</v>
          </cell>
        </row>
        <row r="224">
          <cell r="B224" t="str">
            <v>8742366</v>
          </cell>
          <cell r="C224" t="str">
            <v>TEAM PA FOUNDAT</v>
          </cell>
        </row>
        <row r="225">
          <cell r="B225" t="str">
            <v>8753929</v>
          </cell>
          <cell r="C225" t="str">
            <v>TELCORDIA</v>
          </cell>
        </row>
        <row r="226">
          <cell r="B226" t="str">
            <v>8754839</v>
          </cell>
          <cell r="C226" t="str">
            <v>TELCORDIA</v>
          </cell>
        </row>
        <row r="227">
          <cell r="B227" t="str">
            <v>8764041</v>
          </cell>
          <cell r="C227" t="str">
            <v>U S TENNIS</v>
          </cell>
        </row>
        <row r="228">
          <cell r="B228" t="str">
            <v>8774984</v>
          </cell>
          <cell r="C228" t="str">
            <v>TESSCO TECHNOLO</v>
          </cell>
        </row>
        <row r="229">
          <cell r="B229" t="str">
            <v>8784000</v>
          </cell>
          <cell r="C229" t="str">
            <v>TXU BUSI SV</v>
          </cell>
        </row>
        <row r="230">
          <cell r="B230" t="str">
            <v>8812029</v>
          </cell>
          <cell r="C230" t="str">
            <v>NFL</v>
          </cell>
        </row>
        <row r="231">
          <cell r="B231" t="str">
            <v>8828035</v>
          </cell>
          <cell r="C231" t="str">
            <v>TWENTI CENT FOX</v>
          </cell>
        </row>
        <row r="232">
          <cell r="B232" t="str">
            <v>8852000</v>
          </cell>
          <cell r="C232" t="str">
            <v xml:space="preserve">AOL / WARNER BROS. </v>
          </cell>
        </row>
        <row r="233">
          <cell r="B233" t="str">
            <v>8869717</v>
          </cell>
          <cell r="C233" t="str">
            <v>TOBIN INT</v>
          </cell>
        </row>
        <row r="234">
          <cell r="B234" t="str">
            <v>8873340</v>
          </cell>
          <cell r="C234" t="str">
            <v>TECHNICOLOR INC</v>
          </cell>
        </row>
        <row r="235">
          <cell r="B235" t="str">
            <v>8899725</v>
          </cell>
          <cell r="C235" t="str">
            <v>PGA</v>
          </cell>
        </row>
        <row r="236">
          <cell r="B236" t="str">
            <v>8922081</v>
          </cell>
          <cell r="C236" t="str">
            <v>MI ELEC TRA LLC</v>
          </cell>
        </row>
        <row r="237">
          <cell r="B237" t="str">
            <v>8937200</v>
          </cell>
          <cell r="C237" t="str">
            <v>SUN SENT ATE BU</v>
          </cell>
        </row>
        <row r="238">
          <cell r="B238" t="str">
            <v>8950310</v>
          </cell>
          <cell r="C238" t="str">
            <v>TRITON PCS</v>
          </cell>
        </row>
        <row r="239">
          <cell r="B239" t="str">
            <v>9016527</v>
          </cell>
          <cell r="C239" t="str">
            <v>UNION POWE PAR</v>
          </cell>
        </row>
        <row r="240">
          <cell r="B240" t="str">
            <v>9066410</v>
          </cell>
          <cell r="C240" t="str">
            <v>DISCOV COM</v>
          </cell>
        </row>
        <row r="241">
          <cell r="B241" t="str">
            <v>9069145</v>
          </cell>
          <cell r="C241" t="str">
            <v>W PUBL ST PAUL / PROMET</v>
          </cell>
        </row>
        <row r="242">
          <cell r="B242" t="str">
            <v>9095374</v>
          </cell>
          <cell r="C242" t="str">
            <v>FUTURE COMP SYS</v>
          </cell>
        </row>
        <row r="243">
          <cell r="B243" t="str">
            <v>9109400</v>
          </cell>
          <cell r="C243" t="str">
            <v>UWAY ALEXANDRIA</v>
          </cell>
        </row>
        <row r="244">
          <cell r="B244" t="str">
            <v>9128000</v>
          </cell>
          <cell r="C244" t="str">
            <v>UNITED ILLUMIN</v>
          </cell>
        </row>
        <row r="245">
          <cell r="B245" t="str">
            <v>9155000</v>
          </cell>
          <cell r="C245" t="str">
            <v>QWEST</v>
          </cell>
        </row>
        <row r="246">
          <cell r="B246" t="str">
            <v>9162300</v>
          </cell>
          <cell r="C246" t="str">
            <v>US SPRINT</v>
          </cell>
        </row>
        <row r="247">
          <cell r="B247" t="str">
            <v>9187015</v>
          </cell>
          <cell r="C247" t="str">
            <v>TELETECH INC</v>
          </cell>
        </row>
        <row r="248">
          <cell r="B248" t="str">
            <v>9300459</v>
          </cell>
          <cell r="C248" t="str">
            <v>U WAY AMERICA</v>
          </cell>
        </row>
        <row r="249">
          <cell r="B249" t="str">
            <v>9351167</v>
          </cell>
          <cell r="C249" t="str">
            <v>V MOBI USA</v>
          </cell>
        </row>
        <row r="250">
          <cell r="B250" t="str">
            <v>9391436</v>
          </cell>
          <cell r="C250" t="str">
            <v>TICKET MASTER</v>
          </cell>
        </row>
        <row r="251">
          <cell r="B251" t="str">
            <v>9424367</v>
          </cell>
          <cell r="C251" t="str">
            <v>VERIZON</v>
          </cell>
        </row>
        <row r="252">
          <cell r="B252" t="str">
            <v>9431195</v>
          </cell>
          <cell r="C252" t="str">
            <v>VERIZON</v>
          </cell>
        </row>
        <row r="253">
          <cell r="B253" t="str">
            <v>9433131</v>
          </cell>
          <cell r="C253" t="str">
            <v>VERIZON</v>
          </cell>
        </row>
        <row r="254">
          <cell r="B254" t="str">
            <v>9434382</v>
          </cell>
          <cell r="C254" t="str">
            <v>VERIZON</v>
          </cell>
        </row>
        <row r="255">
          <cell r="B255" t="str">
            <v>9463108</v>
          </cell>
          <cell r="C255" t="str">
            <v>AQUILA</v>
          </cell>
        </row>
        <row r="256">
          <cell r="B256" t="str">
            <v>9515000</v>
          </cell>
          <cell r="C256" t="str">
            <v>WA GAS LIGHT</v>
          </cell>
        </row>
        <row r="257">
          <cell r="B257" t="str">
            <v>9529924</v>
          </cell>
          <cell r="C257" t="str">
            <v>WASTE MANAGEMEN</v>
          </cell>
        </row>
        <row r="258">
          <cell r="B258" t="str">
            <v>9695000</v>
          </cell>
          <cell r="C258" t="str">
            <v>VIACOM / BLOCKBUSTER</v>
          </cell>
        </row>
        <row r="259">
          <cell r="B259" t="str">
            <v>9831300</v>
          </cell>
          <cell r="C259" t="str">
            <v>THE WALT DISNEY</v>
          </cell>
        </row>
        <row r="260">
          <cell r="B260" t="str">
            <v>9833000</v>
          </cell>
          <cell r="C260" t="str">
            <v>WPS</v>
          </cell>
        </row>
        <row r="261">
          <cell r="B261" t="str">
            <v>9846030</v>
          </cell>
          <cell r="C261" t="str">
            <v>WOLTER KLUWER</v>
          </cell>
        </row>
        <row r="262">
          <cell r="B262" t="str">
            <v>9885107</v>
          </cell>
          <cell r="C262" t="str">
            <v>WORLD WRES ENTE</v>
          </cell>
        </row>
        <row r="263">
          <cell r="B263" t="str">
            <v>9920170</v>
          </cell>
          <cell r="C263" t="str">
            <v>XCEL ENERGY</v>
          </cell>
        </row>
        <row r="264">
          <cell r="B264" t="str">
            <v>9980808</v>
          </cell>
          <cell r="C264" t="str">
            <v>ZAGAT SURV LLC</v>
          </cell>
        </row>
        <row r="265">
          <cell r="B265" t="str">
            <v>DEFAULT</v>
          </cell>
          <cell r="C265" t="str">
            <v/>
          </cell>
        </row>
        <row r="266">
          <cell r="B266" t="str">
            <v>MEDIA I</v>
          </cell>
          <cell r="C266" t="str">
            <v>STRY DEFAULT</v>
          </cell>
        </row>
        <row r="267">
          <cell r="B267" t="str">
            <v xml:space="preserve">OR ODD </v>
          </cell>
          <cell r="C267" t="str">
            <v xml:space="preserve"> ACCRUAL</v>
          </cell>
        </row>
        <row r="268">
          <cell r="B268" t="str">
            <v>TELECOM</v>
          </cell>
          <cell r="C268" t="str">
            <v>DUSTRY DEFAULT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Summary"/>
      <sheetName val="Swaps"/>
      <sheetName val="Collars"/>
      <sheetName val="Prices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l Information"/>
      <sheetName val="How to  Update Forms"/>
      <sheetName val="Advo"/>
      <sheetName val="Sony Project Star"/>
      <sheetName val="Washington Post - PAMS"/>
      <sheetName val="Cinergy"/>
      <sheetName val="Xcel"/>
      <sheetName val="Portland GE"/>
      <sheetName val="DTE"/>
      <sheetName val="BellSouth"/>
      <sheetName val="Qwest"/>
      <sheetName val="Sprint SPDE"/>
    </sheetNames>
    <sheetDataSet>
      <sheetData sheetId="0"/>
      <sheetData sheetId="1" refreshError="1">
        <row r="153">
          <cell r="B153" t="str">
            <v>(Please Select One)</v>
          </cell>
        </row>
        <row r="154">
          <cell r="B154" t="str">
            <v>Analysis</v>
          </cell>
        </row>
        <row r="155">
          <cell r="B155" t="str">
            <v>Design</v>
          </cell>
        </row>
        <row r="156">
          <cell r="B156" t="str">
            <v>Construction</v>
          </cell>
        </row>
        <row r="157">
          <cell r="B157" t="str">
            <v>Implementation</v>
          </cell>
        </row>
        <row r="158">
          <cell r="B158" t="str">
            <v>Post-Implementation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cash flow"/>
      <sheetName val="SP_cost increase_GW"/>
      <sheetName val="Summary ias"/>
      <sheetName val="WACC"/>
      <sheetName val="FACT SHEET - pack"/>
      <sheetName val="Valuation sheet pack TOTAL"/>
      <sheetName val="Valuation sheet STEVENS POINT"/>
      <sheetName val="Valuation sheet #13"/>
      <sheetName val="Valuation sheet CORES"/>
      <sheetName val="Valuation sheet CARTONS"/>
      <sheetName val="Valuation sheet CHIPS"/>
      <sheetName val="FACT SHEET- Fine"/>
      <sheetName val="Valuation sheet Fine  TOTAL"/>
      <sheetName val="Valuation sheet WIS RAPIDS"/>
      <sheetName val="Valuation sheet KIMBERLY - FINE"/>
      <sheetName val="Valuation sheet DULUTH PULP"/>
      <sheetName val="FACT SHEET - Mag"/>
      <sheetName val="Valuation sheet Mag TOTAL"/>
      <sheetName val="Valuation sheet BIRON"/>
      <sheetName val="Valuation sheet NIAGARA"/>
      <sheetName val="Valuation sheet WHITING"/>
      <sheetName val="Valuation sheet KIMBERLY"/>
      <sheetName val="Valuation sheet DULUTH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5">
          <cell r="E75">
            <v>2.5000000000000001E-2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Graph Data"/>
      <sheetName val="Individual Cals"/>
      <sheetName val="Assumptions"/>
      <sheetName val="Graphs"/>
      <sheetName val="Graphs2"/>
      <sheetName val="Versions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0.81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"/>
      <sheetName val="CST"/>
      <sheetName val="MCSC"/>
      <sheetName val="MCNP"/>
      <sheetName val="LBSC"/>
      <sheetName val="LBNP"/>
      <sheetName val="OPER"/>
      <sheetName val="OPPR"/>
      <sheetName val="HIGH"/>
      <sheetName val="ST2"/>
      <sheetName val="ST1"/>
      <sheetName val="ST2SW"/>
      <sheetName val="APP"/>
      <sheetName val="SFCST"/>
      <sheetName val="SFINC"/>
      <sheetName val="SFKEY"/>
      <sheetName val="SKBBS"/>
      <sheetName val="SKBIS"/>
      <sheetName val="FLFIN"/>
      <sheetName val="CAP"/>
      <sheetName val="BUD"/>
      <sheetName val="PM1 RESULT"/>
      <sheetName val="PM1 VAR"/>
      <sheetName val="PM2 RESULT"/>
      <sheetName val="PM2 VAR"/>
      <sheetName val="MILL VAR"/>
      <sheetName val="PM1GRAPHS"/>
      <sheetName val="PM2GRAPHS"/>
    </sheetNames>
    <sheetDataSet>
      <sheetData sheetId="0"/>
      <sheetData sheetId="1"/>
      <sheetData sheetId="2"/>
      <sheetData sheetId="3">
        <row r="2">
          <cell r="O2">
            <v>155.92999999999998</v>
          </cell>
          <cell r="P2">
            <v>159.21</v>
          </cell>
        </row>
        <row r="3">
          <cell r="O3" t="e">
            <v>#REF!</v>
          </cell>
          <cell r="P3" t="e">
            <v>#REF!</v>
          </cell>
        </row>
        <row r="4">
          <cell r="O4" t="e">
            <v>#REF!</v>
          </cell>
          <cell r="P4" t="e">
            <v>#REF!</v>
          </cell>
        </row>
        <row r="5">
          <cell r="O5">
            <v>140.54</v>
          </cell>
          <cell r="P5">
            <v>126.35</v>
          </cell>
        </row>
        <row r="6">
          <cell r="O6" t="e">
            <v>#REF!</v>
          </cell>
          <cell r="P6" t="e">
            <v>#REF!</v>
          </cell>
        </row>
        <row r="7">
          <cell r="O7" t="e">
            <v>#REF!</v>
          </cell>
          <cell r="P7" t="e">
            <v>#REF!</v>
          </cell>
        </row>
        <row r="8">
          <cell r="O8">
            <v>87.89</v>
          </cell>
          <cell r="P8">
            <v>80.010000000000005</v>
          </cell>
        </row>
        <row r="9">
          <cell r="O9">
            <v>135.88</v>
          </cell>
          <cell r="P9">
            <v>130.69587986137844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l Participants"/>
      <sheetName val="How to  Update Forms"/>
      <sheetName val="Sprint SPDE"/>
      <sheetName val="BellSouth"/>
      <sheetName val="Qwest"/>
      <sheetName val="Advo"/>
      <sheetName val="Sony Project Star"/>
      <sheetName val="DTE"/>
      <sheetName val="Cinergy"/>
      <sheetName val="Xcel"/>
      <sheetName val="Portland GE"/>
      <sheetName val="Washington Post - PAMS"/>
      <sheetName val="T-Mobile "/>
    </sheetNames>
    <sheetDataSet>
      <sheetData sheetId="0"/>
      <sheetData sheetId="1" refreshError="1">
        <row r="153">
          <cell r="B153" t="str">
            <v>(Please Select One)</v>
          </cell>
        </row>
        <row r="154">
          <cell r="B154" t="str">
            <v>Analysis</v>
          </cell>
        </row>
        <row r="155">
          <cell r="B155" t="str">
            <v>Design</v>
          </cell>
        </row>
        <row r="156">
          <cell r="B156" t="str">
            <v>Construction</v>
          </cell>
        </row>
        <row r="157">
          <cell r="B157" t="str">
            <v>Implementation</v>
          </cell>
        </row>
        <row r="158">
          <cell r="B158" t="str">
            <v>Post-Implementation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epairCost"/>
      <sheetName val="HistData"/>
      <sheetName val="CALC"/>
      <sheetName val="Waterfall"/>
      <sheetName val="Tornado"/>
      <sheetName val="RiskProfile"/>
      <sheetName val="Depr"/>
      <sheetName val="RevRecord"/>
    </sheetNames>
    <sheetDataSet>
      <sheetData sheetId="0" refreshError="1">
        <row r="1">
          <cell r="B1" t="str">
            <v>Imploded Cars Project 3</v>
          </cell>
        </row>
        <row r="6">
          <cell r="M6" t="str">
            <v>All Vented</v>
          </cell>
          <cell r="P6" t="str">
            <v>All Non-Vented</v>
          </cell>
          <cell r="S6" t="str">
            <v>New Cars Vented</v>
          </cell>
          <cell r="V6" t="str">
            <v>All Valved</v>
          </cell>
          <cell r="Y6" t="str">
            <v>New Cars Valved</v>
          </cell>
        </row>
        <row r="11">
          <cell r="F11">
            <v>110</v>
          </cell>
        </row>
        <row r="14">
          <cell r="F14">
            <v>1</v>
          </cell>
        </row>
        <row r="15">
          <cell r="F15">
            <v>2.75</v>
          </cell>
        </row>
        <row r="16">
          <cell r="F16">
            <v>9</v>
          </cell>
        </row>
        <row r="18">
          <cell r="F18">
            <v>4</v>
          </cell>
        </row>
        <row r="20">
          <cell r="F20">
            <v>11977.45</v>
          </cell>
        </row>
        <row r="21">
          <cell r="F21">
            <v>3933.95</v>
          </cell>
        </row>
        <row r="22">
          <cell r="F22">
            <v>13572.89</v>
          </cell>
        </row>
        <row r="23">
          <cell r="F23">
            <v>2.5000000000000001E-2</v>
          </cell>
        </row>
        <row r="26">
          <cell r="D26">
            <v>3200</v>
          </cell>
        </row>
        <row r="29">
          <cell r="D29">
            <v>4</v>
          </cell>
        </row>
        <row r="30">
          <cell r="D30">
            <v>4</v>
          </cell>
        </row>
        <row r="31">
          <cell r="D31">
            <v>0.1</v>
          </cell>
        </row>
        <row r="32">
          <cell r="D32">
            <v>0.4</v>
          </cell>
        </row>
        <row r="33">
          <cell r="D33">
            <v>2002</v>
          </cell>
        </row>
        <row r="34">
          <cell r="D34">
            <v>20</v>
          </cell>
        </row>
        <row r="41">
          <cell r="B41">
            <v>1</v>
          </cell>
        </row>
        <row r="50">
          <cell r="B50">
            <v>2</v>
          </cell>
        </row>
      </sheetData>
      <sheetData sheetId="1" refreshError="1">
        <row r="38">
          <cell r="D38">
            <v>2002</v>
          </cell>
          <cell r="E38">
            <v>12973.62708306967</v>
          </cell>
        </row>
        <row r="39">
          <cell r="D39">
            <v>2003</v>
          </cell>
          <cell r="E39">
            <v>13206.269108069671</v>
          </cell>
        </row>
        <row r="40">
          <cell r="D40">
            <v>2004</v>
          </cell>
          <cell r="E40">
            <v>13438.911133069672</v>
          </cell>
        </row>
        <row r="41">
          <cell r="D41">
            <v>2005</v>
          </cell>
          <cell r="E41">
            <v>13671.553158069673</v>
          </cell>
        </row>
        <row r="42">
          <cell r="D42">
            <v>2006</v>
          </cell>
          <cell r="E42">
            <v>13904.195183069674</v>
          </cell>
        </row>
        <row r="43">
          <cell r="D43">
            <v>2007</v>
          </cell>
          <cell r="E43">
            <v>14136.837208069675</v>
          </cell>
        </row>
        <row r="44">
          <cell r="D44">
            <v>2008</v>
          </cell>
          <cell r="E44">
            <v>14369.479233069675</v>
          </cell>
        </row>
        <row r="45">
          <cell r="D45">
            <v>2009</v>
          </cell>
          <cell r="E45">
            <v>14602.121258069676</v>
          </cell>
        </row>
        <row r="46">
          <cell r="D46">
            <v>2010</v>
          </cell>
          <cell r="E46">
            <v>14834.763283069675</v>
          </cell>
        </row>
        <row r="47">
          <cell r="D47">
            <v>2011</v>
          </cell>
          <cell r="E47">
            <v>15067.405308069676</v>
          </cell>
        </row>
        <row r="48">
          <cell r="D48">
            <v>2012</v>
          </cell>
          <cell r="E48">
            <v>15300.047333069677</v>
          </cell>
        </row>
        <row r="49">
          <cell r="D49">
            <v>2013</v>
          </cell>
          <cell r="E49">
            <v>15532.689358069678</v>
          </cell>
        </row>
        <row r="50">
          <cell r="D50">
            <v>2014</v>
          </cell>
          <cell r="E50">
            <v>15765.331383069679</v>
          </cell>
        </row>
        <row r="51">
          <cell r="D51">
            <v>2015</v>
          </cell>
          <cell r="E51">
            <v>15997.973408069678</v>
          </cell>
        </row>
        <row r="52">
          <cell r="D52">
            <v>2016</v>
          </cell>
          <cell r="E52">
            <v>16230.615433069679</v>
          </cell>
        </row>
        <row r="53">
          <cell r="D53">
            <v>2017</v>
          </cell>
          <cell r="E53">
            <v>16463.257458069682</v>
          </cell>
        </row>
        <row r="54">
          <cell r="D54">
            <v>2018</v>
          </cell>
          <cell r="E54">
            <v>16695.899483069683</v>
          </cell>
        </row>
        <row r="55">
          <cell r="D55">
            <v>2019</v>
          </cell>
          <cell r="E55">
            <v>16928.541508069684</v>
          </cell>
        </row>
        <row r="56">
          <cell r="D56">
            <v>2020</v>
          </cell>
          <cell r="E56">
            <v>17161.183533069681</v>
          </cell>
        </row>
        <row r="57">
          <cell r="D57">
            <v>2021</v>
          </cell>
          <cell r="E57">
            <v>17393.825558069686</v>
          </cell>
        </row>
      </sheetData>
      <sheetData sheetId="2" refreshError="1"/>
      <sheetData sheetId="3" refreshError="1">
        <row r="3">
          <cell r="B3">
            <v>2002</v>
          </cell>
          <cell r="C3">
            <v>2003</v>
          </cell>
          <cell r="D3">
            <v>2004</v>
          </cell>
          <cell r="E3">
            <v>2005</v>
          </cell>
          <cell r="F3">
            <v>2006</v>
          </cell>
          <cell r="G3">
            <v>2007</v>
          </cell>
          <cell r="H3">
            <v>2008</v>
          </cell>
          <cell r="I3">
            <v>2009</v>
          </cell>
          <cell r="J3">
            <v>2010</v>
          </cell>
          <cell r="K3">
            <v>2011</v>
          </cell>
          <cell r="L3">
            <v>2012</v>
          </cell>
          <cell r="M3">
            <v>2013</v>
          </cell>
          <cell r="N3">
            <v>2014</v>
          </cell>
          <cell r="O3">
            <v>2015</v>
          </cell>
          <cell r="P3">
            <v>2016</v>
          </cell>
          <cell r="Q3">
            <v>2017</v>
          </cell>
          <cell r="R3">
            <v>2018</v>
          </cell>
          <cell r="S3">
            <v>2019</v>
          </cell>
          <cell r="T3">
            <v>2020</v>
          </cell>
          <cell r="U3">
            <v>2021</v>
          </cell>
        </row>
        <row r="35">
          <cell r="B35">
            <v>-5211.8933486713477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D1">
            <v>37848</v>
          </cell>
        </row>
        <row r="2">
          <cell r="D2">
            <v>1.2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chedule"/>
      <sheetName val="Detailed Inputs"/>
      <sheetName val="PM1 Prod"/>
      <sheetName val="PM2 Prod"/>
      <sheetName val="PM1 Furnish"/>
      <sheetName val="PM2 Furnish"/>
      <sheetName val="Mtce"/>
      <sheetName val="Mat Handling"/>
      <sheetName val="Sec Tmt &amp; Hog Fuel"/>
      <sheetName val="Stores"/>
      <sheetName val="Plant Protection"/>
      <sheetName val="NewsMachine"/>
      <sheetName val="NewsClothing &amp; Fin"/>
      <sheetName val="NewsWarehouse"/>
      <sheetName val="SCWarehouse"/>
      <sheetName val="Clay &amp; Kraft"/>
      <sheetName val="TMP"/>
      <sheetName val="SC Machine"/>
      <sheetName val="Woodroom"/>
      <sheetName val="Woodyard"/>
      <sheetName val="Steam Plant"/>
      <sheetName val="Technical"/>
      <sheetName val="730"/>
      <sheetName val="750"/>
      <sheetName val="760"/>
      <sheetName val="702"/>
      <sheetName val="920"/>
      <sheetName val="920BS"/>
      <sheetName val="1721"/>
      <sheetName val="2721"/>
      <sheetName val="1733 "/>
      <sheetName val="2731"/>
      <sheetName val="2733"/>
      <sheetName val="711"/>
      <sheetName val="705"/>
      <sheetName val="729"/>
      <sheetName val="728"/>
      <sheetName val="921"/>
      <sheetName val="2734"/>
      <sheetName val="1704"/>
      <sheetName val="1708"/>
      <sheetName val="720"/>
      <sheetName val="871"/>
      <sheetName val="790"/>
      <sheetName val="791"/>
      <sheetName val="792"/>
      <sheetName val="793"/>
      <sheetName val="794"/>
      <sheetName val="795"/>
      <sheetName val="796"/>
      <sheetName val="797"/>
      <sheetName val="798"/>
      <sheetName val="799"/>
      <sheetName val="800"/>
      <sheetName val="801"/>
      <sheetName val="860"/>
      <sheetName val="861"/>
      <sheetName val="862"/>
      <sheetName val="863"/>
      <sheetName val="864"/>
      <sheetName val="865"/>
      <sheetName val="866"/>
      <sheetName val="87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SUMMARY"/>
      <sheetName val="FACT SHEET - Mag"/>
      <sheetName val="Valuation sheet Mag"/>
      <sheetName val="FACT SHEET- Fine"/>
      <sheetName val="Valuation sheet Fine"/>
      <sheetName val="FACT SHEET- Spec"/>
      <sheetName val="Valuation sheet Spec"/>
      <sheetName val="FACT SHEET- News"/>
      <sheetName val="Valuation sheet news"/>
      <sheetName val="RISI"/>
      <sheetName val="Capacity"/>
      <sheetName val="Fixed Cost Savings"/>
      <sheetName val="4th qtr forecast"/>
      <sheetName val="Asset 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NP"/>
      <sheetName val="Act-NP"/>
      <sheetName val="Bud-NP"/>
      <sheetName val="SC"/>
      <sheetName val="Act-SC"/>
      <sheetName val="Bud-SC"/>
      <sheetName val="NP-5"/>
      <sheetName val="NP-5A"/>
      <sheetName val="SC-6"/>
      <sheetName val="SC-6A"/>
      <sheetName val="Prod-HP"/>
      <sheetName val="Sheet1"/>
      <sheetName val="Production"/>
      <sheetName val="Yield"/>
      <sheetName val="Inv"/>
      <sheetName val="ST1"/>
      <sheetName val="ST2"/>
      <sheetName val="Energy"/>
      <sheetName val="Sheet2"/>
      <sheetName val="501-17"/>
      <sheetName val="Sheet3"/>
      <sheetName val="Prod Bgt"/>
      <sheetName val="Bgt by dep"/>
      <sheetName val="Budget"/>
      <sheetName val="supl"/>
    </sheetNames>
    <sheetDataSet>
      <sheetData sheetId="0" refreshError="1"/>
      <sheetData sheetId="1" refreshError="1"/>
      <sheetData sheetId="2" refreshError="1">
        <row r="5">
          <cell r="A5" t="str">
            <v>G/L</v>
          </cell>
          <cell r="B5" t="str">
            <v>Type</v>
          </cell>
          <cell r="C5" t="str">
            <v>Item</v>
          </cell>
          <cell r="D5" t="str">
            <v>Current</v>
          </cell>
          <cell r="E5" t="str">
            <v>Prev YTD</v>
          </cell>
          <cell r="F5" t="str">
            <v>Curr YTD</v>
          </cell>
          <cell r="G5" t="str">
            <v>Current</v>
          </cell>
          <cell r="H5" t="str">
            <v>Prev YTD</v>
          </cell>
          <cell r="I5" t="str">
            <v>Curr YTD</v>
          </cell>
        </row>
        <row r="6">
          <cell r="A6">
            <v>70228</v>
          </cell>
          <cell r="B6" t="str">
            <v>Power</v>
          </cell>
          <cell r="C6" t="str">
            <v>wr power</v>
          </cell>
          <cell r="D6">
            <v>0</v>
          </cell>
          <cell r="E6">
            <v>2036293.8621761028</v>
          </cell>
          <cell r="F6">
            <v>2036293.8621761028</v>
          </cell>
          <cell r="G6">
            <v>0</v>
          </cell>
          <cell r="H6">
            <v>107811</v>
          </cell>
          <cell r="I6">
            <v>107811</v>
          </cell>
        </row>
        <row r="7">
          <cell r="A7" t="str">
            <v>220000728.47364</v>
          </cell>
          <cell r="B7" t="str">
            <v>ST Chemical</v>
          </cell>
          <cell r="C7" t="str">
            <v>ST Polymer</v>
          </cell>
          <cell r="D7">
            <v>2275</v>
          </cell>
          <cell r="E7">
            <v>17580</v>
          </cell>
          <cell r="F7">
            <v>19855</v>
          </cell>
          <cell r="G7">
            <v>12853.75</v>
          </cell>
          <cell r="H7">
            <v>87235</v>
          </cell>
          <cell r="I7">
            <v>100088.75</v>
          </cell>
        </row>
        <row r="8">
          <cell r="A8" t="str">
            <v>220000728.47362</v>
          </cell>
          <cell r="B8" t="str">
            <v>ST Chemical</v>
          </cell>
          <cell r="C8" t="str">
            <v>phos.acid</v>
          </cell>
          <cell r="D8">
            <v>8375.5</v>
          </cell>
          <cell r="E8">
            <v>48378.770000000004</v>
          </cell>
          <cell r="F8">
            <v>56754.270000000004</v>
          </cell>
          <cell r="G8">
            <v>4738.46</v>
          </cell>
          <cell r="H8">
            <v>45957.19</v>
          </cell>
          <cell r="I8">
            <v>54576.19</v>
          </cell>
        </row>
        <row r="9">
          <cell r="A9" t="str">
            <v>220000728.47020</v>
          </cell>
          <cell r="B9" t="str">
            <v>ST Chemical</v>
          </cell>
          <cell r="C9" t="str">
            <v>anhy.amm.</v>
          </cell>
          <cell r="D9">
            <v>13223</v>
          </cell>
          <cell r="E9">
            <v>63657.919999999998</v>
          </cell>
          <cell r="F9">
            <v>76880.92</v>
          </cell>
          <cell r="G9">
            <v>10141.76</v>
          </cell>
          <cell r="H9">
            <v>55058.92</v>
          </cell>
          <cell r="I9">
            <v>60225.919999999998</v>
          </cell>
        </row>
        <row r="10">
          <cell r="A10" t="str">
            <v>220000728.47330</v>
          </cell>
          <cell r="B10" t="str">
            <v>ST Chemical</v>
          </cell>
          <cell r="C10" t="str">
            <v>lime</v>
          </cell>
          <cell r="D10">
            <v>3150</v>
          </cell>
          <cell r="E10">
            <v>12556.19</v>
          </cell>
          <cell r="F10">
            <v>15706.19</v>
          </cell>
          <cell r="G10">
            <v>0</v>
          </cell>
          <cell r="H10">
            <v>9492</v>
          </cell>
          <cell r="I10">
            <v>11865</v>
          </cell>
        </row>
        <row r="11">
          <cell r="A11">
            <v>72814</v>
          </cell>
          <cell r="B11" t="str">
            <v>ST Chemical</v>
          </cell>
          <cell r="C11" t="str">
            <v>caustic soda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220000728.47100.002</v>
          </cell>
          <cell r="B12" t="str">
            <v>ST Chemical</v>
          </cell>
          <cell r="C12" t="str">
            <v>defoamer</v>
          </cell>
          <cell r="D12">
            <v>0</v>
          </cell>
          <cell r="E12">
            <v>460.8</v>
          </cell>
          <cell r="F12">
            <v>460.8</v>
          </cell>
          <cell r="G12">
            <v>0</v>
          </cell>
          <cell r="H12">
            <v>7162</v>
          </cell>
          <cell r="I12">
            <v>7162</v>
          </cell>
        </row>
        <row r="13">
          <cell r="A13">
            <v>72816</v>
          </cell>
          <cell r="B13" t="str">
            <v>ST Chemical</v>
          </cell>
          <cell r="C13" t="str">
            <v>hypo chlorate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>
            <v>72826</v>
          </cell>
          <cell r="B14" t="str">
            <v>Power</v>
          </cell>
          <cell r="C14" t="str">
            <v xml:space="preserve"> st power</v>
          </cell>
          <cell r="D14">
            <v>0</v>
          </cell>
          <cell r="E14">
            <v>2751310.8889040356</v>
          </cell>
          <cell r="F14">
            <v>2751310.8889040356</v>
          </cell>
          <cell r="G14">
            <v>0</v>
          </cell>
          <cell r="H14">
            <v>145755</v>
          </cell>
          <cell r="I14">
            <v>145755</v>
          </cell>
        </row>
        <row r="15">
          <cell r="A15">
            <v>170408</v>
          </cell>
          <cell r="B15" t="str">
            <v>Op supp</v>
          </cell>
          <cell r="C15" t="str">
            <v>op supp-np</v>
          </cell>
          <cell r="E15">
            <v>0</v>
          </cell>
          <cell r="F15">
            <v>0</v>
          </cell>
          <cell r="G15">
            <v>22327</v>
          </cell>
          <cell r="H15">
            <v>156289</v>
          </cell>
          <cell r="I15">
            <v>178616</v>
          </cell>
        </row>
        <row r="16">
          <cell r="A16">
            <v>170413</v>
          </cell>
          <cell r="B16" t="str">
            <v>Op supp</v>
          </cell>
          <cell r="C16" t="str">
            <v>wires-np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A17" t="str">
            <v>220001704.47100.002</v>
          </cell>
          <cell r="B17" t="str">
            <v>Chemical</v>
          </cell>
          <cell r="C17" t="str">
            <v>NP Defoamer</v>
          </cell>
          <cell r="D17">
            <v>7680</v>
          </cell>
          <cell r="E17">
            <v>23040</v>
          </cell>
          <cell r="F17">
            <v>30720</v>
          </cell>
          <cell r="G17">
            <v>17280</v>
          </cell>
          <cell r="H17">
            <v>51840</v>
          </cell>
          <cell r="I17">
            <v>69120</v>
          </cell>
        </row>
        <row r="18">
          <cell r="A18">
            <v>170426</v>
          </cell>
          <cell r="B18" t="str">
            <v>Steam</v>
          </cell>
          <cell r="C18" t="str">
            <v>steam cr re tmp</v>
          </cell>
          <cell r="D18">
            <v>0</v>
          </cell>
          <cell r="F18">
            <v>0</v>
          </cell>
          <cell r="G18">
            <v>0</v>
          </cell>
          <cell r="I18">
            <v>0</v>
          </cell>
        </row>
        <row r="19">
          <cell r="A19" t="str">
            <v>220001704.58202</v>
          </cell>
          <cell r="B19" t="str">
            <v>Steam</v>
          </cell>
          <cell r="C19" t="str">
            <v>sp steam to pm1</v>
          </cell>
          <cell r="H19">
            <v>340679.27</v>
          </cell>
          <cell r="I19">
            <v>340679.27</v>
          </cell>
        </row>
        <row r="20">
          <cell r="A20">
            <v>170428</v>
          </cell>
          <cell r="B20" t="str">
            <v>Power</v>
          </cell>
          <cell r="C20" t="str">
            <v>np power</v>
          </cell>
          <cell r="D20" t="e">
            <v>#DIV/0!</v>
          </cell>
          <cell r="E20" t="e">
            <v>#DIV/0!</v>
          </cell>
          <cell r="F20" t="e">
            <v>#DIV/0!</v>
          </cell>
          <cell r="G20">
            <v>0</v>
          </cell>
          <cell r="H20">
            <v>1804515</v>
          </cell>
          <cell r="I20">
            <v>1804515</v>
          </cell>
        </row>
        <row r="21">
          <cell r="A21">
            <v>170430</v>
          </cell>
          <cell r="B21" t="str">
            <v>Power</v>
          </cell>
          <cell r="C21" t="str">
            <v>np tmp power</v>
          </cell>
          <cell r="D21">
            <v>0</v>
          </cell>
          <cell r="E21">
            <v>123917371</v>
          </cell>
          <cell r="F21">
            <v>123917371</v>
          </cell>
          <cell r="G21">
            <v>0</v>
          </cell>
          <cell r="H21">
            <v>6566098</v>
          </cell>
          <cell r="I21">
            <v>6566098</v>
          </cell>
        </row>
        <row r="22">
          <cell r="A22" t="str">
            <v>220001704.47060</v>
          </cell>
          <cell r="B22" t="str">
            <v>Chemical</v>
          </cell>
          <cell r="C22" t="str">
            <v>NP Colors &amp; ink</v>
          </cell>
          <cell r="D22">
            <v>1996</v>
          </cell>
          <cell r="E22">
            <v>10024.799999999999</v>
          </cell>
          <cell r="F22">
            <v>12020.8</v>
          </cell>
          <cell r="G22">
            <v>16007.92</v>
          </cell>
          <cell r="H22">
            <v>103412.63</v>
          </cell>
          <cell r="I22">
            <v>119420.55</v>
          </cell>
        </row>
        <row r="23">
          <cell r="A23">
            <v>170433</v>
          </cell>
          <cell r="B23" t="str">
            <v>Chemical</v>
          </cell>
          <cell r="C23" t="str">
            <v>sulfur dioxide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</row>
        <row r="24">
          <cell r="A24">
            <v>170434</v>
          </cell>
          <cell r="B24" t="str">
            <v>Chemical</v>
          </cell>
          <cell r="C24" t="str">
            <v>caustic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A25">
            <v>170436</v>
          </cell>
          <cell r="B25" t="str">
            <v>Chemical</v>
          </cell>
          <cell r="C25" t="str">
            <v>np pitch dispersant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 t="str">
            <v>220001704.47100.001</v>
          </cell>
          <cell r="B26" t="str">
            <v>Chemical</v>
          </cell>
          <cell r="C26" t="str">
            <v>NP Bioside</v>
          </cell>
          <cell r="D26">
            <v>204</v>
          </cell>
          <cell r="E26">
            <v>1428</v>
          </cell>
          <cell r="F26">
            <v>1632</v>
          </cell>
          <cell r="G26">
            <v>4199.04</v>
          </cell>
          <cell r="H26">
            <v>29393.280000000002</v>
          </cell>
          <cell r="I26">
            <v>33592.32</v>
          </cell>
        </row>
        <row r="27">
          <cell r="A27">
            <v>170440</v>
          </cell>
          <cell r="B27" t="str">
            <v>Wires &amp; felts</v>
          </cell>
          <cell r="C27" t="str">
            <v>wires</v>
          </cell>
          <cell r="E27">
            <v>0</v>
          </cell>
          <cell r="F27">
            <v>0</v>
          </cell>
          <cell r="G27">
            <v>101754</v>
          </cell>
          <cell r="H27">
            <v>712278</v>
          </cell>
          <cell r="I27">
            <v>814032</v>
          </cell>
        </row>
        <row r="28">
          <cell r="A28">
            <v>170441</v>
          </cell>
          <cell r="B28" t="str">
            <v>Wires &amp; felts</v>
          </cell>
          <cell r="C28" t="str">
            <v>felts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A29" t="str">
            <v>220001704.46050</v>
          </cell>
          <cell r="B29" t="str">
            <v>Clay</v>
          </cell>
          <cell r="C29" t="str">
            <v>clay</v>
          </cell>
          <cell r="D29">
            <v>390150</v>
          </cell>
          <cell r="E29">
            <v>2455650</v>
          </cell>
          <cell r="F29">
            <v>2845800</v>
          </cell>
          <cell r="G29">
            <v>81477.19</v>
          </cell>
          <cell r="H29">
            <v>540856.44999999995</v>
          </cell>
          <cell r="I29">
            <v>622333.6399999999</v>
          </cell>
        </row>
        <row r="30">
          <cell r="A30" t="str">
            <v>220001704.42510</v>
          </cell>
          <cell r="B30" t="str">
            <v>Pur pulp</v>
          </cell>
          <cell r="C30" t="str">
            <v>pur pulp-chem.</v>
          </cell>
          <cell r="D30">
            <v>73341.584646233168</v>
          </cell>
          <cell r="E30">
            <v>1571535.0146613882</v>
          </cell>
          <cell r="F30">
            <v>1644876.5993076214</v>
          </cell>
          <cell r="G30">
            <v>54726.05</v>
          </cell>
          <cell r="H30">
            <v>1196829.3905946286</v>
          </cell>
          <cell r="I30">
            <v>1251555.4405946287</v>
          </cell>
        </row>
        <row r="31">
          <cell r="A31">
            <v>170445</v>
          </cell>
          <cell r="B31" t="str">
            <v>Pur pulp</v>
          </cell>
          <cell r="C31" t="str">
            <v>pur pulp-recycled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A32">
            <v>170446</v>
          </cell>
          <cell r="B32" t="str">
            <v>Chemical</v>
          </cell>
          <cell r="C32" t="str">
            <v>np bleaching</v>
          </cell>
          <cell r="D32">
            <v>0</v>
          </cell>
          <cell r="E32">
            <v>0</v>
          </cell>
          <cell r="F32">
            <v>0</v>
          </cell>
          <cell r="G32" t="e">
            <v>#REF!</v>
          </cell>
          <cell r="H32" t="e">
            <v>#REF!</v>
          </cell>
          <cell r="I32" t="e">
            <v>#REF!</v>
          </cell>
        </row>
        <row r="33">
          <cell r="A33">
            <v>170447</v>
          </cell>
          <cell r="B33" t="str">
            <v>TMP</v>
          </cell>
          <cell r="C33" t="str">
            <v>pulp from tmp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</row>
        <row r="34">
          <cell r="A34">
            <v>170449</v>
          </cell>
          <cell r="B34" t="str">
            <v>Other</v>
          </cell>
          <cell r="C34" t="str">
            <v>Broke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>
            <v>170450</v>
          </cell>
          <cell r="B35" t="str">
            <v>Op supp</v>
          </cell>
          <cell r="C35" t="str">
            <v>roll covers</v>
          </cell>
          <cell r="E35">
            <v>0</v>
          </cell>
          <cell r="F35">
            <v>0</v>
          </cell>
          <cell r="G35">
            <v>50000</v>
          </cell>
          <cell r="H35">
            <v>350000</v>
          </cell>
          <cell r="I35">
            <v>400000</v>
          </cell>
        </row>
        <row r="36">
          <cell r="A36">
            <v>170451</v>
          </cell>
          <cell r="B36" t="str">
            <v>Op supp</v>
          </cell>
          <cell r="C36" t="str">
            <v>TMP refiner plates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</row>
        <row r="37">
          <cell r="A37" t="str">
            <v>220001704.46100</v>
          </cell>
          <cell r="B37" t="str">
            <v>Clay</v>
          </cell>
          <cell r="C37" t="str">
            <v>Alphatex</v>
          </cell>
          <cell r="D37">
            <v>141600</v>
          </cell>
          <cell r="E37">
            <v>134594</v>
          </cell>
          <cell r="F37">
            <v>276194</v>
          </cell>
          <cell r="G37">
            <v>95231.67</v>
          </cell>
          <cell r="H37">
            <v>80716.966372757393</v>
          </cell>
          <cell r="I37">
            <v>175948.63637275738</v>
          </cell>
        </row>
        <row r="38">
          <cell r="A38" t="str">
            <v>220001704.58200</v>
          </cell>
          <cell r="B38" t="str">
            <v>Steam</v>
          </cell>
          <cell r="C38" t="str">
            <v>fixed st costs</v>
          </cell>
          <cell r="F38">
            <v>0</v>
          </cell>
          <cell r="H38">
            <v>2228480</v>
          </cell>
          <cell r="I38">
            <v>2228480</v>
          </cell>
        </row>
        <row r="39">
          <cell r="A39" t="str">
            <v>220001704.47100.004</v>
          </cell>
          <cell r="B39" t="str">
            <v>Chemical</v>
          </cell>
          <cell r="C39" t="str">
            <v>NP retention aid</v>
          </cell>
          <cell r="D39">
            <v>16656</v>
          </cell>
          <cell r="E39">
            <v>95804</v>
          </cell>
          <cell r="F39">
            <v>112460</v>
          </cell>
          <cell r="G39">
            <v>67751.81</v>
          </cell>
          <cell r="H39">
            <v>531694.05999999994</v>
          </cell>
          <cell r="I39">
            <v>599445.86999999988</v>
          </cell>
        </row>
        <row r="40">
          <cell r="A40">
            <v>170499</v>
          </cell>
          <cell r="B40" t="str">
            <v>Other</v>
          </cell>
          <cell r="C40" t="str">
            <v>other-np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>
            <v>170526</v>
          </cell>
          <cell r="B41" t="str">
            <v>SP adj</v>
          </cell>
          <cell r="C41" t="str">
            <v>dep 5 adjust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</row>
        <row r="42">
          <cell r="A42">
            <v>170808</v>
          </cell>
          <cell r="B42" t="str">
            <v>Fin supp</v>
          </cell>
          <cell r="C42" t="str">
            <v>finishing supp</v>
          </cell>
          <cell r="E42">
            <v>0</v>
          </cell>
          <cell r="F42">
            <v>0</v>
          </cell>
          <cell r="G42">
            <v>183418</v>
          </cell>
          <cell r="H42">
            <v>1283926</v>
          </cell>
          <cell r="I42">
            <v>1467344</v>
          </cell>
        </row>
        <row r="43">
          <cell r="A43">
            <v>170899</v>
          </cell>
          <cell r="B43" t="str">
            <v>Other</v>
          </cell>
          <cell r="C43" t="str">
            <v>other-fin</v>
          </cell>
          <cell r="E43">
            <v>0</v>
          </cell>
          <cell r="F43">
            <v>0</v>
          </cell>
          <cell r="G43">
            <v>5938</v>
          </cell>
          <cell r="H43">
            <v>41566</v>
          </cell>
          <cell r="I43">
            <v>47504</v>
          </cell>
        </row>
        <row r="44">
          <cell r="A44">
            <v>172108</v>
          </cell>
          <cell r="B44" t="str">
            <v>Op supp</v>
          </cell>
          <cell r="C44" t="str">
            <v>whse op supplies</v>
          </cell>
          <cell r="E44">
            <v>0</v>
          </cell>
          <cell r="F44">
            <v>0</v>
          </cell>
          <cell r="G44">
            <v>66496</v>
          </cell>
          <cell r="H44">
            <v>465472</v>
          </cell>
          <cell r="I44">
            <v>531968</v>
          </cell>
        </row>
        <row r="45">
          <cell r="A45">
            <v>172128</v>
          </cell>
          <cell r="B45" t="str">
            <v>Op supp</v>
          </cell>
          <cell r="C45" t="str">
            <v>ldg op supplies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</row>
        <row r="46">
          <cell r="A46" t="str">
            <v>220003600.43100.001</v>
          </cell>
          <cell r="B46" t="str">
            <v>Wood</v>
          </cell>
          <cell r="C46" t="str">
            <v>wood</v>
          </cell>
          <cell r="D46">
            <v>30857.755000000001</v>
          </cell>
          <cell r="E46">
            <v>213506.62499999997</v>
          </cell>
          <cell r="F46">
            <v>244364.37999999998</v>
          </cell>
          <cell r="G46">
            <v>1891422.7</v>
          </cell>
          <cell r="H46">
            <v>12695369.109999999</v>
          </cell>
          <cell r="I46">
            <v>14586791.809999999</v>
          </cell>
        </row>
        <row r="47">
          <cell r="B47" t="str">
            <v>Steam</v>
          </cell>
          <cell r="C47" t="str">
            <v>SP to TMP-NP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</row>
        <row r="48">
          <cell r="A48" t="str">
            <v>220003600.47200.004</v>
          </cell>
          <cell r="B48" t="str">
            <v>Chemical</v>
          </cell>
          <cell r="C48" t="str">
            <v>Caustic</v>
          </cell>
          <cell r="D48">
            <v>54103</v>
          </cell>
          <cell r="E48">
            <v>301892</v>
          </cell>
          <cell r="F48">
            <v>355995</v>
          </cell>
          <cell r="G48">
            <v>25956</v>
          </cell>
          <cell r="H48">
            <v>121166</v>
          </cell>
          <cell r="I48">
            <v>147122</v>
          </cell>
        </row>
        <row r="49">
          <cell r="A49" t="str">
            <v>220003600.47200.007</v>
          </cell>
          <cell r="B49" t="str">
            <v>Chemical</v>
          </cell>
          <cell r="C49" t="str">
            <v>Borol</v>
          </cell>
          <cell r="D49">
            <v>64470</v>
          </cell>
          <cell r="E49">
            <v>325600</v>
          </cell>
          <cell r="F49">
            <v>390070</v>
          </cell>
          <cell r="G49">
            <v>131844.09999999998</v>
          </cell>
          <cell r="H49">
            <v>665322.72</v>
          </cell>
          <cell r="I49">
            <v>797166.82</v>
          </cell>
        </row>
        <row r="50">
          <cell r="A50" t="str">
            <v>220003600.47430</v>
          </cell>
          <cell r="B50" t="str">
            <v>Chemical</v>
          </cell>
          <cell r="C50" t="str">
            <v>SO2 Water</v>
          </cell>
          <cell r="D50">
            <v>106829.99999999999</v>
          </cell>
          <cell r="E50">
            <v>754700</v>
          </cell>
          <cell r="F50">
            <v>861530</v>
          </cell>
          <cell r="G50">
            <v>38155.229999999996</v>
          </cell>
          <cell r="H50">
            <v>203244.84</v>
          </cell>
          <cell r="I50">
            <v>241400.07</v>
          </cell>
        </row>
        <row r="51">
          <cell r="A51">
            <v>173348</v>
          </cell>
          <cell r="B51" t="str">
            <v>Op supp</v>
          </cell>
          <cell r="C51" t="str">
            <v>refiner plates</v>
          </cell>
          <cell r="E51">
            <v>0</v>
          </cell>
          <cell r="F51">
            <v>0</v>
          </cell>
          <cell r="G51">
            <v>21345</v>
          </cell>
          <cell r="H51">
            <v>149415</v>
          </cell>
          <cell r="I51">
            <v>170760</v>
          </cell>
        </row>
        <row r="52">
          <cell r="A52">
            <v>178022</v>
          </cell>
          <cell r="B52" t="str">
            <v>Maj mtce</v>
          </cell>
          <cell r="C52" t="str">
            <v>major maint</v>
          </cell>
          <cell r="E52">
            <v>0</v>
          </cell>
          <cell r="F52">
            <v>0</v>
          </cell>
          <cell r="G52">
            <v>204200</v>
          </cell>
          <cell r="H52">
            <v>1429400</v>
          </cell>
          <cell r="I52">
            <v>1633600</v>
          </cell>
        </row>
        <row r="53">
          <cell r="A53" t="str">
            <v>170427tmp</v>
          </cell>
          <cell r="B53" t="str">
            <v>Steam</v>
          </cell>
          <cell r="C53" t="str">
            <v>tmp steam to pm1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C54" t="str">
            <v>warehousing</v>
          </cell>
          <cell r="G54">
            <v>210</v>
          </cell>
          <cell r="I54">
            <v>210</v>
          </cell>
        </row>
        <row r="55">
          <cell r="C55" t="str">
            <v>loading</v>
          </cell>
          <cell r="G55">
            <v>81534</v>
          </cell>
          <cell r="I55">
            <v>81534</v>
          </cell>
        </row>
        <row r="56">
          <cell r="C56" t="str">
            <v>adjustments</v>
          </cell>
          <cell r="G56">
            <v>-795919</v>
          </cell>
          <cell r="I56">
            <v>-795919</v>
          </cell>
        </row>
        <row r="57">
          <cell r="C57" t="str">
            <v>warehousing</v>
          </cell>
          <cell r="I57">
            <v>0</v>
          </cell>
        </row>
        <row r="58">
          <cell r="B58" t="str">
            <v>Op supp</v>
          </cell>
          <cell r="C58" t="str">
            <v>whse op supplies</v>
          </cell>
          <cell r="G58">
            <v>0</v>
          </cell>
          <cell r="I58">
            <v>0</v>
          </cell>
        </row>
        <row r="59">
          <cell r="C59" t="str">
            <v>Groundwood</v>
          </cell>
          <cell r="G59">
            <v>645</v>
          </cell>
          <cell r="I59">
            <v>645</v>
          </cell>
        </row>
        <row r="60">
          <cell r="C60" t="str">
            <v>High yield</v>
          </cell>
          <cell r="G60">
            <v>5001</v>
          </cell>
          <cell r="I60">
            <v>5001</v>
          </cell>
        </row>
        <row r="61">
          <cell r="C61" t="str">
            <v>tmp-np</v>
          </cell>
          <cell r="G61">
            <v>1966731</v>
          </cell>
          <cell r="I61">
            <v>1966731</v>
          </cell>
        </row>
        <row r="62">
          <cell r="C62" t="str">
            <v>PM1</v>
          </cell>
          <cell r="G62">
            <v>3693933</v>
          </cell>
          <cell r="I62">
            <v>3693933</v>
          </cell>
        </row>
        <row r="63">
          <cell r="C63" t="str">
            <v>Finishing</v>
          </cell>
          <cell r="G63">
            <v>338578</v>
          </cell>
          <cell r="I63">
            <v>338578</v>
          </cell>
        </row>
        <row r="64">
          <cell r="C64" t="str">
            <v>Woodlands o'head</v>
          </cell>
          <cell r="G64">
            <v>661805</v>
          </cell>
          <cell r="I64">
            <v>661805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 A"/>
      <sheetName val="Alt A"/>
      <sheetName val="Deprn A (EAM)"/>
      <sheetName val="CCA A"/>
      <sheetName val="Data B"/>
      <sheetName val="Alt B"/>
      <sheetName val="Deprn B (EAM)"/>
      <sheetName val="Deprn B (Def Asset)"/>
      <sheetName val="CCA B"/>
      <sheetName val="Data C"/>
      <sheetName val="Alt C"/>
      <sheetName val="Deprn C (EAM)"/>
      <sheetName val="Deprn C (Def Asset)"/>
      <sheetName val="CCA C"/>
      <sheetName val="Data D"/>
      <sheetName val="Alt D"/>
      <sheetName val="Deprn D (EAM)"/>
      <sheetName val="Cash Summary"/>
      <sheetName val="GraphCumNPV"/>
      <sheetName val="Work Area"/>
      <sheetName val="Input"/>
    </sheetNames>
    <sheetDataSet>
      <sheetData sheetId="0"/>
      <sheetData sheetId="1"/>
      <sheetData sheetId="2">
        <row r="17">
          <cell r="B17">
            <v>0</v>
          </cell>
          <cell r="C17">
            <v>-2308248.2842288027</v>
          </cell>
          <cell r="D17">
            <v>-2443522.8624985851</v>
          </cell>
          <cell r="E17">
            <v>-2515233.0810779445</v>
          </cell>
          <cell r="F17">
            <v>-2586090.6708064666</v>
          </cell>
          <cell r="G17">
            <v>-2657300.780241793</v>
          </cell>
          <cell r="H17">
            <v>-2728095.6680463078</v>
          </cell>
          <cell r="I17">
            <v>-2798894.5438309382</v>
          </cell>
          <cell r="J17">
            <v>-2869810.4401373649</v>
          </cell>
          <cell r="K17">
            <v>-2940949.6139355367</v>
          </cell>
          <cell r="L17">
            <v>-3012412.1340100365</v>
          </cell>
          <cell r="M17">
            <v>-3084292.4222623641</v>
          </cell>
          <cell r="N17">
            <v>-3156679.7526339674</v>
          </cell>
          <cell r="O17">
            <v>-3229658.7110588951</v>
          </cell>
          <cell r="P17">
            <v>-3303309.6195825413</v>
          </cell>
          <cell r="Q17">
            <v>-3377708.9275324615</v>
          </cell>
          <cell r="R17">
            <v>-3452929.5723967203</v>
          </cell>
          <cell r="S17">
            <v>-3529041.3128531752</v>
          </cell>
          <cell r="T17">
            <v>-3606111.0361980768</v>
          </cell>
          <cell r="U17">
            <v>-3684203.0422428502</v>
          </cell>
          <cell r="V17">
            <v>-3763379.305582854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21">
          <cell r="AQ21">
            <v>-31837348.071940247</v>
          </cell>
        </row>
        <row r="23">
          <cell r="AQ23">
            <v>0</v>
          </cell>
        </row>
      </sheetData>
      <sheetData sheetId="3"/>
      <sheetData sheetId="4"/>
      <sheetData sheetId="5"/>
      <sheetData sheetId="6">
        <row r="17">
          <cell r="B17">
            <v>0</v>
          </cell>
          <cell r="C17">
            <v>-19390253.8323735</v>
          </cell>
          <cell r="D17">
            <v>-18513166.492416032</v>
          </cell>
          <cell r="E17">
            <v>-17816896.31159335</v>
          </cell>
          <cell r="F17">
            <v>-16878577.199629866</v>
          </cell>
          <cell r="G17">
            <v>-15887085.506280247</v>
          </cell>
          <cell r="H17">
            <v>5349957.5346938865</v>
          </cell>
          <cell r="I17">
            <v>5257727.9534659842</v>
          </cell>
          <cell r="J17">
            <v>6454002.7086646371</v>
          </cell>
          <cell r="K17">
            <v>7049251.6878050398</v>
          </cell>
          <cell r="L17">
            <v>7142599.2409836138</v>
          </cell>
          <cell r="M17">
            <v>6945472.7879611868</v>
          </cell>
          <cell r="N17">
            <v>6807423.0759650096</v>
          </cell>
          <cell r="O17">
            <v>6934908.2022389434</v>
          </cell>
          <cell r="P17">
            <v>7073706.2892186698</v>
          </cell>
          <cell r="Q17">
            <v>6985697.8848357648</v>
          </cell>
          <cell r="R17">
            <v>7175010.0504469965</v>
          </cell>
          <cell r="S17">
            <v>7514016.4966589175</v>
          </cell>
          <cell r="T17">
            <v>8029142.7942242092</v>
          </cell>
          <cell r="U17">
            <v>8422640.2058581226</v>
          </cell>
          <cell r="V17">
            <v>8307408.0440899488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21">
          <cell r="AQ21">
            <v>-27355313.691435806</v>
          </cell>
        </row>
        <row r="23">
          <cell r="AQ23">
            <v>0</v>
          </cell>
        </row>
      </sheetData>
      <sheetData sheetId="7"/>
      <sheetData sheetId="8"/>
      <sheetData sheetId="9"/>
      <sheetData sheetId="10"/>
      <sheetData sheetId="11">
        <row r="17">
          <cell r="B17">
            <v>0</v>
          </cell>
          <cell r="C17">
            <v>-415182.89488836133</v>
          </cell>
          <cell r="D17">
            <v>441103.47064998368</v>
          </cell>
          <cell r="E17">
            <v>1126063.1178364826</v>
          </cell>
          <cell r="F17">
            <v>2096065.8932003265</v>
          </cell>
          <cell r="G17">
            <v>3170794.2985962932</v>
          </cell>
          <cell r="H17">
            <v>3684951.465949601</v>
          </cell>
          <cell r="I17">
            <v>3912945.6628532046</v>
          </cell>
          <cell r="J17">
            <v>5420777.5815379098</v>
          </cell>
          <cell r="K17">
            <v>6320213.6808776967</v>
          </cell>
          <cell r="L17">
            <v>6711588.5057915105</v>
          </cell>
          <cell r="M17">
            <v>6619040.0602356959</v>
          </cell>
          <cell r="N17">
            <v>6578604.0580818271</v>
          </cell>
          <cell r="O17">
            <v>6797323.7792431694</v>
          </cell>
          <cell r="P17">
            <v>7021516.2749884464</v>
          </cell>
          <cell r="Q17">
            <v>7013558.4797683666</v>
          </cell>
          <cell r="R17">
            <v>7278034.7139698863</v>
          </cell>
          <cell r="S17">
            <v>7687739.9616085682</v>
          </cell>
          <cell r="T17">
            <v>8269487.9719766546</v>
          </cell>
          <cell r="U17">
            <v>8725887.7511891127</v>
          </cell>
          <cell r="V17">
            <v>8670168.367229173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21">
          <cell r="AQ21">
            <v>48170630.981251404</v>
          </cell>
        </row>
        <row r="23">
          <cell r="AQ23">
            <v>3.001205389408883</v>
          </cell>
        </row>
      </sheetData>
      <sheetData sheetId="12"/>
      <sheetData sheetId="13"/>
      <sheetData sheetId="14"/>
      <sheetData sheetId="15"/>
      <sheetData sheetId="16">
        <row r="17">
          <cell r="B17">
            <v>0</v>
          </cell>
          <cell r="C17">
            <v>-18671025.547700003</v>
          </cell>
          <cell r="D17">
            <v>-19234387.3193064</v>
          </cell>
          <cell r="E17">
            <v>-19805222.763687167</v>
          </cell>
          <cell r="F17">
            <v>-20426762.363078423</v>
          </cell>
          <cell r="G17">
            <v>-21026407.40195265</v>
          </cell>
          <cell r="H17">
            <v>-1043010.0133630208</v>
          </cell>
          <cell r="I17">
            <v>-1063870.2136302814</v>
          </cell>
          <cell r="J17">
            <v>-1085147.6179028871</v>
          </cell>
          <cell r="K17">
            <v>-1106850.5702609448</v>
          </cell>
          <cell r="L17">
            <v>-1128987.5816661636</v>
          </cell>
          <cell r="M17">
            <v>-1151567.3332994869</v>
          </cell>
          <cell r="N17">
            <v>-1174598.6799654765</v>
          </cell>
          <cell r="O17">
            <v>-1198090.6535647863</v>
          </cell>
          <cell r="P17">
            <v>-1222052.4666360822</v>
          </cell>
          <cell r="Q17">
            <v>-1246493.5159688038</v>
          </cell>
          <cell r="R17">
            <v>-1271423.38628818</v>
          </cell>
          <cell r="S17">
            <v>-1296851.8540139436</v>
          </cell>
          <cell r="T17">
            <v>-1322788.8910942222</v>
          </cell>
          <cell r="U17">
            <v>-1349244.6689161067</v>
          </cell>
          <cell r="V17">
            <v>-1376229.5622944287</v>
          </cell>
          <cell r="W17">
            <v>-1403754.1535403174</v>
          </cell>
          <cell r="X17">
            <v>-1431829.2366111237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21">
          <cell r="AQ21">
            <v>-96215322.616845727</v>
          </cell>
        </row>
        <row r="23">
          <cell r="AQ23">
            <v>0</v>
          </cell>
        </row>
      </sheetData>
      <sheetData sheetId="17"/>
      <sheetData sheetId="18"/>
      <sheetData sheetId="19"/>
      <sheetData sheetId="20">
        <row r="8">
          <cell r="G8">
            <v>0</v>
          </cell>
        </row>
        <row r="13">
          <cell r="B13" t="str">
            <v>Type</v>
          </cell>
          <cell r="C13" t="str">
            <v>Year</v>
          </cell>
          <cell r="D13" t="str">
            <v>Description</v>
          </cell>
          <cell r="E13" t="str">
            <v>$ / Unit</v>
          </cell>
          <cell r="F13" t="str">
            <v>Volume</v>
          </cell>
          <cell r="G13" t="str">
            <v>Tax</v>
          </cell>
        </row>
        <row r="14">
          <cell r="B14" t="str">
            <v>R</v>
          </cell>
          <cell r="C14">
            <v>2004</v>
          </cell>
          <cell r="D14" t="str">
            <v>non tax reve</v>
          </cell>
          <cell r="E14">
            <v>6000</v>
          </cell>
          <cell r="F14">
            <v>1</v>
          </cell>
          <cell r="G14" t="str">
            <v>Yes</v>
          </cell>
        </row>
        <row r="15">
          <cell r="B15" t="str">
            <v>R</v>
          </cell>
          <cell r="C15">
            <v>2005</v>
          </cell>
          <cell r="D15" t="str">
            <v>non tax reve</v>
          </cell>
          <cell r="E15">
            <v>6120</v>
          </cell>
          <cell r="F15">
            <v>1</v>
          </cell>
          <cell r="G15" t="str">
            <v>Yes</v>
          </cell>
        </row>
        <row r="16">
          <cell r="B16" t="str">
            <v>R</v>
          </cell>
          <cell r="C16">
            <v>2006</v>
          </cell>
          <cell r="D16" t="str">
            <v>non tax reve</v>
          </cell>
          <cell r="E16">
            <v>6242.4000000000005</v>
          </cell>
          <cell r="F16">
            <v>1</v>
          </cell>
          <cell r="G16" t="str">
            <v>Yes</v>
          </cell>
        </row>
        <row r="17">
          <cell r="B17" t="str">
            <v>R</v>
          </cell>
          <cell r="C17">
            <v>2007</v>
          </cell>
          <cell r="D17" t="str">
            <v>non tax reve</v>
          </cell>
          <cell r="E17">
            <v>6367.2480000000005</v>
          </cell>
          <cell r="F17">
            <v>1</v>
          </cell>
          <cell r="G17" t="str">
            <v>Yes</v>
          </cell>
        </row>
        <row r="18">
          <cell r="B18" t="str">
            <v>R</v>
          </cell>
          <cell r="C18">
            <v>2008</v>
          </cell>
          <cell r="D18" t="str">
            <v>non tax reve</v>
          </cell>
          <cell r="E18">
            <v>6494.5929600000009</v>
          </cell>
          <cell r="F18">
            <v>1</v>
          </cell>
          <cell r="G18" t="str">
            <v>Yes</v>
          </cell>
        </row>
        <row r="19">
          <cell r="B19" t="str">
            <v>R</v>
          </cell>
          <cell r="C19">
            <v>2009</v>
          </cell>
          <cell r="D19" t="str">
            <v>non tax reve</v>
          </cell>
          <cell r="E19">
            <v>6624.4848192000009</v>
          </cell>
          <cell r="F19">
            <v>1</v>
          </cell>
          <cell r="G19" t="str">
            <v>Yes</v>
          </cell>
        </row>
        <row r="20">
          <cell r="B20" t="str">
            <v>R</v>
          </cell>
          <cell r="C20">
            <v>2010</v>
          </cell>
          <cell r="D20" t="str">
            <v>non tax reve</v>
          </cell>
          <cell r="E20">
            <v>6756.974515584001</v>
          </cell>
          <cell r="F20">
            <v>1</v>
          </cell>
          <cell r="G20" t="str">
            <v>Yes</v>
          </cell>
          <cell r="I20">
            <v>0</v>
          </cell>
        </row>
        <row r="21">
          <cell r="B21" t="str">
            <v>R</v>
          </cell>
          <cell r="C21">
            <v>2011</v>
          </cell>
          <cell r="D21" t="str">
            <v>non tax reve</v>
          </cell>
          <cell r="E21">
            <v>6892.1140058956807</v>
          </cell>
          <cell r="F21">
            <v>1</v>
          </cell>
          <cell r="G21" t="str">
            <v>Yes</v>
          </cell>
        </row>
        <row r="22">
          <cell r="B22" t="str">
            <v>R</v>
          </cell>
          <cell r="C22">
            <v>2012</v>
          </cell>
          <cell r="D22" t="str">
            <v>non tax reve</v>
          </cell>
          <cell r="E22">
            <v>7029.9562860135948</v>
          </cell>
          <cell r="F22">
            <v>1</v>
          </cell>
          <cell r="G22" t="str">
            <v>Yes</v>
          </cell>
        </row>
        <row r="23">
          <cell r="B23" t="str">
            <v>R</v>
          </cell>
          <cell r="C23">
            <v>2013</v>
          </cell>
          <cell r="D23" t="str">
            <v>non tax reve</v>
          </cell>
          <cell r="E23">
            <v>7170.555411733867</v>
          </cell>
          <cell r="F23">
            <v>1</v>
          </cell>
          <cell r="G23" t="str">
            <v>Yes</v>
          </cell>
        </row>
        <row r="24">
          <cell r="B24" t="str">
            <v>R</v>
          </cell>
          <cell r="C24">
            <v>2014</v>
          </cell>
          <cell r="D24" t="str">
            <v>non tax reve</v>
          </cell>
          <cell r="E24">
            <v>7313.9665199685442</v>
          </cell>
          <cell r="F24">
            <v>1</v>
          </cell>
          <cell r="G24" t="str">
            <v>Yes</v>
          </cell>
        </row>
        <row r="25">
          <cell r="B25" t="str">
            <v>R</v>
          </cell>
          <cell r="C25">
            <v>2015</v>
          </cell>
          <cell r="D25" t="str">
            <v>non tax reve</v>
          </cell>
          <cell r="E25">
            <v>7460.2458503679154</v>
          </cell>
          <cell r="F25">
            <v>1</v>
          </cell>
          <cell r="G25" t="str">
            <v>Yes</v>
          </cell>
        </row>
        <row r="26">
          <cell r="B26" t="str">
            <v>R</v>
          </cell>
          <cell r="C26">
            <v>2016</v>
          </cell>
          <cell r="D26" t="str">
            <v>non tax reve</v>
          </cell>
          <cell r="E26">
            <v>7609.4507673752742</v>
          </cell>
          <cell r="F26">
            <v>1</v>
          </cell>
          <cell r="G26" t="str">
            <v>Yes</v>
          </cell>
        </row>
        <row r="27">
          <cell r="B27" t="str">
            <v>R</v>
          </cell>
          <cell r="C27">
            <v>2017</v>
          </cell>
          <cell r="D27" t="str">
            <v>non tax reve</v>
          </cell>
          <cell r="E27">
            <v>7761.6397827227802</v>
          </cell>
          <cell r="F27">
            <v>1</v>
          </cell>
          <cell r="G27" t="str">
            <v>Yes</v>
          </cell>
        </row>
        <row r="28">
          <cell r="B28" t="str">
            <v>R</v>
          </cell>
          <cell r="C28">
            <v>2018</v>
          </cell>
          <cell r="D28" t="str">
            <v>non tax reve</v>
          </cell>
          <cell r="E28">
            <v>7916.8725783772361</v>
          </cell>
          <cell r="F28">
            <v>1</v>
          </cell>
          <cell r="G28" t="str">
            <v>Yes</v>
          </cell>
        </row>
        <row r="29">
          <cell r="B29" t="str">
            <v>R</v>
          </cell>
          <cell r="C29">
            <v>2019</v>
          </cell>
          <cell r="D29" t="str">
            <v>non tax reve</v>
          </cell>
          <cell r="E29">
            <v>8075.2100299447811</v>
          </cell>
          <cell r="F29">
            <v>1</v>
          </cell>
          <cell r="G29" t="str">
            <v>Yes</v>
          </cell>
        </row>
        <row r="30">
          <cell r="B30" t="str">
            <v>R</v>
          </cell>
          <cell r="C30">
            <v>2020</v>
          </cell>
          <cell r="D30" t="str">
            <v>non tax reve</v>
          </cell>
          <cell r="E30">
            <v>8236.7142305436773</v>
          </cell>
          <cell r="F30">
            <v>1</v>
          </cell>
          <cell r="G30" t="str">
            <v>Yes</v>
          </cell>
        </row>
        <row r="31">
          <cell r="B31" t="str">
            <v>R</v>
          </cell>
          <cell r="C31">
            <v>2021</v>
          </cell>
          <cell r="D31" t="str">
            <v>non tax reve</v>
          </cell>
          <cell r="E31">
            <v>8401.4485151545505</v>
          </cell>
          <cell r="F31">
            <v>1</v>
          </cell>
          <cell r="G31" t="str">
            <v>Yes</v>
          </cell>
        </row>
        <row r="32">
          <cell r="B32" t="str">
            <v>R</v>
          </cell>
          <cell r="C32">
            <v>2022</v>
          </cell>
          <cell r="D32" t="str">
            <v>non tax reve</v>
          </cell>
          <cell r="E32">
            <v>8569.4774854576408</v>
          </cell>
          <cell r="F32">
            <v>1</v>
          </cell>
          <cell r="G32" t="str">
            <v>Yes</v>
          </cell>
        </row>
        <row r="33">
          <cell r="B33" t="str">
            <v>R</v>
          </cell>
          <cell r="C33">
            <v>2023</v>
          </cell>
          <cell r="D33" t="str">
            <v>non tax reve</v>
          </cell>
          <cell r="E33">
            <v>8740.8670351667934</v>
          </cell>
          <cell r="F33">
            <v>1</v>
          </cell>
          <cell r="G33" t="str">
            <v>Yes</v>
          </cell>
        </row>
        <row r="34">
          <cell r="B34" t="str">
            <v>R</v>
          </cell>
          <cell r="C34">
            <v>2024</v>
          </cell>
          <cell r="D34" t="str">
            <v>non tax reve</v>
          </cell>
          <cell r="E34">
            <v>8915.6843758701289</v>
          </cell>
          <cell r="F34">
            <v>1</v>
          </cell>
          <cell r="G34" t="str">
            <v>Yes</v>
          </cell>
        </row>
        <row r="35">
          <cell r="B35" t="str">
            <v>R</v>
          </cell>
          <cell r="C35">
            <v>9999</v>
          </cell>
          <cell r="D35" t="str">
            <v>non tax reve</v>
          </cell>
          <cell r="E35">
            <v>0</v>
          </cell>
          <cell r="F35">
            <v>0</v>
          </cell>
          <cell r="G35" t="str">
            <v>Yes</v>
          </cell>
        </row>
        <row r="36">
          <cell r="B36" t="str">
            <v>R</v>
          </cell>
          <cell r="C36">
            <v>9999</v>
          </cell>
          <cell r="D36" t="str">
            <v>non tax reve</v>
          </cell>
          <cell r="E36">
            <v>0</v>
          </cell>
          <cell r="F36">
            <v>0</v>
          </cell>
          <cell r="G36" t="str">
            <v>Yes</v>
          </cell>
        </row>
        <row r="37">
          <cell r="B37" t="str">
            <v>R</v>
          </cell>
          <cell r="C37">
            <v>9999</v>
          </cell>
          <cell r="D37" t="str">
            <v>non tax reve</v>
          </cell>
          <cell r="E37">
            <v>0</v>
          </cell>
          <cell r="F37">
            <v>0</v>
          </cell>
          <cell r="G37" t="str">
            <v>Yes</v>
          </cell>
        </row>
        <row r="38">
          <cell r="B38" t="str">
            <v>R</v>
          </cell>
          <cell r="C38">
            <v>9999</v>
          </cell>
          <cell r="D38" t="str">
            <v>non tax reve</v>
          </cell>
          <cell r="E38">
            <v>0</v>
          </cell>
          <cell r="F38">
            <v>0</v>
          </cell>
          <cell r="G38" t="str">
            <v>Yes</v>
          </cell>
        </row>
        <row r="39">
          <cell r="B39" t="str">
            <v>R</v>
          </cell>
          <cell r="C39">
            <v>9999</v>
          </cell>
          <cell r="D39" t="str">
            <v>non tax reve</v>
          </cell>
          <cell r="E39">
            <v>0</v>
          </cell>
          <cell r="F39">
            <v>0</v>
          </cell>
          <cell r="G39" t="str">
            <v>Yes</v>
          </cell>
        </row>
        <row r="40">
          <cell r="B40" t="str">
            <v>R</v>
          </cell>
          <cell r="C40">
            <v>9999</v>
          </cell>
          <cell r="D40" t="str">
            <v>non tax reve</v>
          </cell>
          <cell r="E40">
            <v>0</v>
          </cell>
          <cell r="F40">
            <v>0</v>
          </cell>
          <cell r="G40" t="str">
            <v>Yes</v>
          </cell>
        </row>
        <row r="41">
          <cell r="B41" t="str">
            <v>R</v>
          </cell>
          <cell r="C41">
            <v>9999</v>
          </cell>
          <cell r="D41" t="str">
            <v>non tax reve</v>
          </cell>
          <cell r="E41">
            <v>0</v>
          </cell>
          <cell r="F41">
            <v>0</v>
          </cell>
          <cell r="G41" t="str">
            <v>Yes</v>
          </cell>
        </row>
        <row r="42">
          <cell r="B42" t="str">
            <v>R</v>
          </cell>
          <cell r="C42">
            <v>9999</v>
          </cell>
          <cell r="D42" t="str">
            <v>non tax reve</v>
          </cell>
          <cell r="E42">
            <v>0</v>
          </cell>
          <cell r="F42">
            <v>0</v>
          </cell>
          <cell r="G42" t="str">
            <v>Yes</v>
          </cell>
        </row>
        <row r="43">
          <cell r="B43" t="str">
            <v>R</v>
          </cell>
          <cell r="C43">
            <v>9999</v>
          </cell>
          <cell r="D43" t="str">
            <v>non tax reve</v>
          </cell>
          <cell r="E43">
            <v>0</v>
          </cell>
          <cell r="F43">
            <v>0</v>
          </cell>
          <cell r="G43" t="str">
            <v>Yes</v>
          </cell>
        </row>
        <row r="44">
          <cell r="B44" t="str">
            <v>R</v>
          </cell>
          <cell r="C44">
            <v>9999</v>
          </cell>
          <cell r="D44" t="str">
            <v>non tax reve</v>
          </cell>
          <cell r="E44">
            <v>0</v>
          </cell>
          <cell r="F44">
            <v>0</v>
          </cell>
          <cell r="G44" t="str">
            <v>Yes</v>
          </cell>
        </row>
        <row r="45">
          <cell r="B45" t="str">
            <v>R</v>
          </cell>
          <cell r="C45">
            <v>9999</v>
          </cell>
          <cell r="D45" t="str">
            <v>non tax reve</v>
          </cell>
          <cell r="E45">
            <v>0</v>
          </cell>
          <cell r="F45">
            <v>0</v>
          </cell>
          <cell r="G45" t="str">
            <v>Yes</v>
          </cell>
        </row>
        <row r="46">
          <cell r="B46" t="str">
            <v>R</v>
          </cell>
          <cell r="C46">
            <v>9999</v>
          </cell>
          <cell r="D46" t="str">
            <v>non tax reve</v>
          </cell>
          <cell r="E46">
            <v>0</v>
          </cell>
          <cell r="F46">
            <v>0</v>
          </cell>
          <cell r="G46" t="str">
            <v>Yes</v>
          </cell>
        </row>
        <row r="47">
          <cell r="B47" t="str">
            <v>R</v>
          </cell>
          <cell r="C47">
            <v>9999</v>
          </cell>
          <cell r="D47" t="str">
            <v>non tax reve</v>
          </cell>
          <cell r="E47">
            <v>0</v>
          </cell>
          <cell r="F47">
            <v>0</v>
          </cell>
          <cell r="G47" t="str">
            <v>Yes</v>
          </cell>
        </row>
        <row r="48">
          <cell r="B48" t="str">
            <v>R</v>
          </cell>
          <cell r="C48">
            <v>9999</v>
          </cell>
          <cell r="D48" t="str">
            <v>non tax reve</v>
          </cell>
          <cell r="E48">
            <v>0</v>
          </cell>
          <cell r="F48">
            <v>0</v>
          </cell>
          <cell r="G48" t="str">
            <v>Yes</v>
          </cell>
        </row>
        <row r="49">
          <cell r="B49" t="str">
            <v>R</v>
          </cell>
          <cell r="C49">
            <v>9999</v>
          </cell>
          <cell r="D49" t="str">
            <v>non tax reve</v>
          </cell>
          <cell r="E49">
            <v>0</v>
          </cell>
          <cell r="F49">
            <v>0</v>
          </cell>
          <cell r="G49" t="str">
            <v>Yes</v>
          </cell>
        </row>
        <row r="50">
          <cell r="B50" t="str">
            <v>R</v>
          </cell>
          <cell r="C50">
            <v>9999</v>
          </cell>
          <cell r="D50" t="str">
            <v>non tax reve</v>
          </cell>
          <cell r="E50">
            <v>0</v>
          </cell>
          <cell r="F50">
            <v>0</v>
          </cell>
          <cell r="G50" t="str">
            <v>Yes</v>
          </cell>
        </row>
        <row r="51">
          <cell r="B51" t="str">
            <v>R</v>
          </cell>
          <cell r="C51">
            <v>9999</v>
          </cell>
          <cell r="D51" t="str">
            <v>non tax reve</v>
          </cell>
          <cell r="E51">
            <v>0</v>
          </cell>
          <cell r="F51">
            <v>0</v>
          </cell>
          <cell r="G51" t="str">
            <v>Yes</v>
          </cell>
        </row>
        <row r="52">
          <cell r="B52" t="str">
            <v>R</v>
          </cell>
          <cell r="C52">
            <v>9999</v>
          </cell>
          <cell r="D52" t="str">
            <v>non tax reve</v>
          </cell>
          <cell r="E52">
            <v>0</v>
          </cell>
          <cell r="F52">
            <v>0</v>
          </cell>
          <cell r="G52" t="str">
            <v>Yes</v>
          </cell>
        </row>
        <row r="53">
          <cell r="B53" t="str">
            <v>R</v>
          </cell>
          <cell r="C53">
            <v>9999</v>
          </cell>
          <cell r="D53" t="str">
            <v>non tax reve</v>
          </cell>
          <cell r="E53">
            <v>0</v>
          </cell>
          <cell r="F53">
            <v>0</v>
          </cell>
          <cell r="G53" t="str">
            <v>Yes</v>
          </cell>
        </row>
        <row r="54">
          <cell r="B54" t="str">
            <v>R</v>
          </cell>
          <cell r="C54">
            <v>9999</v>
          </cell>
          <cell r="D54" t="str">
            <v>non tax reve</v>
          </cell>
          <cell r="E54">
            <v>0</v>
          </cell>
          <cell r="F54">
            <v>0</v>
          </cell>
          <cell r="G54" t="str">
            <v>Yes</v>
          </cell>
        </row>
      </sheetData>
      <sheetData sheetId="21">
        <row r="4">
          <cell r="D4" t="str">
            <v>NSPI</v>
          </cell>
          <cell r="H4" t="str">
            <v>NSPI</v>
          </cell>
          <cell r="J4">
            <v>2010</v>
          </cell>
          <cell r="K4" t="b">
            <v>1</v>
          </cell>
          <cell r="L4">
            <v>1</v>
          </cell>
          <cell r="M4" t="str">
            <v>17.0 - distn and xmissn plant,  etc</v>
          </cell>
          <cell r="N4">
            <v>0.08</v>
          </cell>
        </row>
        <row r="5">
          <cell r="H5" t="str">
            <v>BHE</v>
          </cell>
          <cell r="J5">
            <v>2011</v>
          </cell>
          <cell r="K5" t="b">
            <v>0</v>
          </cell>
          <cell r="L5">
            <v>2</v>
          </cell>
          <cell r="M5" t="str">
            <v>17.0 - generators, turbines, etc</v>
          </cell>
          <cell r="N5">
            <v>0.08</v>
          </cell>
        </row>
        <row r="6">
          <cell r="D6">
            <v>2010</v>
          </cell>
          <cell r="J6">
            <v>2012</v>
          </cell>
          <cell r="L6">
            <v>3</v>
          </cell>
          <cell r="M6" t="str">
            <v>1.0 - dams, roads, most bldgs, canals, etc</v>
          </cell>
          <cell r="N6">
            <v>0.06</v>
          </cell>
        </row>
        <row r="7">
          <cell r="J7">
            <v>2013</v>
          </cell>
          <cell r="L7">
            <v>4</v>
          </cell>
          <cell r="M7" t="str">
            <v>3.0 - telephone, data communication</v>
          </cell>
          <cell r="N7">
            <v>0.05</v>
          </cell>
        </row>
        <row r="8">
          <cell r="D8" t="str">
            <v>LED Streetlights</v>
          </cell>
          <cell r="J8">
            <v>2014</v>
          </cell>
          <cell r="L8">
            <v>5</v>
          </cell>
          <cell r="M8" t="str">
            <v>6.0 - fences, wooden jettys</v>
          </cell>
          <cell r="N8">
            <v>0.1</v>
          </cell>
        </row>
        <row r="9">
          <cell r="D9" t="str">
            <v>Status Quo</v>
          </cell>
          <cell r="J9">
            <v>2015</v>
          </cell>
          <cell r="L9">
            <v>6</v>
          </cell>
          <cell r="M9" t="str">
            <v>17.0 - Combustion Turbines</v>
          </cell>
          <cell r="N9">
            <v>0.15</v>
          </cell>
        </row>
        <row r="10">
          <cell r="D10" t="str">
            <v>NSPI 5 Year Roll Out</v>
          </cell>
          <cell r="J10">
            <v>2016</v>
          </cell>
          <cell r="L10">
            <v>7</v>
          </cell>
          <cell r="M10" t="str">
            <v>8.0 - office equipment, calculators</v>
          </cell>
          <cell r="N10">
            <v>0.2</v>
          </cell>
        </row>
        <row r="11">
          <cell r="D11" t="str">
            <v>Customer LED Streetlights (NSPI perspective)</v>
          </cell>
          <cell r="J11">
            <v>2017</v>
          </cell>
          <cell r="L11">
            <v>8</v>
          </cell>
          <cell r="M11" t="str">
            <v>8.0 - furniture, concrete mixing plant</v>
          </cell>
          <cell r="N11">
            <v>0.2</v>
          </cell>
        </row>
        <row r="12">
          <cell r="D12" t="str">
            <v>Customer LED Streetlights (Cust Perspective)</v>
          </cell>
          <cell r="J12">
            <v>2018</v>
          </cell>
          <cell r="L12">
            <v>9</v>
          </cell>
          <cell r="M12" t="str">
            <v>8.0 - portable generators</v>
          </cell>
          <cell r="N12">
            <v>0.2</v>
          </cell>
        </row>
        <row r="13">
          <cell r="J13">
            <v>2019</v>
          </cell>
          <cell r="L13">
            <v>10</v>
          </cell>
          <cell r="M13" t="str">
            <v>50.0 - computer hardware, system software</v>
          </cell>
          <cell r="N13">
            <v>1</v>
          </cell>
        </row>
        <row r="14">
          <cell r="J14">
            <v>2020</v>
          </cell>
          <cell r="L14">
            <v>11</v>
          </cell>
          <cell r="M14" t="str">
            <v>10.0 - autos&lt;$24K, access roads, trucks</v>
          </cell>
          <cell r="N14">
            <v>0.3</v>
          </cell>
        </row>
        <row r="15">
          <cell r="J15">
            <v>2021</v>
          </cell>
          <cell r="L15">
            <v>12</v>
          </cell>
          <cell r="M15" t="str">
            <v>10.0 - portable tools, forestry equip.</v>
          </cell>
          <cell r="N15">
            <v>0.3</v>
          </cell>
        </row>
        <row r="16">
          <cell r="I16" t="str">
            <v>Data A</v>
          </cell>
          <cell r="J16">
            <v>2022</v>
          </cell>
          <cell r="L16">
            <v>13</v>
          </cell>
          <cell r="M16" t="str">
            <v>10.1 - automobiles&gt;$24K</v>
          </cell>
          <cell r="N16">
            <v>0.3</v>
          </cell>
        </row>
        <row r="17">
          <cell r="D17">
            <v>250000</v>
          </cell>
          <cell r="I17" t="str">
            <v>Data B</v>
          </cell>
          <cell r="J17">
            <v>2023</v>
          </cell>
          <cell r="L17">
            <v>14</v>
          </cell>
          <cell r="M17" t="str">
            <v>12.0 - television commercials</v>
          </cell>
          <cell r="N17">
            <v>1</v>
          </cell>
        </row>
        <row r="18">
          <cell r="D18" t="str">
            <v>test capital</v>
          </cell>
          <cell r="I18" t="str">
            <v>Data C</v>
          </cell>
          <cell r="J18">
            <v>2024</v>
          </cell>
          <cell r="L18">
            <v>15</v>
          </cell>
          <cell r="M18" t="str">
            <v>12.0 - application software</v>
          </cell>
          <cell r="N18">
            <v>1</v>
          </cell>
        </row>
        <row r="19">
          <cell r="I19" t="str">
            <v>Data D</v>
          </cell>
          <cell r="J19">
            <v>2025</v>
          </cell>
          <cell r="L19">
            <v>16</v>
          </cell>
          <cell r="M19" t="str">
            <v>17.0 - sidewalks</v>
          </cell>
          <cell r="N19">
            <v>0.08</v>
          </cell>
        </row>
        <row r="20">
          <cell r="J20">
            <v>2026</v>
          </cell>
          <cell r="L20">
            <v>17</v>
          </cell>
          <cell r="M20" t="str">
            <v>25.0 - govt corp. property</v>
          </cell>
          <cell r="N20">
            <v>1</v>
          </cell>
        </row>
        <row r="21">
          <cell r="J21">
            <v>2027</v>
          </cell>
          <cell r="L21">
            <v>18</v>
          </cell>
          <cell r="M21" t="str">
            <v>42.0 - fiber optic cable</v>
          </cell>
          <cell r="N21">
            <v>0.12</v>
          </cell>
        </row>
        <row r="22">
          <cell r="D22">
            <v>2003</v>
          </cell>
          <cell r="J22">
            <v>2028</v>
          </cell>
          <cell r="L22">
            <v>19</v>
          </cell>
          <cell r="M22" t="str">
            <v>43.2 - Co-Gen, Solar, Wind Turbine, Small Hydro</v>
          </cell>
          <cell r="N22">
            <v>0.5</v>
          </cell>
        </row>
        <row r="23">
          <cell r="J23">
            <v>2029</v>
          </cell>
          <cell r="L23">
            <v>20</v>
          </cell>
          <cell r="M23" t="str">
            <v>None</v>
          </cell>
          <cell r="N23">
            <v>0</v>
          </cell>
        </row>
        <row r="24">
          <cell r="D24" t="b">
            <v>1</v>
          </cell>
          <cell r="J24">
            <v>2030</v>
          </cell>
          <cell r="L24">
            <v>21</v>
          </cell>
          <cell r="M24" t="str">
            <v>Err</v>
          </cell>
          <cell r="N24">
            <v>-1</v>
          </cell>
        </row>
        <row r="25">
          <cell r="J25">
            <v>2031</v>
          </cell>
          <cell r="L25">
            <v>22</v>
          </cell>
        </row>
        <row r="26">
          <cell r="D26">
            <v>20</v>
          </cell>
          <cell r="J26">
            <v>2032</v>
          </cell>
          <cell r="L26">
            <v>23</v>
          </cell>
          <cell r="M26" t="str">
            <v>Computer Software &amp; Hardware</v>
          </cell>
        </row>
        <row r="27">
          <cell r="J27">
            <v>2033</v>
          </cell>
          <cell r="L27">
            <v>24</v>
          </cell>
          <cell r="M27" t="str">
            <v>Transportation Equipment</v>
          </cell>
        </row>
        <row r="28">
          <cell r="D28">
            <v>0</v>
          </cell>
          <cell r="J28">
            <v>2034</v>
          </cell>
          <cell r="L28">
            <v>25</v>
          </cell>
          <cell r="M28" t="str">
            <v>Office Equipment</v>
          </cell>
        </row>
        <row r="29">
          <cell r="J29">
            <v>2035</v>
          </cell>
          <cell r="L29">
            <v>26</v>
          </cell>
          <cell r="M29" t="str">
            <v>T&amp;D Properties</v>
          </cell>
        </row>
        <row r="30">
          <cell r="D30" t="b">
            <v>1</v>
          </cell>
          <cell r="J30">
            <v>2036</v>
          </cell>
          <cell r="L30">
            <v>27</v>
          </cell>
          <cell r="M30" t="str">
            <v>Buildings</v>
          </cell>
        </row>
        <row r="31">
          <cell r="J31">
            <v>2037</v>
          </cell>
          <cell r="L31">
            <v>28</v>
          </cell>
        </row>
        <row r="32">
          <cell r="D32" t="str">
            <v>1.0 - distn and xmissn plant,  etc</v>
          </cell>
          <cell r="J32">
            <v>2038</v>
          </cell>
          <cell r="L32">
            <v>29</v>
          </cell>
        </row>
        <row r="33">
          <cell r="J33">
            <v>2039</v>
          </cell>
          <cell r="L33">
            <v>30</v>
          </cell>
        </row>
        <row r="34">
          <cell r="D34" t="str">
            <v>Gas Turbine</v>
          </cell>
          <cell r="J34">
            <v>2040</v>
          </cell>
          <cell r="L34">
            <v>31</v>
          </cell>
        </row>
        <row r="35">
          <cell r="J35">
            <v>2041</v>
          </cell>
          <cell r="L35">
            <v>32</v>
          </cell>
        </row>
        <row r="36">
          <cell r="D36" t="str">
            <v>Lingan</v>
          </cell>
          <cell r="J36">
            <v>2042</v>
          </cell>
          <cell r="L36">
            <v>33</v>
          </cell>
        </row>
        <row r="37">
          <cell r="J37">
            <v>2043</v>
          </cell>
          <cell r="L37">
            <v>34</v>
          </cell>
        </row>
        <row r="38">
          <cell r="J38">
            <v>2044</v>
          </cell>
          <cell r="L38">
            <v>35</v>
          </cell>
        </row>
        <row r="39">
          <cell r="J39">
            <v>2045</v>
          </cell>
          <cell r="L39">
            <v>36</v>
          </cell>
        </row>
        <row r="40">
          <cell r="J40">
            <v>2046</v>
          </cell>
          <cell r="L40">
            <v>37</v>
          </cell>
        </row>
        <row r="41">
          <cell r="D41" t="str">
            <v>non tax reve</v>
          </cell>
          <cell r="J41">
            <v>2047</v>
          </cell>
          <cell r="L41">
            <v>38</v>
          </cell>
        </row>
        <row r="42">
          <cell r="J42">
            <v>2048</v>
          </cell>
          <cell r="L42">
            <v>39</v>
          </cell>
        </row>
        <row r="43">
          <cell r="D43" t="b">
            <v>0</v>
          </cell>
          <cell r="J43">
            <v>2049</v>
          </cell>
          <cell r="L43">
            <v>40</v>
          </cell>
        </row>
        <row r="44">
          <cell r="J44">
            <v>2050</v>
          </cell>
        </row>
        <row r="45">
          <cell r="D45">
            <v>2004</v>
          </cell>
        </row>
        <row r="47">
          <cell r="D47">
            <v>2024</v>
          </cell>
        </row>
        <row r="49">
          <cell r="D49">
            <v>6000</v>
          </cell>
        </row>
        <row r="50">
          <cell r="D50">
            <v>1</v>
          </cell>
        </row>
        <row r="52">
          <cell r="D52" t="b">
            <v>1</v>
          </cell>
        </row>
        <row r="54">
          <cell r="D54" t="b">
            <v>1</v>
          </cell>
        </row>
        <row r="55">
          <cell r="T55">
            <v>6.5500000000000003E-2</v>
          </cell>
        </row>
        <row r="56">
          <cell r="D56" t="b">
            <v>0</v>
          </cell>
          <cell r="T56">
            <v>6.5500000000000003E-2</v>
          </cell>
        </row>
        <row r="57">
          <cell r="D57" t="b">
            <v>0</v>
          </cell>
          <cell r="T57">
            <v>6.5500000000000003E-2</v>
          </cell>
        </row>
        <row r="58">
          <cell r="D58" t="b">
            <v>1</v>
          </cell>
          <cell r="E58">
            <v>2</v>
          </cell>
        </row>
        <row r="60">
          <cell r="D60">
            <v>1</v>
          </cell>
          <cell r="S60">
            <v>0.02</v>
          </cell>
        </row>
        <row r="61">
          <cell r="S61">
            <v>0.1</v>
          </cell>
        </row>
        <row r="154">
          <cell r="M154" t="b">
            <v>0</v>
          </cell>
        </row>
        <row r="155">
          <cell r="N155" t="str">
            <v>TURBINE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ting Oil Curve"/>
      <sheetName val="May 5"/>
      <sheetName val="May 12"/>
      <sheetName val="May 23"/>
      <sheetName val="June 3"/>
      <sheetName val="June 10"/>
      <sheetName val="June 16"/>
      <sheetName val="June 24"/>
      <sheetName val="June 30"/>
      <sheetName val="July 7"/>
      <sheetName val="July 15"/>
      <sheetName val="July 21"/>
      <sheetName val="July 28"/>
      <sheetName val="August 4"/>
      <sheetName val="Dec 9"/>
      <sheetName val="Dec 15"/>
      <sheetName val="Dec 29"/>
      <sheetName val="Jan 6"/>
      <sheetName val="Jan 12"/>
      <sheetName val="Jan 16"/>
      <sheetName val="Jan 26"/>
      <sheetName val="Current"/>
      <sheetName val="Sheet3"/>
      <sheetName val="Feb 9"/>
      <sheetName val="Feb 13"/>
      <sheetName val="March 1"/>
    </sheetNames>
    <sheetDataSet>
      <sheetData sheetId="0"/>
      <sheetData sheetId="1" refreshError="1">
        <row r="9">
          <cell r="F9">
            <v>4.1099999999999994</v>
          </cell>
        </row>
        <row r="10">
          <cell r="F10">
            <v>4.2700000000000031</v>
          </cell>
        </row>
        <row r="11">
          <cell r="F11">
            <v>3.8800000000000026</v>
          </cell>
        </row>
        <row r="47">
          <cell r="G47">
            <v>0.92450977273446711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"/>
      <sheetName val="Template"/>
      <sheetName val="Shell Cuts"/>
      <sheetName val="Production"/>
      <sheetName val="Feb 15-18"/>
      <sheetName val="Pack-Draft"/>
      <sheetName val="Sempra Out of Balance"/>
      <sheetName val="EESI Parking"/>
      <sheetName val="Feb Template"/>
      <sheetName val="Jan 31"/>
      <sheetName val="Feb 3"/>
      <sheetName val="Feb 4"/>
      <sheetName val="Feb 5"/>
      <sheetName val="Feb 6"/>
      <sheetName val="Feb 7"/>
      <sheetName val="Feb 10"/>
      <sheetName val="Feb 11"/>
      <sheetName val="Feb 12"/>
      <sheetName val="Feb 13"/>
      <sheetName val="Feb 14 for 15"/>
      <sheetName val="Feb 14 for 16"/>
      <sheetName val="Feb 14 for 17"/>
      <sheetName val="Feb 14 for 18"/>
      <sheetName val="Feb 18"/>
      <sheetName val="Feb 19"/>
      <sheetName val="Feb 20"/>
      <sheetName val="Feb 21"/>
      <sheetName val="Feb 24"/>
      <sheetName val="Feb 25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F6">
            <v>69219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53"/>
    <pageSetUpPr fitToPage="1"/>
  </sheetPr>
  <dimension ref="A1:IV73"/>
  <sheetViews>
    <sheetView topLeftCell="A7" workbookViewId="0"/>
  </sheetViews>
  <sheetFormatPr defaultRowHeight="15"/>
  <cols>
    <col min="1" max="1" width="26.88671875" customWidth="1"/>
    <col min="2" max="2" width="13.44140625" customWidth="1"/>
    <col min="3" max="3" width="12.77734375" customWidth="1"/>
    <col min="4" max="4" width="11.6640625" customWidth="1"/>
    <col min="5" max="6" width="15.21875" customWidth="1"/>
    <col min="7" max="7" width="16.88671875" bestFit="1" customWidth="1"/>
    <col min="8" max="8" width="12.88671875" bestFit="1" customWidth="1"/>
    <col min="9" max="9" width="12.44140625" customWidth="1"/>
    <col min="10" max="10" width="12.33203125" bestFit="1" customWidth="1"/>
    <col min="11" max="11" width="11.77734375" bestFit="1" customWidth="1"/>
  </cols>
  <sheetData>
    <row r="1" spans="1:10" ht="15.75">
      <c r="A1" s="1" t="s">
        <v>642</v>
      </c>
      <c r="B1" s="2"/>
      <c r="C1" s="2"/>
      <c r="D1" s="2"/>
      <c r="E1" s="2"/>
      <c r="F1" s="2"/>
      <c r="G1" s="2"/>
    </row>
    <row r="2" spans="1:10" ht="15.75">
      <c r="A2" s="1" t="s">
        <v>643</v>
      </c>
      <c r="B2" s="2"/>
      <c r="C2" s="2"/>
      <c r="D2" s="2"/>
      <c r="E2" s="2"/>
      <c r="F2" s="2"/>
      <c r="G2" s="2"/>
    </row>
    <row r="5" spans="1:10">
      <c r="A5" s="3"/>
      <c r="B5" s="3"/>
      <c r="C5" s="4" t="s">
        <v>644</v>
      </c>
      <c r="D5" s="4"/>
      <c r="E5" s="4"/>
      <c r="F5" s="4"/>
      <c r="G5" s="4"/>
    </row>
    <row r="6" spans="1:10">
      <c r="A6" s="3"/>
      <c r="B6" s="4" t="s">
        <v>244</v>
      </c>
      <c r="C6" s="4" t="s">
        <v>645</v>
      </c>
      <c r="D6" s="4" t="s">
        <v>646</v>
      </c>
      <c r="E6" s="4" t="s">
        <v>647</v>
      </c>
      <c r="F6" s="4" t="s">
        <v>328</v>
      </c>
      <c r="G6" s="4" t="s">
        <v>648</v>
      </c>
    </row>
    <row r="7" spans="1:10" ht="18">
      <c r="A7" s="745" t="s">
        <v>623</v>
      </c>
      <c r="B7" s="746">
        <f>19.6226609088658%/2</f>
        <v>9.8113304544328997E-2</v>
      </c>
      <c r="D7" s="3"/>
      <c r="E7" s="3"/>
      <c r="F7" s="3"/>
      <c r="G7" s="3"/>
    </row>
    <row r="8" spans="1:10" ht="18">
      <c r="A8" s="745" t="s">
        <v>183</v>
      </c>
      <c r="B8" s="747">
        <v>0.99669659237124453</v>
      </c>
      <c r="D8" s="3"/>
      <c r="E8" s="3"/>
      <c r="F8" s="3"/>
      <c r="G8" s="3"/>
    </row>
    <row r="9" spans="1:10" ht="18">
      <c r="A9" s="745"/>
      <c r="B9" s="745"/>
      <c r="C9" s="745"/>
      <c r="D9" s="3"/>
      <c r="E9" s="3"/>
      <c r="F9" s="3"/>
      <c r="G9" s="3"/>
      <c r="I9" t="s">
        <v>1239</v>
      </c>
    </row>
    <row r="10" spans="1:10" ht="25.5">
      <c r="A10" s="5" t="s">
        <v>117</v>
      </c>
      <c r="B10" s="5"/>
      <c r="C10" s="3"/>
      <c r="D10" s="3"/>
      <c r="E10" s="3"/>
      <c r="F10" s="3"/>
      <c r="G10" s="3"/>
      <c r="I10" s="806">
        <v>-1192876.1349245533</v>
      </c>
    </row>
    <row r="11" spans="1:10">
      <c r="A11" s="3"/>
      <c r="B11" s="3"/>
      <c r="C11" s="3"/>
      <c r="D11" s="3"/>
      <c r="E11" s="3"/>
      <c r="F11" s="3"/>
      <c r="G11" s="3"/>
    </row>
    <row r="12" spans="1:10">
      <c r="A12" s="3" t="s">
        <v>543</v>
      </c>
      <c r="B12" s="3"/>
      <c r="C12" s="6">
        <v>9704757.6000000015</v>
      </c>
      <c r="D12" s="6">
        <v>4892737.08</v>
      </c>
      <c r="E12" s="6">
        <v>7811877.8571848534</v>
      </c>
      <c r="F12" s="6"/>
      <c r="G12" s="6">
        <v>22409372.537184857</v>
      </c>
    </row>
    <row r="13" spans="1:10">
      <c r="A13" s="3"/>
      <c r="B13" s="3"/>
      <c r="C13" s="3"/>
      <c r="D13" s="3"/>
      <c r="E13" s="3"/>
      <c r="F13" s="3"/>
      <c r="G13" s="3"/>
    </row>
    <row r="14" spans="1:10">
      <c r="A14" s="3" t="s">
        <v>544</v>
      </c>
      <c r="B14" s="3"/>
      <c r="C14" s="7">
        <f>ROUND(+'Schedule 9'!R158,0)</f>
        <v>10821467</v>
      </c>
      <c r="D14" s="7">
        <f>ROUND(+'Schedule 9'!S158,0)</f>
        <v>5840445</v>
      </c>
      <c r="E14" s="7">
        <f>'Schedule 4'!R51</f>
        <v>5608508.7278924901</v>
      </c>
      <c r="F14" s="7"/>
      <c r="G14" s="7">
        <f>SUM(C14:F14)</f>
        <v>22270420.727892488</v>
      </c>
    </row>
    <row r="15" spans="1:10">
      <c r="A15" s="3"/>
      <c r="B15" s="3"/>
      <c r="C15" s="3"/>
      <c r="D15" s="3"/>
      <c r="E15" s="714"/>
      <c r="F15" s="714"/>
      <c r="G15" s="3"/>
      <c r="J15" s="485"/>
    </row>
    <row r="16" spans="1:10">
      <c r="A16" s="3" t="s">
        <v>649</v>
      </c>
      <c r="B16" s="3"/>
      <c r="C16" s="8">
        <f>+C14-C12</f>
        <v>1116709.3999999985</v>
      </c>
      <c r="D16" s="8">
        <f>+D14-D12</f>
        <v>947707.91999999993</v>
      </c>
      <c r="E16" s="8">
        <f>+E14-E12</f>
        <v>-2203369.1292923633</v>
      </c>
      <c r="F16" s="8"/>
      <c r="G16" s="8">
        <f>SUM(C16:F16)</f>
        <v>-138951.80929236487</v>
      </c>
      <c r="J16" s="485"/>
    </row>
    <row r="17" spans="1:11">
      <c r="A17" s="5"/>
      <c r="B17" s="5"/>
      <c r="C17" s="3"/>
      <c r="D17" s="3"/>
      <c r="E17" s="3"/>
      <c r="F17" s="3"/>
      <c r="G17" s="3"/>
      <c r="J17" s="485"/>
    </row>
    <row r="18" spans="1:11" ht="25.5">
      <c r="A18" s="9" t="s">
        <v>591</v>
      </c>
      <c r="B18" s="9"/>
      <c r="C18" s="7">
        <f>I54</f>
        <v>1.3971007424313961E-2</v>
      </c>
      <c r="D18" s="7">
        <v>0</v>
      </c>
      <c r="E18" s="7">
        <v>0</v>
      </c>
      <c r="F18" s="7"/>
      <c r="G18" s="7">
        <f>SUM(C18:F18)</f>
        <v>1.3971007424313961E-2</v>
      </c>
      <c r="J18" s="485"/>
    </row>
    <row r="19" spans="1:11">
      <c r="A19" s="9"/>
      <c r="B19" s="9"/>
      <c r="C19" s="7"/>
      <c r="D19" s="7"/>
      <c r="E19" s="7"/>
      <c r="F19" s="7"/>
      <c r="G19" s="7"/>
      <c r="J19" s="485"/>
    </row>
    <row r="20" spans="1:11">
      <c r="A20" s="10" t="s">
        <v>592</v>
      </c>
      <c r="B20" s="10"/>
      <c r="C20" s="8">
        <f>C14+C18</f>
        <v>10821467.013971006</v>
      </c>
      <c r="D20" s="8">
        <f>D14+D18</f>
        <v>5840445</v>
      </c>
      <c r="E20" s="8">
        <f>E14+E18</f>
        <v>5608508.7278924901</v>
      </c>
      <c r="F20" s="8"/>
      <c r="G20" s="8">
        <f>SUM(C20:F20)</f>
        <v>22270420.741863497</v>
      </c>
      <c r="J20" s="485"/>
    </row>
    <row r="21" spans="1:11">
      <c r="A21" s="3" t="s">
        <v>650</v>
      </c>
      <c r="B21" s="3"/>
      <c r="C21" s="8">
        <f>+'2012 Unpublished Rates'!$W$443</f>
        <v>2500168.6092576245</v>
      </c>
      <c r="D21" s="3"/>
      <c r="E21" s="3"/>
      <c r="F21" s="3"/>
      <c r="G21" s="8">
        <f>SUM(C21:F21)</f>
        <v>2500168.6092576245</v>
      </c>
      <c r="J21" s="485"/>
    </row>
    <row r="22" spans="1:11" ht="25.5">
      <c r="A22" s="9" t="s">
        <v>593</v>
      </c>
      <c r="B22" s="9"/>
      <c r="C22" s="8">
        <f>I56</f>
        <v>3.703927474537215E-2</v>
      </c>
      <c r="D22" s="3"/>
      <c r="E22" s="3"/>
      <c r="F22" s="3"/>
      <c r="G22" s="8">
        <f>SUM(C22:E22)</f>
        <v>3.703927474537215E-2</v>
      </c>
      <c r="J22" s="702"/>
    </row>
    <row r="23" spans="1:11">
      <c r="A23" s="9"/>
      <c r="B23" s="9"/>
      <c r="C23" s="8"/>
      <c r="D23" s="3"/>
      <c r="E23" s="3"/>
      <c r="F23" s="3"/>
      <c r="G23" s="8"/>
      <c r="J23" s="702"/>
    </row>
    <row r="24" spans="1:11" ht="16.5" thickBot="1">
      <c r="A24" s="17" t="s">
        <v>617</v>
      </c>
      <c r="B24" s="17"/>
      <c r="C24" s="12"/>
      <c r="D24" s="13"/>
      <c r="E24" s="13"/>
      <c r="F24" s="13"/>
      <c r="G24" s="715"/>
      <c r="H24" s="423" t="s">
        <v>531</v>
      </c>
      <c r="I24" s="423" t="s">
        <v>624</v>
      </c>
      <c r="J24" s="614" t="s">
        <v>184</v>
      </c>
    </row>
    <row r="25" spans="1:11" ht="15.75" thickBot="1">
      <c r="A25" s="14" t="s">
        <v>616</v>
      </c>
      <c r="B25" s="14"/>
      <c r="C25" s="15">
        <f>SUM(C20:C24)</f>
        <v>13321635.660267906</v>
      </c>
      <c r="D25" s="15">
        <f>SUM(D20:D24)</f>
        <v>5840445</v>
      </c>
      <c r="E25" s="15">
        <f>SUM(E20:E24)</f>
        <v>5608508.7278924901</v>
      </c>
      <c r="F25" s="15">
        <v>0</v>
      </c>
      <c r="G25" s="15">
        <f>SUM(C25:F25)</f>
        <v>24770589.388160393</v>
      </c>
      <c r="H25" s="15">
        <v>24765871.452216744</v>
      </c>
      <c r="I25" s="739">
        <f>G25-H25</f>
        <v>4717.9359436482191</v>
      </c>
      <c r="J25" s="740">
        <f>I25/H25</f>
        <v>1.9050151143483893E-4</v>
      </c>
      <c r="K25" s="690"/>
    </row>
    <row r="26" spans="1:11" ht="15.75" thickBot="1">
      <c r="A26" s="14" t="s">
        <v>151</v>
      </c>
      <c r="B26" s="14"/>
      <c r="C26" s="15">
        <v>0</v>
      </c>
      <c r="D26" s="15">
        <v>0</v>
      </c>
      <c r="E26" s="15">
        <v>0</v>
      </c>
      <c r="F26" s="15">
        <f>F16</f>
        <v>0</v>
      </c>
      <c r="G26" s="15">
        <f>SUM(C26:F26)</f>
        <v>0</v>
      </c>
      <c r="H26" s="15"/>
      <c r="I26" s="741"/>
      <c r="J26" s="624"/>
    </row>
    <row r="27" spans="1:11" ht="15.75" thickBot="1">
      <c r="A27" s="14" t="s">
        <v>648</v>
      </c>
      <c r="B27" s="14"/>
      <c r="C27" s="15">
        <f>C25+C26</f>
        <v>13321635.660267906</v>
      </c>
      <c r="D27" s="15">
        <f>D25+D26</f>
        <v>5840445</v>
      </c>
      <c r="E27" s="15">
        <f>E25+E26</f>
        <v>5608508.7278924901</v>
      </c>
      <c r="F27" s="15">
        <f>F25+F26</f>
        <v>0</v>
      </c>
      <c r="G27" s="15">
        <f>SUM(C27:F27)</f>
        <v>24770589.388160393</v>
      </c>
      <c r="H27" s="15"/>
      <c r="I27" s="741"/>
      <c r="J27" s="624"/>
    </row>
    <row r="28" spans="1:11" ht="9" customHeight="1">
      <c r="A28" s="709"/>
      <c r="B28" s="709"/>
      <c r="C28" s="710"/>
      <c r="D28" s="710"/>
      <c r="E28" s="710"/>
      <c r="F28" s="710"/>
      <c r="G28" s="710"/>
      <c r="H28" s="710"/>
      <c r="I28" s="99"/>
      <c r="J28" s="624"/>
    </row>
    <row r="29" spans="1:11" ht="16.5" thickBot="1">
      <c r="A29" s="17" t="s">
        <v>618</v>
      </c>
      <c r="B29" s="17"/>
      <c r="C29" s="12"/>
      <c r="D29" s="13"/>
      <c r="E29" s="13"/>
      <c r="F29" s="13"/>
      <c r="G29" s="13"/>
      <c r="H29" s="710"/>
      <c r="I29" s="99"/>
      <c r="J29" s="624"/>
    </row>
    <row r="30" spans="1:11" ht="15.75" thickBot="1">
      <c r="A30" s="14" t="s">
        <v>619</v>
      </c>
      <c r="B30" s="733">
        <f>'Schedule 9'!AA162</f>
        <v>89600121.273697898</v>
      </c>
      <c r="C30" s="15">
        <f>'Schedule 9'!R162</f>
        <v>10769088.563489018</v>
      </c>
      <c r="D30" s="15">
        <f>'Schedule 9'!S162</f>
        <v>5840444.6148487497</v>
      </c>
      <c r="E30" s="15">
        <f>'Schedule 9'!T162</f>
        <v>5608758.8587725535</v>
      </c>
      <c r="F30" s="15">
        <v>0</v>
      </c>
      <c r="G30" s="15">
        <f>SUM(C30:F30)</f>
        <v>22218292.037110321</v>
      </c>
      <c r="I30" s="742"/>
      <c r="J30" s="624"/>
    </row>
    <row r="31" spans="1:11" ht="15.75" thickBot="1">
      <c r="A31" s="14" t="s">
        <v>620</v>
      </c>
      <c r="B31" s="733">
        <f>'Schedule 9'!AA163</f>
        <v>459935.60951563448</v>
      </c>
      <c r="C31" s="15">
        <f>'Schedule 9'!R163</f>
        <v>52378.83786879429</v>
      </c>
      <c r="D31" s="15">
        <f>'Schedule 9'!S163</f>
        <v>0</v>
      </c>
      <c r="E31" s="15">
        <f>'Schedule 9'!T163</f>
        <v>0</v>
      </c>
      <c r="F31" s="15"/>
      <c r="G31" s="15">
        <f>SUM(C31:F31)</f>
        <v>52378.83786879429</v>
      </c>
      <c r="H31" s="710">
        <f>+G30+G31</f>
        <v>22270670.874979116</v>
      </c>
      <c r="I31" s="742"/>
      <c r="J31" s="624"/>
    </row>
    <row r="32" spans="1:11" ht="15.75" thickBot="1">
      <c r="A32" s="14" t="s">
        <v>621</v>
      </c>
      <c r="B32" s="734">
        <f>'2012 Unpublished Rates'!H447</f>
        <v>25679912.619859923</v>
      </c>
      <c r="C32" s="15">
        <f>C21+C22</f>
        <v>2500168.6462968993</v>
      </c>
      <c r="D32" s="15">
        <v>0</v>
      </c>
      <c r="E32" s="15">
        <f>D53</f>
        <v>0</v>
      </c>
      <c r="F32" s="15">
        <v>0</v>
      </c>
      <c r="G32" s="15">
        <f>SUM(C32:F32)</f>
        <v>2500168.6462968993</v>
      </c>
      <c r="H32" s="710"/>
      <c r="I32" s="742"/>
      <c r="J32" s="624"/>
    </row>
    <row r="33" spans="1:10" ht="15.75" thickBot="1">
      <c r="A33" s="14" t="s">
        <v>648</v>
      </c>
      <c r="B33" s="733">
        <f t="shared" ref="B33:G33" si="0">SUM(B30:B32)</f>
        <v>115739969.50307345</v>
      </c>
      <c r="C33" s="15">
        <f t="shared" si="0"/>
        <v>13321636.047654713</v>
      </c>
      <c r="D33" s="15">
        <f t="shared" si="0"/>
        <v>5840444.6148487497</v>
      </c>
      <c r="E33" s="15">
        <f t="shared" si="0"/>
        <v>5608758.8587725535</v>
      </c>
      <c r="F33" s="15">
        <f t="shared" si="0"/>
        <v>0</v>
      </c>
      <c r="G33" s="15">
        <f t="shared" si="0"/>
        <v>24770839.521276016</v>
      </c>
      <c r="H33" s="738">
        <v>115739969.50307345</v>
      </c>
      <c r="I33" s="743">
        <f>B33-H33</f>
        <v>0</v>
      </c>
      <c r="J33" s="744">
        <f>I33/H33</f>
        <v>0</v>
      </c>
    </row>
    <row r="34" spans="1:10">
      <c r="A34" s="709"/>
      <c r="B34" s="735"/>
      <c r="C34" s="710"/>
      <c r="D34" s="710"/>
      <c r="E34" s="710"/>
      <c r="F34" s="710"/>
      <c r="G34" s="710"/>
      <c r="H34" s="710"/>
      <c r="J34" s="485"/>
    </row>
    <row r="35" spans="1:10">
      <c r="A35" s="709" t="s">
        <v>649</v>
      </c>
      <c r="B35" s="709"/>
      <c r="C35" s="710">
        <f>C33-C27</f>
        <v>0.38738680630922318</v>
      </c>
      <c r="D35" s="710">
        <f>D33-D27</f>
        <v>-0.38515125028789043</v>
      </c>
      <c r="E35" s="710">
        <f>E33-E27</f>
        <v>250.13088006339967</v>
      </c>
      <c r="F35" s="710">
        <f>F33-F27</f>
        <v>0</v>
      </c>
      <c r="G35" s="710">
        <f>G33-G27</f>
        <v>250.1331156231463</v>
      </c>
      <c r="H35" s="710"/>
      <c r="J35" s="485"/>
    </row>
    <row r="36" spans="1:10">
      <c r="A36" s="709" t="s">
        <v>622</v>
      </c>
      <c r="B36" s="710"/>
      <c r="C36" s="710"/>
      <c r="D36" s="710"/>
      <c r="E36" s="710">
        <f>F49</f>
        <v>0</v>
      </c>
      <c r="F36" s="710"/>
      <c r="G36" s="710"/>
      <c r="I36" s="485"/>
    </row>
    <row r="37" spans="1:10">
      <c r="A37" s="709" t="s">
        <v>624</v>
      </c>
      <c r="B37" s="716"/>
      <c r="C37" s="710"/>
      <c r="D37" s="710"/>
      <c r="E37" s="710">
        <f>G35-E36</f>
        <v>250.1331156231463</v>
      </c>
      <c r="F37" s="710"/>
      <c r="G37" s="710"/>
      <c r="I37" s="485"/>
    </row>
    <row r="38" spans="1:10">
      <c r="A38" s="709"/>
      <c r="B38" s="710"/>
      <c r="C38" s="710"/>
      <c r="D38" s="710"/>
      <c r="E38" s="710"/>
      <c r="F38" s="710"/>
      <c r="G38" s="710"/>
      <c r="I38" s="485"/>
    </row>
    <row r="39" spans="1:10" ht="15.75">
      <c r="A39" s="789"/>
      <c r="B39" s="790"/>
      <c r="C39" s="790"/>
      <c r="D39" s="791" t="s">
        <v>64</v>
      </c>
      <c r="E39" s="792"/>
      <c r="F39" s="791"/>
      <c r="G39" s="793"/>
      <c r="H39" s="787"/>
    </row>
    <row r="40" spans="1:10" ht="15.75">
      <c r="A40" s="794"/>
      <c r="B40" s="707"/>
      <c r="C40" s="707"/>
      <c r="D40" s="707"/>
      <c r="E40" s="707"/>
      <c r="F40" s="788"/>
      <c r="G40" s="795"/>
      <c r="H40" s="603"/>
    </row>
    <row r="41" spans="1:10" ht="15.75">
      <c r="A41" s="794" t="s">
        <v>631</v>
      </c>
      <c r="B41" s="707"/>
      <c r="C41" s="707"/>
      <c r="D41" s="707">
        <f>'Schedule 9'!R163</f>
        <v>52378.83786879429</v>
      </c>
      <c r="E41" s="707"/>
      <c r="F41" s="788"/>
      <c r="G41" s="712"/>
      <c r="H41" s="788"/>
      <c r="I41" s="711"/>
    </row>
    <row r="42" spans="1:10" ht="7.5" customHeight="1">
      <c r="A42" s="794"/>
      <c r="B42" s="707"/>
      <c r="C42" s="707"/>
      <c r="D42" s="707"/>
      <c r="E42" s="707"/>
      <c r="F42" s="788"/>
      <c r="G42" s="795"/>
      <c r="H42" s="788"/>
    </row>
    <row r="43" spans="1:10" ht="15.75">
      <c r="A43" s="794" t="s">
        <v>1164</v>
      </c>
      <c r="B43" s="707"/>
      <c r="C43" s="707"/>
      <c r="D43" s="707"/>
      <c r="E43" s="707"/>
      <c r="F43" s="788"/>
      <c r="G43" s="795"/>
      <c r="H43" s="788"/>
    </row>
    <row r="44" spans="1:10" ht="15.75">
      <c r="A44" s="794" t="s">
        <v>1169</v>
      </c>
      <c r="B44" s="707"/>
      <c r="C44" s="707"/>
      <c r="D44" s="784" t="e">
        <f>'Schedule 4'!#REF!</f>
        <v>#REF!</v>
      </c>
      <c r="E44" s="707"/>
      <c r="F44" s="788"/>
      <c r="G44" s="712"/>
      <c r="H44" s="788"/>
      <c r="I44" s="711"/>
    </row>
    <row r="45" spans="1:10" ht="15.75">
      <c r="A45" s="794" t="s">
        <v>630</v>
      </c>
      <c r="B45" s="707"/>
      <c r="C45" s="707"/>
      <c r="D45" s="707"/>
      <c r="E45" s="707"/>
      <c r="F45" s="788"/>
      <c r="G45" s="712"/>
      <c r="H45" s="788"/>
      <c r="I45" s="711"/>
    </row>
    <row r="46" spans="1:10" ht="15.75">
      <c r="A46" s="794" t="s">
        <v>1161</v>
      </c>
      <c r="B46" s="707"/>
      <c r="C46" s="707"/>
      <c r="D46" s="784" t="e">
        <f>'Schedule 4'!#REF!</f>
        <v>#REF!</v>
      </c>
      <c r="E46" s="707"/>
      <c r="F46" s="788"/>
      <c r="G46" s="712"/>
      <c r="H46" s="788"/>
      <c r="I46" s="711"/>
    </row>
    <row r="47" spans="1:10" ht="15.75">
      <c r="A47" s="794" t="s">
        <v>1162</v>
      </c>
      <c r="B47" s="707"/>
      <c r="C47" s="707"/>
      <c r="D47" s="784" t="e">
        <f>'Schedule 4'!#REF!</f>
        <v>#REF!</v>
      </c>
      <c r="E47" s="707"/>
      <c r="F47" s="788"/>
      <c r="G47" s="712"/>
      <c r="H47" s="788"/>
      <c r="I47" s="711"/>
    </row>
    <row r="48" spans="1:10" ht="15.75">
      <c r="A48" s="794" t="s">
        <v>1170</v>
      </c>
      <c r="B48" s="707"/>
      <c r="C48" s="707"/>
      <c r="D48" s="784" t="e">
        <f>'Schedule 4'!#REF!-'Schedule 4'!#REF!</f>
        <v>#REF!</v>
      </c>
      <c r="E48" s="707"/>
      <c r="F48" s="788"/>
      <c r="G48" s="712"/>
      <c r="H48" s="788"/>
      <c r="I48" s="711"/>
    </row>
    <row r="49" spans="1:256" ht="15.75">
      <c r="A49" s="794" t="s">
        <v>1163</v>
      </c>
      <c r="B49" s="707"/>
      <c r="C49" s="707"/>
      <c r="D49" s="784" t="e">
        <f>SUM(D46:D48)</f>
        <v>#REF!</v>
      </c>
      <c r="E49" s="784"/>
      <c r="F49" s="788"/>
      <c r="G49" s="712"/>
      <c r="H49" s="788"/>
      <c r="I49" s="711"/>
      <c r="IV49" s="786" t="e">
        <f>SUM(D49:IU49)</f>
        <v>#REF!</v>
      </c>
    </row>
    <row r="50" spans="1:256" ht="15.75">
      <c r="A50" s="794" t="s">
        <v>1165</v>
      </c>
      <c r="B50" s="707"/>
      <c r="C50" s="707"/>
      <c r="D50" s="707" t="e">
        <f>D44+D49</f>
        <v>#REF!</v>
      </c>
      <c r="E50" s="707"/>
      <c r="F50" s="788"/>
      <c r="G50" s="712"/>
      <c r="H50" s="788"/>
      <c r="I50" s="711"/>
    </row>
    <row r="51" spans="1:256" ht="15.75">
      <c r="A51" s="17"/>
      <c r="B51" s="707"/>
      <c r="C51" s="707"/>
      <c r="D51" s="707"/>
      <c r="E51" s="707"/>
      <c r="F51" s="788"/>
      <c r="G51" s="16"/>
      <c r="H51" s="485"/>
    </row>
    <row r="52" spans="1:256" ht="63.75" customHeight="1">
      <c r="A52" s="13"/>
      <c r="B52" s="18" t="s">
        <v>625</v>
      </c>
      <c r="C52" s="18" t="s">
        <v>626</v>
      </c>
      <c r="D52" s="18" t="s">
        <v>627</v>
      </c>
      <c r="E52" s="19" t="s">
        <v>589</v>
      </c>
      <c r="F52" s="20" t="s">
        <v>651</v>
      </c>
      <c r="G52" s="537" t="s">
        <v>532</v>
      </c>
      <c r="H52" s="537" t="s">
        <v>590</v>
      </c>
      <c r="I52" s="537" t="s">
        <v>545</v>
      </c>
    </row>
    <row r="53" spans="1:256">
      <c r="A53" s="3"/>
      <c r="B53" s="13"/>
      <c r="C53" s="13"/>
      <c r="D53" s="13"/>
      <c r="E53" s="13"/>
      <c r="F53" s="13"/>
      <c r="G53" s="538"/>
      <c r="H53" s="13"/>
    </row>
    <row r="54" spans="1:256">
      <c r="A54" s="3" t="s">
        <v>652</v>
      </c>
      <c r="B54" s="8">
        <f>+'Schedule 9'!AA158</f>
        <v>90060056.883213535</v>
      </c>
      <c r="C54" s="8">
        <f>'Schedule 9'!AB158</f>
        <v>81100515.993992642</v>
      </c>
      <c r="D54" s="8">
        <f>'Schedule 9'!AC158</f>
        <v>80316729.740897357</v>
      </c>
      <c r="E54" s="8">
        <f>ROUND(E$58/B$58*B54,0)</f>
        <v>90060057</v>
      </c>
      <c r="F54" s="8">
        <f>E54-B54</f>
        <v>0.11678646504878998</v>
      </c>
      <c r="G54" s="539">
        <v>0.1089401720534309</v>
      </c>
      <c r="H54" s="21">
        <f>G54*(1+'2012 Stlgt Rates'!C3)</f>
        <v>0.11962865233122076</v>
      </c>
      <c r="I54" s="8">
        <f>F54*H54</f>
        <v>1.3971007424313961E-2</v>
      </c>
    </row>
    <row r="55" spans="1:256">
      <c r="A55" s="3"/>
      <c r="B55" s="3"/>
      <c r="C55" s="3"/>
      <c r="D55" s="3"/>
      <c r="E55" s="3"/>
      <c r="F55" s="3"/>
      <c r="G55" s="540"/>
      <c r="H55" s="3"/>
      <c r="I55" s="8"/>
    </row>
    <row r="56" spans="1:256">
      <c r="A56" s="3" t="s">
        <v>653</v>
      </c>
      <c r="B56" s="23">
        <f>+'2012 Unpublished Rates'!$H$447</f>
        <v>25679912.619859923</v>
      </c>
      <c r="C56" s="23">
        <v>0</v>
      </c>
      <c r="D56" s="23">
        <v>0</v>
      </c>
      <c r="E56" s="7">
        <f>ROUND(E$58/B$58*B56,0)</f>
        <v>25679913</v>
      </c>
      <c r="F56" s="7">
        <f>E56-B56</f>
        <v>0.38014007732272148</v>
      </c>
      <c r="G56" s="541">
        <v>8.8730241218871381E-2</v>
      </c>
      <c r="H56" s="21">
        <f>G56*(1+'2012 Rates'!$H$5)</f>
        <v>9.7435858397870279E-2</v>
      </c>
      <c r="I56" s="8">
        <f>F56*H56</f>
        <v>3.703927474537215E-2</v>
      </c>
    </row>
    <row r="57" spans="1:256">
      <c r="A57" s="3"/>
      <c r="B57" s="13"/>
      <c r="C57" s="13"/>
      <c r="D57" s="13"/>
      <c r="E57" s="13"/>
      <c r="F57" s="13"/>
      <c r="G57" s="3"/>
      <c r="H57" s="3"/>
      <c r="I57" s="16"/>
    </row>
    <row r="58" spans="1:256">
      <c r="A58" s="13" t="s">
        <v>648</v>
      </c>
      <c r="B58" s="24">
        <f>SUM(B54:B56)</f>
        <v>115739969.50307345</v>
      </c>
      <c r="C58" s="24">
        <f>SUM(C54:C56)</f>
        <v>81100515.993992642</v>
      </c>
      <c r="D58" s="24">
        <f>SUM(D54:D56)</f>
        <v>80316729.740897357</v>
      </c>
      <c r="E58" s="24">
        <v>115739970</v>
      </c>
      <c r="F58" s="24">
        <f>SUM(F54:F56)</f>
        <v>0.49692654237151146</v>
      </c>
      <c r="G58" s="13"/>
      <c r="H58" s="3"/>
    </row>
    <row r="59" spans="1:256">
      <c r="A59" s="3" t="s">
        <v>779</v>
      </c>
      <c r="B59" s="13"/>
      <c r="C59" s="13"/>
      <c r="D59" s="13"/>
      <c r="E59" s="3"/>
      <c r="F59" s="3"/>
    </row>
    <row r="60" spans="1:256">
      <c r="A60" s="3"/>
      <c r="B60" s="3"/>
      <c r="C60" s="3"/>
      <c r="D60" s="3"/>
      <c r="E60" s="3"/>
      <c r="F60" s="3"/>
    </row>
    <row r="61" spans="1:256">
      <c r="A61" s="25" t="s">
        <v>118</v>
      </c>
      <c r="B61" s="3"/>
      <c r="C61" s="3"/>
      <c r="D61" s="8"/>
      <c r="E61" s="3"/>
      <c r="F61" s="3"/>
    </row>
    <row r="62" spans="1:256">
      <c r="A62" s="3"/>
      <c r="B62" s="3"/>
      <c r="C62" s="3"/>
      <c r="D62" s="3"/>
      <c r="E62" s="3"/>
      <c r="F62" s="3"/>
    </row>
    <row r="63" spans="1:256">
      <c r="A63" s="3"/>
      <c r="B63" s="3"/>
      <c r="C63" s="3"/>
      <c r="D63" s="3"/>
      <c r="E63" s="3"/>
      <c r="F63" s="3"/>
    </row>
    <row r="64" spans="1:256" ht="25.5">
      <c r="A64" s="9" t="s">
        <v>594</v>
      </c>
      <c r="B64" s="26">
        <f>+'Schedule 9'!R158</f>
        <v>10821467.401357815</v>
      </c>
      <c r="C64" s="26">
        <f>+'Schedule 9'!S158</f>
        <v>5840444.6148487497</v>
      </c>
      <c r="D64" s="26">
        <f>+'Schedule 9'!T158</f>
        <v>5608758.8587725535</v>
      </c>
      <c r="E64" s="26">
        <f>SUM(B64:D64)</f>
        <v>22270670.874979116</v>
      </c>
      <c r="F64" s="3"/>
    </row>
    <row r="65" spans="1:6">
      <c r="A65" s="9"/>
      <c r="B65" s="3"/>
      <c r="C65" s="3"/>
      <c r="D65" s="3"/>
      <c r="E65" s="3"/>
      <c r="F65" s="3"/>
    </row>
    <row r="66" spans="1:6" ht="25.5">
      <c r="A66" s="9" t="s">
        <v>632</v>
      </c>
      <c r="B66" s="7">
        <f>+C18</f>
        <v>1.3971007424313961E-2</v>
      </c>
      <c r="C66" s="7">
        <f>+D18</f>
        <v>0</v>
      </c>
      <c r="D66" s="7">
        <f>+E18</f>
        <v>0</v>
      </c>
      <c r="E66" s="7">
        <f>SUM(B66:D66)</f>
        <v>1.3971007424313961E-2</v>
      </c>
      <c r="F66" s="3"/>
    </row>
    <row r="67" spans="1:6">
      <c r="A67" s="9"/>
      <c r="B67" s="7"/>
      <c r="C67" s="7"/>
      <c r="D67" s="7"/>
      <c r="E67" s="7"/>
      <c r="F67" s="3"/>
    </row>
    <row r="68" spans="1:6" ht="25.5">
      <c r="A68" s="10" t="s">
        <v>633</v>
      </c>
      <c r="B68" s="8">
        <f>SUM(B64:B66)</f>
        <v>10821467.415328821</v>
      </c>
      <c r="C68" s="8">
        <f>SUM(C64:C66)</f>
        <v>5840444.6148487497</v>
      </c>
      <c r="D68" s="8">
        <f>SUM(D64:D66)</f>
        <v>5608758.8587725535</v>
      </c>
      <c r="E68" s="8">
        <f>SUM(B68:D68)</f>
        <v>22270670.888950124</v>
      </c>
      <c r="F68" s="3"/>
    </row>
    <row r="69" spans="1:6">
      <c r="A69" s="10"/>
      <c r="B69" s="8"/>
      <c r="C69" s="8"/>
      <c r="D69" s="8"/>
      <c r="E69" s="8"/>
      <c r="F69" s="3"/>
    </row>
    <row r="70" spans="1:6" ht="25.5">
      <c r="A70" s="9" t="s">
        <v>635</v>
      </c>
      <c r="B70" s="8">
        <f>+C21</f>
        <v>2500168.6092576245</v>
      </c>
      <c r="C70" s="3"/>
      <c r="D70" s="3"/>
      <c r="E70" s="8">
        <f>SUM(B70:D70)</f>
        <v>2500168.6092576245</v>
      </c>
      <c r="F70" s="3"/>
    </row>
    <row r="71" spans="1:6">
      <c r="A71" s="9" t="s">
        <v>538</v>
      </c>
      <c r="B71" s="8">
        <f>C22</f>
        <v>3.703927474537215E-2</v>
      </c>
      <c r="C71" s="3"/>
      <c r="D71" s="3"/>
      <c r="E71" s="8">
        <f>SUM(B71:D71)</f>
        <v>3.703927474537215E-2</v>
      </c>
      <c r="F71" s="3"/>
    </row>
    <row r="72" spans="1:6" ht="15.75" thickBot="1">
      <c r="A72" s="11"/>
      <c r="B72" s="12"/>
      <c r="C72" s="13"/>
      <c r="D72" s="13"/>
      <c r="E72" s="13"/>
      <c r="F72" s="3"/>
    </row>
    <row r="73" spans="1:6" ht="15.75" thickBot="1">
      <c r="A73" s="14" t="s">
        <v>654</v>
      </c>
      <c r="B73" s="15">
        <f>SUM(B68:B71)</f>
        <v>13321636.061625721</v>
      </c>
      <c r="C73" s="15">
        <f>SUM(C68:C71)</f>
        <v>5840444.6148487497</v>
      </c>
      <c r="D73" s="15">
        <f>SUM(D68:D71)</f>
        <v>5608758.8587725535</v>
      </c>
      <c r="E73" s="15">
        <f>SUM(B73:D73)</f>
        <v>24770839.535247024</v>
      </c>
      <c r="F73" s="3"/>
    </row>
  </sheetData>
  <phoneticPr fontId="10" type="noConversion"/>
  <pageMargins left="0.75" right="0.75" top="1" bottom="1" header="0.5" footer="0.5"/>
  <pageSetup scale="49" orientation="portrait" r:id="rId1"/>
  <headerFooter alignWithMargins="0">
    <oddFooter>&amp;L&amp;Z&amp;F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7"/>
  <sheetViews>
    <sheetView workbookViewId="0">
      <selection sqref="A1:F27"/>
    </sheetView>
  </sheetViews>
  <sheetFormatPr defaultColWidth="7.109375" defaultRowHeight="12.75"/>
  <cols>
    <col min="1" max="1" width="35.88671875" style="170" customWidth="1"/>
    <col min="2" max="5" width="12.21875" style="170" customWidth="1"/>
    <col min="6" max="6" width="17.33203125" style="170" bestFit="1" customWidth="1"/>
    <col min="7" max="16384" width="7.109375" style="170"/>
  </cols>
  <sheetData>
    <row r="1" spans="1:6">
      <c r="F1" s="171" t="s">
        <v>74</v>
      </c>
    </row>
    <row r="3" spans="1:6" ht="18">
      <c r="A3" s="172" t="s">
        <v>655</v>
      </c>
      <c r="B3" s="173"/>
      <c r="C3" s="173"/>
      <c r="D3" s="173"/>
      <c r="E3" s="173"/>
      <c r="F3" s="173"/>
    </row>
    <row r="4" spans="1:6" ht="15.75">
      <c r="A4" s="174" t="s">
        <v>75</v>
      </c>
      <c r="B4" s="175"/>
      <c r="C4" s="175"/>
      <c r="D4" s="175"/>
      <c r="E4" s="175"/>
      <c r="F4" s="175"/>
    </row>
    <row r="5" spans="1:6" ht="15.75">
      <c r="A5" s="58" t="s">
        <v>76</v>
      </c>
      <c r="B5" s="175"/>
      <c r="C5" s="175"/>
      <c r="D5" s="175"/>
      <c r="E5" s="175"/>
      <c r="F5" s="175"/>
    </row>
    <row r="6" spans="1:6">
      <c r="A6" s="176"/>
    </row>
    <row r="7" spans="1:6">
      <c r="A7" s="171" t="s">
        <v>77</v>
      </c>
      <c r="B7" s="177" t="s">
        <v>78</v>
      </c>
    </row>
    <row r="8" spans="1:6">
      <c r="B8" s="170" t="s">
        <v>79</v>
      </c>
    </row>
    <row r="9" spans="1:6">
      <c r="B9" s="170" t="s">
        <v>80</v>
      </c>
    </row>
    <row r="11" spans="1:6">
      <c r="A11" s="178" t="s">
        <v>756</v>
      </c>
      <c r="B11" s="179" t="s">
        <v>81</v>
      </c>
      <c r="C11" s="179" t="s">
        <v>82</v>
      </c>
      <c r="D11" s="179" t="s">
        <v>83</v>
      </c>
      <c r="E11" s="179" t="s">
        <v>84</v>
      </c>
      <c r="F11" s="179" t="s">
        <v>85</v>
      </c>
    </row>
    <row r="12" spans="1:6">
      <c r="A12" s="180"/>
      <c r="B12" s="181" t="s">
        <v>86</v>
      </c>
      <c r="C12" s="181" t="s">
        <v>87</v>
      </c>
      <c r="D12" s="181" t="s">
        <v>88</v>
      </c>
      <c r="E12" s="181" t="s">
        <v>89</v>
      </c>
      <c r="F12" s="181" t="s">
        <v>89</v>
      </c>
    </row>
    <row r="13" spans="1:6">
      <c r="A13" s="182" t="s">
        <v>771</v>
      </c>
      <c r="B13" s="183">
        <v>2500</v>
      </c>
      <c r="C13" s="184">
        <v>4000</v>
      </c>
      <c r="D13" s="185">
        <f t="shared" ref="D13:D23" si="0">B13/C13</f>
        <v>0.625</v>
      </c>
      <c r="E13" s="186">
        <f t="shared" ref="E13:E21" si="1">D13/D$22</f>
        <v>0.10416666666666667</v>
      </c>
      <c r="F13" s="186">
        <f t="shared" ref="F13:F22" si="2">1/E13</f>
        <v>9.6</v>
      </c>
    </row>
    <row r="14" spans="1:6">
      <c r="A14" s="187" t="s">
        <v>90</v>
      </c>
      <c r="B14" s="188">
        <v>12000</v>
      </c>
      <c r="C14" s="189">
        <f>C13</f>
        <v>4000</v>
      </c>
      <c r="D14" s="190">
        <f t="shared" si="0"/>
        <v>3</v>
      </c>
      <c r="E14" s="191">
        <f t="shared" si="1"/>
        <v>0.5</v>
      </c>
      <c r="F14" s="191">
        <f t="shared" si="2"/>
        <v>2</v>
      </c>
    </row>
    <row r="15" spans="1:6">
      <c r="A15" s="192" t="s">
        <v>763</v>
      </c>
      <c r="B15" s="183">
        <v>24000</v>
      </c>
      <c r="C15" s="184">
        <f>C14</f>
        <v>4000</v>
      </c>
      <c r="D15" s="185">
        <f>B15/C15</f>
        <v>6</v>
      </c>
      <c r="E15" s="186">
        <f t="shared" si="1"/>
        <v>1</v>
      </c>
      <c r="F15" s="186">
        <f t="shared" si="2"/>
        <v>1</v>
      </c>
    </row>
    <row r="16" spans="1:6">
      <c r="A16" s="192" t="s">
        <v>91</v>
      </c>
      <c r="B16" s="183">
        <f>0.75*B15</f>
        <v>18000</v>
      </c>
      <c r="C16" s="184">
        <f>C15</f>
        <v>4000</v>
      </c>
      <c r="D16" s="185">
        <f t="shared" si="0"/>
        <v>4.5</v>
      </c>
      <c r="E16" s="186">
        <f t="shared" si="1"/>
        <v>0.75</v>
      </c>
      <c r="F16" s="186">
        <f t="shared" si="2"/>
        <v>1.3333333333333333</v>
      </c>
    </row>
    <row r="17" spans="1:6">
      <c r="A17" s="182" t="s">
        <v>92</v>
      </c>
      <c r="B17" s="183">
        <v>7500</v>
      </c>
      <c r="C17" s="184">
        <f>C15</f>
        <v>4000</v>
      </c>
      <c r="D17" s="185">
        <f t="shared" si="0"/>
        <v>1.875</v>
      </c>
      <c r="E17" s="186">
        <f t="shared" si="1"/>
        <v>0.3125</v>
      </c>
      <c r="F17" s="186">
        <f t="shared" si="2"/>
        <v>3.2</v>
      </c>
    </row>
    <row r="18" spans="1:6">
      <c r="A18" s="182" t="s">
        <v>93</v>
      </c>
      <c r="B18" s="183">
        <v>10000</v>
      </c>
      <c r="C18" s="184">
        <f t="shared" ref="C18:C23" si="3">C17</f>
        <v>4000</v>
      </c>
      <c r="D18" s="185">
        <f t="shared" si="0"/>
        <v>2.5</v>
      </c>
      <c r="E18" s="186">
        <f t="shared" si="1"/>
        <v>0.41666666666666669</v>
      </c>
      <c r="F18" s="186">
        <f>1/E18</f>
        <v>2.4</v>
      </c>
    </row>
    <row r="19" spans="1:6">
      <c r="A19" s="182" t="s">
        <v>94</v>
      </c>
      <c r="B19" s="183">
        <v>15000</v>
      </c>
      <c r="C19" s="184">
        <f t="shared" si="3"/>
        <v>4000</v>
      </c>
      <c r="D19" s="185">
        <f t="shared" si="0"/>
        <v>3.75</v>
      </c>
      <c r="E19" s="186">
        <f t="shared" si="1"/>
        <v>0.625</v>
      </c>
      <c r="F19" s="186">
        <f t="shared" si="2"/>
        <v>1.6</v>
      </c>
    </row>
    <row r="20" spans="1:6">
      <c r="A20" s="182" t="s">
        <v>95</v>
      </c>
      <c r="B20" s="183">
        <v>10000</v>
      </c>
      <c r="C20" s="184">
        <f t="shared" si="3"/>
        <v>4000</v>
      </c>
      <c r="D20" s="185">
        <f t="shared" si="0"/>
        <v>2.5</v>
      </c>
      <c r="E20" s="186">
        <f t="shared" si="1"/>
        <v>0.41666666666666669</v>
      </c>
      <c r="F20" s="186">
        <f t="shared" si="2"/>
        <v>2.4</v>
      </c>
    </row>
    <row r="21" spans="1:6">
      <c r="A21" s="182" t="s">
        <v>798</v>
      </c>
      <c r="B21" s="183">
        <v>24000</v>
      </c>
      <c r="C21" s="184">
        <f t="shared" si="3"/>
        <v>4000</v>
      </c>
      <c r="D21" s="185">
        <f t="shared" si="0"/>
        <v>6</v>
      </c>
      <c r="E21" s="186">
        <f t="shared" si="1"/>
        <v>1</v>
      </c>
      <c r="F21" s="186">
        <f t="shared" si="2"/>
        <v>1</v>
      </c>
    </row>
    <row r="22" spans="1:6">
      <c r="A22" s="192" t="s">
        <v>799</v>
      </c>
      <c r="B22" s="183">
        <v>24000</v>
      </c>
      <c r="C22" s="184">
        <f t="shared" si="3"/>
        <v>4000</v>
      </c>
      <c r="D22" s="185">
        <f t="shared" si="0"/>
        <v>6</v>
      </c>
      <c r="E22" s="186">
        <v>1</v>
      </c>
      <c r="F22" s="186">
        <f t="shared" si="2"/>
        <v>1</v>
      </c>
    </row>
    <row r="23" spans="1:6">
      <c r="A23" s="192" t="s">
        <v>778</v>
      </c>
      <c r="B23" s="183">
        <v>8000</v>
      </c>
      <c r="C23" s="184">
        <f t="shared" si="3"/>
        <v>4000</v>
      </c>
      <c r="D23" s="185">
        <f t="shared" si="0"/>
        <v>2</v>
      </c>
      <c r="E23" s="186">
        <f>D23/D$22</f>
        <v>0.33333333333333331</v>
      </c>
      <c r="F23" s="186">
        <f>1/E23</f>
        <v>3</v>
      </c>
    </row>
    <row r="24" spans="1:6">
      <c r="A24" s="685"/>
      <c r="B24" s="686"/>
      <c r="C24" s="687"/>
      <c r="D24" s="688"/>
      <c r="E24" s="689"/>
      <c r="F24" s="689"/>
    </row>
    <row r="26" spans="1:6">
      <c r="A26" s="176" t="s">
        <v>96</v>
      </c>
    </row>
    <row r="27" spans="1:6">
      <c r="A27" s="177" t="s">
        <v>97</v>
      </c>
    </row>
  </sheetData>
  <phoneticPr fontId="10" type="noConversion"/>
  <printOptions horizontalCentered="1"/>
  <pageMargins left="0.75" right="0.75" top="1" bottom="1" header="0.5" footer="0.5"/>
  <pageSetup scale="9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96"/>
  <sheetViews>
    <sheetView tabSelected="1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K161" sqref="K161"/>
    </sheetView>
  </sheetViews>
  <sheetFormatPr defaultColWidth="11.6640625" defaultRowHeight="15"/>
  <cols>
    <col min="1" max="1" width="32" style="152" customWidth="1"/>
    <col min="2" max="2" width="5.5546875" style="152" bestFit="1" customWidth="1"/>
    <col min="3" max="3" width="13.6640625" style="152" customWidth="1"/>
    <col min="4" max="4" width="11.6640625" style="152" customWidth="1"/>
    <col min="5" max="5" width="12.6640625" style="152" customWidth="1"/>
    <col min="6" max="7" width="11.6640625" style="152" customWidth="1"/>
    <col min="8" max="8" width="13.44140625" style="152" bestFit="1" customWidth="1"/>
    <col min="9" max="12" width="11.6640625" style="152" customWidth="1"/>
    <col min="13" max="13" width="4.77734375" style="152" customWidth="1"/>
    <col min="14" max="14" width="13.33203125" style="152" customWidth="1"/>
    <col min="15" max="16" width="11.6640625" style="152" customWidth="1"/>
    <col min="17" max="17" width="7.6640625" style="152" customWidth="1"/>
    <col min="18" max="19" width="11.77734375" style="152" customWidth="1"/>
    <col min="20" max="21" width="15.109375" style="152" customWidth="1"/>
    <col min="22" max="22" width="11.77734375" style="152" customWidth="1"/>
    <col min="23" max="23" width="3.33203125" style="152" customWidth="1"/>
    <col min="24" max="27" width="13.21875" style="152" customWidth="1"/>
    <col min="28" max="28" width="12.33203125" style="152" bestFit="1" customWidth="1"/>
    <col min="29" max="29" width="12.88671875" style="152" bestFit="1" customWidth="1"/>
    <col min="30" max="16384" width="11.6640625" style="152"/>
  </cols>
  <sheetData>
    <row r="1" spans="1:34" ht="15.75">
      <c r="P1" s="876" t="s">
        <v>1256</v>
      </c>
      <c r="X1" s="1138"/>
      <c r="Y1" s="1139"/>
      <c r="Z1" s="1139"/>
      <c r="AA1" s="1139"/>
    </row>
    <row r="2" spans="1:34" ht="15.75">
      <c r="P2" s="474"/>
      <c r="X2" s="1018"/>
      <c r="Y2" s="1019"/>
      <c r="Z2" s="1019"/>
      <c r="AA2" s="1019"/>
    </row>
    <row r="3" spans="1:34" ht="18">
      <c r="B3" s="810"/>
      <c r="C3" s="810"/>
      <c r="D3" s="1143" t="s">
        <v>655</v>
      </c>
      <c r="E3" s="1144"/>
      <c r="F3" s="1144"/>
      <c r="G3" s="1144"/>
      <c r="H3" s="1144"/>
      <c r="I3" s="1144"/>
      <c r="J3" s="1144"/>
      <c r="K3" s="1144"/>
      <c r="L3" s="1144"/>
      <c r="X3" s="135"/>
      <c r="Y3" s="1020"/>
      <c r="Z3" s="1020"/>
      <c r="AA3" s="1020"/>
    </row>
    <row r="4" spans="1:34" ht="18">
      <c r="D4" s="634"/>
      <c r="X4" s="136"/>
      <c r="Y4" s="1020"/>
      <c r="Z4" s="1020"/>
      <c r="AA4" s="1020"/>
    </row>
    <row r="5" spans="1:34" ht="20.25">
      <c r="B5" s="1021"/>
      <c r="C5" s="916"/>
      <c r="D5" s="1145" t="s">
        <v>906</v>
      </c>
      <c r="E5" s="1144"/>
      <c r="F5" s="1144"/>
      <c r="G5" s="1144"/>
      <c r="H5" s="1144"/>
      <c r="I5" s="1144"/>
      <c r="J5" s="1144"/>
      <c r="K5" s="1144"/>
      <c r="L5" s="1144"/>
      <c r="R5" s="1023" t="s">
        <v>907</v>
      </c>
      <c r="X5" s="1024" t="s">
        <v>908</v>
      </c>
      <c r="Y5" s="1019"/>
      <c r="Z5" s="1019"/>
      <c r="AA5" s="1019"/>
    </row>
    <row r="6" spans="1:34" ht="18">
      <c r="B6" s="915"/>
      <c r="C6" s="916"/>
      <c r="D6" s="1145" t="s">
        <v>639</v>
      </c>
      <c r="E6" s="1146"/>
      <c r="F6" s="1146"/>
      <c r="G6" s="1146"/>
      <c r="H6" s="1146"/>
      <c r="I6" s="1146"/>
      <c r="J6" s="1146"/>
      <c r="K6" s="1146"/>
      <c r="L6" s="1146"/>
      <c r="R6" s="1022" t="s">
        <v>639</v>
      </c>
      <c r="X6" s="1022" t="s">
        <v>639</v>
      </c>
      <c r="Y6" s="1019"/>
      <c r="Z6" s="1019"/>
      <c r="AA6" s="1019"/>
    </row>
    <row r="7" spans="1:34" ht="18">
      <c r="A7" s="915"/>
      <c r="B7" s="915"/>
      <c r="C7" s="916"/>
      <c r="D7" s="916"/>
      <c r="E7" s="916"/>
      <c r="F7" s="916"/>
      <c r="G7" s="916"/>
      <c r="H7" s="916"/>
      <c r="I7" s="810"/>
      <c r="J7" s="810"/>
      <c r="K7" s="810"/>
      <c r="L7" s="810"/>
      <c r="X7" s="1019"/>
      <c r="Y7" s="1019"/>
      <c r="Z7" s="1019"/>
      <c r="AA7" s="1019"/>
    </row>
    <row r="8" spans="1:34" ht="15.75">
      <c r="G8" s="1025" t="s">
        <v>640</v>
      </c>
      <c r="H8" s="1026" t="s">
        <v>640</v>
      </c>
      <c r="I8" s="1027" t="s">
        <v>641</v>
      </c>
      <c r="K8" s="474">
        <v>2012</v>
      </c>
      <c r="R8" s="474" t="s">
        <v>909</v>
      </c>
      <c r="X8" s="1019"/>
      <c r="Y8" s="1019"/>
      <c r="Z8" s="1019"/>
      <c r="AA8" s="1019"/>
    </row>
    <row r="9" spans="1:34" ht="15.75">
      <c r="B9" s="474" t="s">
        <v>837</v>
      </c>
      <c r="C9" s="548"/>
      <c r="D9" s="497" t="s">
        <v>909</v>
      </c>
      <c r="E9" s="548"/>
      <c r="F9" s="548"/>
      <c r="G9" s="1028" t="s">
        <v>910</v>
      </c>
      <c r="H9" s="1029" t="s">
        <v>910</v>
      </c>
      <c r="I9" s="1030" t="s">
        <v>911</v>
      </c>
      <c r="J9" s="474" t="s">
        <v>912</v>
      </c>
      <c r="K9" s="1031"/>
      <c r="L9" s="474" t="s">
        <v>913</v>
      </c>
      <c r="N9" s="474" t="s">
        <v>914</v>
      </c>
      <c r="O9" s="474" t="s">
        <v>648</v>
      </c>
      <c r="P9" s="474" t="s">
        <v>898</v>
      </c>
      <c r="R9" s="497" t="s">
        <v>915</v>
      </c>
      <c r="S9" s="474" t="s">
        <v>646</v>
      </c>
      <c r="T9" s="474" t="s">
        <v>647</v>
      </c>
      <c r="U9" s="474"/>
      <c r="X9" s="1019"/>
      <c r="Y9" s="1019"/>
      <c r="Z9" s="1032" t="s">
        <v>916</v>
      </c>
      <c r="AA9" s="1032" t="s">
        <v>917</v>
      </c>
      <c r="AB9" s="1032" t="s">
        <v>546</v>
      </c>
      <c r="AC9" s="1032" t="s">
        <v>647</v>
      </c>
      <c r="AE9" s="749"/>
      <c r="AF9" s="749" t="s">
        <v>921</v>
      </c>
    </row>
    <row r="10" spans="1:34" ht="31.5">
      <c r="A10" s="1033" t="s">
        <v>657</v>
      </c>
      <c r="B10" s="1033" t="s">
        <v>755</v>
      </c>
      <c r="C10" s="1033" t="s">
        <v>918</v>
      </c>
      <c r="D10" s="1033" t="s">
        <v>915</v>
      </c>
      <c r="E10" s="1033" t="s">
        <v>646</v>
      </c>
      <c r="F10" s="1033" t="s">
        <v>647</v>
      </c>
      <c r="G10" s="1034" t="s">
        <v>919</v>
      </c>
      <c r="H10" s="1035" t="s">
        <v>913</v>
      </c>
      <c r="I10" s="1036" t="s">
        <v>919</v>
      </c>
      <c r="J10" s="1033" t="s">
        <v>920</v>
      </c>
      <c r="K10" s="1033" t="s">
        <v>921</v>
      </c>
      <c r="L10" s="1033" t="s">
        <v>649</v>
      </c>
      <c r="N10" s="1033" t="s">
        <v>922</v>
      </c>
      <c r="O10" s="1033" t="s">
        <v>922</v>
      </c>
      <c r="P10" s="1033" t="s">
        <v>922</v>
      </c>
      <c r="R10" s="1033" t="s">
        <v>913</v>
      </c>
      <c r="S10" s="1033" t="s">
        <v>913</v>
      </c>
      <c r="T10" s="1033" t="s">
        <v>913</v>
      </c>
      <c r="U10" s="1033"/>
      <c r="V10" s="1033" t="s">
        <v>648</v>
      </c>
      <c r="X10" s="137" t="s">
        <v>923</v>
      </c>
      <c r="Y10" s="138" t="s">
        <v>924</v>
      </c>
      <c r="Z10" s="139" t="s">
        <v>925</v>
      </c>
      <c r="AA10" s="139" t="s">
        <v>925</v>
      </c>
      <c r="AB10" s="139" t="s">
        <v>547</v>
      </c>
      <c r="AC10" s="139" t="s">
        <v>547</v>
      </c>
      <c r="AE10" s="750"/>
      <c r="AF10" s="750" t="s">
        <v>189</v>
      </c>
      <c r="AG10" s="750" t="s">
        <v>647</v>
      </c>
      <c r="AH10" s="750" t="s">
        <v>190</v>
      </c>
    </row>
    <row r="11" spans="1:34">
      <c r="G11" s="926"/>
      <c r="H11" s="939"/>
      <c r="I11" s="1037"/>
      <c r="X11" s="1019"/>
      <c r="Y11" s="1019"/>
      <c r="Z11" s="1019"/>
      <c r="AA11" s="1019"/>
    </row>
    <row r="12" spans="1:34" ht="15.75">
      <c r="A12" s="548" t="s">
        <v>926</v>
      </c>
      <c r="B12" s="548"/>
      <c r="G12" s="926"/>
      <c r="H12" s="939"/>
      <c r="I12" s="1037"/>
      <c r="X12" s="1019"/>
      <c r="Y12" s="1019"/>
      <c r="Z12" s="1019"/>
      <c r="AA12" s="1019"/>
    </row>
    <row r="13" spans="1:34">
      <c r="G13" s="926"/>
      <c r="H13" s="939"/>
      <c r="I13" s="1037"/>
      <c r="X13" s="1019"/>
      <c r="Y13" s="1019"/>
      <c r="Z13" s="1019"/>
      <c r="AA13" s="1019"/>
    </row>
    <row r="14" spans="1:34">
      <c r="A14" s="152" t="s">
        <v>927</v>
      </c>
      <c r="B14" s="1038" t="s">
        <v>844</v>
      </c>
      <c r="C14" s="152">
        <v>97</v>
      </c>
      <c r="D14" s="479">
        <f>+D24</f>
        <v>11.68</v>
      </c>
      <c r="E14" s="563">
        <f>+E24</f>
        <v>3.6488281070166551</v>
      </c>
      <c r="F14" s="479">
        <f>'Schedule 4'!K21</f>
        <v>2.2120417426987702</v>
      </c>
      <c r="G14" s="940">
        <f>SUM(D14:F14)</f>
        <v>17.540869849715424</v>
      </c>
      <c r="H14" s="1039">
        <f>G14*K14*12</f>
        <v>5664.4677668861932</v>
      </c>
      <c r="I14" s="1040">
        <v>20.176496138357521</v>
      </c>
      <c r="J14" s="773">
        <f>+G14/I14-1</f>
        <v>-0.13062854276424685</v>
      </c>
      <c r="K14" s="480">
        <f>'Schedule 1'!H9</f>
        <v>26.910807994023603</v>
      </c>
      <c r="L14" s="823">
        <f>ROUND((G14-I14)*K14*12,0)</f>
        <v>-851</v>
      </c>
      <c r="N14" s="774">
        <f>+N24</f>
        <v>0.29099999999999998</v>
      </c>
      <c r="O14" s="774">
        <f>K14*N14</f>
        <v>7.831045126260868</v>
      </c>
      <c r="P14" s="774"/>
      <c r="Q14" s="480"/>
      <c r="R14" s="564">
        <f>$D14*$K14*12</f>
        <v>3771.8188484423481</v>
      </c>
      <c r="S14" s="564">
        <f>$E14*$K14*12</f>
        <v>1178.3149510934618</v>
      </c>
      <c r="T14" s="564">
        <f>$F14*$K14*12</f>
        <v>714.33396735038355</v>
      </c>
      <c r="U14" s="564"/>
      <c r="V14" s="564">
        <f>SUM(R14:T14)</f>
        <v>5664.4677668861932</v>
      </c>
      <c r="X14" s="775">
        <f>+K14</f>
        <v>26.910807994023603</v>
      </c>
      <c r="Y14" s="775">
        <v>97</v>
      </c>
      <c r="Z14" s="775">
        <f>X14*Y14</f>
        <v>2610.3483754202894</v>
      </c>
      <c r="AA14" s="676">
        <f>Z14*12</f>
        <v>31324.18050504347</v>
      </c>
      <c r="AB14" s="480">
        <f t="shared" ref="AB14:AB45" si="0">IF(S14&gt;0,AA14,0)</f>
        <v>31324.18050504347</v>
      </c>
      <c r="AC14" s="152">
        <f>IF(T14&gt;0,AA14,0)</f>
        <v>31324.18050504347</v>
      </c>
      <c r="AF14" s="776">
        <f t="shared" ref="AF14:AF45" si="1">IF(S14&gt;0,X14,0)</f>
        <v>26.910807994023603</v>
      </c>
      <c r="AG14" s="776">
        <f t="shared" ref="AG14:AG45" si="2">IF(T14&gt;0,X14,0)</f>
        <v>26.910807994023603</v>
      </c>
      <c r="AH14" s="777">
        <f>AF14-AG14</f>
        <v>0</v>
      </c>
    </row>
    <row r="15" spans="1:34">
      <c r="A15" s="152" t="s">
        <v>928</v>
      </c>
      <c r="B15" s="1038" t="s">
        <v>665</v>
      </c>
      <c r="C15" s="152">
        <v>154</v>
      </c>
      <c r="D15" s="945">
        <f>D25</f>
        <v>18.54</v>
      </c>
      <c r="E15" s="563">
        <f>E25</f>
        <v>3.6488281070166551</v>
      </c>
      <c r="F15" s="563">
        <f>'Schedule 4'!K22</f>
        <v>2.365515041617217</v>
      </c>
      <c r="G15" s="940">
        <f>SUM(D15:F15)</f>
        <v>24.554343148633873</v>
      </c>
      <c r="H15" s="1041">
        <f>G15*K15*12</f>
        <v>587.35752345978233</v>
      </c>
      <c r="I15" s="1040">
        <v>26.556216547400474</v>
      </c>
      <c r="J15" s="773">
        <f>+G15/I15-1</f>
        <v>-7.5382477590263508E-2</v>
      </c>
      <c r="K15" s="480">
        <f>'Schedule 1'!H10</f>
        <v>1.9933931847424891</v>
      </c>
      <c r="L15" s="564">
        <f>ROUND((G15-I15)*K15*12,0)</f>
        <v>-48</v>
      </c>
      <c r="N15" s="774">
        <f>+N25</f>
        <v>0.46200000000000002</v>
      </c>
      <c r="O15" s="774">
        <f>K15*N15</f>
        <v>0.92094765135102996</v>
      </c>
      <c r="P15" s="774"/>
      <c r="Q15" s="480"/>
      <c r="R15" s="564">
        <f>$D15*$K15*12</f>
        <v>443.49011574150893</v>
      </c>
      <c r="S15" s="564">
        <f>$E15*$K15*12</f>
        <v>87.282588969886049</v>
      </c>
      <c r="T15" s="564">
        <f>$F15*$K15*12</f>
        <v>56.584818748387264</v>
      </c>
      <c r="U15" s="564"/>
      <c r="V15" s="564">
        <f>SUM(R15:T15)</f>
        <v>587.35752345978233</v>
      </c>
      <c r="X15" s="775">
        <f>+K15</f>
        <v>1.9933931847424891</v>
      </c>
      <c r="Y15" s="775">
        <v>154</v>
      </c>
      <c r="Z15" s="775">
        <f>X15*Y15</f>
        <v>306.9825504503433</v>
      </c>
      <c r="AA15" s="676">
        <f>Z15*12</f>
        <v>3683.7906054041196</v>
      </c>
      <c r="AB15" s="480">
        <f t="shared" si="0"/>
        <v>3683.7906054041196</v>
      </c>
      <c r="AC15" s="152">
        <f>IF(T15&gt;0,AA15,0)</f>
        <v>3683.7906054041196</v>
      </c>
      <c r="AF15" s="776">
        <f t="shared" si="1"/>
        <v>1.9933931847424891</v>
      </c>
      <c r="AG15" s="776">
        <f t="shared" si="2"/>
        <v>1.9933931847424891</v>
      </c>
      <c r="AH15" s="777">
        <f t="shared" ref="AH15:AH78" si="3">AF15-AG15</f>
        <v>0</v>
      </c>
    </row>
    <row r="16" spans="1:34" ht="15.75">
      <c r="B16" s="473"/>
      <c r="E16" s="563"/>
      <c r="F16" s="563"/>
      <c r="G16" s="1042"/>
      <c r="H16" s="1041"/>
      <c r="I16" s="1043"/>
      <c r="N16" s="774"/>
      <c r="O16" s="774"/>
      <c r="P16" s="774"/>
      <c r="X16" s="775"/>
      <c r="Y16" s="775"/>
      <c r="Z16" s="1019"/>
      <c r="AA16" s="1019"/>
      <c r="AB16" s="152">
        <f t="shared" si="0"/>
        <v>0</v>
      </c>
      <c r="AF16" s="776">
        <f t="shared" si="1"/>
        <v>0</v>
      </c>
      <c r="AG16" s="776">
        <f t="shared" si="2"/>
        <v>0</v>
      </c>
      <c r="AH16" s="777">
        <f t="shared" si="3"/>
        <v>0</v>
      </c>
    </row>
    <row r="17" spans="1:34">
      <c r="A17" s="558" t="s">
        <v>927</v>
      </c>
      <c r="B17" s="1044" t="s">
        <v>846</v>
      </c>
      <c r="C17" s="558">
        <v>97</v>
      </c>
      <c r="D17" s="802">
        <f>+D24</f>
        <v>11.68</v>
      </c>
      <c r="E17" s="442">
        <v>0</v>
      </c>
      <c r="F17" s="442">
        <v>0</v>
      </c>
      <c r="G17" s="940">
        <f>SUM(D17:F17)</f>
        <v>11.68</v>
      </c>
      <c r="H17" s="1045">
        <f>G17*K17*12</f>
        <v>977.87896070727538</v>
      </c>
      <c r="I17" s="1040">
        <v>10.638970306002921</v>
      </c>
      <c r="J17" s="731">
        <f>+G17/I17-1</f>
        <v>9.7850606219822778E-2</v>
      </c>
      <c r="K17" s="560">
        <f>'Schedule 1'!J9</f>
        <v>6.9768761465987117</v>
      </c>
      <c r="L17" s="566">
        <f>ROUND((G17-I17)*K17*12,0)</f>
        <v>87</v>
      </c>
      <c r="M17" s="558"/>
      <c r="N17" s="1046">
        <f>+N24</f>
        <v>0.29099999999999998</v>
      </c>
      <c r="O17" s="1046">
        <f>K17*N17</f>
        <v>2.0302709586602248</v>
      </c>
      <c r="P17" s="1046"/>
      <c r="Q17" s="558"/>
      <c r="R17" s="565">
        <f>$D17*$K17*12</f>
        <v>977.87896070727538</v>
      </c>
      <c r="S17" s="565">
        <f>$E17*$K17*12</f>
        <v>0</v>
      </c>
      <c r="T17" s="565">
        <f>$F17*$K17*12</f>
        <v>0</v>
      </c>
      <c r="U17" s="565"/>
      <c r="V17" s="565">
        <f>SUM(R17:T17)</f>
        <v>977.87896070727538</v>
      </c>
      <c r="W17" s="558"/>
      <c r="X17" s="440">
        <f>+K17</f>
        <v>6.9768761465987117</v>
      </c>
      <c r="Y17" s="440">
        <v>97</v>
      </c>
      <c r="Z17" s="440">
        <f>X17*Y17</f>
        <v>676.75698622007508</v>
      </c>
      <c r="AA17" s="460">
        <f>Z17*12</f>
        <v>8121.0838346409009</v>
      </c>
      <c r="AB17" s="152">
        <f t="shared" si="0"/>
        <v>0</v>
      </c>
      <c r="AC17" s="152">
        <f>IF(T17&gt;0,AA17,0)</f>
        <v>0</v>
      </c>
      <c r="AF17" s="776">
        <f t="shared" si="1"/>
        <v>0</v>
      </c>
      <c r="AG17" s="776">
        <f t="shared" si="2"/>
        <v>0</v>
      </c>
      <c r="AH17" s="777">
        <f t="shared" si="3"/>
        <v>0</v>
      </c>
    </row>
    <row r="18" spans="1:34" ht="15.75">
      <c r="B18" s="473"/>
      <c r="E18" s="563"/>
      <c r="F18" s="563"/>
      <c r="G18" s="1042"/>
      <c r="H18" s="1041">
        <f>SUM(H14:H17)</f>
        <v>7229.7042510532501</v>
      </c>
      <c r="I18" s="1043"/>
      <c r="K18" s="480">
        <f>SUM(K14:K17)</f>
        <v>35.881077325364807</v>
      </c>
      <c r="L18" s="564">
        <f>SUM(L14:L17)</f>
        <v>-812</v>
      </c>
      <c r="N18" s="774"/>
      <c r="O18" s="774"/>
      <c r="P18" s="774"/>
      <c r="X18" s="775">
        <f>SUM(X14:X17)</f>
        <v>35.881077325364807</v>
      </c>
      <c r="Y18" s="775"/>
      <c r="Z18" s="1019"/>
      <c r="AA18" s="1019"/>
      <c r="AB18" s="152">
        <f t="shared" si="0"/>
        <v>0</v>
      </c>
      <c r="AF18" s="776">
        <f t="shared" si="1"/>
        <v>0</v>
      </c>
      <c r="AG18" s="776">
        <f t="shared" si="2"/>
        <v>0</v>
      </c>
      <c r="AH18" s="777">
        <f t="shared" si="3"/>
        <v>0</v>
      </c>
    </row>
    <row r="19" spans="1:34" ht="15.75">
      <c r="A19" s="548" t="s">
        <v>929</v>
      </c>
      <c r="B19" s="497"/>
      <c r="E19" s="563"/>
      <c r="F19" s="563"/>
      <c r="G19" s="1042"/>
      <c r="H19" s="1041"/>
      <c r="I19" s="1043"/>
      <c r="N19" s="774"/>
      <c r="O19" s="774"/>
      <c r="P19" s="774"/>
      <c r="X19" s="775"/>
      <c r="Y19" s="775"/>
      <c r="Z19" s="775">
        <f>SUM(Z14:Z18)</f>
        <v>3594.0879120907075</v>
      </c>
      <c r="AA19" s="609">
        <f>SUM(AA14:AA18)</f>
        <v>43129.054945088486</v>
      </c>
      <c r="AB19" s="152">
        <f t="shared" si="0"/>
        <v>0</v>
      </c>
      <c r="AF19" s="776">
        <f t="shared" si="1"/>
        <v>0</v>
      </c>
      <c r="AG19" s="776">
        <f t="shared" si="2"/>
        <v>0</v>
      </c>
      <c r="AH19" s="777">
        <f t="shared" si="3"/>
        <v>0</v>
      </c>
    </row>
    <row r="20" spans="1:34" ht="15.75">
      <c r="B20" s="473"/>
      <c r="D20" s="558"/>
      <c r="E20" s="563"/>
      <c r="F20" s="563"/>
      <c r="G20" s="1042"/>
      <c r="H20" s="1041"/>
      <c r="I20" s="1043"/>
      <c r="N20" s="774"/>
      <c r="O20" s="774"/>
      <c r="P20" s="774"/>
      <c r="X20" s="775"/>
      <c r="Y20" s="775"/>
      <c r="Z20" s="1019"/>
      <c r="AA20" s="1019"/>
      <c r="AB20" s="152">
        <f t="shared" si="0"/>
        <v>0</v>
      </c>
      <c r="AF20" s="776">
        <f t="shared" si="1"/>
        <v>0</v>
      </c>
      <c r="AG20" s="776">
        <f t="shared" si="2"/>
        <v>0</v>
      </c>
      <c r="AH20" s="777">
        <f t="shared" si="3"/>
        <v>0</v>
      </c>
    </row>
    <row r="21" spans="1:34">
      <c r="A21" s="152" t="s">
        <v>668</v>
      </c>
      <c r="B21" s="473">
        <v>100</v>
      </c>
      <c r="C21" s="152">
        <v>43</v>
      </c>
      <c r="D21" s="802">
        <f>ROUND(+C21*H$187,2)+0.01</f>
        <v>5.1899999999999995</v>
      </c>
      <c r="E21" s="563">
        <f>'Schedule 2'!$H$12</f>
        <v>3.6488281070166551</v>
      </c>
      <c r="F21" s="563">
        <f>'Schedule 4'!$K23</f>
        <v>3.8679240003338808</v>
      </c>
      <c r="G21" s="940">
        <f t="shared" ref="G21:G28" si="4">SUM(D21:F21)</f>
        <v>12.706752107350535</v>
      </c>
      <c r="H21" s="1041">
        <f t="shared" ref="H21:H28" si="5">G21*K21*12</f>
        <v>41337.830579239861</v>
      </c>
      <c r="I21" s="1040">
        <v>13.397600088211565</v>
      </c>
      <c r="J21" s="773">
        <f t="shared" ref="J21:J28" si="6">+G21/I21-1</f>
        <v>-5.1565054659968634E-2</v>
      </c>
      <c r="K21" s="480">
        <f>'Schedule 1'!H13</f>
        <v>271.1014731249785</v>
      </c>
      <c r="L21" s="564">
        <f t="shared" ref="L21:L28" si="7">ROUND((G21-I21)*K21*12,0)</f>
        <v>-2247</v>
      </c>
      <c r="N21" s="774">
        <v>0.129</v>
      </c>
      <c r="O21" s="774">
        <f t="shared" ref="O21:O28" si="8">K21*N21</f>
        <v>34.972090033122228</v>
      </c>
      <c r="P21" s="774"/>
      <c r="Q21" s="480"/>
      <c r="R21" s="564">
        <f t="shared" ref="R21:R28" si="9">$D21*$K21*12</f>
        <v>16884.199746223661</v>
      </c>
      <c r="S21" s="564">
        <f t="shared" ref="S21:S28" si="10">$E21*$K21*12</f>
        <v>11870.432099904503</v>
      </c>
      <c r="T21" s="564">
        <f t="shared" ref="T21:T28" si="11">$F21*$K21*12</f>
        <v>12583.1987331117</v>
      </c>
      <c r="U21" s="564"/>
      <c r="V21" s="564">
        <f t="shared" ref="V21:V28" si="12">SUM(R21:T21)</f>
        <v>41337.830579239861</v>
      </c>
      <c r="X21" s="775">
        <f t="shared" ref="X21:X28" si="13">+K21</f>
        <v>271.1014731249785</v>
      </c>
      <c r="Y21" s="775">
        <v>43</v>
      </c>
      <c r="Z21" s="775">
        <f t="shared" ref="Z21:Z28" si="14">X21*Y21</f>
        <v>11657.363344374075</v>
      </c>
      <c r="AA21" s="676">
        <f t="shared" ref="AA21:AA28" si="15">Z21*12</f>
        <v>139888.36013248889</v>
      </c>
      <c r="AB21" s="480">
        <f t="shared" si="0"/>
        <v>139888.36013248889</v>
      </c>
      <c r="AC21" s="152">
        <f t="shared" ref="AC21:AC28" si="16">IF(T21&gt;0,AA21,0)</f>
        <v>139888.36013248889</v>
      </c>
      <c r="AF21" s="776">
        <f t="shared" si="1"/>
        <v>271.1014731249785</v>
      </c>
      <c r="AG21" s="776">
        <f t="shared" si="2"/>
        <v>271.1014731249785</v>
      </c>
      <c r="AH21" s="777">
        <f t="shared" si="3"/>
        <v>0</v>
      </c>
    </row>
    <row r="22" spans="1:34">
      <c r="A22" s="152" t="s">
        <v>670</v>
      </c>
      <c r="B22" s="473">
        <v>101</v>
      </c>
      <c r="C22" s="152">
        <v>52</v>
      </c>
      <c r="D22" s="802">
        <f>ROUND(+C22*H$187,2)-0.01</f>
        <v>6.25</v>
      </c>
      <c r="E22" s="563">
        <f>'Schedule 2'!$H$13</f>
        <v>4.8651041426888737</v>
      </c>
      <c r="F22" s="563">
        <f>'Schedule 4'!$K24</f>
        <v>3.6199091463674926</v>
      </c>
      <c r="G22" s="940">
        <f t="shared" si="4"/>
        <v>14.735013289056367</v>
      </c>
      <c r="H22" s="1041">
        <f t="shared" si="5"/>
        <v>1977720.9576445716</v>
      </c>
      <c r="I22" s="1040">
        <v>15.049077609902557</v>
      </c>
      <c r="J22" s="773">
        <f t="shared" si="6"/>
        <v>-2.0869340233818146E-2</v>
      </c>
      <c r="K22" s="480">
        <f>'Schedule 1'!H14</f>
        <v>11184.929159590107</v>
      </c>
      <c r="L22" s="564">
        <f t="shared" si="7"/>
        <v>-42153</v>
      </c>
      <c r="N22" s="774">
        <v>0.156</v>
      </c>
      <c r="O22" s="774">
        <f t="shared" si="8"/>
        <v>1744.8489488960568</v>
      </c>
      <c r="P22" s="774"/>
      <c r="Q22" s="480"/>
      <c r="R22" s="564">
        <f t="shared" si="9"/>
        <v>838869.68696925789</v>
      </c>
      <c r="S22" s="564">
        <f t="shared" si="10"/>
        <v>652990.14228004101</v>
      </c>
      <c r="T22" s="564">
        <f t="shared" si="11"/>
        <v>485861.12839527242</v>
      </c>
      <c r="U22" s="564"/>
      <c r="V22" s="564">
        <f t="shared" si="12"/>
        <v>1977720.9576445713</v>
      </c>
      <c r="X22" s="775">
        <f t="shared" si="13"/>
        <v>11184.929159590107</v>
      </c>
      <c r="Y22" s="775">
        <v>52</v>
      </c>
      <c r="Z22" s="775">
        <f t="shared" si="14"/>
        <v>581616.3162986855</v>
      </c>
      <c r="AA22" s="676">
        <f t="shared" si="15"/>
        <v>6979395.795584226</v>
      </c>
      <c r="AB22" s="480">
        <f t="shared" si="0"/>
        <v>6979395.795584226</v>
      </c>
      <c r="AC22" s="152">
        <f t="shared" si="16"/>
        <v>6979395.795584226</v>
      </c>
      <c r="AF22" s="776">
        <f t="shared" si="1"/>
        <v>11184.929159590107</v>
      </c>
      <c r="AG22" s="776">
        <f t="shared" si="2"/>
        <v>11184.929159590107</v>
      </c>
      <c r="AH22" s="777">
        <f t="shared" si="3"/>
        <v>0</v>
      </c>
    </row>
    <row r="23" spans="1:34">
      <c r="A23" s="152" t="s">
        <v>672</v>
      </c>
      <c r="B23" s="473">
        <v>102</v>
      </c>
      <c r="C23" s="152">
        <v>69</v>
      </c>
      <c r="D23" s="802">
        <f>ROUND(+C23*H$187,2)-0.02</f>
        <v>8.2900000000000009</v>
      </c>
      <c r="E23" s="563">
        <f>'Schedule 2'!$H$12</f>
        <v>3.6488281070166551</v>
      </c>
      <c r="F23" s="563">
        <f>'Schedule 4'!$K25</f>
        <v>3.5847549981656388</v>
      </c>
      <c r="G23" s="940">
        <f t="shared" si="4"/>
        <v>15.523583105182295</v>
      </c>
      <c r="H23" s="1041">
        <f t="shared" si="5"/>
        <v>498331.91512998857</v>
      </c>
      <c r="I23" s="1040">
        <v>15.841693576985545</v>
      </c>
      <c r="J23" s="773">
        <f t="shared" si="6"/>
        <v>-2.0080584835032611E-2</v>
      </c>
      <c r="K23" s="480">
        <f>'Schedule 1'!H15</f>
        <v>2675.1336539244203</v>
      </c>
      <c r="L23" s="564">
        <f t="shared" si="7"/>
        <v>-10212</v>
      </c>
      <c r="N23" s="774">
        <v>0.20699999999999999</v>
      </c>
      <c r="O23" s="774">
        <f t="shared" si="8"/>
        <v>553.75266636235494</v>
      </c>
      <c r="P23" s="774"/>
      <c r="Q23" s="480"/>
      <c r="R23" s="564">
        <f t="shared" si="9"/>
        <v>266122.29589240137</v>
      </c>
      <c r="S23" s="564">
        <f t="shared" si="10"/>
        <v>117133.23439758708</v>
      </c>
      <c r="T23" s="564">
        <f t="shared" si="11"/>
        <v>115076.3848400001</v>
      </c>
      <c r="U23" s="564"/>
      <c r="V23" s="564">
        <f t="shared" si="12"/>
        <v>498331.91512998857</v>
      </c>
      <c r="X23" s="775">
        <f t="shared" si="13"/>
        <v>2675.1336539244203</v>
      </c>
      <c r="Y23" s="775">
        <v>69</v>
      </c>
      <c r="Z23" s="775">
        <f t="shared" si="14"/>
        <v>184584.22212078501</v>
      </c>
      <c r="AA23" s="676">
        <f t="shared" si="15"/>
        <v>2215010.66544942</v>
      </c>
      <c r="AB23" s="480">
        <f t="shared" si="0"/>
        <v>2215010.66544942</v>
      </c>
      <c r="AC23" s="152">
        <f t="shared" si="16"/>
        <v>2215010.66544942</v>
      </c>
      <c r="AF23" s="776">
        <f t="shared" si="1"/>
        <v>2675.1336539244203</v>
      </c>
      <c r="AG23" s="776">
        <f t="shared" si="2"/>
        <v>2675.1336539244203</v>
      </c>
      <c r="AH23" s="777">
        <f t="shared" si="3"/>
        <v>0</v>
      </c>
    </row>
    <row r="24" spans="1:34">
      <c r="A24" s="152" t="s">
        <v>674</v>
      </c>
      <c r="B24" s="473">
        <v>103</v>
      </c>
      <c r="C24" s="152">
        <v>97</v>
      </c>
      <c r="D24" s="802">
        <f>ROUND(+C24*H$187,2)</f>
        <v>11.68</v>
      </c>
      <c r="E24" s="563">
        <f>'Schedule 2'!$H$12</f>
        <v>3.6488281070166551</v>
      </c>
      <c r="F24" s="563">
        <f>'Schedule 4'!$K26</f>
        <v>4.4871048894385934</v>
      </c>
      <c r="G24" s="940">
        <f t="shared" si="4"/>
        <v>19.815932996455249</v>
      </c>
      <c r="H24" s="1041">
        <f t="shared" si="5"/>
        <v>244826.86197200685</v>
      </c>
      <c r="I24" s="1040">
        <v>20.176496138357521</v>
      </c>
      <c r="J24" s="773">
        <f t="shared" si="6"/>
        <v>-1.7870453790874263E-2</v>
      </c>
      <c r="K24" s="480">
        <f>'Schedule 1'!H16</f>
        <v>1029.5875799194955</v>
      </c>
      <c r="L24" s="564">
        <f t="shared" si="7"/>
        <v>-4455</v>
      </c>
      <c r="N24" s="774">
        <v>0.29099999999999998</v>
      </c>
      <c r="O24" s="774">
        <f t="shared" si="8"/>
        <v>299.60998575657317</v>
      </c>
      <c r="P24" s="774"/>
      <c r="Q24" s="480"/>
      <c r="R24" s="564">
        <f t="shared" si="9"/>
        <v>144306.99520151649</v>
      </c>
      <c r="S24" s="564">
        <f t="shared" si="10"/>
        <v>45081.457202946141</v>
      </c>
      <c r="T24" s="564">
        <f t="shared" si="11"/>
        <v>55438.4095675442</v>
      </c>
      <c r="U24" s="564"/>
      <c r="V24" s="564">
        <f t="shared" si="12"/>
        <v>244826.86197200682</v>
      </c>
      <c r="X24" s="775">
        <f t="shared" si="13"/>
        <v>1029.5875799194955</v>
      </c>
      <c r="Y24" s="775">
        <v>97</v>
      </c>
      <c r="Z24" s="775">
        <f t="shared" si="14"/>
        <v>99869.99525219106</v>
      </c>
      <c r="AA24" s="676">
        <f t="shared" si="15"/>
        <v>1198439.9430262926</v>
      </c>
      <c r="AB24" s="480">
        <f t="shared" si="0"/>
        <v>1198439.9430262926</v>
      </c>
      <c r="AC24" s="152">
        <f t="shared" si="16"/>
        <v>1198439.9430262926</v>
      </c>
      <c r="AF24" s="776">
        <f t="shared" si="1"/>
        <v>1029.5875799194955</v>
      </c>
      <c r="AG24" s="776">
        <f t="shared" si="2"/>
        <v>1029.5875799194955</v>
      </c>
      <c r="AH24" s="777">
        <f t="shared" si="3"/>
        <v>0</v>
      </c>
    </row>
    <row r="25" spans="1:34">
      <c r="A25" s="152" t="s">
        <v>676</v>
      </c>
      <c r="B25" s="473">
        <v>104</v>
      </c>
      <c r="C25" s="152">
        <v>154</v>
      </c>
      <c r="D25" s="802">
        <f>ROUND(+C25*H$187,2)-0.01</f>
        <v>18.54</v>
      </c>
      <c r="E25" s="563">
        <f>'Schedule 2'!$H$12</f>
        <v>3.6488281070166551</v>
      </c>
      <c r="F25" s="563">
        <f>'Schedule 4'!$K27</f>
        <v>4.5879986868032701</v>
      </c>
      <c r="G25" s="940">
        <f t="shared" si="4"/>
        <v>26.776826793819925</v>
      </c>
      <c r="H25" s="1041">
        <f t="shared" si="5"/>
        <v>452528.03596968477</v>
      </c>
      <c r="I25" s="1040">
        <v>26.556216547400474</v>
      </c>
      <c r="J25" s="773">
        <f t="shared" si="6"/>
        <v>8.3072920431146446E-3</v>
      </c>
      <c r="K25" s="480">
        <f>'Schedule 1'!H17</f>
        <v>1408.3322850205684</v>
      </c>
      <c r="L25" s="564">
        <f t="shared" si="7"/>
        <v>3728</v>
      </c>
      <c r="N25" s="774">
        <v>0.46200000000000002</v>
      </c>
      <c r="O25" s="774">
        <f t="shared" si="8"/>
        <v>650.64951567950266</v>
      </c>
      <c r="P25" s="774"/>
      <c r="Q25" s="480"/>
      <c r="R25" s="564">
        <f t="shared" si="9"/>
        <v>313325.76677137602</v>
      </c>
      <c r="S25" s="564">
        <f t="shared" si="10"/>
        <v>61665.14910722449</v>
      </c>
      <c r="T25" s="564">
        <f t="shared" si="11"/>
        <v>77537.120091084187</v>
      </c>
      <c r="U25" s="564"/>
      <c r="V25" s="564">
        <f t="shared" si="12"/>
        <v>452528.03596968472</v>
      </c>
      <c r="X25" s="775">
        <f t="shared" si="13"/>
        <v>1408.3322850205684</v>
      </c>
      <c r="Y25" s="775">
        <v>154</v>
      </c>
      <c r="Z25" s="775">
        <f t="shared" si="14"/>
        <v>216883.17189316754</v>
      </c>
      <c r="AA25" s="676">
        <f t="shared" si="15"/>
        <v>2602598.0627180105</v>
      </c>
      <c r="AB25" s="480">
        <f t="shared" si="0"/>
        <v>2602598.0627180105</v>
      </c>
      <c r="AC25" s="152">
        <f t="shared" si="16"/>
        <v>2602598.0627180105</v>
      </c>
      <c r="AF25" s="776">
        <f t="shared" si="1"/>
        <v>1408.3322850205684</v>
      </c>
      <c r="AG25" s="776">
        <f t="shared" si="2"/>
        <v>1408.3322850205684</v>
      </c>
      <c r="AH25" s="777">
        <f t="shared" si="3"/>
        <v>0</v>
      </c>
    </row>
    <row r="26" spans="1:34">
      <c r="A26" s="152" t="s">
        <v>678</v>
      </c>
      <c r="B26" s="473">
        <v>105</v>
      </c>
      <c r="C26" s="152">
        <v>260</v>
      </c>
      <c r="D26" s="802">
        <f>ROUND(+C26*H$187,2)</f>
        <v>31.32</v>
      </c>
      <c r="E26" s="563">
        <f>'Schedule 2'!$H$12</f>
        <v>3.6488281070166551</v>
      </c>
      <c r="F26" s="563">
        <f>'Schedule 4'!$K28</f>
        <v>6.0734730061417226</v>
      </c>
      <c r="G26" s="940">
        <f t="shared" si="4"/>
        <v>41.042301113158381</v>
      </c>
      <c r="H26" s="1041">
        <f t="shared" si="5"/>
        <v>5399.6872594578535</v>
      </c>
      <c r="I26" s="1040">
        <v>40.20061112509439</v>
      </c>
      <c r="J26" s="773">
        <f t="shared" si="6"/>
        <v>2.0937243601716782E-2</v>
      </c>
      <c r="K26" s="480">
        <f>'Schedule 1'!H18</f>
        <v>10.963662516083691</v>
      </c>
      <c r="L26" s="564">
        <f t="shared" si="7"/>
        <v>111</v>
      </c>
      <c r="N26" s="774">
        <v>0.78</v>
      </c>
      <c r="O26" s="774">
        <f t="shared" si="8"/>
        <v>8.5516567625452797</v>
      </c>
      <c r="P26" s="774"/>
      <c r="Q26" s="480"/>
      <c r="R26" s="564">
        <f t="shared" si="9"/>
        <v>4120.5829200448943</v>
      </c>
      <c r="S26" s="564">
        <f t="shared" si="10"/>
        <v>480.05423933437334</v>
      </c>
      <c r="T26" s="564">
        <f t="shared" si="11"/>
        <v>799.05010007858561</v>
      </c>
      <c r="U26" s="564"/>
      <c r="V26" s="564">
        <f t="shared" si="12"/>
        <v>5399.6872594578526</v>
      </c>
      <c r="X26" s="775">
        <f t="shared" si="13"/>
        <v>10.963662516083691</v>
      </c>
      <c r="Y26" s="775">
        <v>260</v>
      </c>
      <c r="Z26" s="775">
        <f t="shared" si="14"/>
        <v>2850.5522541817595</v>
      </c>
      <c r="AA26" s="676">
        <f t="shared" si="15"/>
        <v>34206.627050181116</v>
      </c>
      <c r="AB26" s="480">
        <f t="shared" si="0"/>
        <v>34206.627050181116</v>
      </c>
      <c r="AC26" s="152">
        <f t="shared" si="16"/>
        <v>34206.627050181116</v>
      </c>
      <c r="AF26" s="776">
        <f t="shared" si="1"/>
        <v>10.963662516083691</v>
      </c>
      <c r="AG26" s="776">
        <f t="shared" si="2"/>
        <v>10.963662516083691</v>
      </c>
      <c r="AH26" s="777">
        <f t="shared" si="3"/>
        <v>0</v>
      </c>
    </row>
    <row r="27" spans="1:34">
      <c r="A27" s="152" t="s">
        <v>680</v>
      </c>
      <c r="B27" s="473">
        <v>106</v>
      </c>
      <c r="C27" s="152">
        <v>363</v>
      </c>
      <c r="D27" s="802">
        <f>ROUND(+C27*H$187,2)</f>
        <v>43.73</v>
      </c>
      <c r="E27" s="563">
        <f>'Schedule 2'!$H$12</f>
        <v>3.6488281070166551</v>
      </c>
      <c r="F27" s="563">
        <f>'Schedule 4'!$K29</f>
        <v>7.3700745213730228</v>
      </c>
      <c r="G27" s="940">
        <f t="shared" si="4"/>
        <v>54.748902628389672</v>
      </c>
      <c r="H27" s="1041">
        <f t="shared" si="5"/>
        <v>56314.22211572605</v>
      </c>
      <c r="I27" s="1040">
        <v>53.186464278891307</v>
      </c>
      <c r="J27" s="773">
        <f t="shared" si="6"/>
        <v>2.9376616225238905E-2</v>
      </c>
      <c r="K27" s="480">
        <f>'Schedule 1'!H19</f>
        <v>85.715906943927024</v>
      </c>
      <c r="L27" s="564">
        <f t="shared" si="7"/>
        <v>1607</v>
      </c>
      <c r="N27" s="774">
        <v>1.089</v>
      </c>
      <c r="O27" s="774">
        <f t="shared" si="8"/>
        <v>93.344622661936526</v>
      </c>
      <c r="P27" s="774"/>
      <c r="Q27" s="480"/>
      <c r="R27" s="564">
        <f t="shared" si="9"/>
        <v>44980.279327895143</v>
      </c>
      <c r="S27" s="564">
        <f t="shared" si="10"/>
        <v>3753.1513257051001</v>
      </c>
      <c r="T27" s="564">
        <f t="shared" si="11"/>
        <v>7580.7914621258096</v>
      </c>
      <c r="U27" s="564"/>
      <c r="V27" s="564">
        <f t="shared" si="12"/>
        <v>56314.22211572605</v>
      </c>
      <c r="X27" s="775">
        <f t="shared" si="13"/>
        <v>85.715906943927024</v>
      </c>
      <c r="Y27" s="775">
        <v>363</v>
      </c>
      <c r="Z27" s="775">
        <f t="shared" si="14"/>
        <v>31114.87422064551</v>
      </c>
      <c r="AA27" s="676">
        <f t="shared" si="15"/>
        <v>373378.49064774613</v>
      </c>
      <c r="AB27" s="480">
        <f t="shared" si="0"/>
        <v>373378.49064774613</v>
      </c>
      <c r="AC27" s="152">
        <f t="shared" si="16"/>
        <v>373378.49064774613</v>
      </c>
      <c r="AF27" s="776">
        <f t="shared" si="1"/>
        <v>85.715906943927024</v>
      </c>
      <c r="AG27" s="776">
        <f t="shared" si="2"/>
        <v>85.715906943927024</v>
      </c>
      <c r="AH27" s="777">
        <f t="shared" si="3"/>
        <v>0</v>
      </c>
    </row>
    <row r="28" spans="1:34">
      <c r="A28" s="152" t="s">
        <v>682</v>
      </c>
      <c r="B28" s="473">
        <v>107</v>
      </c>
      <c r="C28" s="152">
        <v>212</v>
      </c>
      <c r="D28" s="802">
        <f>ROUND(+C28*H$196,2)</f>
        <v>19.829999999999998</v>
      </c>
      <c r="E28" s="563">
        <f>'Schedule 2'!$H$12*2</f>
        <v>7.2976562140333101</v>
      </c>
      <c r="F28" s="563">
        <f>'Schedule 4'!$K30</f>
        <v>4.4871048894385934</v>
      </c>
      <c r="G28" s="940">
        <f t="shared" si="4"/>
        <v>31.614761103471903</v>
      </c>
      <c r="H28" s="1041">
        <f t="shared" si="5"/>
        <v>1134.3716877766108</v>
      </c>
      <c r="I28" s="1040">
        <v>30.676409387742432</v>
      </c>
      <c r="J28" s="773">
        <f t="shared" si="6"/>
        <v>3.0588707559249473E-2</v>
      </c>
      <c r="K28" s="480">
        <f>'Schedule 1'!H20</f>
        <v>2.9900897771137336</v>
      </c>
      <c r="L28" s="564">
        <f t="shared" si="7"/>
        <v>34</v>
      </c>
      <c r="N28" s="774">
        <v>0.29099999999999998</v>
      </c>
      <c r="O28" s="774">
        <f t="shared" si="8"/>
        <v>0.8701161251400964</v>
      </c>
      <c r="P28" s="774">
        <f>+O28</f>
        <v>0.8701161251400964</v>
      </c>
      <c r="Q28" s="480"/>
      <c r="R28" s="564">
        <f t="shared" si="9"/>
        <v>711.52176336198397</v>
      </c>
      <c r="S28" s="564">
        <f t="shared" si="10"/>
        <v>261.84776690965816</v>
      </c>
      <c r="T28" s="564">
        <f t="shared" si="11"/>
        <v>161.00215750496866</v>
      </c>
      <c r="U28" s="564"/>
      <c r="V28" s="564">
        <f t="shared" si="12"/>
        <v>1134.3716877766108</v>
      </c>
      <c r="X28" s="775">
        <f t="shared" si="13"/>
        <v>2.9900897771137336</v>
      </c>
      <c r="Y28" s="775">
        <v>212</v>
      </c>
      <c r="Z28" s="775">
        <f t="shared" si="14"/>
        <v>633.89903274811149</v>
      </c>
      <c r="AA28" s="676">
        <f t="shared" si="15"/>
        <v>7606.7883929773379</v>
      </c>
      <c r="AB28" s="480">
        <f t="shared" si="0"/>
        <v>7606.7883929773379</v>
      </c>
      <c r="AC28" s="152">
        <f t="shared" si="16"/>
        <v>7606.7883929773379</v>
      </c>
      <c r="AF28" s="776">
        <f t="shared" si="1"/>
        <v>2.9900897771137336</v>
      </c>
      <c r="AG28" s="776">
        <f t="shared" si="2"/>
        <v>2.9900897771137336</v>
      </c>
      <c r="AH28" s="777">
        <f t="shared" si="3"/>
        <v>0</v>
      </c>
    </row>
    <row r="29" spans="1:34" ht="15.75">
      <c r="B29" s="473"/>
      <c r="D29" s="558"/>
      <c r="E29" s="563"/>
      <c r="F29" s="563"/>
      <c r="G29" s="1042"/>
      <c r="H29" s="1041"/>
      <c r="I29" s="1043"/>
      <c r="N29" s="774"/>
      <c r="O29" s="774"/>
      <c r="P29" s="774"/>
      <c r="X29" s="775"/>
      <c r="Y29" s="775"/>
      <c r="Z29" s="1019"/>
      <c r="AA29" s="1019"/>
      <c r="AB29" s="152">
        <f t="shared" si="0"/>
        <v>0</v>
      </c>
      <c r="AF29" s="776">
        <f t="shared" si="1"/>
        <v>0</v>
      </c>
      <c r="AG29" s="776">
        <f t="shared" si="2"/>
        <v>0</v>
      </c>
      <c r="AH29" s="777">
        <f t="shared" si="3"/>
        <v>0</v>
      </c>
    </row>
    <row r="30" spans="1:34">
      <c r="A30" s="152" t="s">
        <v>670</v>
      </c>
      <c r="B30" s="473">
        <v>201</v>
      </c>
      <c r="C30" s="152">
        <v>52</v>
      </c>
      <c r="D30" s="802">
        <f t="shared" ref="D30:D35" si="17">+D22</f>
        <v>6.25</v>
      </c>
      <c r="E30" s="563">
        <f>'Schedule 2'!$H$13</f>
        <v>4.8651041426888737</v>
      </c>
      <c r="F30" s="563">
        <v>0</v>
      </c>
      <c r="G30" s="940">
        <f t="shared" ref="G30:G35" si="18">SUM(D30:F30)</f>
        <v>11.115104142688875</v>
      </c>
      <c r="H30" s="1041">
        <f t="shared" ref="H30:H35" si="19">G30*K30*12</f>
        <v>930.58445952103853</v>
      </c>
      <c r="I30" s="1040">
        <v>9.7916129475479572</v>
      </c>
      <c r="J30" s="773">
        <f t="shared" ref="J30:J35" si="20">+G30/I30-1</f>
        <v>0.13516579977483167</v>
      </c>
      <c r="K30" s="480">
        <f>'Schedule 1'!I14</f>
        <v>6.9768761465987117</v>
      </c>
      <c r="L30" s="564">
        <f t="shared" ref="L30:L35" si="21">ROUND((G30-I30)*K30*12,0)</f>
        <v>111</v>
      </c>
      <c r="N30" s="774">
        <v>0.156</v>
      </c>
      <c r="O30" s="774">
        <f t="shared" ref="O30:O35" si="22">K30*N30</f>
        <v>1.0883926788693989</v>
      </c>
      <c r="P30" s="774"/>
      <c r="Q30" s="480"/>
      <c r="R30" s="564">
        <f t="shared" ref="R30:R35" si="23">$D30*$K30*12</f>
        <v>523.26571099490343</v>
      </c>
      <c r="S30" s="564">
        <f t="shared" ref="S30:S35" si="24">$E30*$K30*12</f>
        <v>407.31874852613487</v>
      </c>
      <c r="T30" s="564">
        <f t="shared" ref="T30:T35" si="25">$F30*$K30*12</f>
        <v>0</v>
      </c>
      <c r="U30" s="564"/>
      <c r="V30" s="564">
        <f t="shared" ref="V30:V35" si="26">SUM(R30:T30)</f>
        <v>930.5844595210383</v>
      </c>
      <c r="X30" s="775">
        <f t="shared" ref="X30:X35" si="27">+K30</f>
        <v>6.9768761465987117</v>
      </c>
      <c r="Y30" s="775">
        <v>52</v>
      </c>
      <c r="Z30" s="775">
        <f t="shared" ref="Z30:Z35" si="28">X30*Y30</f>
        <v>362.797559623133</v>
      </c>
      <c r="AA30" s="676">
        <f t="shared" ref="AA30:AA35" si="29">Z30*12</f>
        <v>4353.5707154775955</v>
      </c>
      <c r="AB30" s="480">
        <f t="shared" si="0"/>
        <v>4353.5707154775955</v>
      </c>
      <c r="AC30" s="152">
        <f t="shared" ref="AC30:AC35" si="30">IF(T30&gt;0,AA30,0)</f>
        <v>0</v>
      </c>
      <c r="AF30" s="776">
        <f t="shared" si="1"/>
        <v>6.9768761465987117</v>
      </c>
      <c r="AG30" s="776">
        <f t="shared" si="2"/>
        <v>0</v>
      </c>
      <c r="AH30" s="777">
        <f t="shared" si="3"/>
        <v>6.9768761465987117</v>
      </c>
    </row>
    <row r="31" spans="1:34">
      <c r="A31" s="152" t="s">
        <v>672</v>
      </c>
      <c r="B31" s="473">
        <v>202</v>
      </c>
      <c r="C31" s="152">
        <v>69</v>
      </c>
      <c r="D31" s="802">
        <f t="shared" si="17"/>
        <v>8.2900000000000009</v>
      </c>
      <c r="E31" s="563">
        <f>'Schedule 2'!$H$12</f>
        <v>3.6488281070166551</v>
      </c>
      <c r="F31" s="563">
        <v>0</v>
      </c>
      <c r="G31" s="940">
        <f t="shared" si="18"/>
        <v>11.938828107016656</v>
      </c>
      <c r="H31" s="1041">
        <f t="shared" si="19"/>
        <v>2998.646101374723</v>
      </c>
      <c r="I31" s="1040">
        <v>10.631947949630945</v>
      </c>
      <c r="J31" s="773">
        <f t="shared" si="20"/>
        <v>0.12292010491182626</v>
      </c>
      <c r="K31" s="480">
        <f>'Schedule 1'!I15</f>
        <v>20.930628439796134</v>
      </c>
      <c r="L31" s="564">
        <f t="shared" si="21"/>
        <v>328</v>
      </c>
      <c r="N31" s="774">
        <v>0.20699999999999999</v>
      </c>
      <c r="O31" s="774">
        <f t="shared" si="22"/>
        <v>4.3326400870377997</v>
      </c>
      <c r="P31" s="774"/>
      <c r="Q31" s="480"/>
      <c r="R31" s="564">
        <f t="shared" si="23"/>
        <v>2082.1789171909195</v>
      </c>
      <c r="S31" s="564">
        <f t="shared" si="24"/>
        <v>916.46718418380351</v>
      </c>
      <c r="T31" s="564">
        <f t="shared" si="25"/>
        <v>0</v>
      </c>
      <c r="U31" s="564"/>
      <c r="V31" s="564">
        <f t="shared" si="26"/>
        <v>2998.646101374723</v>
      </c>
      <c r="X31" s="775">
        <f t="shared" si="27"/>
        <v>20.930628439796134</v>
      </c>
      <c r="Y31" s="775">
        <v>69</v>
      </c>
      <c r="Z31" s="775">
        <f t="shared" si="28"/>
        <v>1444.2133623459333</v>
      </c>
      <c r="AA31" s="676">
        <f t="shared" si="29"/>
        <v>17330.560348151201</v>
      </c>
      <c r="AB31" s="480">
        <f t="shared" si="0"/>
        <v>17330.560348151201</v>
      </c>
      <c r="AC31" s="152">
        <f t="shared" si="30"/>
        <v>0</v>
      </c>
      <c r="AF31" s="776">
        <f t="shared" si="1"/>
        <v>20.930628439796134</v>
      </c>
      <c r="AG31" s="776">
        <f t="shared" si="2"/>
        <v>0</v>
      </c>
      <c r="AH31" s="777">
        <f t="shared" si="3"/>
        <v>20.930628439796134</v>
      </c>
    </row>
    <row r="32" spans="1:34">
      <c r="A32" s="152" t="s">
        <v>674</v>
      </c>
      <c r="B32" s="473">
        <v>203</v>
      </c>
      <c r="C32" s="152">
        <v>97</v>
      </c>
      <c r="D32" s="802">
        <f t="shared" si="17"/>
        <v>11.68</v>
      </c>
      <c r="E32" s="563">
        <f>'Schedule 2'!$H$12</f>
        <v>3.6488281070166551</v>
      </c>
      <c r="F32" s="563">
        <v>0</v>
      </c>
      <c r="G32" s="940">
        <f t="shared" si="18"/>
        <v>15.328828107016655</v>
      </c>
      <c r="H32" s="1041">
        <f t="shared" si="19"/>
        <v>6416.8401105093826</v>
      </c>
      <c r="I32" s="1040">
        <v>13.718970306002921</v>
      </c>
      <c r="J32" s="773">
        <f t="shared" si="20"/>
        <v>0.11734538125717187</v>
      </c>
      <c r="K32" s="480">
        <f>'Schedule 1'!I16</f>
        <v>34.884380732993556</v>
      </c>
      <c r="L32" s="564">
        <f t="shared" si="21"/>
        <v>674</v>
      </c>
      <c r="N32" s="774">
        <v>0.29099999999999998</v>
      </c>
      <c r="O32" s="774">
        <f t="shared" si="22"/>
        <v>10.151354793301124</v>
      </c>
      <c r="P32" s="774"/>
      <c r="Q32" s="480"/>
      <c r="R32" s="564">
        <f t="shared" si="23"/>
        <v>4889.3948035363765</v>
      </c>
      <c r="S32" s="564">
        <f t="shared" si="24"/>
        <v>1527.4453069730057</v>
      </c>
      <c r="T32" s="564">
        <f t="shared" si="25"/>
        <v>0</v>
      </c>
      <c r="U32" s="564"/>
      <c r="V32" s="564">
        <f t="shared" si="26"/>
        <v>6416.8401105093817</v>
      </c>
      <c r="X32" s="775">
        <f t="shared" si="27"/>
        <v>34.884380732993556</v>
      </c>
      <c r="Y32" s="775">
        <v>97</v>
      </c>
      <c r="Z32" s="775">
        <f t="shared" si="28"/>
        <v>3383.7849311003747</v>
      </c>
      <c r="AA32" s="676">
        <f t="shared" si="29"/>
        <v>40605.4191732045</v>
      </c>
      <c r="AB32" s="480">
        <f t="shared" si="0"/>
        <v>40605.4191732045</v>
      </c>
      <c r="AC32" s="152">
        <f t="shared" si="30"/>
        <v>0</v>
      </c>
      <c r="AF32" s="776">
        <f t="shared" si="1"/>
        <v>34.884380732993556</v>
      </c>
      <c r="AG32" s="776">
        <f t="shared" si="2"/>
        <v>0</v>
      </c>
      <c r="AH32" s="777">
        <f t="shared" si="3"/>
        <v>34.884380732993556</v>
      </c>
    </row>
    <row r="33" spans="1:34">
      <c r="A33" s="152" t="s">
        <v>676</v>
      </c>
      <c r="B33" s="473">
        <v>204</v>
      </c>
      <c r="C33" s="152">
        <v>154</v>
      </c>
      <c r="D33" s="802">
        <f t="shared" si="17"/>
        <v>18.54</v>
      </c>
      <c r="E33" s="563">
        <f>'Schedule 2'!$H$12</f>
        <v>3.6488281070166551</v>
      </c>
      <c r="F33" s="563">
        <v>0</v>
      </c>
      <c r="G33" s="940">
        <f t="shared" si="18"/>
        <v>22.188828107016654</v>
      </c>
      <c r="H33" s="1041">
        <f t="shared" si="19"/>
        <v>2388.4771712012771</v>
      </c>
      <c r="I33" s="1040">
        <v>19.963622960045875</v>
      </c>
      <c r="J33" s="773">
        <f t="shared" si="20"/>
        <v>0.1114629920342709</v>
      </c>
      <c r="K33" s="480">
        <f>'Schedule 1'!I17</f>
        <v>8.9702693313411999</v>
      </c>
      <c r="L33" s="564">
        <f t="shared" si="21"/>
        <v>240</v>
      </c>
      <c r="N33" s="774">
        <v>0.46200000000000002</v>
      </c>
      <c r="O33" s="774">
        <f t="shared" si="22"/>
        <v>4.1442644310796348</v>
      </c>
      <c r="P33" s="774"/>
      <c r="Q33" s="480"/>
      <c r="R33" s="564">
        <f t="shared" si="23"/>
        <v>1995.7055208367901</v>
      </c>
      <c r="S33" s="564">
        <f t="shared" si="24"/>
        <v>392.77165036448719</v>
      </c>
      <c r="T33" s="564">
        <f t="shared" si="25"/>
        <v>0</v>
      </c>
      <c r="U33" s="564"/>
      <c r="V33" s="564">
        <f t="shared" si="26"/>
        <v>2388.4771712012771</v>
      </c>
      <c r="X33" s="775">
        <f t="shared" si="27"/>
        <v>8.9702693313411999</v>
      </c>
      <c r="Y33" s="775">
        <v>154</v>
      </c>
      <c r="Z33" s="775">
        <f t="shared" si="28"/>
        <v>1381.4214770265448</v>
      </c>
      <c r="AA33" s="676">
        <f t="shared" si="29"/>
        <v>16577.05772431854</v>
      </c>
      <c r="AB33" s="480">
        <f t="shared" si="0"/>
        <v>16577.05772431854</v>
      </c>
      <c r="AC33" s="152">
        <f t="shared" si="30"/>
        <v>0</v>
      </c>
      <c r="AF33" s="776">
        <f t="shared" si="1"/>
        <v>8.9702693313411999</v>
      </c>
      <c r="AG33" s="776">
        <f t="shared" si="2"/>
        <v>0</v>
      </c>
      <c r="AH33" s="777">
        <f t="shared" si="3"/>
        <v>8.9702693313411999</v>
      </c>
    </row>
    <row r="34" spans="1:34">
      <c r="A34" s="152" t="s">
        <v>678</v>
      </c>
      <c r="B34" s="473">
        <v>205</v>
      </c>
      <c r="C34" s="152">
        <v>260</v>
      </c>
      <c r="D34" s="802">
        <f t="shared" si="17"/>
        <v>31.32</v>
      </c>
      <c r="E34" s="563">
        <f>'Schedule 2'!$H$12</f>
        <v>3.6488281070166551</v>
      </c>
      <c r="F34" s="563">
        <v>0</v>
      </c>
      <c r="G34" s="940">
        <f t="shared" si="18"/>
        <v>34.968828107016655</v>
      </c>
      <c r="H34" s="1041">
        <f t="shared" si="19"/>
        <v>0</v>
      </c>
      <c r="I34" s="1040">
        <v>31.59806473773979</v>
      </c>
      <c r="J34" s="773">
        <f t="shared" si="20"/>
        <v>0.10667625999420549</v>
      </c>
      <c r="K34" s="480">
        <f>'Schedule 1'!I18</f>
        <v>0</v>
      </c>
      <c r="L34" s="564">
        <f t="shared" si="21"/>
        <v>0</v>
      </c>
      <c r="N34" s="774">
        <v>0.78</v>
      </c>
      <c r="O34" s="774">
        <f t="shared" si="22"/>
        <v>0</v>
      </c>
      <c r="P34" s="774"/>
      <c r="Q34" s="480"/>
      <c r="R34" s="564">
        <f t="shared" si="23"/>
        <v>0</v>
      </c>
      <c r="S34" s="564">
        <f t="shared" si="24"/>
        <v>0</v>
      </c>
      <c r="T34" s="564">
        <f t="shared" si="25"/>
        <v>0</v>
      </c>
      <c r="U34" s="564"/>
      <c r="V34" s="564">
        <f t="shared" si="26"/>
        <v>0</v>
      </c>
      <c r="X34" s="775">
        <f t="shared" si="27"/>
        <v>0</v>
      </c>
      <c r="Y34" s="775">
        <v>260</v>
      </c>
      <c r="Z34" s="775">
        <f t="shared" si="28"/>
        <v>0</v>
      </c>
      <c r="AA34" s="676">
        <f t="shared" si="29"/>
        <v>0</v>
      </c>
      <c r="AB34" s="152">
        <f t="shared" si="0"/>
        <v>0</v>
      </c>
      <c r="AC34" s="152">
        <f t="shared" si="30"/>
        <v>0</v>
      </c>
      <c r="AF34" s="776">
        <f t="shared" si="1"/>
        <v>0</v>
      </c>
      <c r="AG34" s="776">
        <f t="shared" si="2"/>
        <v>0</v>
      </c>
      <c r="AH34" s="777">
        <f t="shared" si="3"/>
        <v>0</v>
      </c>
    </row>
    <row r="35" spans="1:34">
      <c r="A35" s="152" t="s">
        <v>680</v>
      </c>
      <c r="B35" s="473">
        <v>206</v>
      </c>
      <c r="C35" s="152">
        <v>363</v>
      </c>
      <c r="D35" s="802">
        <f t="shared" si="17"/>
        <v>43.73</v>
      </c>
      <c r="E35" s="563">
        <f>'Schedule 2'!$H$12</f>
        <v>3.6488281070166551</v>
      </c>
      <c r="F35" s="563">
        <v>0</v>
      </c>
      <c r="G35" s="940">
        <f t="shared" si="18"/>
        <v>47.378828107016652</v>
      </c>
      <c r="H35" s="1041">
        <f t="shared" si="19"/>
        <v>12466.6915625489</v>
      </c>
      <c r="I35" s="1040">
        <v>42.900682691536709</v>
      </c>
      <c r="J35" s="773">
        <f t="shared" si="20"/>
        <v>0.10438401289971488</v>
      </c>
      <c r="K35" s="480">
        <f>'Schedule 1'!I19</f>
        <v>21.927325032167381</v>
      </c>
      <c r="L35" s="564">
        <f t="shared" si="21"/>
        <v>1178</v>
      </c>
      <c r="N35" s="774">
        <v>1.089</v>
      </c>
      <c r="O35" s="774">
        <f t="shared" si="22"/>
        <v>23.878856960030276</v>
      </c>
      <c r="P35" s="774"/>
      <c r="Q35" s="480"/>
      <c r="R35" s="564">
        <f t="shared" si="23"/>
        <v>11506.583083880154</v>
      </c>
      <c r="S35" s="564">
        <f t="shared" si="24"/>
        <v>960.10847866874667</v>
      </c>
      <c r="T35" s="564">
        <f t="shared" si="25"/>
        <v>0</v>
      </c>
      <c r="U35" s="564"/>
      <c r="V35" s="564">
        <f t="shared" si="26"/>
        <v>12466.6915625489</v>
      </c>
      <c r="X35" s="775">
        <f t="shared" si="27"/>
        <v>21.927325032167381</v>
      </c>
      <c r="Y35" s="775">
        <v>363</v>
      </c>
      <c r="Z35" s="775">
        <f t="shared" si="28"/>
        <v>7959.6189866767591</v>
      </c>
      <c r="AA35" s="676">
        <f t="shared" si="29"/>
        <v>95515.427840121105</v>
      </c>
      <c r="AB35" s="480">
        <f t="shared" si="0"/>
        <v>95515.427840121105</v>
      </c>
      <c r="AC35" s="152">
        <f t="shared" si="30"/>
        <v>0</v>
      </c>
      <c r="AF35" s="776">
        <f t="shared" si="1"/>
        <v>21.927325032167381</v>
      </c>
      <c r="AG35" s="776">
        <f t="shared" si="2"/>
        <v>0</v>
      </c>
      <c r="AH35" s="777">
        <f t="shared" si="3"/>
        <v>21.927325032167381</v>
      </c>
    </row>
    <row r="36" spans="1:34" ht="15.75">
      <c r="B36" s="473"/>
      <c r="D36" s="558"/>
      <c r="E36" s="563"/>
      <c r="F36" s="563"/>
      <c r="G36" s="1042"/>
      <c r="H36" s="1041"/>
      <c r="I36" s="1043"/>
      <c r="N36" s="774"/>
      <c r="O36" s="774"/>
      <c r="P36" s="774"/>
      <c r="X36" s="775"/>
      <c r="Y36" s="775"/>
      <c r="Z36" s="1019"/>
      <c r="AA36" s="1019"/>
      <c r="AB36" s="152">
        <f t="shared" si="0"/>
        <v>0</v>
      </c>
      <c r="AF36" s="776">
        <f t="shared" si="1"/>
        <v>0</v>
      </c>
      <c r="AG36" s="776">
        <f t="shared" si="2"/>
        <v>0</v>
      </c>
      <c r="AH36" s="777">
        <f t="shared" si="3"/>
        <v>0</v>
      </c>
    </row>
    <row r="37" spans="1:34">
      <c r="A37" s="152" t="s">
        <v>670</v>
      </c>
      <c r="B37" s="473">
        <v>301</v>
      </c>
      <c r="C37" s="152">
        <v>52</v>
      </c>
      <c r="D37" s="802">
        <f t="shared" ref="D37:D42" si="31">+D22</f>
        <v>6.25</v>
      </c>
      <c r="E37" s="563">
        <v>0</v>
      </c>
      <c r="F37" s="563">
        <v>0</v>
      </c>
      <c r="G37" s="940">
        <f t="shared" ref="G37:G42" si="32">SUM(D37:F37)</f>
        <v>6.25</v>
      </c>
      <c r="H37" s="1041">
        <f t="shared" ref="H37:H42" si="33">G37*K37*12</f>
        <v>822.27468870627683</v>
      </c>
      <c r="I37" s="1040">
        <v>5.6916129475479575</v>
      </c>
      <c r="J37" s="773">
        <f t="shared" ref="J37:J42" si="34">+G37/I37-1</f>
        <v>9.810699666297662E-2</v>
      </c>
      <c r="K37" s="480">
        <f>'Schedule 1'!J14</f>
        <v>10.963662516083691</v>
      </c>
      <c r="L37" s="564">
        <f t="shared" ref="L37:L42" si="35">ROUND((G37-I37)*K37*12,0)</f>
        <v>73</v>
      </c>
      <c r="N37" s="774">
        <v>0.156</v>
      </c>
      <c r="O37" s="774">
        <f t="shared" ref="O37:O42" si="36">K37*N37</f>
        <v>1.7103313525090558</v>
      </c>
      <c r="P37" s="774"/>
      <c r="R37" s="564">
        <f t="shared" ref="R37:R42" si="37">$D37*$K37*12</f>
        <v>822.27468870627683</v>
      </c>
      <c r="S37" s="564">
        <f t="shared" ref="S37:S42" si="38">$E37*$K37*12</f>
        <v>0</v>
      </c>
      <c r="T37" s="564">
        <f t="shared" ref="T37:T42" si="39">$F37*$K37*12</f>
        <v>0</v>
      </c>
      <c r="U37" s="564"/>
      <c r="V37" s="564">
        <f t="shared" ref="V37:V42" si="40">SUM(R37:T37)</f>
        <v>822.27468870627683</v>
      </c>
      <c r="X37" s="775">
        <f t="shared" ref="X37:X42" si="41">+K37</f>
        <v>10.963662516083691</v>
      </c>
      <c r="Y37" s="775">
        <v>52</v>
      </c>
      <c r="Z37" s="775">
        <f t="shared" ref="Z37:Z42" si="42">X37*Y37</f>
        <v>570.1104508363519</v>
      </c>
      <c r="AA37" s="676">
        <f t="shared" ref="AA37:AA42" si="43">Z37*12</f>
        <v>6841.3254100362228</v>
      </c>
      <c r="AB37" s="480">
        <f t="shared" si="0"/>
        <v>0</v>
      </c>
      <c r="AC37" s="152">
        <f t="shared" ref="AC37:AC42" si="44">IF(T37&gt;0,AA37,0)</f>
        <v>0</v>
      </c>
      <c r="AF37" s="776">
        <f t="shared" si="1"/>
        <v>0</v>
      </c>
      <c r="AG37" s="776">
        <f t="shared" si="2"/>
        <v>0</v>
      </c>
      <c r="AH37" s="777">
        <f t="shared" si="3"/>
        <v>0</v>
      </c>
    </row>
    <row r="38" spans="1:34">
      <c r="A38" s="152" t="s">
        <v>672</v>
      </c>
      <c r="B38" s="473">
        <v>302</v>
      </c>
      <c r="C38" s="152">
        <v>69</v>
      </c>
      <c r="D38" s="802">
        <f t="shared" si="31"/>
        <v>8.2900000000000009</v>
      </c>
      <c r="E38" s="563">
        <v>0</v>
      </c>
      <c r="F38" s="563">
        <v>0</v>
      </c>
      <c r="G38" s="940">
        <f t="shared" si="32"/>
        <v>8.2900000000000009</v>
      </c>
      <c r="H38" s="1041">
        <f t="shared" si="33"/>
        <v>15566.766190427355</v>
      </c>
      <c r="I38" s="1040">
        <v>7.5519479496309447</v>
      </c>
      <c r="J38" s="773">
        <f t="shared" si="34"/>
        <v>9.7730023470980587E-2</v>
      </c>
      <c r="K38" s="480">
        <f>'Schedule 1'!J15</f>
        <v>156.4813650022854</v>
      </c>
      <c r="L38" s="564">
        <f t="shared" si="35"/>
        <v>1386</v>
      </c>
      <c r="N38" s="774">
        <v>0.20699999999999999</v>
      </c>
      <c r="O38" s="774">
        <f t="shared" si="36"/>
        <v>32.391642555473076</v>
      </c>
      <c r="P38" s="774"/>
      <c r="R38" s="564">
        <f t="shared" si="37"/>
        <v>15566.766190427355</v>
      </c>
      <c r="S38" s="564">
        <f t="shared" si="38"/>
        <v>0</v>
      </c>
      <c r="T38" s="564">
        <f t="shared" si="39"/>
        <v>0</v>
      </c>
      <c r="U38" s="564"/>
      <c r="V38" s="564">
        <f t="shared" si="40"/>
        <v>15566.766190427355</v>
      </c>
      <c r="X38" s="775">
        <f t="shared" si="41"/>
        <v>156.4813650022854</v>
      </c>
      <c r="Y38" s="775">
        <v>69</v>
      </c>
      <c r="Z38" s="775">
        <f t="shared" si="42"/>
        <v>10797.214185157693</v>
      </c>
      <c r="AA38" s="676">
        <f t="shared" si="43"/>
        <v>129566.57022189231</v>
      </c>
      <c r="AB38" s="480">
        <f t="shared" si="0"/>
        <v>0</v>
      </c>
      <c r="AC38" s="152">
        <f t="shared" si="44"/>
        <v>0</v>
      </c>
      <c r="AF38" s="776">
        <f t="shared" si="1"/>
        <v>0</v>
      </c>
      <c r="AG38" s="776">
        <f t="shared" si="2"/>
        <v>0</v>
      </c>
      <c r="AH38" s="777">
        <f t="shared" si="3"/>
        <v>0</v>
      </c>
    </row>
    <row r="39" spans="1:34">
      <c r="A39" s="152" t="s">
        <v>674</v>
      </c>
      <c r="B39" s="473">
        <v>303</v>
      </c>
      <c r="C39" s="152">
        <v>97</v>
      </c>
      <c r="D39" s="802">
        <f t="shared" si="31"/>
        <v>11.68</v>
      </c>
      <c r="E39" s="563">
        <v>0</v>
      </c>
      <c r="F39" s="563">
        <v>0</v>
      </c>
      <c r="G39" s="940">
        <f t="shared" si="32"/>
        <v>11.68</v>
      </c>
      <c r="H39" s="1041">
        <f t="shared" si="33"/>
        <v>7543.6376968846962</v>
      </c>
      <c r="I39" s="1040">
        <v>10.638970306002921</v>
      </c>
      <c r="J39" s="773">
        <f t="shared" si="34"/>
        <v>9.7850606219822778E-2</v>
      </c>
      <c r="K39" s="480">
        <f>'Schedule 1'!J16</f>
        <v>53.821615988047206</v>
      </c>
      <c r="L39" s="564">
        <f t="shared" si="35"/>
        <v>672</v>
      </c>
      <c r="N39" s="774">
        <v>0.29099999999999998</v>
      </c>
      <c r="O39" s="774">
        <f t="shared" si="36"/>
        <v>15.662090252521736</v>
      </c>
      <c r="P39" s="774"/>
      <c r="R39" s="564">
        <f t="shared" si="37"/>
        <v>7543.6376968846962</v>
      </c>
      <c r="S39" s="564">
        <f t="shared" si="38"/>
        <v>0</v>
      </c>
      <c r="T39" s="564">
        <f t="shared" si="39"/>
        <v>0</v>
      </c>
      <c r="U39" s="564"/>
      <c r="V39" s="564">
        <f t="shared" si="40"/>
        <v>7543.6376968846962</v>
      </c>
      <c r="X39" s="775">
        <f t="shared" si="41"/>
        <v>53.821615988047206</v>
      </c>
      <c r="Y39" s="775">
        <v>97</v>
      </c>
      <c r="Z39" s="775">
        <f t="shared" si="42"/>
        <v>5220.6967508405787</v>
      </c>
      <c r="AA39" s="676">
        <f t="shared" si="43"/>
        <v>62648.361010086941</v>
      </c>
      <c r="AB39" s="480">
        <f t="shared" si="0"/>
        <v>0</v>
      </c>
      <c r="AC39" s="152">
        <f t="shared" si="44"/>
        <v>0</v>
      </c>
      <c r="AF39" s="776">
        <f t="shared" si="1"/>
        <v>0</v>
      </c>
      <c r="AG39" s="776">
        <f t="shared" si="2"/>
        <v>0</v>
      </c>
      <c r="AH39" s="777">
        <f t="shared" si="3"/>
        <v>0</v>
      </c>
    </row>
    <row r="40" spans="1:34">
      <c r="A40" s="152" t="s">
        <v>676</v>
      </c>
      <c r="B40" s="473">
        <v>304</v>
      </c>
      <c r="C40" s="152">
        <v>154</v>
      </c>
      <c r="D40" s="802">
        <f t="shared" si="31"/>
        <v>18.54</v>
      </c>
      <c r="E40" s="563">
        <v>0</v>
      </c>
      <c r="F40" s="563">
        <v>0</v>
      </c>
      <c r="G40" s="940">
        <f t="shared" si="32"/>
        <v>18.54</v>
      </c>
      <c r="H40" s="1041">
        <f t="shared" si="33"/>
        <v>3326.1758680613175</v>
      </c>
      <c r="I40" s="1040">
        <v>16.883622960045876</v>
      </c>
      <c r="J40" s="773">
        <f t="shared" si="34"/>
        <v>9.8105545466979693E-2</v>
      </c>
      <c r="K40" s="480">
        <f>'Schedule 1'!J17</f>
        <v>14.950448885568669</v>
      </c>
      <c r="L40" s="564">
        <f t="shared" si="35"/>
        <v>297</v>
      </c>
      <c r="N40" s="774">
        <v>0.46200000000000002</v>
      </c>
      <c r="O40" s="774">
        <f t="shared" si="36"/>
        <v>6.9071073851327256</v>
      </c>
      <c r="P40" s="774"/>
      <c r="R40" s="564">
        <f t="shared" si="37"/>
        <v>3326.1758680613175</v>
      </c>
      <c r="S40" s="564">
        <f t="shared" si="38"/>
        <v>0</v>
      </c>
      <c r="T40" s="564">
        <f t="shared" si="39"/>
        <v>0</v>
      </c>
      <c r="U40" s="564"/>
      <c r="V40" s="564">
        <f t="shared" si="40"/>
        <v>3326.1758680613175</v>
      </c>
      <c r="X40" s="775">
        <f t="shared" si="41"/>
        <v>14.950448885568669</v>
      </c>
      <c r="Y40" s="775">
        <v>154</v>
      </c>
      <c r="Z40" s="775">
        <f t="shared" si="42"/>
        <v>2302.3691283775752</v>
      </c>
      <c r="AA40" s="676">
        <f t="shared" si="43"/>
        <v>27628.429540530902</v>
      </c>
      <c r="AB40" s="152">
        <f t="shared" si="0"/>
        <v>0</v>
      </c>
      <c r="AC40" s="152">
        <f t="shared" si="44"/>
        <v>0</v>
      </c>
      <c r="AF40" s="776">
        <f t="shared" si="1"/>
        <v>0</v>
      </c>
      <c r="AG40" s="776">
        <f t="shared" si="2"/>
        <v>0</v>
      </c>
      <c r="AH40" s="777">
        <f t="shared" si="3"/>
        <v>0</v>
      </c>
    </row>
    <row r="41" spans="1:34">
      <c r="A41" s="152" t="s">
        <v>678</v>
      </c>
      <c r="B41" s="473">
        <v>305</v>
      </c>
      <c r="C41" s="152">
        <v>260</v>
      </c>
      <c r="D41" s="802">
        <f t="shared" si="31"/>
        <v>31.32</v>
      </c>
      <c r="E41" s="563">
        <v>0</v>
      </c>
      <c r="F41" s="563">
        <v>0</v>
      </c>
      <c r="G41" s="940">
        <f t="shared" si="32"/>
        <v>31.32</v>
      </c>
      <c r="H41" s="1041">
        <f t="shared" si="33"/>
        <v>374.59844727680854</v>
      </c>
      <c r="I41" s="1040">
        <v>28.518064737739792</v>
      </c>
      <c r="J41" s="773">
        <f t="shared" si="34"/>
        <v>9.8251241380773902E-2</v>
      </c>
      <c r="K41" s="480">
        <f>'Schedule 1'!J18</f>
        <v>0.99669659237124453</v>
      </c>
      <c r="L41" s="564">
        <f t="shared" si="35"/>
        <v>34</v>
      </c>
      <c r="N41" s="774">
        <v>0.78</v>
      </c>
      <c r="O41" s="774">
        <f t="shared" si="36"/>
        <v>0.77742334204957075</v>
      </c>
      <c r="P41" s="774"/>
      <c r="R41" s="564">
        <f t="shared" si="37"/>
        <v>374.59844727680854</v>
      </c>
      <c r="S41" s="564">
        <f t="shared" si="38"/>
        <v>0</v>
      </c>
      <c r="T41" s="564">
        <f t="shared" si="39"/>
        <v>0</v>
      </c>
      <c r="U41" s="564"/>
      <c r="V41" s="564">
        <f t="shared" si="40"/>
        <v>374.59844727680854</v>
      </c>
      <c r="X41" s="775">
        <f t="shared" si="41"/>
        <v>0.99669659237124453</v>
      </c>
      <c r="Y41" s="775">
        <v>260</v>
      </c>
      <c r="Z41" s="775">
        <f t="shared" si="42"/>
        <v>259.1411140165236</v>
      </c>
      <c r="AA41" s="676">
        <f t="shared" si="43"/>
        <v>3109.6933681982832</v>
      </c>
      <c r="AB41" s="152">
        <f t="shared" si="0"/>
        <v>0</v>
      </c>
      <c r="AC41" s="152">
        <f t="shared" si="44"/>
        <v>0</v>
      </c>
      <c r="AF41" s="776">
        <f t="shared" si="1"/>
        <v>0</v>
      </c>
      <c r="AG41" s="776">
        <f t="shared" si="2"/>
        <v>0</v>
      </c>
      <c r="AH41" s="777">
        <f t="shared" si="3"/>
        <v>0</v>
      </c>
    </row>
    <row r="42" spans="1:34">
      <c r="A42" s="152" t="s">
        <v>680</v>
      </c>
      <c r="B42" s="473">
        <v>306</v>
      </c>
      <c r="C42" s="152">
        <v>363</v>
      </c>
      <c r="D42" s="802">
        <f t="shared" si="31"/>
        <v>43.73</v>
      </c>
      <c r="E42" s="442">
        <v>0</v>
      </c>
      <c r="F42" s="442">
        <v>0</v>
      </c>
      <c r="G42" s="940">
        <f t="shared" si="32"/>
        <v>43.73</v>
      </c>
      <c r="H42" s="1045">
        <f t="shared" si="33"/>
        <v>3661.1855266891394</v>
      </c>
      <c r="I42" s="1040">
        <v>39.82068269153671</v>
      </c>
      <c r="J42" s="731">
        <f t="shared" si="34"/>
        <v>9.8173035825278587E-2</v>
      </c>
      <c r="K42" s="480">
        <f>'Schedule 1'!J19</f>
        <v>6.9768761465987117</v>
      </c>
      <c r="L42" s="566">
        <f t="shared" si="35"/>
        <v>327</v>
      </c>
      <c r="M42" s="558"/>
      <c r="N42" s="1046">
        <v>1.089</v>
      </c>
      <c r="O42" s="1046">
        <f t="shared" si="36"/>
        <v>7.5978181236459967</v>
      </c>
      <c r="P42" s="1046"/>
      <c r="Q42" s="558"/>
      <c r="R42" s="565">
        <f t="shared" si="37"/>
        <v>3661.1855266891394</v>
      </c>
      <c r="S42" s="565">
        <f t="shared" si="38"/>
        <v>0</v>
      </c>
      <c r="T42" s="565">
        <f t="shared" si="39"/>
        <v>0</v>
      </c>
      <c r="U42" s="565"/>
      <c r="V42" s="565">
        <f t="shared" si="40"/>
        <v>3661.1855266891394</v>
      </c>
      <c r="W42" s="558"/>
      <c r="X42" s="440">
        <f t="shared" si="41"/>
        <v>6.9768761465987117</v>
      </c>
      <c r="Y42" s="440">
        <v>363</v>
      </c>
      <c r="Z42" s="440">
        <f t="shared" si="42"/>
        <v>2532.6060412153324</v>
      </c>
      <c r="AA42" s="460">
        <f t="shared" si="43"/>
        <v>30391.272494583987</v>
      </c>
      <c r="AB42" s="152">
        <f t="shared" si="0"/>
        <v>0</v>
      </c>
      <c r="AC42" s="152">
        <f t="shared" si="44"/>
        <v>0</v>
      </c>
      <c r="AF42" s="776">
        <f t="shared" si="1"/>
        <v>0</v>
      </c>
      <c r="AG42" s="776">
        <f t="shared" si="2"/>
        <v>0</v>
      </c>
      <c r="AH42" s="777">
        <f t="shared" si="3"/>
        <v>0</v>
      </c>
    </row>
    <row r="43" spans="1:34" ht="15.75">
      <c r="B43" s="473"/>
      <c r="D43" s="558"/>
      <c r="E43" s="563"/>
      <c r="F43" s="563"/>
      <c r="G43" s="1042"/>
      <c r="H43" s="1041">
        <f>SUM(H21:H42)</f>
        <v>3334089.7601816524</v>
      </c>
      <c r="I43" s="1043"/>
      <c r="K43" s="480">
        <f>SUM(K21:K42)</f>
        <v>17006.633955630543</v>
      </c>
      <c r="L43" s="564">
        <f>SUM(L21:L42)</f>
        <v>-48267</v>
      </c>
      <c r="N43" s="774"/>
      <c r="O43" s="774"/>
      <c r="P43" s="774"/>
      <c r="X43" s="775"/>
      <c r="Y43" s="775"/>
      <c r="Z43" s="1019"/>
      <c r="AA43" s="1019"/>
      <c r="AB43" s="152">
        <f t="shared" si="0"/>
        <v>0</v>
      </c>
      <c r="AF43" s="776">
        <f t="shared" si="1"/>
        <v>0</v>
      </c>
      <c r="AG43" s="776">
        <f t="shared" si="2"/>
        <v>0</v>
      </c>
      <c r="AH43" s="777">
        <f t="shared" si="3"/>
        <v>0</v>
      </c>
    </row>
    <row r="44" spans="1:34" ht="15.75">
      <c r="A44" s="548" t="s">
        <v>930</v>
      </c>
      <c r="B44" s="497"/>
      <c r="D44" s="558"/>
      <c r="E44" s="563"/>
      <c r="F44" s="563"/>
      <c r="G44" s="1042"/>
      <c r="H44" s="1041"/>
      <c r="I44" s="1043"/>
      <c r="N44" s="774"/>
      <c r="O44" s="774"/>
      <c r="P44" s="774"/>
      <c r="X44" s="775">
        <f>SUM(X21:X43)</f>
        <v>17006.633955630543</v>
      </c>
      <c r="Y44" s="775"/>
      <c r="Z44" s="775">
        <f>SUM(Z21:Z43)</f>
        <v>1165424.3684039956</v>
      </c>
      <c r="AA44" s="609">
        <f>SUM(AA21:AA43)</f>
        <v>13985092.420847951</v>
      </c>
      <c r="AB44" s="152">
        <f t="shared" si="0"/>
        <v>0</v>
      </c>
      <c r="AF44" s="776">
        <f t="shared" si="1"/>
        <v>0</v>
      </c>
      <c r="AG44" s="776">
        <f t="shared" si="2"/>
        <v>0</v>
      </c>
      <c r="AH44" s="777">
        <f t="shared" si="3"/>
        <v>0</v>
      </c>
    </row>
    <row r="45" spans="1:34" ht="15.75">
      <c r="B45" s="473"/>
      <c r="D45" s="558"/>
      <c r="E45" s="563"/>
      <c r="F45" s="563"/>
      <c r="G45" s="1042"/>
      <c r="H45" s="1041"/>
      <c r="I45" s="1043"/>
      <c r="N45" s="774"/>
      <c r="O45" s="774"/>
      <c r="P45" s="774"/>
      <c r="X45" s="775"/>
      <c r="Y45" s="775"/>
      <c r="Z45" s="775"/>
      <c r="AA45" s="775"/>
      <c r="AB45" s="152">
        <f t="shared" si="0"/>
        <v>0</v>
      </c>
      <c r="AF45" s="776">
        <f t="shared" si="1"/>
        <v>0</v>
      </c>
      <c r="AG45" s="776">
        <f t="shared" si="2"/>
        <v>0</v>
      </c>
      <c r="AH45" s="777">
        <f t="shared" si="3"/>
        <v>0</v>
      </c>
    </row>
    <row r="46" spans="1:34">
      <c r="A46" s="152" t="s">
        <v>684</v>
      </c>
      <c r="B46" s="473">
        <v>110</v>
      </c>
      <c r="C46" s="152">
        <v>30</v>
      </c>
      <c r="D46" s="802">
        <f>ROUND(+C46*H$187,2)+0.01</f>
        <v>3.6199999999999997</v>
      </c>
      <c r="E46" s="563">
        <f>'Schedule 2'!$H$14</f>
        <v>7.2976562140333101</v>
      </c>
      <c r="F46" s="563">
        <f>'Schedule 4'!$K31</f>
        <v>2.9015449486064413</v>
      </c>
      <c r="G46" s="940">
        <f t="shared" ref="G46:G52" si="45">SUM(D46:F46)</f>
        <v>13.81920116263975</v>
      </c>
      <c r="H46" s="1041">
        <f t="shared" ref="H46:H52" si="46">G46*K46*12</f>
        <v>148258.49982194297</v>
      </c>
      <c r="I46" s="1040">
        <v>13.742196276324577</v>
      </c>
      <c r="J46" s="773">
        <f t="shared" ref="J46:J52" si="47">+G46/I46-1</f>
        <v>5.6035356188179897E-3</v>
      </c>
      <c r="K46" s="480">
        <f>'Schedule 1'!H23</f>
        <v>894.03684335700632</v>
      </c>
      <c r="L46" s="564">
        <f t="shared" ref="L46:L52" si="48">ROUND((G46-I46)*K46*12,0)</f>
        <v>826</v>
      </c>
      <c r="N46" s="774">
        <v>9.0999999999999998E-2</v>
      </c>
      <c r="O46" s="774">
        <f t="shared" ref="O46:O52" si="49">K46*N46</f>
        <v>81.357352745487574</v>
      </c>
      <c r="P46" s="774"/>
      <c r="Q46" s="480"/>
      <c r="R46" s="564">
        <f t="shared" ref="R46:R52" si="50">$D46*$K46*12</f>
        <v>38836.96047542835</v>
      </c>
      <c r="S46" s="564">
        <f t="shared" ref="S46:S52" si="51">$E46*$K46*12</f>
        <v>78292.482305987796</v>
      </c>
      <c r="T46" s="564">
        <f t="shared" ref="T46:T52" si="52">$F46*$K46*12</f>
        <v>31129.057040526837</v>
      </c>
      <c r="U46" s="564"/>
      <c r="V46" s="564">
        <f t="shared" ref="V46:V52" si="53">SUM(R46:T46)</f>
        <v>148258.499821943</v>
      </c>
      <c r="X46" s="775">
        <f t="shared" ref="X46:X52" si="54">+K46</f>
        <v>894.03684335700632</v>
      </c>
      <c r="Y46" s="775">
        <v>30</v>
      </c>
      <c r="Z46" s="775">
        <f t="shared" ref="Z46:Z52" si="55">X46*Y46</f>
        <v>26821.105300710191</v>
      </c>
      <c r="AA46" s="676">
        <f t="shared" ref="AA46:AA52" si="56">Z46*12</f>
        <v>321853.26360852231</v>
      </c>
      <c r="AB46" s="480">
        <f t="shared" ref="AB46:AB77" si="57">IF(S46&gt;0,AA46,0)</f>
        <v>321853.26360852231</v>
      </c>
      <c r="AC46" s="152">
        <f t="shared" ref="AC46:AC52" si="58">IF(T46&gt;0,AA46,0)</f>
        <v>321853.26360852231</v>
      </c>
      <c r="AF46" s="776">
        <f t="shared" ref="AF46:AF77" si="59">IF(S46&gt;0,X46,0)</f>
        <v>894.03684335700632</v>
      </c>
      <c r="AG46" s="776">
        <f t="shared" ref="AG46:AG77" si="60">IF(T46&gt;0,X46,0)</f>
        <v>894.03684335700632</v>
      </c>
      <c r="AH46" s="777">
        <f t="shared" si="3"/>
        <v>0</v>
      </c>
    </row>
    <row r="47" spans="1:34">
      <c r="A47" s="152" t="s">
        <v>686</v>
      </c>
      <c r="B47" s="473">
        <v>111</v>
      </c>
      <c r="C47" s="152">
        <v>85</v>
      </c>
      <c r="D47" s="802">
        <f>ROUND(+C47*H$187,2)</f>
        <v>10.24</v>
      </c>
      <c r="E47" s="563">
        <f>'Schedule 2'!$H$14</f>
        <v>7.2976562140333101</v>
      </c>
      <c r="F47" s="563">
        <f>'Schedule 4'!$K32</f>
        <v>3.2203838493774715</v>
      </c>
      <c r="G47" s="940">
        <f t="shared" si="45"/>
        <v>20.758040063410782</v>
      </c>
      <c r="H47" s="1041">
        <f t="shared" si="46"/>
        <v>28303.191944253984</v>
      </c>
      <c r="I47" s="1040">
        <v>20.197031172769535</v>
      </c>
      <c r="J47" s="773">
        <f t="shared" si="47"/>
        <v>2.7776799760433235E-2</v>
      </c>
      <c r="K47" s="480">
        <f>'Schedule 1'!H24</f>
        <v>113.62341153032187</v>
      </c>
      <c r="L47" s="564">
        <f t="shared" si="48"/>
        <v>765</v>
      </c>
      <c r="N47" s="774">
        <v>0.254</v>
      </c>
      <c r="O47" s="774">
        <f t="shared" si="49"/>
        <v>28.860346528701758</v>
      </c>
      <c r="P47" s="774"/>
      <c r="Q47" s="480"/>
      <c r="R47" s="564">
        <f t="shared" si="50"/>
        <v>13962.044808845953</v>
      </c>
      <c r="S47" s="564">
        <f t="shared" si="51"/>
        <v>9950.2151425670108</v>
      </c>
      <c r="T47" s="564">
        <f t="shared" si="52"/>
        <v>4390.9319928410223</v>
      </c>
      <c r="U47" s="564"/>
      <c r="V47" s="564">
        <f t="shared" si="53"/>
        <v>28303.191944253984</v>
      </c>
      <c r="X47" s="775">
        <f t="shared" si="54"/>
        <v>113.62341153032187</v>
      </c>
      <c r="Y47" s="775">
        <v>85</v>
      </c>
      <c r="Z47" s="775">
        <f t="shared" si="55"/>
        <v>9657.9899800773601</v>
      </c>
      <c r="AA47" s="676">
        <f t="shared" si="56"/>
        <v>115895.87976092832</v>
      </c>
      <c r="AB47" s="480">
        <f t="shared" si="57"/>
        <v>115895.87976092832</v>
      </c>
      <c r="AC47" s="152">
        <f t="shared" si="58"/>
        <v>115895.87976092832</v>
      </c>
      <c r="AF47" s="776">
        <f t="shared" si="59"/>
        <v>113.62341153032187</v>
      </c>
      <c r="AG47" s="776">
        <f t="shared" si="60"/>
        <v>113.62341153032187</v>
      </c>
      <c r="AH47" s="777">
        <f t="shared" si="3"/>
        <v>0</v>
      </c>
    </row>
    <row r="48" spans="1:34">
      <c r="A48" s="152" t="s">
        <v>688</v>
      </c>
      <c r="B48" s="473">
        <v>112</v>
      </c>
      <c r="C48" s="152">
        <v>116</v>
      </c>
      <c r="D48" s="802">
        <f>ROUND(+C48*H$187,2)+0.02</f>
        <v>13.99</v>
      </c>
      <c r="E48" s="563">
        <f>'Schedule 2'!$H$14</f>
        <v>7.2976562140333101</v>
      </c>
      <c r="F48" s="563">
        <f>'Schedule 4'!$K33</f>
        <v>3.8063614286900713</v>
      </c>
      <c r="G48" s="940">
        <f t="shared" si="45"/>
        <v>25.094017642723383</v>
      </c>
      <c r="H48" s="1041">
        <f t="shared" si="46"/>
        <v>20108.941986218655</v>
      </c>
      <c r="I48" s="1040">
        <v>24.408721728038508</v>
      </c>
      <c r="J48" s="773">
        <f t="shared" si="47"/>
        <v>2.8075862485566816E-2</v>
      </c>
      <c r="K48" s="480">
        <f>'Schedule 1'!H25</f>
        <v>66.778671688873388</v>
      </c>
      <c r="L48" s="564">
        <f t="shared" si="48"/>
        <v>549</v>
      </c>
      <c r="N48" s="774">
        <v>0.34799999999999998</v>
      </c>
      <c r="O48" s="774">
        <f t="shared" si="49"/>
        <v>23.238977747727937</v>
      </c>
      <c r="P48" s="774"/>
      <c r="Q48" s="480"/>
      <c r="R48" s="564">
        <f t="shared" si="50"/>
        <v>11210.803403128066</v>
      </c>
      <c r="S48" s="564">
        <f t="shared" si="51"/>
        <v>5847.9334609823663</v>
      </c>
      <c r="T48" s="564">
        <f t="shared" si="52"/>
        <v>3050.2051221082238</v>
      </c>
      <c r="U48" s="564"/>
      <c r="V48" s="564">
        <f t="shared" si="53"/>
        <v>20108.941986218655</v>
      </c>
      <c r="X48" s="775">
        <f t="shared" si="54"/>
        <v>66.778671688873388</v>
      </c>
      <c r="Y48" s="775">
        <v>116</v>
      </c>
      <c r="Z48" s="775">
        <f t="shared" si="55"/>
        <v>7746.3259159093132</v>
      </c>
      <c r="AA48" s="676">
        <f t="shared" si="56"/>
        <v>92955.910990911754</v>
      </c>
      <c r="AB48" s="480">
        <f t="shared" si="57"/>
        <v>92955.910990911754</v>
      </c>
      <c r="AC48" s="152">
        <f t="shared" si="58"/>
        <v>92955.910990911754</v>
      </c>
      <c r="AF48" s="776">
        <f t="shared" si="59"/>
        <v>66.778671688873388</v>
      </c>
      <c r="AG48" s="776">
        <f t="shared" si="60"/>
        <v>66.778671688873388</v>
      </c>
      <c r="AH48" s="777">
        <f t="shared" si="3"/>
        <v>0</v>
      </c>
    </row>
    <row r="49" spans="1:34">
      <c r="A49" s="152" t="s">
        <v>690</v>
      </c>
      <c r="B49" s="473">
        <v>113</v>
      </c>
      <c r="C49" s="152">
        <v>222</v>
      </c>
      <c r="D49" s="802">
        <f>ROUND(+C49*H$187,2)-0.02</f>
        <v>26.72</v>
      </c>
      <c r="E49" s="563">
        <f>'Schedule 2'!$H$14</f>
        <v>7.2976562140333101</v>
      </c>
      <c r="F49" s="563">
        <f>'Schedule 4'!$K34</f>
        <v>5.2459559944014389</v>
      </c>
      <c r="G49" s="940">
        <f t="shared" si="45"/>
        <v>39.263612208434751</v>
      </c>
      <c r="H49" s="1041">
        <f t="shared" si="46"/>
        <v>7044.103528619924</v>
      </c>
      <c r="I49" s="1040">
        <v>37.950976005732421</v>
      </c>
      <c r="J49" s="773">
        <f t="shared" si="47"/>
        <v>3.4587679708265151E-2</v>
      </c>
      <c r="K49" s="480">
        <f>'Schedule 1'!H26</f>
        <v>14.950448885568669</v>
      </c>
      <c r="L49" s="564">
        <f t="shared" si="48"/>
        <v>235</v>
      </c>
      <c r="N49" s="774">
        <v>0.66500000000000004</v>
      </c>
      <c r="O49" s="774">
        <f t="shared" si="49"/>
        <v>9.9420485089031647</v>
      </c>
      <c r="P49" s="774"/>
      <c r="Q49" s="480"/>
      <c r="R49" s="564">
        <f t="shared" si="50"/>
        <v>4793.7119306687382</v>
      </c>
      <c r="S49" s="564">
        <f t="shared" si="51"/>
        <v>1309.2388345482909</v>
      </c>
      <c r="T49" s="564">
        <f t="shared" si="52"/>
        <v>941.15276340289529</v>
      </c>
      <c r="U49" s="564"/>
      <c r="V49" s="564">
        <f t="shared" si="53"/>
        <v>7044.103528619924</v>
      </c>
      <c r="X49" s="775">
        <f t="shared" si="54"/>
        <v>14.950448885568669</v>
      </c>
      <c r="Y49" s="775">
        <v>222</v>
      </c>
      <c r="Z49" s="775">
        <f t="shared" si="55"/>
        <v>3318.9996525962447</v>
      </c>
      <c r="AA49" s="676">
        <f t="shared" si="56"/>
        <v>39827.995831154934</v>
      </c>
      <c r="AB49" s="480">
        <f t="shared" si="57"/>
        <v>39827.995831154934</v>
      </c>
      <c r="AC49" s="152">
        <f t="shared" si="58"/>
        <v>39827.995831154934</v>
      </c>
      <c r="AF49" s="776">
        <f t="shared" si="59"/>
        <v>14.950448885568669</v>
      </c>
      <c r="AG49" s="776">
        <f t="shared" si="60"/>
        <v>14.950448885568669</v>
      </c>
      <c r="AH49" s="777">
        <f t="shared" si="3"/>
        <v>0</v>
      </c>
    </row>
    <row r="50" spans="1:34">
      <c r="A50" s="152" t="s">
        <v>692</v>
      </c>
      <c r="B50" s="473">
        <v>114</v>
      </c>
      <c r="C50" s="152">
        <v>47</v>
      </c>
      <c r="D50" s="802">
        <f>ROUND(+C50*H$187,2)-0.01</f>
        <v>5.65</v>
      </c>
      <c r="E50" s="563">
        <f>'Schedule 2'!$H$14</f>
        <v>7.2976562140333101</v>
      </c>
      <c r="F50" s="563">
        <f>'Schedule 4'!$K35</f>
        <v>3.5720204698194906</v>
      </c>
      <c r="G50" s="940">
        <f t="shared" si="45"/>
        <v>16.519676683852801</v>
      </c>
      <c r="H50" s="1041">
        <f t="shared" si="46"/>
        <v>987.90632747224731</v>
      </c>
      <c r="I50" s="1040">
        <v>16.499703778407564</v>
      </c>
      <c r="J50" s="773">
        <f t="shared" si="47"/>
        <v>1.2105008498015657E-3</v>
      </c>
      <c r="K50" s="480">
        <f>'Schedule 1'!H27</f>
        <v>4.9834829618562226</v>
      </c>
      <c r="L50" s="564">
        <f t="shared" si="48"/>
        <v>1</v>
      </c>
      <c r="N50" s="774">
        <v>0.14099999999999999</v>
      </c>
      <c r="O50" s="774">
        <f t="shared" si="49"/>
        <v>0.7026710976217273</v>
      </c>
      <c r="P50" s="774"/>
      <c r="Q50" s="480"/>
      <c r="R50" s="564">
        <f t="shared" si="50"/>
        <v>337.88014481385193</v>
      </c>
      <c r="S50" s="564">
        <f t="shared" si="51"/>
        <v>436.41294484943029</v>
      </c>
      <c r="T50" s="564">
        <f t="shared" si="52"/>
        <v>213.6132378089651</v>
      </c>
      <c r="U50" s="564"/>
      <c r="V50" s="564">
        <f t="shared" si="53"/>
        <v>987.90632747224731</v>
      </c>
      <c r="X50" s="775">
        <f t="shared" si="54"/>
        <v>4.9834829618562226</v>
      </c>
      <c r="Y50" s="775">
        <v>47</v>
      </c>
      <c r="Z50" s="775">
        <f t="shared" si="55"/>
        <v>234.22369920724248</v>
      </c>
      <c r="AA50" s="676">
        <f t="shared" si="56"/>
        <v>2810.6843904869097</v>
      </c>
      <c r="AB50" s="480">
        <f t="shared" si="57"/>
        <v>2810.6843904869097</v>
      </c>
      <c r="AC50" s="152">
        <f t="shared" si="58"/>
        <v>2810.6843904869097</v>
      </c>
      <c r="AF50" s="776">
        <f t="shared" si="59"/>
        <v>4.9834829618562226</v>
      </c>
      <c r="AG50" s="776">
        <f t="shared" si="60"/>
        <v>4.9834829618562226</v>
      </c>
      <c r="AH50" s="777">
        <f t="shared" si="3"/>
        <v>0</v>
      </c>
    </row>
    <row r="51" spans="1:34">
      <c r="A51" s="152" t="s">
        <v>694</v>
      </c>
      <c r="B51" s="473">
        <v>115</v>
      </c>
      <c r="C51" s="152">
        <v>60</v>
      </c>
      <c r="D51" s="802">
        <f>ROUND(+C51*H$187,2)</f>
        <v>7.23</v>
      </c>
      <c r="E51" s="563">
        <f>'Schedule 2'!$H$14</f>
        <v>7.2976562140333101</v>
      </c>
      <c r="F51" s="563">
        <f>'Schedule 4'!$K36</f>
        <v>3.0865641458343887</v>
      </c>
      <c r="G51" s="940">
        <f t="shared" si="45"/>
        <v>17.614220359867698</v>
      </c>
      <c r="H51" s="1041">
        <f t="shared" si="46"/>
        <v>210.67240091947599</v>
      </c>
      <c r="I51" s="1040">
        <v>17.280770765294552</v>
      </c>
      <c r="J51" s="773">
        <f t="shared" si="47"/>
        <v>1.9295990850293654E-2</v>
      </c>
      <c r="K51" s="480">
        <f>'Schedule 1'!H28</f>
        <v>0.99669659237124453</v>
      </c>
      <c r="L51" s="564">
        <f t="shared" si="48"/>
        <v>4</v>
      </c>
      <c r="N51" s="774">
        <v>0.18</v>
      </c>
      <c r="O51" s="774">
        <f t="shared" si="49"/>
        <v>0.17940538662682401</v>
      </c>
      <c r="P51" s="774"/>
      <c r="Q51" s="480"/>
      <c r="R51" s="564">
        <f t="shared" si="50"/>
        <v>86.473396354129179</v>
      </c>
      <c r="S51" s="564">
        <f t="shared" si="51"/>
        <v>87.282588969886049</v>
      </c>
      <c r="T51" s="564">
        <f t="shared" si="52"/>
        <v>36.916415595460755</v>
      </c>
      <c r="U51" s="564"/>
      <c r="V51" s="564">
        <f t="shared" si="53"/>
        <v>210.67240091947599</v>
      </c>
      <c r="X51" s="775">
        <f t="shared" si="54"/>
        <v>0.99669659237124453</v>
      </c>
      <c r="Y51" s="775">
        <v>60</v>
      </c>
      <c r="Z51" s="775">
        <f t="shared" si="55"/>
        <v>59.801795542274675</v>
      </c>
      <c r="AA51" s="676">
        <f t="shared" si="56"/>
        <v>717.6215465072961</v>
      </c>
      <c r="AB51" s="480">
        <f t="shared" si="57"/>
        <v>717.6215465072961</v>
      </c>
      <c r="AC51" s="152">
        <f t="shared" si="58"/>
        <v>717.6215465072961</v>
      </c>
      <c r="AF51" s="776">
        <f t="shared" si="59"/>
        <v>0.99669659237124453</v>
      </c>
      <c r="AG51" s="776">
        <f t="shared" si="60"/>
        <v>0.99669659237124453</v>
      </c>
      <c r="AH51" s="777">
        <f t="shared" si="3"/>
        <v>0</v>
      </c>
    </row>
    <row r="52" spans="1:34">
      <c r="A52" s="152" t="s">
        <v>696</v>
      </c>
      <c r="B52" s="473">
        <v>116</v>
      </c>
      <c r="C52" s="152">
        <v>166</v>
      </c>
      <c r="D52" s="802">
        <f>ROUND(+C52*H$187,2)+0.02</f>
        <v>20.02</v>
      </c>
      <c r="E52" s="563">
        <f>'Schedule 2'!$H$14</f>
        <v>7.2976562140333101</v>
      </c>
      <c r="F52" s="563">
        <f>'Schedule 4'!$K37</f>
        <v>3.9339220254257139</v>
      </c>
      <c r="G52" s="940">
        <f t="shared" si="45"/>
        <v>31.251578239459022</v>
      </c>
      <c r="H52" s="1047">
        <f t="shared" si="46"/>
        <v>747.56019689981144</v>
      </c>
      <c r="I52" s="1040">
        <v>30.071711917988466</v>
      </c>
      <c r="J52" s="773">
        <f t="shared" si="47"/>
        <v>3.9235089930639289E-2</v>
      </c>
      <c r="K52" s="480">
        <f>'Schedule 1'!H29</f>
        <v>1.9933931847424891</v>
      </c>
      <c r="L52" s="1048">
        <f t="shared" si="48"/>
        <v>28</v>
      </c>
      <c r="N52" s="774">
        <v>0.499</v>
      </c>
      <c r="O52" s="774">
        <f t="shared" si="49"/>
        <v>0.99470319918650207</v>
      </c>
      <c r="P52" s="774"/>
      <c r="Q52" s="480"/>
      <c r="R52" s="564">
        <f t="shared" si="50"/>
        <v>478.89277870253557</v>
      </c>
      <c r="S52" s="564">
        <f t="shared" si="51"/>
        <v>174.5651779397721</v>
      </c>
      <c r="T52" s="564">
        <f t="shared" si="52"/>
        <v>94.102240257503837</v>
      </c>
      <c r="U52" s="564"/>
      <c r="V52" s="564">
        <f t="shared" si="53"/>
        <v>747.56019689981144</v>
      </c>
      <c r="X52" s="775">
        <f t="shared" si="54"/>
        <v>1.9933931847424891</v>
      </c>
      <c r="Y52" s="775">
        <v>166</v>
      </c>
      <c r="Z52" s="775">
        <f t="shared" si="55"/>
        <v>330.9032686672532</v>
      </c>
      <c r="AA52" s="676">
        <f t="shared" si="56"/>
        <v>3970.8392240070384</v>
      </c>
      <c r="AB52" s="480">
        <f t="shared" si="57"/>
        <v>3970.8392240070384</v>
      </c>
      <c r="AC52" s="152">
        <f t="shared" si="58"/>
        <v>3970.8392240070384</v>
      </c>
      <c r="AF52" s="776">
        <f t="shared" si="59"/>
        <v>1.9933931847424891</v>
      </c>
      <c r="AG52" s="776">
        <f t="shared" si="60"/>
        <v>1.9933931847424891</v>
      </c>
      <c r="AH52" s="777">
        <f t="shared" si="3"/>
        <v>0</v>
      </c>
    </row>
    <row r="53" spans="1:34" ht="15.75">
      <c r="B53" s="473"/>
      <c r="D53" s="558"/>
      <c r="E53" s="563"/>
      <c r="F53" s="563"/>
      <c r="G53" s="1042"/>
      <c r="H53" s="1041">
        <f>SUM(H46:H52)</f>
        <v>205660.87620632706</v>
      </c>
      <c r="I53" s="1043"/>
      <c r="K53" s="480">
        <f>SUM(K46:K52)</f>
        <v>1097.3629482007402</v>
      </c>
      <c r="L53" s="564">
        <f>SUM(L46:L52)</f>
        <v>2408</v>
      </c>
      <c r="N53" s="774"/>
      <c r="O53" s="774"/>
      <c r="P53" s="774"/>
      <c r="X53" s="775"/>
      <c r="Y53" s="775"/>
      <c r="Z53" s="1019"/>
      <c r="AA53" s="1019"/>
      <c r="AB53" s="152">
        <f t="shared" si="57"/>
        <v>0</v>
      </c>
      <c r="AF53" s="776">
        <f t="shared" si="59"/>
        <v>0</v>
      </c>
      <c r="AG53" s="776">
        <f t="shared" si="60"/>
        <v>0</v>
      </c>
      <c r="AH53" s="777">
        <f t="shared" si="3"/>
        <v>0</v>
      </c>
    </row>
    <row r="54" spans="1:34" ht="15.75">
      <c r="B54" s="473"/>
      <c r="D54" s="558"/>
      <c r="E54" s="563"/>
      <c r="F54" s="563"/>
      <c r="G54" s="1042"/>
      <c r="H54" s="1041"/>
      <c r="I54" s="1043"/>
      <c r="K54" s="480"/>
      <c r="N54" s="774"/>
      <c r="O54" s="774"/>
      <c r="P54" s="774"/>
      <c r="AB54" s="152">
        <f t="shared" si="57"/>
        <v>0</v>
      </c>
      <c r="AF54" s="776">
        <f t="shared" si="59"/>
        <v>0</v>
      </c>
      <c r="AG54" s="776">
        <f t="shared" si="60"/>
        <v>0</v>
      </c>
      <c r="AH54" s="777">
        <f t="shared" si="3"/>
        <v>0</v>
      </c>
    </row>
    <row r="55" spans="1:34">
      <c r="A55" s="152" t="s">
        <v>690</v>
      </c>
      <c r="B55" s="473">
        <v>213</v>
      </c>
      <c r="C55" s="152">
        <v>222</v>
      </c>
      <c r="D55" s="802">
        <f>+D49</f>
        <v>26.72</v>
      </c>
      <c r="E55" s="563">
        <f>'Schedule 2'!$H$14</f>
        <v>7.2976562140333101</v>
      </c>
      <c r="F55" s="563">
        <v>0</v>
      </c>
      <c r="G55" s="940">
        <f t="shared" ref="G55:G60" si="61">SUM(D55:F55)</f>
        <v>34.017656214033309</v>
      </c>
      <c r="H55" s="1041">
        <f t="shared" ref="H55:H60" si="62">G55*K55*12</f>
        <v>0</v>
      </c>
      <c r="I55" s="1040">
        <v>30.484962968377822</v>
      </c>
      <c r="J55" s="773">
        <f t="shared" ref="J55:J60" si="63">+G55/I55-1</f>
        <v>0.11588314046239656</v>
      </c>
      <c r="K55" s="480">
        <f>'Schedule 1'!I26</f>
        <v>0</v>
      </c>
      <c r="L55" s="564">
        <f t="shared" ref="L55:L60" si="64">ROUND((G55-I55)*K55*12,0)</f>
        <v>0</v>
      </c>
      <c r="N55" s="774">
        <v>0.66500000000000004</v>
      </c>
      <c r="O55" s="774">
        <f t="shared" ref="O55:O60" si="65">K55*N55</f>
        <v>0</v>
      </c>
      <c r="P55" s="774"/>
      <c r="Q55" s="480"/>
      <c r="R55" s="564">
        <f t="shared" ref="R55:R60" si="66">$D55*$K55*12</f>
        <v>0</v>
      </c>
      <c r="S55" s="564">
        <f t="shared" ref="S55:S60" si="67">$E55*$K55*12</f>
        <v>0</v>
      </c>
      <c r="T55" s="564">
        <f t="shared" ref="T55:T60" si="68">$F55*$K55*12</f>
        <v>0</v>
      </c>
      <c r="U55" s="564"/>
      <c r="V55" s="564">
        <f t="shared" ref="V55:V60" si="69">SUM(R55:T55)</f>
        <v>0</v>
      </c>
      <c r="X55" s="775">
        <f t="shared" ref="X55:X60" si="70">+K55</f>
        <v>0</v>
      </c>
      <c r="Y55" s="775">
        <v>222</v>
      </c>
      <c r="Z55" s="775">
        <f t="shared" ref="Z55:Z60" si="71">X55*Y55</f>
        <v>0</v>
      </c>
      <c r="AA55" s="676">
        <f t="shared" ref="AA55:AA60" si="72">Z55*12</f>
        <v>0</v>
      </c>
      <c r="AB55" s="152">
        <f t="shared" si="57"/>
        <v>0</v>
      </c>
      <c r="AC55" s="152">
        <f t="shared" ref="AC55:AC60" si="73">IF(T55&gt;0,AA55,0)</f>
        <v>0</v>
      </c>
      <c r="AF55" s="776">
        <f t="shared" si="59"/>
        <v>0</v>
      </c>
      <c r="AG55" s="776">
        <f t="shared" si="60"/>
        <v>0</v>
      </c>
      <c r="AH55" s="777">
        <f t="shared" si="3"/>
        <v>0</v>
      </c>
    </row>
    <row r="56" spans="1:34">
      <c r="A56" s="152" t="s">
        <v>692</v>
      </c>
      <c r="B56" s="473">
        <v>214</v>
      </c>
      <c r="C56" s="152">
        <v>47</v>
      </c>
      <c r="D56" s="802">
        <f>+D50</f>
        <v>5.65</v>
      </c>
      <c r="E56" s="563">
        <f>'Schedule 2'!$H$14</f>
        <v>7.2976562140333101</v>
      </c>
      <c r="F56" s="563">
        <v>0</v>
      </c>
      <c r="G56" s="940">
        <f t="shared" si="61"/>
        <v>12.94765621403331</v>
      </c>
      <c r="H56" s="1041">
        <f t="shared" si="62"/>
        <v>4026.3240662490671</v>
      </c>
      <c r="I56" s="1040">
        <v>11.298573241052964</v>
      </c>
      <c r="J56" s="773">
        <f t="shared" si="63"/>
        <v>0.14595497482712805</v>
      </c>
      <c r="K56" s="480">
        <f>'Schedule 1'!I27</f>
        <v>25.914111401652356</v>
      </c>
      <c r="L56" s="564">
        <f t="shared" si="64"/>
        <v>513</v>
      </c>
      <c r="N56" s="774">
        <v>0.14099999999999999</v>
      </c>
      <c r="O56" s="774">
        <f t="shared" si="65"/>
        <v>3.6538897076329819</v>
      </c>
      <c r="P56" s="774"/>
      <c r="Q56" s="480"/>
      <c r="R56" s="564">
        <f t="shared" si="66"/>
        <v>1756.97675303203</v>
      </c>
      <c r="S56" s="564">
        <f t="shared" si="67"/>
        <v>2269.3473132170375</v>
      </c>
      <c r="T56" s="564">
        <f t="shared" si="68"/>
        <v>0</v>
      </c>
      <c r="U56" s="564"/>
      <c r="V56" s="564">
        <f t="shared" si="69"/>
        <v>4026.3240662490675</v>
      </c>
      <c r="X56" s="775">
        <f t="shared" si="70"/>
        <v>25.914111401652356</v>
      </c>
      <c r="Y56" s="775">
        <v>47</v>
      </c>
      <c r="Z56" s="775">
        <f t="shared" si="71"/>
        <v>1217.9632358776607</v>
      </c>
      <c r="AA56" s="676">
        <f t="shared" si="72"/>
        <v>14615.558830531929</v>
      </c>
      <c r="AB56" s="480">
        <f t="shared" si="57"/>
        <v>14615.558830531929</v>
      </c>
      <c r="AC56" s="152">
        <f t="shared" si="73"/>
        <v>0</v>
      </c>
      <c r="AF56" s="776">
        <f t="shared" si="59"/>
        <v>25.914111401652356</v>
      </c>
      <c r="AG56" s="776">
        <f t="shared" si="60"/>
        <v>0</v>
      </c>
      <c r="AH56" s="777">
        <f t="shared" si="3"/>
        <v>25.914111401652356</v>
      </c>
    </row>
    <row r="57" spans="1:34">
      <c r="A57" s="152" t="s">
        <v>694</v>
      </c>
      <c r="B57" s="473">
        <v>215</v>
      </c>
      <c r="C57" s="152">
        <v>60</v>
      </c>
      <c r="D57" s="802">
        <f>+D51</f>
        <v>7.23</v>
      </c>
      <c r="E57" s="563">
        <f>'Schedule 2'!$H$14</f>
        <v>7.2976562140333101</v>
      </c>
      <c r="F57" s="563">
        <v>0</v>
      </c>
      <c r="G57" s="940">
        <f t="shared" si="61"/>
        <v>14.527656214033311</v>
      </c>
      <c r="H57" s="1041">
        <f t="shared" si="62"/>
        <v>521.26795597204568</v>
      </c>
      <c r="I57" s="1040">
        <v>12.736476477939952</v>
      </c>
      <c r="J57" s="773">
        <f t="shared" si="63"/>
        <v>0.14063385106514725</v>
      </c>
      <c r="K57" s="480">
        <f>'Schedule 1'!I28</f>
        <v>2.9900897771137336</v>
      </c>
      <c r="L57" s="564">
        <f t="shared" si="64"/>
        <v>64</v>
      </c>
      <c r="N57" s="774">
        <v>0.18</v>
      </c>
      <c r="O57" s="774">
        <f t="shared" si="65"/>
        <v>0.538216159880472</v>
      </c>
      <c r="P57" s="774"/>
      <c r="Q57" s="480"/>
      <c r="R57" s="564">
        <f t="shared" si="66"/>
        <v>259.42018906238752</v>
      </c>
      <c r="S57" s="564">
        <f t="shared" si="67"/>
        <v>261.84776690965816</v>
      </c>
      <c r="T57" s="564">
        <f t="shared" si="68"/>
        <v>0</v>
      </c>
      <c r="U57" s="564"/>
      <c r="V57" s="564">
        <f t="shared" si="69"/>
        <v>521.26795597204568</v>
      </c>
      <c r="X57" s="775">
        <f t="shared" si="70"/>
        <v>2.9900897771137336</v>
      </c>
      <c r="Y57" s="775">
        <v>60</v>
      </c>
      <c r="Z57" s="775">
        <f t="shared" si="71"/>
        <v>179.40538662682403</v>
      </c>
      <c r="AA57" s="676">
        <f t="shared" si="72"/>
        <v>2152.8646395218884</v>
      </c>
      <c r="AB57" s="480">
        <f t="shared" si="57"/>
        <v>2152.8646395218884</v>
      </c>
      <c r="AC57" s="152">
        <f t="shared" si="73"/>
        <v>0</v>
      </c>
      <c r="AF57" s="776">
        <f t="shared" si="59"/>
        <v>2.9900897771137336</v>
      </c>
      <c r="AG57" s="776">
        <f t="shared" si="60"/>
        <v>0</v>
      </c>
      <c r="AH57" s="777">
        <f t="shared" si="3"/>
        <v>2.9900897771137336</v>
      </c>
    </row>
    <row r="58" spans="1:34">
      <c r="A58" s="558" t="s">
        <v>696</v>
      </c>
      <c r="B58" s="457">
        <v>216</v>
      </c>
      <c r="C58" s="558">
        <v>166</v>
      </c>
      <c r="D58" s="802">
        <f>+D52</f>
        <v>20.02</v>
      </c>
      <c r="E58" s="442">
        <f>'Schedule 2'!$H$14</f>
        <v>7.2976562140333101</v>
      </c>
      <c r="F58" s="442">
        <v>0</v>
      </c>
      <c r="G58" s="940">
        <f t="shared" si="61"/>
        <v>27.31765621403331</v>
      </c>
      <c r="H58" s="1049">
        <f t="shared" si="62"/>
        <v>0</v>
      </c>
      <c r="I58" s="1040">
        <v>24.380918255633865</v>
      </c>
      <c r="J58" s="731">
        <f t="shared" si="63"/>
        <v>0.12045231141861668</v>
      </c>
      <c r="K58" s="480">
        <f>'Schedule 1'!I29</f>
        <v>0</v>
      </c>
      <c r="L58" s="565">
        <f t="shared" si="64"/>
        <v>0</v>
      </c>
      <c r="M58" s="558"/>
      <c r="N58" s="1046">
        <v>0.499</v>
      </c>
      <c r="O58" s="1046">
        <f t="shared" si="65"/>
        <v>0</v>
      </c>
      <c r="P58" s="1050"/>
      <c r="Q58" s="480"/>
      <c r="R58" s="565">
        <f t="shared" si="66"/>
        <v>0</v>
      </c>
      <c r="S58" s="565">
        <f t="shared" si="67"/>
        <v>0</v>
      </c>
      <c r="T58" s="565">
        <f t="shared" si="68"/>
        <v>0</v>
      </c>
      <c r="U58" s="565"/>
      <c r="V58" s="565">
        <f t="shared" si="69"/>
        <v>0</v>
      </c>
      <c r="X58" s="775">
        <f t="shared" si="70"/>
        <v>0</v>
      </c>
      <c r="Y58" s="775">
        <v>166</v>
      </c>
      <c r="Z58" s="775">
        <f t="shared" si="71"/>
        <v>0</v>
      </c>
      <c r="AA58" s="676">
        <f t="shared" si="72"/>
        <v>0</v>
      </c>
      <c r="AB58" s="152">
        <f t="shared" si="57"/>
        <v>0</v>
      </c>
      <c r="AC58" s="152">
        <f t="shared" si="73"/>
        <v>0</v>
      </c>
      <c r="AF58" s="776">
        <f t="shared" si="59"/>
        <v>0</v>
      </c>
      <c r="AG58" s="776">
        <f t="shared" si="60"/>
        <v>0</v>
      </c>
      <c r="AH58" s="777">
        <f t="shared" si="3"/>
        <v>0</v>
      </c>
    </row>
    <row r="59" spans="1:34">
      <c r="A59" s="152" t="s">
        <v>931</v>
      </c>
      <c r="B59" s="473">
        <v>217</v>
      </c>
      <c r="C59" s="152">
        <v>49</v>
      </c>
      <c r="D59" s="802">
        <f>ROUND(+C59*H$187,2)-0.02</f>
        <v>5.8800000000000008</v>
      </c>
      <c r="E59" s="563">
        <f>'Schedule 2'!$H$14</f>
        <v>7.2976562140333101</v>
      </c>
      <c r="F59" s="563">
        <v>0</v>
      </c>
      <c r="G59" s="940">
        <f t="shared" si="61"/>
        <v>13.177656214033311</v>
      </c>
      <c r="H59" s="1041">
        <f t="shared" si="62"/>
        <v>157.60950052760109</v>
      </c>
      <c r="I59" s="1040">
        <v>11.509789123650961</v>
      </c>
      <c r="J59" s="773">
        <f t="shared" si="63"/>
        <v>0.14490857064923302</v>
      </c>
      <c r="K59" s="480">
        <f>'Schedule 1'!I30</f>
        <v>0.99669659237124453</v>
      </c>
      <c r="L59" s="564">
        <f t="shared" si="64"/>
        <v>20</v>
      </c>
      <c r="N59" s="774">
        <v>0.14599999999999999</v>
      </c>
      <c r="O59" s="774">
        <f t="shared" si="65"/>
        <v>0.14551770248620169</v>
      </c>
      <c r="P59" s="774"/>
      <c r="Q59" s="480"/>
      <c r="R59" s="564">
        <f t="shared" si="66"/>
        <v>70.326911557715022</v>
      </c>
      <c r="S59" s="564">
        <f t="shared" si="67"/>
        <v>87.282588969886049</v>
      </c>
      <c r="T59" s="564">
        <f t="shared" si="68"/>
        <v>0</v>
      </c>
      <c r="U59" s="564"/>
      <c r="V59" s="564">
        <f t="shared" si="69"/>
        <v>157.60950052760109</v>
      </c>
      <c r="X59" s="775">
        <f t="shared" si="70"/>
        <v>0.99669659237124453</v>
      </c>
      <c r="Y59" s="775">
        <v>49</v>
      </c>
      <c r="Z59" s="775">
        <f t="shared" si="71"/>
        <v>48.838133026190981</v>
      </c>
      <c r="AA59" s="676">
        <f t="shared" si="72"/>
        <v>586.0575963142918</v>
      </c>
      <c r="AB59" s="480">
        <f t="shared" si="57"/>
        <v>586.0575963142918</v>
      </c>
      <c r="AC59" s="152">
        <f t="shared" si="73"/>
        <v>0</v>
      </c>
      <c r="AF59" s="776">
        <f t="shared" si="59"/>
        <v>0.99669659237124453</v>
      </c>
      <c r="AG59" s="776">
        <f t="shared" si="60"/>
        <v>0</v>
      </c>
      <c r="AH59" s="777">
        <f t="shared" si="3"/>
        <v>0.99669659237124453</v>
      </c>
    </row>
    <row r="60" spans="1:34">
      <c r="A60" s="152" t="s">
        <v>686</v>
      </c>
      <c r="B60" s="473">
        <v>218</v>
      </c>
      <c r="C60" s="152">
        <v>85</v>
      </c>
      <c r="D60" s="802">
        <f>+D47</f>
        <v>10.24</v>
      </c>
      <c r="E60" s="563">
        <f>'Schedule 2'!$H$14</f>
        <v>7.2976562140333101</v>
      </c>
      <c r="F60" s="563">
        <v>0</v>
      </c>
      <c r="G60" s="940">
        <f t="shared" si="61"/>
        <v>17.537656214033312</v>
      </c>
      <c r="H60" s="1041">
        <f t="shared" si="62"/>
        <v>0</v>
      </c>
      <c r="I60" s="1040">
        <v>15.471675010414932</v>
      </c>
      <c r="J60" s="773">
        <f t="shared" si="63"/>
        <v>0.13353313084896379</v>
      </c>
      <c r="K60" s="480">
        <f>'Schedule 1'!I31</f>
        <v>0</v>
      </c>
      <c r="L60" s="564">
        <f t="shared" si="64"/>
        <v>0</v>
      </c>
      <c r="N60" s="774">
        <v>0.254</v>
      </c>
      <c r="O60" s="774">
        <f t="shared" si="65"/>
        <v>0</v>
      </c>
      <c r="P60" s="774"/>
      <c r="Q60" s="480"/>
      <c r="R60" s="564">
        <f t="shared" si="66"/>
        <v>0</v>
      </c>
      <c r="S60" s="564">
        <f t="shared" si="67"/>
        <v>0</v>
      </c>
      <c r="T60" s="564">
        <f t="shared" si="68"/>
        <v>0</v>
      </c>
      <c r="U60" s="564"/>
      <c r="V60" s="564">
        <f t="shared" si="69"/>
        <v>0</v>
      </c>
      <c r="X60" s="775">
        <f t="shared" si="70"/>
        <v>0</v>
      </c>
      <c r="Y60" s="440">
        <v>85</v>
      </c>
      <c r="Z60" s="775">
        <f t="shared" si="71"/>
        <v>0</v>
      </c>
      <c r="AA60" s="676">
        <f t="shared" si="72"/>
        <v>0</v>
      </c>
      <c r="AB60" s="152">
        <f t="shared" si="57"/>
        <v>0</v>
      </c>
      <c r="AC60" s="152">
        <f t="shared" si="73"/>
        <v>0</v>
      </c>
      <c r="AF60" s="776">
        <f t="shared" si="59"/>
        <v>0</v>
      </c>
      <c r="AG60" s="776">
        <f t="shared" si="60"/>
        <v>0</v>
      </c>
      <c r="AH60" s="777">
        <f t="shared" si="3"/>
        <v>0</v>
      </c>
    </row>
    <row r="61" spans="1:34" ht="15.75">
      <c r="B61" s="473"/>
      <c r="D61" s="802"/>
      <c r="E61" s="563"/>
      <c r="F61" s="563"/>
      <c r="G61" s="1042"/>
      <c r="H61" s="1041"/>
      <c r="I61" s="1051"/>
      <c r="J61" s="773"/>
      <c r="K61" s="480"/>
      <c r="N61" s="774"/>
      <c r="O61" s="774"/>
      <c r="P61" s="774"/>
      <c r="R61" s="564"/>
      <c r="S61" s="564"/>
      <c r="T61" s="564"/>
      <c r="U61" s="564"/>
      <c r="V61" s="564"/>
      <c r="X61" s="440"/>
      <c r="Y61" s="440"/>
      <c r="Z61" s="440"/>
      <c r="AA61" s="460"/>
      <c r="AB61" s="152">
        <f t="shared" si="57"/>
        <v>0</v>
      </c>
      <c r="AF61" s="776">
        <f t="shared" si="59"/>
        <v>0</v>
      </c>
      <c r="AG61" s="776">
        <f t="shared" si="60"/>
        <v>0</v>
      </c>
      <c r="AH61" s="777">
        <f t="shared" si="3"/>
        <v>0</v>
      </c>
    </row>
    <row r="62" spans="1:34">
      <c r="A62" s="152" t="s">
        <v>932</v>
      </c>
      <c r="B62" s="473">
        <v>330</v>
      </c>
      <c r="C62" s="152">
        <v>47</v>
      </c>
      <c r="D62" s="802">
        <f>ROUND(+C62*H$187,2)-0.01</f>
        <v>5.65</v>
      </c>
      <c r="E62" s="563">
        <v>0</v>
      </c>
      <c r="F62" s="563">
        <v>0</v>
      </c>
      <c r="G62" s="940">
        <f>SUM(D62:F62)</f>
        <v>5.65</v>
      </c>
      <c r="H62" s="1047">
        <f>G62*K62*12</f>
        <v>135.15205792554076</v>
      </c>
      <c r="I62" s="1040">
        <v>5.1485732410529623</v>
      </c>
      <c r="J62" s="773">
        <f>+G62/I62-1</f>
        <v>9.7391400582365728E-2</v>
      </c>
      <c r="K62" s="554">
        <f>'Schedule 1'!J32</f>
        <v>1.9933931847424891</v>
      </c>
      <c r="L62" s="1048">
        <f>ROUND((G62-I62)*K62*12,0)</f>
        <v>12</v>
      </c>
      <c r="N62" s="774">
        <v>0.14000000000000001</v>
      </c>
      <c r="O62" s="774">
        <f>K62*N62</f>
        <v>0.27907504586394849</v>
      </c>
      <c r="P62" s="774"/>
      <c r="R62" s="564">
        <f>$D62*$K62*12</f>
        <v>135.15205792554076</v>
      </c>
      <c r="S62" s="564">
        <f>$E62*$K62*12</f>
        <v>0</v>
      </c>
      <c r="T62" s="564">
        <f>$F62*$K62*12</f>
        <v>0</v>
      </c>
      <c r="U62" s="564"/>
      <c r="V62" s="564">
        <f>SUM(R62:T62)</f>
        <v>135.15205792554076</v>
      </c>
      <c r="X62" s="775">
        <f>+K62</f>
        <v>1.9933931847424891</v>
      </c>
      <c r="Y62" s="775">
        <v>47</v>
      </c>
      <c r="Z62" s="775">
        <f>X62*Y62</f>
        <v>93.689479682896987</v>
      </c>
      <c r="AA62" s="676">
        <f>Z62*12</f>
        <v>1124.2737561947638</v>
      </c>
      <c r="AB62" s="152">
        <f t="shared" si="57"/>
        <v>0</v>
      </c>
      <c r="AC62" s="152">
        <f>IF(T62&gt;0,AA62,0)</f>
        <v>0</v>
      </c>
      <c r="AF62" s="776">
        <f t="shared" si="59"/>
        <v>0</v>
      </c>
      <c r="AG62" s="776">
        <f t="shared" si="60"/>
        <v>0</v>
      </c>
      <c r="AH62" s="777">
        <f t="shared" si="3"/>
        <v>0</v>
      </c>
    </row>
    <row r="63" spans="1:34" ht="15.75">
      <c r="B63" s="473"/>
      <c r="D63" s="802"/>
      <c r="E63" s="563"/>
      <c r="F63" s="563"/>
      <c r="G63" s="1042"/>
      <c r="H63" s="1041">
        <f>SUM(H55:H62)</f>
        <v>4840.3535806742548</v>
      </c>
      <c r="I63" s="1051"/>
      <c r="J63" s="773"/>
      <c r="K63" s="480">
        <f>SUM(K55:K62)</f>
        <v>31.894290955879825</v>
      </c>
      <c r="L63" s="564">
        <f>SUM(L55:L62)</f>
        <v>609</v>
      </c>
      <c r="N63" s="774"/>
      <c r="O63" s="774"/>
      <c r="P63" s="774"/>
      <c r="X63" s="1052"/>
      <c r="Y63" s="1052"/>
      <c r="Z63" s="1052"/>
      <c r="AA63" s="885"/>
      <c r="AB63" s="152">
        <f t="shared" si="57"/>
        <v>0</v>
      </c>
      <c r="AF63" s="776">
        <f t="shared" si="59"/>
        <v>0</v>
      </c>
      <c r="AG63" s="776">
        <f t="shared" si="60"/>
        <v>0</v>
      </c>
      <c r="AH63" s="777">
        <f t="shared" si="3"/>
        <v>0</v>
      </c>
    </row>
    <row r="64" spans="1:34" ht="15.75">
      <c r="B64" s="473"/>
      <c r="D64" s="558"/>
      <c r="E64" s="563"/>
      <c r="F64" s="563"/>
      <c r="G64" s="1042"/>
      <c r="H64" s="1041"/>
      <c r="I64" s="1043"/>
      <c r="K64" s="480"/>
      <c r="N64" s="774"/>
      <c r="O64" s="774"/>
      <c r="P64" s="774"/>
      <c r="X64" s="775">
        <f>SUM(X46:X63)</f>
        <v>1129.2572391566202</v>
      </c>
      <c r="Y64" s="775"/>
      <c r="Z64" s="775">
        <f>SUM(Z46:Z63)</f>
        <v>49709.245847923448</v>
      </c>
      <c r="AA64" s="609">
        <f>SUM(AA46:AA63)</f>
        <v>596510.9501750815</v>
      </c>
      <c r="AB64" s="152">
        <f t="shared" si="57"/>
        <v>0</v>
      </c>
      <c r="AF64" s="776">
        <f t="shared" si="59"/>
        <v>0</v>
      </c>
      <c r="AG64" s="776">
        <f t="shared" si="60"/>
        <v>0</v>
      </c>
      <c r="AH64" s="777">
        <f t="shared" si="3"/>
        <v>0</v>
      </c>
    </row>
    <row r="65" spans="1:34" ht="15.75">
      <c r="A65" s="548" t="s">
        <v>933</v>
      </c>
      <c r="B65" s="497"/>
      <c r="D65" s="558"/>
      <c r="E65" s="563"/>
      <c r="F65" s="563"/>
      <c r="G65" s="1042"/>
      <c r="H65" s="1041"/>
      <c r="I65" s="1043"/>
      <c r="N65" s="774"/>
      <c r="O65" s="774"/>
      <c r="P65" s="774"/>
      <c r="X65" s="775"/>
      <c r="Y65" s="775"/>
      <c r="Z65" s="1019"/>
      <c r="AA65" s="1019"/>
      <c r="AB65" s="152">
        <f t="shared" si="57"/>
        <v>0</v>
      </c>
      <c r="AF65" s="776">
        <f t="shared" si="59"/>
        <v>0</v>
      </c>
      <c r="AG65" s="776">
        <f t="shared" si="60"/>
        <v>0</v>
      </c>
      <c r="AH65" s="777">
        <f t="shared" si="3"/>
        <v>0</v>
      </c>
    </row>
    <row r="66" spans="1:34" ht="15.75">
      <c r="A66" s="548" t="s">
        <v>934</v>
      </c>
      <c r="B66" s="497"/>
      <c r="D66" s="558"/>
      <c r="E66" s="563"/>
      <c r="F66" s="563"/>
      <c r="G66" s="1042"/>
      <c r="H66" s="1041"/>
      <c r="I66" s="1043"/>
      <c r="N66" s="774"/>
      <c r="O66" s="774"/>
      <c r="P66" s="774"/>
      <c r="X66" s="775"/>
      <c r="Y66" s="775"/>
      <c r="Z66" s="1019"/>
      <c r="AA66" s="1019"/>
      <c r="AB66" s="152">
        <f t="shared" si="57"/>
        <v>0</v>
      </c>
      <c r="AF66" s="776">
        <f t="shared" si="59"/>
        <v>0</v>
      </c>
      <c r="AG66" s="776">
        <f t="shared" si="60"/>
        <v>0</v>
      </c>
      <c r="AH66" s="777">
        <f t="shared" si="3"/>
        <v>0</v>
      </c>
    </row>
    <row r="67" spans="1:34" ht="15.75">
      <c r="B67" s="473"/>
      <c r="D67" s="558"/>
      <c r="E67" s="563"/>
      <c r="F67" s="563"/>
      <c r="G67" s="1042"/>
      <c r="H67" s="1041"/>
      <c r="I67" s="1043"/>
      <c r="N67" s="774"/>
      <c r="O67" s="774"/>
      <c r="P67" s="774"/>
      <c r="X67" s="775"/>
      <c r="Y67" s="775"/>
      <c r="Z67" s="1019"/>
      <c r="AA67" s="1019"/>
      <c r="AB67" s="152">
        <f t="shared" si="57"/>
        <v>0</v>
      </c>
      <c r="AF67" s="776">
        <f t="shared" si="59"/>
        <v>0</v>
      </c>
      <c r="AG67" s="776">
        <f t="shared" si="60"/>
        <v>0</v>
      </c>
      <c r="AH67" s="777">
        <f t="shared" si="3"/>
        <v>0</v>
      </c>
    </row>
    <row r="68" spans="1:34">
      <c r="A68" s="152" t="s">
        <v>935</v>
      </c>
      <c r="B68" s="473">
        <v>117</v>
      </c>
      <c r="C68" s="152">
        <v>486</v>
      </c>
      <c r="D68" s="802">
        <f>ROUND(C68*H$196,2)-0.01</f>
        <v>45.45</v>
      </c>
      <c r="E68" s="563">
        <v>0</v>
      </c>
      <c r="F68" s="563">
        <v>0</v>
      </c>
      <c r="G68" s="940">
        <f>SUM(D68:F68)</f>
        <v>45.45</v>
      </c>
      <c r="H68" s="1041">
        <f>G68*K68*12</f>
        <v>543.59832147927682</v>
      </c>
      <c r="I68" s="1040">
        <v>41.385459471313609</v>
      </c>
      <c r="J68" s="773">
        <f>+G68/I68-1</f>
        <v>9.821180145417352E-2</v>
      </c>
      <c r="K68" s="480">
        <f>'Schedule 1'!J36</f>
        <v>0.99669659237124453</v>
      </c>
      <c r="L68" s="564">
        <f>ROUND((G68-I68)*K68*12,0)</f>
        <v>49</v>
      </c>
      <c r="N68" s="774">
        <v>0.66500000000000004</v>
      </c>
      <c r="O68" s="774">
        <f>K68*N68</f>
        <v>0.66280323392687768</v>
      </c>
      <c r="P68" s="774">
        <f>+O68</f>
        <v>0.66280323392687768</v>
      </c>
      <c r="R68" s="564">
        <f>$D68*$K68*12</f>
        <v>543.59832147927682</v>
      </c>
      <c r="S68" s="564">
        <f>$E68*$K68*12</f>
        <v>0</v>
      </c>
      <c r="T68" s="564">
        <f>$F68*$K68*12</f>
        <v>0</v>
      </c>
      <c r="U68" s="564"/>
      <c r="V68" s="564">
        <f>SUM(R68:T68)</f>
        <v>543.59832147927682</v>
      </c>
      <c r="X68" s="775">
        <f>+K68</f>
        <v>0.99669659237124453</v>
      </c>
      <c r="Y68" s="775">
        <v>364</v>
      </c>
      <c r="Z68" s="775">
        <f>X68*Y68</f>
        <v>362.797559623133</v>
      </c>
      <c r="AA68" s="676">
        <f>Z68*12</f>
        <v>4353.5707154775955</v>
      </c>
      <c r="AB68" s="152">
        <f t="shared" si="57"/>
        <v>0</v>
      </c>
      <c r="AC68" s="152">
        <f>IF(T68&gt;0,AA68,0)</f>
        <v>0</v>
      </c>
      <c r="AF68" s="776">
        <f t="shared" si="59"/>
        <v>0</v>
      </c>
      <c r="AG68" s="776">
        <f t="shared" si="60"/>
        <v>0</v>
      </c>
      <c r="AH68" s="777">
        <f t="shared" si="3"/>
        <v>0</v>
      </c>
    </row>
    <row r="69" spans="1:34">
      <c r="A69" s="152" t="s">
        <v>936</v>
      </c>
      <c r="B69" s="473">
        <v>118</v>
      </c>
      <c r="C69" s="152">
        <v>66</v>
      </c>
      <c r="D69" s="802">
        <f>ROUND(C69*H$196,2)-0.01</f>
        <v>6.16</v>
      </c>
      <c r="E69" s="563">
        <v>0</v>
      </c>
      <c r="F69" s="563">
        <v>0</v>
      </c>
      <c r="G69" s="940">
        <f>SUM(D69:F69)</f>
        <v>6.16</v>
      </c>
      <c r="H69" s="1041">
        <f>G69*K69*12</f>
        <v>1252.4888058374008</v>
      </c>
      <c r="I69" s="1040">
        <v>5.6101241257339467</v>
      </c>
      <c r="J69" s="773">
        <f>+G69/I69-1</f>
        <v>9.8014921228523733E-2</v>
      </c>
      <c r="K69" s="480">
        <f>'Schedule 1'!J37</f>
        <v>16.943842070311156</v>
      </c>
      <c r="L69" s="564">
        <f>ROUND((G69-I69)*K69*12,0)</f>
        <v>112</v>
      </c>
      <c r="N69" s="774">
        <v>9.0999999999999998E-2</v>
      </c>
      <c r="O69" s="774">
        <f>K69*N69</f>
        <v>1.5418896283983152</v>
      </c>
      <c r="P69" s="774">
        <f>+O69</f>
        <v>1.5418896283983152</v>
      </c>
      <c r="R69" s="564">
        <f>$D69*$K69*12</f>
        <v>1252.4888058374008</v>
      </c>
      <c r="S69" s="564">
        <f>$E69*$K69*12</f>
        <v>0</v>
      </c>
      <c r="T69" s="564">
        <f>$F69*$K69*12</f>
        <v>0</v>
      </c>
      <c r="U69" s="564"/>
      <c r="V69" s="564">
        <f>SUM(R69:T69)</f>
        <v>1252.4888058374008</v>
      </c>
      <c r="X69" s="775">
        <f>+K69</f>
        <v>16.943842070311156</v>
      </c>
      <c r="Y69" s="775">
        <v>486</v>
      </c>
      <c r="Z69" s="775">
        <f>X69*Y69</f>
        <v>8234.7072461712214</v>
      </c>
      <c r="AA69" s="676">
        <f>Z69*12</f>
        <v>98816.48695405465</v>
      </c>
      <c r="AB69" s="152">
        <f t="shared" si="57"/>
        <v>0</v>
      </c>
      <c r="AC69" s="152">
        <f>IF(T69&gt;0,AA69,0)</f>
        <v>0</v>
      </c>
      <c r="AF69" s="776">
        <f t="shared" si="59"/>
        <v>0</v>
      </c>
      <c r="AG69" s="776">
        <f t="shared" si="60"/>
        <v>0</v>
      </c>
      <c r="AH69" s="777">
        <f t="shared" si="3"/>
        <v>0</v>
      </c>
    </row>
    <row r="70" spans="1:34">
      <c r="A70" s="152" t="s">
        <v>937</v>
      </c>
      <c r="B70" s="473">
        <v>119</v>
      </c>
      <c r="C70" s="152">
        <v>364</v>
      </c>
      <c r="D70" s="802">
        <f>ROUND(C70*H$196,2)+0.01</f>
        <v>34.059999999999995</v>
      </c>
      <c r="E70" s="563">
        <v>0</v>
      </c>
      <c r="F70" s="563">
        <v>0</v>
      </c>
      <c r="G70" s="940">
        <f>SUM(D70:F70)</f>
        <v>34.059999999999995</v>
      </c>
      <c r="H70" s="1041">
        <f>G70*K70*12</f>
        <v>9369.506118381425</v>
      </c>
      <c r="I70" s="1040">
        <v>31.01129063283571</v>
      </c>
      <c r="J70" s="773">
        <f>+G70/I70-1</f>
        <v>9.8309657706932674E-2</v>
      </c>
      <c r="K70" s="480">
        <f>'Schedule 1'!J38</f>
        <v>22.924021624538625</v>
      </c>
      <c r="L70" s="564">
        <f>ROUND((G70-I70)*K70*12,0)</f>
        <v>839</v>
      </c>
      <c r="N70" s="774">
        <v>0.499</v>
      </c>
      <c r="O70" s="774">
        <f>K70*N70</f>
        <v>11.439086790644774</v>
      </c>
      <c r="P70" s="774">
        <f>+O70</f>
        <v>11.439086790644774</v>
      </c>
      <c r="R70" s="564">
        <f>$D70*$K70*12</f>
        <v>9369.506118381425</v>
      </c>
      <c r="S70" s="564">
        <f>$E70*$K70*12</f>
        <v>0</v>
      </c>
      <c r="T70" s="564">
        <f>$F70*$K70*12</f>
        <v>0</v>
      </c>
      <c r="U70" s="564"/>
      <c r="V70" s="564">
        <f>SUM(R70:T70)</f>
        <v>9369.506118381425</v>
      </c>
      <c r="X70" s="775">
        <f>+K70</f>
        <v>22.924021624538625</v>
      </c>
      <c r="Y70" s="775">
        <v>66</v>
      </c>
      <c r="Z70" s="775">
        <f>X70*Y70</f>
        <v>1512.9854272195494</v>
      </c>
      <c r="AA70" s="676">
        <f>Z70*12</f>
        <v>18155.825126634591</v>
      </c>
      <c r="AB70" s="152">
        <f t="shared" si="57"/>
        <v>0</v>
      </c>
      <c r="AC70" s="152">
        <f>IF(T70&gt;0,AA70,0)</f>
        <v>0</v>
      </c>
      <c r="AF70" s="776">
        <f t="shared" si="59"/>
        <v>0</v>
      </c>
      <c r="AG70" s="776">
        <f t="shared" si="60"/>
        <v>0</v>
      </c>
      <c r="AH70" s="777">
        <f t="shared" si="3"/>
        <v>0</v>
      </c>
    </row>
    <row r="71" spans="1:34">
      <c r="A71" s="152" t="s">
        <v>938</v>
      </c>
      <c r="B71" s="473">
        <v>120</v>
      </c>
      <c r="C71" s="152">
        <v>254</v>
      </c>
      <c r="D71" s="802">
        <f>ROUND(C71*H$196,2)+0.01</f>
        <v>23.770000000000003</v>
      </c>
      <c r="E71" s="563">
        <v>0</v>
      </c>
      <c r="F71" s="563">
        <v>0</v>
      </c>
      <c r="G71" s="940">
        <f>SUM(D71:F71)</f>
        <v>23.770000000000003</v>
      </c>
      <c r="H71" s="1041">
        <f>G71*K71*12</f>
        <v>8528.9320802392158</v>
      </c>
      <c r="I71" s="1040">
        <v>21.644417089945797</v>
      </c>
      <c r="J71" s="773">
        <f>+G71/I71-1</f>
        <v>9.8204673344683302E-2</v>
      </c>
      <c r="K71" s="480">
        <f>'Schedule 1'!J39</f>
        <v>29.900897771137338</v>
      </c>
      <c r="L71" s="564">
        <f>ROUND((G71-I71)*K71*12,0)</f>
        <v>763</v>
      </c>
      <c r="N71" s="774">
        <v>0.34799999999999998</v>
      </c>
      <c r="O71" s="774">
        <f>K71*N71</f>
        <v>10.405512424355793</v>
      </c>
      <c r="P71" s="774">
        <f>+O71</f>
        <v>10.405512424355793</v>
      </c>
      <c r="R71" s="564">
        <f>$D71*$K71*12</f>
        <v>8528.9320802392158</v>
      </c>
      <c r="S71" s="564">
        <f>$E71*$K71*12</f>
        <v>0</v>
      </c>
      <c r="T71" s="564">
        <f>$F71*$K71*12</f>
        <v>0</v>
      </c>
      <c r="U71" s="564"/>
      <c r="V71" s="564">
        <f>SUM(R71:T71)</f>
        <v>8528.9320802392158</v>
      </c>
      <c r="X71" s="775">
        <f>+K71</f>
        <v>29.900897771137338</v>
      </c>
      <c r="Y71" s="775">
        <v>254</v>
      </c>
      <c r="Z71" s="775">
        <f>X71*Y71</f>
        <v>7594.8280338688837</v>
      </c>
      <c r="AA71" s="676">
        <f>Z71*12</f>
        <v>91137.936406426597</v>
      </c>
      <c r="AB71" s="152">
        <f t="shared" si="57"/>
        <v>0</v>
      </c>
      <c r="AC71" s="152">
        <f>IF(T71&gt;0,AA71,0)</f>
        <v>0</v>
      </c>
      <c r="AF71" s="776">
        <f t="shared" si="59"/>
        <v>0</v>
      </c>
      <c r="AG71" s="776">
        <f t="shared" si="60"/>
        <v>0</v>
      </c>
      <c r="AH71" s="777">
        <f t="shared" si="3"/>
        <v>0</v>
      </c>
    </row>
    <row r="72" spans="1:34">
      <c r="A72" s="152" t="s">
        <v>939</v>
      </c>
      <c r="B72" s="473">
        <v>150</v>
      </c>
      <c r="C72" s="152">
        <v>613</v>
      </c>
      <c r="D72" s="802">
        <f>ROUND(C72*H$196,2)</f>
        <v>57.34</v>
      </c>
      <c r="E72" s="563">
        <v>0</v>
      </c>
      <c r="F72" s="563">
        <v>0</v>
      </c>
      <c r="G72" s="940">
        <f>SUM(D72:F72)</f>
        <v>57.34</v>
      </c>
      <c r="H72" s="1047">
        <f>G72*K72*12</f>
        <v>14401.946816854925</v>
      </c>
      <c r="I72" s="1040">
        <v>52.212668016286514</v>
      </c>
      <c r="J72" s="773">
        <f>+G72/I72-1</f>
        <v>9.8200919020536181E-2</v>
      </c>
      <c r="K72" s="480">
        <f>'Schedule 1'!J40</f>
        <v>20.930628439796134</v>
      </c>
      <c r="L72" s="1048">
        <f>ROUND((G72-I72)*K72*12,0)</f>
        <v>1288</v>
      </c>
      <c r="N72" s="774">
        <v>0.84</v>
      </c>
      <c r="O72" s="774">
        <f>K72*N72</f>
        <v>17.581727889428752</v>
      </c>
      <c r="P72" s="774">
        <f>+O72</f>
        <v>17.581727889428752</v>
      </c>
      <c r="R72" s="564">
        <f>$D72*$K72*12</f>
        <v>14401.946816854925</v>
      </c>
      <c r="S72" s="564">
        <f>$E72*$K72*12</f>
        <v>0</v>
      </c>
      <c r="T72" s="564">
        <f>$F72*$K72*12</f>
        <v>0</v>
      </c>
      <c r="U72" s="564"/>
      <c r="V72" s="564">
        <f>SUM(R72:T72)</f>
        <v>14401.946816854925</v>
      </c>
      <c r="X72" s="775">
        <f>+K72</f>
        <v>20.930628439796134</v>
      </c>
      <c r="Y72" s="775">
        <v>613</v>
      </c>
      <c r="Z72" s="775">
        <f>X72*Y72</f>
        <v>12830.475233595031</v>
      </c>
      <c r="AA72" s="676">
        <f>Z72*12</f>
        <v>153965.70280314036</v>
      </c>
      <c r="AB72" s="152">
        <f t="shared" si="57"/>
        <v>0</v>
      </c>
      <c r="AC72" s="152">
        <f>IF(T72&gt;0,AA72,0)</f>
        <v>0</v>
      </c>
      <c r="AF72" s="776">
        <f t="shared" si="59"/>
        <v>0</v>
      </c>
      <c r="AG72" s="776">
        <f t="shared" si="60"/>
        <v>0</v>
      </c>
      <c r="AH72" s="777">
        <f t="shared" si="3"/>
        <v>0</v>
      </c>
    </row>
    <row r="73" spans="1:34" ht="15.75">
      <c r="B73" s="473"/>
      <c r="D73" s="802"/>
      <c r="E73" s="563"/>
      <c r="F73" s="563"/>
      <c r="G73" s="1042"/>
      <c r="H73" s="1041">
        <f>SUM(H68:H72)</f>
        <v>34096.472142792249</v>
      </c>
      <c r="I73" s="1043"/>
      <c r="K73" s="480">
        <f>SUM(K68:K72)</f>
        <v>91.6960864981545</v>
      </c>
      <c r="L73" s="564">
        <f>SUM(L68:L72)</f>
        <v>3051</v>
      </c>
      <c r="N73" s="774"/>
      <c r="O73" s="774"/>
      <c r="P73" s="774"/>
      <c r="X73" s="775"/>
      <c r="Y73" s="775"/>
      <c r="Z73" s="1019"/>
      <c r="AA73" s="1019"/>
      <c r="AB73" s="152">
        <f t="shared" si="57"/>
        <v>0</v>
      </c>
      <c r="AF73" s="776">
        <f t="shared" si="59"/>
        <v>0</v>
      </c>
      <c r="AG73" s="776">
        <f t="shared" si="60"/>
        <v>0</v>
      </c>
      <c r="AH73" s="777">
        <f t="shared" si="3"/>
        <v>0</v>
      </c>
    </row>
    <row r="74" spans="1:34" ht="15.75">
      <c r="A74" s="548" t="s">
        <v>940</v>
      </c>
      <c r="B74" s="497"/>
      <c r="D74" s="802"/>
      <c r="E74" s="563"/>
      <c r="F74" s="563"/>
      <c r="G74" s="1042"/>
      <c r="H74" s="1041"/>
      <c r="I74" s="1043"/>
      <c r="N74" s="774"/>
      <c r="O74" s="774"/>
      <c r="P74" s="774"/>
      <c r="AB74" s="152">
        <f t="shared" si="57"/>
        <v>0</v>
      </c>
      <c r="AF74" s="776">
        <f t="shared" si="59"/>
        <v>0</v>
      </c>
      <c r="AG74" s="776">
        <f t="shared" si="60"/>
        <v>0</v>
      </c>
      <c r="AH74" s="777">
        <f t="shared" si="3"/>
        <v>0</v>
      </c>
    </row>
    <row r="75" spans="1:34" ht="15.75">
      <c r="A75" s="548" t="s">
        <v>934</v>
      </c>
      <c r="B75" s="497"/>
      <c r="D75" s="802"/>
      <c r="E75" s="563"/>
      <c r="F75" s="563"/>
      <c r="G75" s="1042"/>
      <c r="H75" s="1041"/>
      <c r="I75" s="1043"/>
      <c r="N75" s="774"/>
      <c r="O75" s="774"/>
      <c r="P75" s="774"/>
      <c r="AB75" s="152">
        <f t="shared" si="57"/>
        <v>0</v>
      </c>
      <c r="AF75" s="776">
        <f t="shared" si="59"/>
        <v>0</v>
      </c>
      <c r="AG75" s="776">
        <f t="shared" si="60"/>
        <v>0</v>
      </c>
      <c r="AH75" s="777">
        <f t="shared" si="3"/>
        <v>0</v>
      </c>
    </row>
    <row r="76" spans="1:34" ht="15.75">
      <c r="B76" s="473"/>
      <c r="D76" s="802"/>
      <c r="E76" s="563"/>
      <c r="F76" s="563"/>
      <c r="G76" s="1042"/>
      <c r="H76" s="1041"/>
      <c r="I76" s="1043"/>
      <c r="N76" s="774"/>
      <c r="O76" s="774"/>
      <c r="P76" s="774"/>
      <c r="AB76" s="152">
        <f t="shared" si="57"/>
        <v>0</v>
      </c>
      <c r="AF76" s="776">
        <f t="shared" si="59"/>
        <v>0</v>
      </c>
      <c r="AG76" s="776">
        <f t="shared" si="60"/>
        <v>0</v>
      </c>
      <c r="AH76" s="777">
        <f t="shared" si="3"/>
        <v>0</v>
      </c>
    </row>
    <row r="77" spans="1:34">
      <c r="A77" s="152" t="s">
        <v>936</v>
      </c>
      <c r="B77" s="473">
        <v>310</v>
      </c>
      <c r="C77" s="152">
        <v>30</v>
      </c>
      <c r="D77" s="802">
        <f>+D46</f>
        <v>3.6199999999999997</v>
      </c>
      <c r="E77" s="563">
        <v>0</v>
      </c>
      <c r="F77" s="563">
        <v>0</v>
      </c>
      <c r="G77" s="940">
        <f t="shared" ref="G77:G83" si="74">SUM(D77:F77)</f>
        <v>3.6199999999999997</v>
      </c>
      <c r="H77" s="1041">
        <f t="shared" ref="H77:H83" si="75">G77*K77*12</f>
        <v>86.59299994521372</v>
      </c>
      <c r="I77" s="1040">
        <v>3.2982382389699758</v>
      </c>
      <c r="J77" s="773">
        <f t="shared" ref="J77:J83" si="76">+G77/I77-1</f>
        <v>9.7555645686319137E-2</v>
      </c>
      <c r="K77" s="480">
        <f>'Schedule 1'!J43</f>
        <v>1.9933931847424891</v>
      </c>
      <c r="L77" s="564">
        <f t="shared" ref="L77:L83" si="77">ROUND((G77-I77)*K77*12,0)</f>
        <v>8</v>
      </c>
      <c r="N77" s="774">
        <v>9.0999999999999998E-2</v>
      </c>
      <c r="O77" s="774">
        <f t="shared" ref="O77:O83" si="78">K77*N77</f>
        <v>0.18139877981156649</v>
      </c>
      <c r="P77" s="774"/>
      <c r="R77" s="564">
        <f t="shared" ref="R77:R83" si="79">$D77*$K77*12</f>
        <v>86.59299994521372</v>
      </c>
      <c r="S77" s="564">
        <f t="shared" ref="S77:S83" si="80">$E77*$K77*12</f>
        <v>0</v>
      </c>
      <c r="T77" s="564">
        <f t="shared" ref="T77:T83" si="81">$F77*$K77*12</f>
        <v>0</v>
      </c>
      <c r="U77" s="564"/>
      <c r="V77" s="564">
        <f t="shared" ref="V77:V83" si="82">SUM(R77:T77)</f>
        <v>86.59299994521372</v>
      </c>
      <c r="X77" s="775">
        <f t="shared" ref="X77:X83" si="83">+K77</f>
        <v>1.9933931847424891</v>
      </c>
      <c r="Y77" s="775">
        <v>30</v>
      </c>
      <c r="Z77" s="775">
        <f t="shared" ref="Z77:Z83" si="84">X77*Y77</f>
        <v>59.801795542274675</v>
      </c>
      <c r="AA77" s="676">
        <f t="shared" ref="AA77:AA83" si="85">Z77*12</f>
        <v>717.6215465072961</v>
      </c>
      <c r="AB77" s="152">
        <f t="shared" si="57"/>
        <v>0</v>
      </c>
      <c r="AC77" s="152">
        <f t="shared" ref="AC77:AC83" si="86">IF(T77&gt;0,AA77,0)</f>
        <v>0</v>
      </c>
      <c r="AF77" s="776">
        <f t="shared" si="59"/>
        <v>0</v>
      </c>
      <c r="AG77" s="776">
        <f t="shared" si="60"/>
        <v>0</v>
      </c>
      <c r="AH77" s="777">
        <f t="shared" si="3"/>
        <v>0</v>
      </c>
    </row>
    <row r="78" spans="1:34">
      <c r="A78" s="152" t="s">
        <v>937</v>
      </c>
      <c r="B78" s="473">
        <v>311</v>
      </c>
      <c r="C78" s="152">
        <v>166</v>
      </c>
      <c r="D78" s="802">
        <f>+D58</f>
        <v>20.02</v>
      </c>
      <c r="E78" s="563">
        <v>0</v>
      </c>
      <c r="F78" s="563">
        <v>0</v>
      </c>
      <c r="G78" s="940">
        <f t="shared" si="74"/>
        <v>20.02</v>
      </c>
      <c r="H78" s="1041">
        <f t="shared" si="75"/>
        <v>1197.2319467563389</v>
      </c>
      <c r="I78" s="1040">
        <v>18.230918255633867</v>
      </c>
      <c r="J78" s="773">
        <f t="shared" si="76"/>
        <v>9.8134483369385794E-2</v>
      </c>
      <c r="K78" s="480">
        <f>'Schedule 1'!J44</f>
        <v>4.9834829618562226</v>
      </c>
      <c r="L78" s="564">
        <f t="shared" si="77"/>
        <v>107</v>
      </c>
      <c r="N78" s="774">
        <v>0.499</v>
      </c>
      <c r="O78" s="774">
        <f t="shared" si="78"/>
        <v>2.4867579979662553</v>
      </c>
      <c r="P78" s="774"/>
      <c r="R78" s="564">
        <f t="shared" si="79"/>
        <v>1197.2319467563389</v>
      </c>
      <c r="S78" s="564">
        <f t="shared" si="80"/>
        <v>0</v>
      </c>
      <c r="T78" s="564">
        <f t="shared" si="81"/>
        <v>0</v>
      </c>
      <c r="U78" s="564"/>
      <c r="V78" s="564">
        <f t="shared" si="82"/>
        <v>1197.2319467563389</v>
      </c>
      <c r="X78" s="775">
        <f t="shared" si="83"/>
        <v>4.9834829618562226</v>
      </c>
      <c r="Y78" s="775">
        <v>166</v>
      </c>
      <c r="Z78" s="775">
        <f t="shared" si="84"/>
        <v>827.25817166813295</v>
      </c>
      <c r="AA78" s="676">
        <f t="shared" si="85"/>
        <v>9927.0980600175953</v>
      </c>
      <c r="AB78" s="152">
        <f t="shared" ref="AB78:AB109" si="87">IF(S78&gt;0,AA78,0)</f>
        <v>0</v>
      </c>
      <c r="AC78" s="152">
        <f t="shared" si="86"/>
        <v>0</v>
      </c>
      <c r="AF78" s="776">
        <f t="shared" ref="AF78:AF109" si="88">IF(S78&gt;0,X78,0)</f>
        <v>0</v>
      </c>
      <c r="AG78" s="776">
        <f t="shared" ref="AG78:AG109" si="89">IF(T78&gt;0,X78,0)</f>
        <v>0</v>
      </c>
      <c r="AH78" s="777">
        <f t="shared" si="3"/>
        <v>0</v>
      </c>
    </row>
    <row r="79" spans="1:34">
      <c r="A79" s="152" t="s">
        <v>941</v>
      </c>
      <c r="B79" s="473">
        <v>312</v>
      </c>
      <c r="C79" s="152">
        <v>116</v>
      </c>
      <c r="D79" s="802">
        <f>+D48</f>
        <v>13.99</v>
      </c>
      <c r="E79" s="563">
        <v>0</v>
      </c>
      <c r="F79" s="563">
        <v>0</v>
      </c>
      <c r="G79" s="940">
        <f t="shared" si="74"/>
        <v>13.99</v>
      </c>
      <c r="H79" s="1041">
        <f t="shared" si="75"/>
        <v>167.32542392728453</v>
      </c>
      <c r="I79" s="1040">
        <v>12.740521190683907</v>
      </c>
      <c r="J79" s="773">
        <f t="shared" si="76"/>
        <v>9.8071247684100582E-2</v>
      </c>
      <c r="K79" s="480">
        <f>'Schedule 1'!J45</f>
        <v>0.99669659237124453</v>
      </c>
      <c r="L79" s="564">
        <f t="shared" si="77"/>
        <v>15</v>
      </c>
      <c r="N79" s="774">
        <v>0.34799999999999998</v>
      </c>
      <c r="O79" s="774">
        <f t="shared" si="78"/>
        <v>0.34685041414519308</v>
      </c>
      <c r="P79" s="774"/>
      <c r="R79" s="564">
        <f t="shared" si="79"/>
        <v>167.32542392728453</v>
      </c>
      <c r="S79" s="564">
        <f t="shared" si="80"/>
        <v>0</v>
      </c>
      <c r="T79" s="564">
        <f t="shared" si="81"/>
        <v>0</v>
      </c>
      <c r="U79" s="564"/>
      <c r="V79" s="564">
        <f t="shared" si="82"/>
        <v>167.32542392728453</v>
      </c>
      <c r="X79" s="775">
        <f t="shared" si="83"/>
        <v>0.99669659237124453</v>
      </c>
      <c r="Y79" s="775">
        <v>116</v>
      </c>
      <c r="Z79" s="775">
        <f t="shared" si="84"/>
        <v>115.61680471506436</v>
      </c>
      <c r="AA79" s="676">
        <f t="shared" si="85"/>
        <v>1387.4016565807724</v>
      </c>
      <c r="AB79" s="152">
        <f t="shared" si="87"/>
        <v>0</v>
      </c>
      <c r="AC79" s="152">
        <f t="shared" si="86"/>
        <v>0</v>
      </c>
      <c r="AF79" s="776">
        <f t="shared" si="88"/>
        <v>0</v>
      </c>
      <c r="AG79" s="776">
        <f t="shared" si="89"/>
        <v>0</v>
      </c>
      <c r="AH79" s="777">
        <f t="shared" ref="AH79:AH142" si="90">AF79-AG79</f>
        <v>0</v>
      </c>
    </row>
    <row r="80" spans="1:34">
      <c r="A80" s="152" t="s">
        <v>935</v>
      </c>
      <c r="B80" s="473">
        <v>313</v>
      </c>
      <c r="C80" s="152">
        <v>222</v>
      </c>
      <c r="D80" s="802">
        <f>+D49</f>
        <v>26.72</v>
      </c>
      <c r="E80" s="563">
        <v>0</v>
      </c>
      <c r="F80" s="563">
        <v>0</v>
      </c>
      <c r="G80" s="940">
        <f t="shared" si="74"/>
        <v>26.72</v>
      </c>
      <c r="H80" s="1041">
        <f t="shared" si="75"/>
        <v>0</v>
      </c>
      <c r="I80" s="1040">
        <v>24.33496296837782</v>
      </c>
      <c r="J80" s="773">
        <f t="shared" si="76"/>
        <v>9.8008656710159237E-2</v>
      </c>
      <c r="K80" s="480">
        <f>'Schedule 1'!J46</f>
        <v>0</v>
      </c>
      <c r="L80" s="564">
        <f t="shared" si="77"/>
        <v>0</v>
      </c>
      <c r="N80" s="774">
        <v>0.66500000000000004</v>
      </c>
      <c r="O80" s="774">
        <f t="shared" si="78"/>
        <v>0</v>
      </c>
      <c r="P80" s="774"/>
      <c r="R80" s="564">
        <f t="shared" si="79"/>
        <v>0</v>
      </c>
      <c r="S80" s="564">
        <f t="shared" si="80"/>
        <v>0</v>
      </c>
      <c r="T80" s="564">
        <f t="shared" si="81"/>
        <v>0</v>
      </c>
      <c r="U80" s="564"/>
      <c r="V80" s="564">
        <f t="shared" si="82"/>
        <v>0</v>
      </c>
      <c r="X80" s="775">
        <f t="shared" si="83"/>
        <v>0</v>
      </c>
      <c r="Y80" s="775">
        <v>222</v>
      </c>
      <c r="Z80" s="775">
        <f t="shared" si="84"/>
        <v>0</v>
      </c>
      <c r="AA80" s="676">
        <f t="shared" si="85"/>
        <v>0</v>
      </c>
      <c r="AB80" s="152">
        <f t="shared" si="87"/>
        <v>0</v>
      </c>
      <c r="AC80" s="152">
        <f t="shared" si="86"/>
        <v>0</v>
      </c>
      <c r="AF80" s="776">
        <f t="shared" si="88"/>
        <v>0</v>
      </c>
      <c r="AG80" s="776">
        <f t="shared" si="89"/>
        <v>0</v>
      </c>
      <c r="AH80" s="777">
        <f t="shared" si="90"/>
        <v>0</v>
      </c>
    </row>
    <row r="81" spans="1:34">
      <c r="A81" s="558" t="s">
        <v>942</v>
      </c>
      <c r="B81" s="457">
        <v>314</v>
      </c>
      <c r="C81" s="558">
        <v>47</v>
      </c>
      <c r="D81" s="802">
        <f>+D50</f>
        <v>5.65</v>
      </c>
      <c r="E81" s="442">
        <v>0</v>
      </c>
      <c r="F81" s="442">
        <v>0</v>
      </c>
      <c r="G81" s="940">
        <f t="shared" si="74"/>
        <v>5.65</v>
      </c>
      <c r="H81" s="1053">
        <f t="shared" si="75"/>
        <v>1689.4007240692595</v>
      </c>
      <c r="I81" s="1040">
        <v>5.1485732410529623</v>
      </c>
      <c r="J81" s="731">
        <f t="shared" si="76"/>
        <v>9.7391400582365728E-2</v>
      </c>
      <c r="K81" s="480">
        <f>'Schedule 1'!J47</f>
        <v>24.917414809281112</v>
      </c>
      <c r="L81" s="565">
        <f t="shared" si="77"/>
        <v>150</v>
      </c>
      <c r="M81" s="558"/>
      <c r="N81" s="1046">
        <v>0.14199999999999999</v>
      </c>
      <c r="O81" s="1046">
        <f t="shared" si="78"/>
        <v>3.5382729029179179</v>
      </c>
      <c r="P81" s="1046"/>
      <c r="Q81" s="558"/>
      <c r="R81" s="565">
        <f t="shared" si="79"/>
        <v>1689.4007240692595</v>
      </c>
      <c r="S81" s="565">
        <f t="shared" si="80"/>
        <v>0</v>
      </c>
      <c r="T81" s="565">
        <f t="shared" si="81"/>
        <v>0</v>
      </c>
      <c r="U81" s="565"/>
      <c r="V81" s="565">
        <f t="shared" si="82"/>
        <v>1689.4007240692595</v>
      </c>
      <c r="W81" s="558"/>
      <c r="X81" s="440">
        <f t="shared" si="83"/>
        <v>24.917414809281112</v>
      </c>
      <c r="Y81" s="440">
        <v>47</v>
      </c>
      <c r="Z81" s="440">
        <f t="shared" si="84"/>
        <v>1171.1184960362123</v>
      </c>
      <c r="AA81" s="460">
        <f t="shared" si="85"/>
        <v>14053.421952434546</v>
      </c>
      <c r="AB81" s="152">
        <f t="shared" si="87"/>
        <v>0</v>
      </c>
      <c r="AC81" s="152">
        <f t="shared" si="86"/>
        <v>0</v>
      </c>
      <c r="AF81" s="776">
        <f t="shared" si="88"/>
        <v>0</v>
      </c>
      <c r="AG81" s="776">
        <f t="shared" si="89"/>
        <v>0</v>
      </c>
      <c r="AH81" s="777">
        <f t="shared" si="90"/>
        <v>0</v>
      </c>
    </row>
    <row r="82" spans="1:34">
      <c r="A82" s="558" t="s">
        <v>943</v>
      </c>
      <c r="B82" s="457">
        <v>315</v>
      </c>
      <c r="C82" s="558">
        <v>60</v>
      </c>
      <c r="D82" s="802">
        <f>+D51</f>
        <v>7.23</v>
      </c>
      <c r="E82" s="442">
        <v>0</v>
      </c>
      <c r="F82" s="442">
        <v>0</v>
      </c>
      <c r="G82" s="940">
        <f t="shared" si="74"/>
        <v>7.23</v>
      </c>
      <c r="H82" s="1053">
        <f t="shared" si="75"/>
        <v>0</v>
      </c>
      <c r="I82" s="1040">
        <v>6.5864764779399518</v>
      </c>
      <c r="J82" s="731">
        <f t="shared" si="76"/>
        <v>9.7703760761220115E-2</v>
      </c>
      <c r="K82" s="480">
        <f>'Schedule 1'!J48</f>
        <v>0</v>
      </c>
      <c r="L82" s="565">
        <f t="shared" si="77"/>
        <v>0</v>
      </c>
      <c r="M82" s="558"/>
      <c r="N82" s="1046">
        <v>0.18</v>
      </c>
      <c r="O82" s="1046">
        <f t="shared" si="78"/>
        <v>0</v>
      </c>
      <c r="P82" s="1046"/>
      <c r="Q82" s="558"/>
      <c r="R82" s="565">
        <f t="shared" si="79"/>
        <v>0</v>
      </c>
      <c r="S82" s="565">
        <f t="shared" si="80"/>
        <v>0</v>
      </c>
      <c r="T82" s="565">
        <f t="shared" si="81"/>
        <v>0</v>
      </c>
      <c r="U82" s="565"/>
      <c r="V82" s="565">
        <f t="shared" si="82"/>
        <v>0</v>
      </c>
      <c r="W82" s="558"/>
      <c r="X82" s="440">
        <f t="shared" si="83"/>
        <v>0</v>
      </c>
      <c r="Y82" s="440">
        <v>60</v>
      </c>
      <c r="Z82" s="440">
        <f t="shared" si="84"/>
        <v>0</v>
      </c>
      <c r="AA82" s="460">
        <f t="shared" si="85"/>
        <v>0</v>
      </c>
      <c r="AB82" s="152">
        <f t="shared" si="87"/>
        <v>0</v>
      </c>
      <c r="AC82" s="152">
        <f t="shared" si="86"/>
        <v>0</v>
      </c>
      <c r="AF82" s="776">
        <f t="shared" si="88"/>
        <v>0</v>
      </c>
      <c r="AG82" s="776">
        <f t="shared" si="89"/>
        <v>0</v>
      </c>
      <c r="AH82" s="777">
        <f t="shared" si="90"/>
        <v>0</v>
      </c>
    </row>
    <row r="83" spans="1:34">
      <c r="A83" s="152" t="s">
        <v>939</v>
      </c>
      <c r="B83" s="473">
        <v>350</v>
      </c>
      <c r="C83" s="152">
        <v>280</v>
      </c>
      <c r="D83" s="802">
        <f>ROUND(+C83*H$187,2)+0.01</f>
        <v>33.739999999999995</v>
      </c>
      <c r="E83" s="563">
        <v>0</v>
      </c>
      <c r="F83" s="563">
        <v>0</v>
      </c>
      <c r="G83" s="940">
        <f t="shared" si="74"/>
        <v>33.739999999999995</v>
      </c>
      <c r="H83" s="1047">
        <f t="shared" si="75"/>
        <v>30669.231240264482</v>
      </c>
      <c r="I83" s="1040">
        <v>30.720223563719774</v>
      </c>
      <c r="J83" s="773">
        <f t="shared" si="76"/>
        <v>9.8299298832139392E-2</v>
      </c>
      <c r="K83" s="480">
        <f>'Schedule 1'!J33</f>
        <v>75.748941020214588</v>
      </c>
      <c r="L83" s="1048">
        <f t="shared" si="77"/>
        <v>2745</v>
      </c>
      <c r="N83" s="774">
        <v>0.84099999999999997</v>
      </c>
      <c r="O83" s="774">
        <f t="shared" si="78"/>
        <v>63.704859398000465</v>
      </c>
      <c r="P83" s="774"/>
      <c r="R83" s="564">
        <f t="shared" si="79"/>
        <v>30669.231240264482</v>
      </c>
      <c r="S83" s="564">
        <f t="shared" si="80"/>
        <v>0</v>
      </c>
      <c r="T83" s="564">
        <f t="shared" si="81"/>
        <v>0</v>
      </c>
      <c r="U83" s="564"/>
      <c r="V83" s="564">
        <f t="shared" si="82"/>
        <v>30669.231240264482</v>
      </c>
      <c r="X83" s="775">
        <f t="shared" si="83"/>
        <v>75.748941020214588</v>
      </c>
      <c r="Y83" s="775">
        <v>280</v>
      </c>
      <c r="Z83" s="775">
        <f t="shared" si="84"/>
        <v>21209.703485660084</v>
      </c>
      <c r="AA83" s="676">
        <f t="shared" si="85"/>
        <v>254516.44182792102</v>
      </c>
      <c r="AB83" s="152">
        <f t="shared" si="87"/>
        <v>0</v>
      </c>
      <c r="AC83" s="152">
        <f t="shared" si="86"/>
        <v>0</v>
      </c>
      <c r="AF83" s="776">
        <f t="shared" si="88"/>
        <v>0</v>
      </c>
      <c r="AG83" s="776">
        <f t="shared" si="89"/>
        <v>0</v>
      </c>
      <c r="AH83" s="777">
        <f t="shared" si="90"/>
        <v>0</v>
      </c>
    </row>
    <row r="84" spans="1:34" ht="15.75">
      <c r="B84" s="473"/>
      <c r="D84" s="802"/>
      <c r="E84" s="563"/>
      <c r="F84" s="563"/>
      <c r="G84" s="1042"/>
      <c r="H84" s="1041">
        <f>SUM(H77:H83)</f>
        <v>33809.782334962576</v>
      </c>
      <c r="I84" s="1043"/>
      <c r="K84" s="480">
        <f>SUM(K77:K83)</f>
        <v>108.63992856846565</v>
      </c>
      <c r="L84" s="564">
        <f>SUM(L77:L83)</f>
        <v>3025</v>
      </c>
      <c r="N84" s="774"/>
      <c r="O84" s="774"/>
      <c r="P84" s="774"/>
      <c r="X84" s="775"/>
      <c r="Y84" s="775"/>
      <c r="Z84" s="1019"/>
      <c r="AA84" s="1019"/>
      <c r="AB84" s="152">
        <f t="shared" si="87"/>
        <v>0</v>
      </c>
      <c r="AF84" s="776">
        <f t="shared" si="88"/>
        <v>0</v>
      </c>
      <c r="AG84" s="776">
        <f t="shared" si="89"/>
        <v>0</v>
      </c>
      <c r="AH84" s="777">
        <f t="shared" si="90"/>
        <v>0</v>
      </c>
    </row>
    <row r="85" spans="1:34" ht="15.75">
      <c r="A85" s="548" t="s">
        <v>944</v>
      </c>
      <c r="B85" s="497"/>
      <c r="D85" s="558"/>
      <c r="E85" s="563"/>
      <c r="F85" s="563"/>
      <c r="G85" s="1042"/>
      <c r="H85" s="1041"/>
      <c r="I85" s="1043"/>
      <c r="N85" s="774"/>
      <c r="O85" s="774"/>
      <c r="P85" s="774"/>
      <c r="X85" s="775">
        <f>SUM(X68:X84)</f>
        <v>200.33601506662018</v>
      </c>
      <c r="Y85" s="775"/>
      <c r="Z85" s="775">
        <f>SUM(Z68:Z84)</f>
        <v>53919.292254099586</v>
      </c>
      <c r="AA85" s="609">
        <f>SUM(AA68:AA84)</f>
        <v>647031.507049195</v>
      </c>
      <c r="AB85" s="152">
        <f t="shared" si="87"/>
        <v>0</v>
      </c>
      <c r="AF85" s="776">
        <f t="shared" si="88"/>
        <v>0</v>
      </c>
      <c r="AG85" s="776">
        <f t="shared" si="89"/>
        <v>0</v>
      </c>
      <c r="AH85" s="777">
        <f t="shared" si="90"/>
        <v>0</v>
      </c>
    </row>
    <row r="86" spans="1:34" ht="15.75">
      <c r="A86" s="548"/>
      <c r="B86" s="497"/>
      <c r="D86" s="558"/>
      <c r="E86" s="563"/>
      <c r="F86" s="563"/>
      <c r="G86" s="1042"/>
      <c r="H86" s="1041"/>
      <c r="I86" s="1043"/>
      <c r="N86" s="774"/>
      <c r="O86" s="774"/>
      <c r="P86" s="774"/>
      <c r="X86" s="775"/>
      <c r="Y86" s="775"/>
      <c r="Z86" s="775"/>
      <c r="AA86" s="775"/>
      <c r="AB86" s="152">
        <f t="shared" si="87"/>
        <v>0</v>
      </c>
      <c r="AF86" s="776">
        <f t="shared" si="88"/>
        <v>0</v>
      </c>
      <c r="AG86" s="776">
        <f t="shared" si="89"/>
        <v>0</v>
      </c>
      <c r="AH86" s="777">
        <f t="shared" si="90"/>
        <v>0</v>
      </c>
    </row>
    <row r="87" spans="1:34">
      <c r="A87" s="152" t="s">
        <v>726</v>
      </c>
      <c r="B87" s="473">
        <v>130</v>
      </c>
      <c r="C87" s="152">
        <v>60</v>
      </c>
      <c r="D87" s="802">
        <f>ROUND(+C87*H$187,2)</f>
        <v>7.23</v>
      </c>
      <c r="E87" s="563">
        <f>'Schedule 2'!$H$19</f>
        <v>10.946484321049965</v>
      </c>
      <c r="F87" s="563">
        <f>'Schedule 4'!$K45</f>
        <v>7.1224892924978969</v>
      </c>
      <c r="G87" s="940">
        <f>SUM(D87:F87)</f>
        <v>25.298973613547862</v>
      </c>
      <c r="H87" s="1041">
        <f>G87*K87*12</f>
        <v>17549.918950614774</v>
      </c>
      <c r="I87" s="1040">
        <v>26.407654740294554</v>
      </c>
      <c r="J87" s="773">
        <f>+G87/I87-1</f>
        <v>-4.1983324064555849E-2</v>
      </c>
      <c r="K87" s="480">
        <f>'Schedule 1'!H62</f>
        <v>57.808402357532181</v>
      </c>
      <c r="L87" s="564">
        <f>ROUND((G87-I87)*K87*12,0)</f>
        <v>-769</v>
      </c>
      <c r="N87" s="774">
        <v>0.18</v>
      </c>
      <c r="O87" s="774">
        <f>K87*N87</f>
        <v>10.405512424355793</v>
      </c>
      <c r="P87" s="774"/>
      <c r="Q87" s="480"/>
      <c r="R87" s="564">
        <f>$D87*$K87*12</f>
        <v>5015.4569885394922</v>
      </c>
      <c r="S87" s="564">
        <f>$E87*$K87*12</f>
        <v>7593.5852403800855</v>
      </c>
      <c r="T87" s="564">
        <f>$F87*$K87*12</f>
        <v>4940.8767216951983</v>
      </c>
      <c r="U87" s="564"/>
      <c r="V87" s="564">
        <f>SUM(R87:T87)</f>
        <v>17549.918950614774</v>
      </c>
      <c r="X87" s="775">
        <f>+K87</f>
        <v>57.808402357532181</v>
      </c>
      <c r="Y87" s="775">
        <v>60</v>
      </c>
      <c r="Z87" s="775">
        <f>X87*Y87</f>
        <v>3468.504141451931</v>
      </c>
      <c r="AA87" s="676">
        <f>Z87*12</f>
        <v>41622.049697423172</v>
      </c>
      <c r="AB87" s="480">
        <f t="shared" si="87"/>
        <v>41622.049697423172</v>
      </c>
      <c r="AC87" s="152">
        <f>IF(T87&gt;0,AA87,0)</f>
        <v>41622.049697423172</v>
      </c>
      <c r="AF87" s="776">
        <f t="shared" si="88"/>
        <v>57.808402357532181</v>
      </c>
      <c r="AG87" s="776">
        <f t="shared" si="89"/>
        <v>57.808402357532181</v>
      </c>
      <c r="AH87" s="777">
        <f t="shared" si="90"/>
        <v>0</v>
      </c>
    </row>
    <row r="88" spans="1:34">
      <c r="A88" s="152" t="s">
        <v>728</v>
      </c>
      <c r="B88" s="473">
        <v>131</v>
      </c>
      <c r="C88" s="152">
        <v>80</v>
      </c>
      <c r="D88" s="802">
        <f>ROUND(+C88*H$187,2)</f>
        <v>9.64</v>
      </c>
      <c r="E88" s="563">
        <f>'Schedule 2'!$H$19</f>
        <v>10.946484321049965</v>
      </c>
      <c r="F88" s="563">
        <f>'Schedule 4'!$K46</f>
        <v>10.383317697297707</v>
      </c>
      <c r="G88" s="940">
        <f>SUM(D88:F88)</f>
        <v>30.969802018347671</v>
      </c>
      <c r="H88" s="1041">
        <f>G88*K88*12</f>
        <v>298550.42264769558</v>
      </c>
      <c r="I88" s="1040">
        <v>28.047206626274537</v>
      </c>
      <c r="J88" s="773">
        <f>+G88/I88-1</f>
        <v>0.10420272617577742</v>
      </c>
      <c r="K88" s="480">
        <f>'Schedule 1'!H63</f>
        <v>803.33745345122304</v>
      </c>
      <c r="L88" s="564">
        <f>ROUND((G88-I88)*K88*12,0)</f>
        <v>28174</v>
      </c>
      <c r="N88" s="774">
        <v>0.24</v>
      </c>
      <c r="O88" s="774">
        <f>K88*N88</f>
        <v>192.80098882829353</v>
      </c>
      <c r="P88" s="774"/>
      <c r="Q88" s="480"/>
      <c r="R88" s="564">
        <f>$D88*$K88*12</f>
        <v>92930.076615237485</v>
      </c>
      <c r="S88" s="564">
        <f>$E88*$K88*12</f>
        <v>105524.65006459222</v>
      </c>
      <c r="T88" s="564">
        <f>$F88*$K88*12</f>
        <v>100095.69596786589</v>
      </c>
      <c r="U88" s="564"/>
      <c r="V88" s="564">
        <f>SUM(R88:T88)</f>
        <v>298550.42264769558</v>
      </c>
      <c r="X88" s="775">
        <f>+K88</f>
        <v>803.33745345122304</v>
      </c>
      <c r="Y88" s="775">
        <v>80</v>
      </c>
      <c r="Z88" s="775">
        <f>X88*Y88</f>
        <v>64266.996276097845</v>
      </c>
      <c r="AA88" s="676">
        <f>Z88*12</f>
        <v>771203.95531317417</v>
      </c>
      <c r="AB88" s="480">
        <f t="shared" si="87"/>
        <v>771203.95531317417</v>
      </c>
      <c r="AC88" s="152">
        <f>IF(T88&gt;0,AA88,0)</f>
        <v>771203.95531317417</v>
      </c>
      <c r="AF88" s="776">
        <f t="shared" si="88"/>
        <v>803.33745345122304</v>
      </c>
      <c r="AG88" s="776">
        <f t="shared" si="89"/>
        <v>803.33745345122304</v>
      </c>
      <c r="AH88" s="777">
        <f t="shared" si="90"/>
        <v>0</v>
      </c>
    </row>
    <row r="89" spans="1:34">
      <c r="A89" s="152" t="s">
        <v>729</v>
      </c>
      <c r="B89" s="473">
        <v>132</v>
      </c>
      <c r="C89" s="152">
        <v>45</v>
      </c>
      <c r="D89" s="802">
        <f>ROUND(+C89*H$187,2)-0.01</f>
        <v>5.41</v>
      </c>
      <c r="E89" s="563">
        <f>'Schedule 2'!$H$19</f>
        <v>10.946484321049965</v>
      </c>
      <c r="F89" s="563">
        <f>'Schedule 4'!$K44</f>
        <v>7.1224892924978969</v>
      </c>
      <c r="G89" s="940">
        <f>SUM(D89:F89)</f>
        <v>23.478973613547861</v>
      </c>
      <c r="H89" s="1041">
        <f>G89*K89*12</f>
        <v>0</v>
      </c>
      <c r="I89" s="1040">
        <v>24.748535620809566</v>
      </c>
      <c r="J89" s="773">
        <f>+G89/I89-1</f>
        <v>-5.1298469804985425E-2</v>
      </c>
      <c r="K89" s="480">
        <f>'Schedule 1'!H64</f>
        <v>0</v>
      </c>
      <c r="L89" s="564">
        <f>ROUND((G89-I89)*K89*12,0)</f>
        <v>0</v>
      </c>
      <c r="N89" s="774">
        <v>0.13500000000000001</v>
      </c>
      <c r="O89" s="774">
        <f>K89*N89</f>
        <v>0</v>
      </c>
      <c r="P89" s="774"/>
      <c r="Q89" s="480"/>
      <c r="R89" s="564">
        <f>$D89*$K89*12</f>
        <v>0</v>
      </c>
      <c r="S89" s="564">
        <f>$E89*$K89*12</f>
        <v>0</v>
      </c>
      <c r="T89" s="564">
        <f>$F89*$K89*12</f>
        <v>0</v>
      </c>
      <c r="U89" s="564"/>
      <c r="V89" s="564">
        <f>SUM(R89:T89)</f>
        <v>0</v>
      </c>
      <c r="X89" s="775">
        <f>+K89</f>
        <v>0</v>
      </c>
      <c r="Y89" s="775">
        <v>45</v>
      </c>
      <c r="Z89" s="775">
        <f>X89*Y89</f>
        <v>0</v>
      </c>
      <c r="AA89" s="676">
        <f>Z89*12</f>
        <v>0</v>
      </c>
      <c r="AB89" s="152">
        <f t="shared" si="87"/>
        <v>0</v>
      </c>
      <c r="AC89" s="152">
        <f>IF(T89&gt;0,AA89,0)</f>
        <v>0</v>
      </c>
      <c r="AF89" s="776">
        <f t="shared" si="88"/>
        <v>0</v>
      </c>
      <c r="AG89" s="776">
        <f t="shared" si="89"/>
        <v>0</v>
      </c>
      <c r="AH89" s="777">
        <f t="shared" si="90"/>
        <v>0</v>
      </c>
    </row>
    <row r="90" spans="1:34" ht="15.75">
      <c r="B90" s="473"/>
      <c r="D90" s="802"/>
      <c r="E90" s="563"/>
      <c r="F90" s="563"/>
      <c r="G90" s="1042"/>
      <c r="H90" s="1041"/>
      <c r="I90" s="1051"/>
      <c r="J90" s="773"/>
      <c r="K90" s="480"/>
      <c r="L90" s="564"/>
      <c r="N90" s="774"/>
      <c r="O90" s="774"/>
      <c r="P90" s="774"/>
      <c r="X90" s="775"/>
      <c r="Y90" s="775"/>
      <c r="Z90" s="1019"/>
      <c r="AA90" s="1019"/>
      <c r="AB90" s="152">
        <f t="shared" si="87"/>
        <v>0</v>
      </c>
      <c r="AF90" s="776">
        <f t="shared" si="88"/>
        <v>0</v>
      </c>
      <c r="AG90" s="776">
        <f t="shared" si="89"/>
        <v>0</v>
      </c>
      <c r="AH90" s="777">
        <f t="shared" si="90"/>
        <v>0</v>
      </c>
    </row>
    <row r="91" spans="1:34">
      <c r="A91" s="152" t="s">
        <v>945</v>
      </c>
      <c r="B91" s="473">
        <v>231</v>
      </c>
      <c r="C91" s="152">
        <v>80</v>
      </c>
      <c r="D91" s="802">
        <f>+D88</f>
        <v>9.64</v>
      </c>
      <c r="E91" s="563">
        <f>'Schedule 2'!$H$19</f>
        <v>10.946484321049965</v>
      </c>
      <c r="F91" s="563">
        <v>0</v>
      </c>
      <c r="G91" s="940">
        <f>SUM(D91:F91)</f>
        <v>20.586484321049966</v>
      </c>
      <c r="H91" s="1041">
        <f>G91*K91*12</f>
        <v>9602.648065153051</v>
      </c>
      <c r="I91" s="1040">
        <v>18.008635303919938</v>
      </c>
      <c r="J91" s="773">
        <f>+G91/I91-1</f>
        <v>0.14314516195288318</v>
      </c>
      <c r="K91" s="480">
        <f>'Schedule 1'!I63</f>
        <v>38.871167102478537</v>
      </c>
      <c r="L91" s="564">
        <f>ROUND((G91-I91)*K91*12,0)</f>
        <v>1202</v>
      </c>
      <c r="N91" s="774">
        <v>0.24</v>
      </c>
      <c r="O91" s="774">
        <f>K91*N91</f>
        <v>9.3290801045948495</v>
      </c>
      <c r="P91" s="774"/>
      <c r="Q91" s="480"/>
      <c r="R91" s="564">
        <f>$D91*$K91*12</f>
        <v>4496.6166104147178</v>
      </c>
      <c r="S91" s="564">
        <f>$E91*$K91*12</f>
        <v>5106.0314547383341</v>
      </c>
      <c r="T91" s="564">
        <f>$F91*$K91*12</f>
        <v>0</v>
      </c>
      <c r="U91" s="564"/>
      <c r="V91" s="564">
        <f>SUM(R91:T91)</f>
        <v>9602.648065153051</v>
      </c>
      <c r="X91" s="775">
        <f>+K91</f>
        <v>38.871167102478537</v>
      </c>
      <c r="Y91" s="775">
        <v>80</v>
      </c>
      <c r="Z91" s="775">
        <f>X91*Y91</f>
        <v>3109.6933681982828</v>
      </c>
      <c r="AA91" s="676">
        <f>Z91*12</f>
        <v>37316.320418379393</v>
      </c>
      <c r="AB91" s="480">
        <f t="shared" si="87"/>
        <v>37316.320418379393</v>
      </c>
      <c r="AC91" s="152">
        <f>IF(T91&gt;0,AA91,0)</f>
        <v>0</v>
      </c>
      <c r="AF91" s="776">
        <f t="shared" si="88"/>
        <v>38.871167102478537</v>
      </c>
      <c r="AG91" s="776">
        <f t="shared" si="89"/>
        <v>0</v>
      </c>
      <c r="AH91" s="777">
        <f t="shared" si="90"/>
        <v>38.871167102478537</v>
      </c>
    </row>
    <row r="92" spans="1:34" ht="15.75">
      <c r="B92" s="473"/>
      <c r="D92" s="802"/>
      <c r="E92" s="563"/>
      <c r="F92" s="563"/>
      <c r="G92" s="1042"/>
      <c r="H92" s="1041"/>
      <c r="I92" s="1051"/>
      <c r="J92" s="773"/>
      <c r="K92" s="480"/>
      <c r="L92" s="564"/>
      <c r="N92" s="774"/>
      <c r="O92" s="774"/>
      <c r="P92" s="774"/>
      <c r="X92" s="775"/>
      <c r="Y92" s="775"/>
      <c r="Z92" s="1019"/>
      <c r="AA92" s="1019"/>
      <c r="AB92" s="152">
        <f t="shared" si="87"/>
        <v>0</v>
      </c>
      <c r="AF92" s="776">
        <f t="shared" si="88"/>
        <v>0</v>
      </c>
      <c r="AG92" s="776">
        <f t="shared" si="89"/>
        <v>0</v>
      </c>
      <c r="AH92" s="777">
        <f t="shared" si="90"/>
        <v>0</v>
      </c>
    </row>
    <row r="93" spans="1:34">
      <c r="A93" s="152" t="s">
        <v>946</v>
      </c>
      <c r="B93" s="473">
        <v>331</v>
      </c>
      <c r="C93" s="152">
        <v>80</v>
      </c>
      <c r="D93" s="802">
        <f>+D88</f>
        <v>9.64</v>
      </c>
      <c r="E93" s="563">
        <v>0</v>
      </c>
      <c r="F93" s="563">
        <v>0</v>
      </c>
      <c r="G93" s="940">
        <f>SUM(D93:F93)</f>
        <v>9.64</v>
      </c>
      <c r="H93" s="1047">
        <f>G93*K93*12</f>
        <v>4266.0208868037071</v>
      </c>
      <c r="I93" s="1040">
        <v>8.7786353039199359</v>
      </c>
      <c r="J93" s="773">
        <f>+G93/I93-1</f>
        <v>9.8120569571381822E-2</v>
      </c>
      <c r="K93" s="554">
        <f>'Schedule 1'!J63</f>
        <v>36.87777391773605</v>
      </c>
      <c r="L93" s="1048">
        <f>ROUND((G93-I93)*K93*12,0)</f>
        <v>381</v>
      </c>
      <c r="N93" s="774">
        <v>0.24</v>
      </c>
      <c r="O93" s="774">
        <f>K93*N93</f>
        <v>8.8506657402566518</v>
      </c>
      <c r="P93" s="774"/>
      <c r="R93" s="564">
        <f>$D93*$K93*12</f>
        <v>4266.0208868037071</v>
      </c>
      <c r="S93" s="564">
        <f>$E93*$K93*12</f>
        <v>0</v>
      </c>
      <c r="T93" s="564">
        <f>$F93*$K93*12</f>
        <v>0</v>
      </c>
      <c r="U93" s="564"/>
      <c r="V93" s="564">
        <f>SUM(R93:T93)</f>
        <v>4266.0208868037071</v>
      </c>
      <c r="X93" s="775">
        <f>+K93</f>
        <v>36.87777391773605</v>
      </c>
      <c r="Y93" s="775">
        <v>80</v>
      </c>
      <c r="Z93" s="775">
        <f>X93*Y93</f>
        <v>2950.221913418884</v>
      </c>
      <c r="AA93" s="676">
        <f>Z93*12</f>
        <v>35402.66296102661</v>
      </c>
      <c r="AB93" s="152">
        <f t="shared" si="87"/>
        <v>0</v>
      </c>
      <c r="AC93" s="152">
        <f>IF(T93&gt;0,AA93,0)</f>
        <v>0</v>
      </c>
      <c r="AF93" s="776">
        <f t="shared" si="88"/>
        <v>0</v>
      </c>
      <c r="AG93" s="776">
        <f t="shared" si="89"/>
        <v>0</v>
      </c>
      <c r="AH93" s="777">
        <f t="shared" si="90"/>
        <v>0</v>
      </c>
    </row>
    <row r="94" spans="1:34" ht="15.75">
      <c r="B94" s="473"/>
      <c r="D94" s="558"/>
      <c r="E94" s="563"/>
      <c r="F94" s="563"/>
      <c r="G94" s="1042"/>
      <c r="H94" s="1041">
        <f>SUM(H87:H93)</f>
        <v>329969.01055026706</v>
      </c>
      <c r="I94" s="1043"/>
      <c r="K94" s="480">
        <f>SUM(K87:K93)</f>
        <v>936.89479682896979</v>
      </c>
      <c r="L94" s="564">
        <f>SUM(L87:L93)</f>
        <v>28988</v>
      </c>
      <c r="N94" s="774"/>
      <c r="O94" s="774"/>
      <c r="P94" s="774"/>
      <c r="X94" s="775"/>
      <c r="Y94" s="775"/>
      <c r="Z94" s="1019"/>
      <c r="AA94" s="1019"/>
      <c r="AB94" s="152">
        <f t="shared" si="87"/>
        <v>0</v>
      </c>
      <c r="AF94" s="776">
        <f t="shared" si="88"/>
        <v>0</v>
      </c>
      <c r="AG94" s="776">
        <f t="shared" si="89"/>
        <v>0</v>
      </c>
      <c r="AH94" s="777">
        <f t="shared" si="90"/>
        <v>0</v>
      </c>
    </row>
    <row r="95" spans="1:34" ht="15.75">
      <c r="A95" s="548" t="s">
        <v>947</v>
      </c>
      <c r="B95" s="497"/>
      <c r="D95" s="558"/>
      <c r="E95" s="563"/>
      <c r="F95" s="563"/>
      <c r="G95" s="1042"/>
      <c r="H95" s="1041"/>
      <c r="I95" s="1043"/>
      <c r="N95" s="774"/>
      <c r="O95" s="774"/>
      <c r="P95" s="774"/>
      <c r="X95" s="775">
        <f>SUM(X87:X94)</f>
        <v>936.89479682896979</v>
      </c>
      <c r="Y95" s="775"/>
      <c r="Z95" s="775">
        <f>SUM(Z87:Z94)</f>
        <v>73795.41569916693</v>
      </c>
      <c r="AA95" s="609">
        <f>SUM(AA87:AA94)</f>
        <v>885544.98839000333</v>
      </c>
      <c r="AB95" s="152">
        <f t="shared" si="87"/>
        <v>0</v>
      </c>
      <c r="AF95" s="776">
        <f t="shared" si="88"/>
        <v>0</v>
      </c>
      <c r="AG95" s="776">
        <f t="shared" si="89"/>
        <v>0</v>
      </c>
      <c r="AH95" s="777">
        <f t="shared" si="90"/>
        <v>0</v>
      </c>
    </row>
    <row r="96" spans="1:34" ht="15.75">
      <c r="A96" s="548"/>
      <c r="B96" s="497"/>
      <c r="D96" s="558"/>
      <c r="E96" s="563"/>
      <c r="F96" s="563"/>
      <c r="G96" s="1042"/>
      <c r="H96" s="1041"/>
      <c r="I96" s="1043"/>
      <c r="N96" s="774"/>
      <c r="O96" s="774"/>
      <c r="P96" s="774"/>
      <c r="X96" s="775"/>
      <c r="Y96" s="775"/>
      <c r="Z96" s="1019"/>
      <c r="AA96" s="1019"/>
      <c r="AB96" s="152">
        <f t="shared" si="87"/>
        <v>0</v>
      </c>
      <c r="AF96" s="776">
        <f t="shared" si="88"/>
        <v>0</v>
      </c>
      <c r="AG96" s="776">
        <f t="shared" si="89"/>
        <v>0</v>
      </c>
      <c r="AH96" s="777">
        <f t="shared" si="90"/>
        <v>0</v>
      </c>
    </row>
    <row r="97" spans="1:34">
      <c r="A97" s="152" t="s">
        <v>713</v>
      </c>
      <c r="B97" s="473">
        <v>121</v>
      </c>
      <c r="C97" s="152">
        <v>100</v>
      </c>
      <c r="D97" s="802">
        <f>ROUND(+C97*H$187,2)</f>
        <v>12.05</v>
      </c>
      <c r="E97" s="563">
        <f>'Schedule 2'!$H$15</f>
        <v>3.6488281070166551</v>
      </c>
      <c r="F97" s="563">
        <f>'Schedule 4'!$K41</f>
        <v>3.8892299999064091</v>
      </c>
      <c r="G97" s="940">
        <f t="shared" ref="G97:G102" si="91">SUM(D97:F97)</f>
        <v>19.588058106923064</v>
      </c>
      <c r="H97" s="1041">
        <f t="shared" ref="H97:H102" si="92">G97*K97*12</f>
        <v>1300255.1610382539</v>
      </c>
      <c r="I97" s="1040">
        <v>19.829894497254518</v>
      </c>
      <c r="J97" s="773">
        <f t="shared" ref="J97:J102" si="93">+G97/I97-1</f>
        <v>-1.2195545990672629E-2</v>
      </c>
      <c r="K97" s="480">
        <f>'Schedule 1'!H51</f>
        <v>5531.6660876604074</v>
      </c>
      <c r="L97" s="564">
        <f t="shared" ref="L97:L102" si="94">ROUND((G97-I97)*K97*12,0)</f>
        <v>-16053</v>
      </c>
      <c r="N97" s="774">
        <v>0.3</v>
      </c>
      <c r="O97" s="774">
        <f t="shared" ref="O97:O102" si="95">K97*N97</f>
        <v>1659.4998262981221</v>
      </c>
      <c r="P97" s="774"/>
      <c r="Q97" s="480"/>
      <c r="R97" s="564">
        <f t="shared" ref="R97:R102" si="96">$D97*$K97*12</f>
        <v>799878.91627569497</v>
      </c>
      <c r="S97" s="564">
        <f t="shared" ref="S97:S102" si="97">$E97*$K97*12</f>
        <v>242209.18439143381</v>
      </c>
      <c r="T97" s="564">
        <f t="shared" ref="T97:T102" si="98">$F97*$K97*12</f>
        <v>258167.06037112523</v>
      </c>
      <c r="U97" s="564"/>
      <c r="V97" s="564">
        <f t="shared" ref="V97:V102" si="99">SUM(R97:T97)</f>
        <v>1300255.1610382539</v>
      </c>
      <c r="X97" s="775">
        <f t="shared" ref="X97:X102" si="100">+K97</f>
        <v>5531.6660876604074</v>
      </c>
      <c r="Y97" s="775">
        <v>100</v>
      </c>
      <c r="Z97" s="775">
        <f t="shared" ref="Z97:Z102" si="101">X97*Y97</f>
        <v>553166.60876604076</v>
      </c>
      <c r="AA97" s="676">
        <f t="shared" ref="AA97:AA102" si="102">Z97*12</f>
        <v>6637999.3051924892</v>
      </c>
      <c r="AB97" s="480">
        <f t="shared" si="87"/>
        <v>6637999.3051924892</v>
      </c>
      <c r="AC97" s="152">
        <f t="shared" ref="AC97:AC102" si="103">IF(T97&gt;0,AA97,0)</f>
        <v>6637999.3051924892</v>
      </c>
      <c r="AF97" s="776">
        <f t="shared" si="88"/>
        <v>5531.6660876604074</v>
      </c>
      <c r="AG97" s="776">
        <f t="shared" si="89"/>
        <v>5531.6660876604074</v>
      </c>
      <c r="AH97" s="777">
        <f t="shared" si="90"/>
        <v>0</v>
      </c>
    </row>
    <row r="98" spans="1:34">
      <c r="A98" s="152" t="s">
        <v>715</v>
      </c>
      <c r="B98" s="473">
        <v>122</v>
      </c>
      <c r="C98" s="152">
        <v>150</v>
      </c>
      <c r="D98" s="802">
        <f>ROUND(+C98*H$187,2)</f>
        <v>18.07</v>
      </c>
      <c r="E98" s="563">
        <f>'Schedule 2'!$H$15</f>
        <v>3.6488281070166551</v>
      </c>
      <c r="F98" s="563">
        <f>'Schedule 4'!$K42</f>
        <v>4.0348208300758373</v>
      </c>
      <c r="G98" s="940">
        <f t="shared" si="91"/>
        <v>25.753648937092493</v>
      </c>
      <c r="H98" s="1041">
        <f t="shared" si="92"/>
        <v>1128595.8676435428</v>
      </c>
      <c r="I98" s="1040">
        <v>25.476174727204484</v>
      </c>
      <c r="J98" s="773">
        <f t="shared" si="93"/>
        <v>1.0891517775300397E-2</v>
      </c>
      <c r="K98" s="480">
        <f>'Schedule 1'!H52</f>
        <v>3651.89631444824</v>
      </c>
      <c r="L98" s="564">
        <f t="shared" si="94"/>
        <v>12160</v>
      </c>
      <c r="N98" s="774">
        <v>0.45</v>
      </c>
      <c r="O98" s="774">
        <f t="shared" si="95"/>
        <v>1643.353341501708</v>
      </c>
      <c r="P98" s="774"/>
      <c r="Q98" s="480"/>
      <c r="R98" s="564">
        <f t="shared" si="96"/>
        <v>791877.19682495634</v>
      </c>
      <c r="S98" s="564">
        <f t="shared" si="97"/>
        <v>159901.70299283124</v>
      </c>
      <c r="T98" s="564">
        <f t="shared" si="98"/>
        <v>176816.96782575527</v>
      </c>
      <c r="U98" s="564"/>
      <c r="V98" s="564">
        <f t="shared" si="99"/>
        <v>1128595.8676435428</v>
      </c>
      <c r="X98" s="775">
        <f t="shared" si="100"/>
        <v>3651.89631444824</v>
      </c>
      <c r="Y98" s="775">
        <v>150</v>
      </c>
      <c r="Z98" s="775">
        <f t="shared" si="101"/>
        <v>547784.44716723601</v>
      </c>
      <c r="AA98" s="676">
        <f t="shared" si="102"/>
        <v>6573413.3660068326</v>
      </c>
      <c r="AB98" s="480">
        <f t="shared" si="87"/>
        <v>6573413.3660068326</v>
      </c>
      <c r="AC98" s="152">
        <f t="shared" si="103"/>
        <v>6573413.3660068326</v>
      </c>
      <c r="AF98" s="776">
        <f t="shared" si="88"/>
        <v>3651.89631444824</v>
      </c>
      <c r="AG98" s="776">
        <f t="shared" si="89"/>
        <v>3651.89631444824</v>
      </c>
      <c r="AH98" s="777">
        <f t="shared" si="90"/>
        <v>0</v>
      </c>
    </row>
    <row r="99" spans="1:34">
      <c r="A99" s="152" t="s">
        <v>717</v>
      </c>
      <c r="B99" s="473">
        <v>123</v>
      </c>
      <c r="C99" s="152">
        <v>32</v>
      </c>
      <c r="D99" s="802">
        <f>ROUND(+C99*H$187,2)-0.01</f>
        <v>3.8400000000000003</v>
      </c>
      <c r="E99" s="563">
        <f>'Schedule 2'!$H$15</f>
        <v>3.6488281070166551</v>
      </c>
      <c r="F99" s="563">
        <f>'Schedule 4'!$K38</f>
        <v>3.6472278943035215</v>
      </c>
      <c r="G99" s="940">
        <f t="shared" si="91"/>
        <v>11.136056001320176</v>
      </c>
      <c r="H99" s="1041">
        <f>G99*K99*12</f>
        <v>5398373.6956136441</v>
      </c>
      <c r="I99" s="1040">
        <v>11.780720158922575</v>
      </c>
      <c r="J99" s="773">
        <f t="shared" si="93"/>
        <v>-5.4721965118078031E-2</v>
      </c>
      <c r="K99" s="480">
        <f>'Schedule 1'!H53</f>
        <v>40397.10958539891</v>
      </c>
      <c r="L99" s="564">
        <f t="shared" si="94"/>
        <v>-312511</v>
      </c>
      <c r="N99" s="774">
        <v>9.6000000000000002E-2</v>
      </c>
      <c r="O99" s="774">
        <f t="shared" si="95"/>
        <v>3878.1225201982957</v>
      </c>
      <c r="P99" s="774"/>
      <c r="Q99" s="480"/>
      <c r="R99" s="564">
        <f t="shared" si="96"/>
        <v>1861498.8096951819</v>
      </c>
      <c r="S99" s="564">
        <f t="shared" si="97"/>
        <v>1768825.3067692257</v>
      </c>
      <c r="T99" s="564">
        <f t="shared" si="98"/>
        <v>1768049.5791492369</v>
      </c>
      <c r="U99" s="564"/>
      <c r="V99" s="564">
        <f t="shared" si="99"/>
        <v>5398373.695613645</v>
      </c>
      <c r="X99" s="775">
        <f t="shared" si="100"/>
        <v>40397.10958539891</v>
      </c>
      <c r="Y99" s="775">
        <v>32</v>
      </c>
      <c r="Z99" s="775">
        <f t="shared" si="101"/>
        <v>1292707.5067327651</v>
      </c>
      <c r="AA99" s="676">
        <f t="shared" si="102"/>
        <v>15512490.080793181</v>
      </c>
      <c r="AB99" s="480">
        <f t="shared" si="87"/>
        <v>15512490.080793181</v>
      </c>
      <c r="AC99" s="152">
        <f t="shared" si="103"/>
        <v>15512490.080793181</v>
      </c>
      <c r="AF99" s="776">
        <f t="shared" si="88"/>
        <v>40397.10958539891</v>
      </c>
      <c r="AG99" s="776">
        <f t="shared" si="89"/>
        <v>40397.10958539891</v>
      </c>
      <c r="AH99" s="777">
        <f t="shared" si="90"/>
        <v>0</v>
      </c>
    </row>
    <row r="100" spans="1:34">
      <c r="A100" s="152" t="s">
        <v>719</v>
      </c>
      <c r="B100" s="473">
        <v>124</v>
      </c>
      <c r="C100" s="152">
        <v>45</v>
      </c>
      <c r="D100" s="802">
        <f>ROUND(+C100*H$187,2)-0.01</f>
        <v>5.41</v>
      </c>
      <c r="E100" s="563">
        <f>'Schedule 2'!$H$15</f>
        <v>3.6488281070166551</v>
      </c>
      <c r="F100" s="563">
        <f>'Schedule 4'!$K39</f>
        <v>3.678635591534714</v>
      </c>
      <c r="G100" s="940">
        <f t="shared" si="91"/>
        <v>12.73746369855137</v>
      </c>
      <c r="H100" s="1041">
        <f t="shared" si="92"/>
        <v>7193561.5545348618</v>
      </c>
      <c r="I100" s="1040">
        <v>13.102217955809564</v>
      </c>
      <c r="J100" s="773">
        <f t="shared" si="93"/>
        <v>-2.7839123001038302E-2</v>
      </c>
      <c r="K100" s="480">
        <f>'Schedule 1'!H54</f>
        <v>47063.016395177794</v>
      </c>
      <c r="L100" s="564">
        <f t="shared" si="94"/>
        <v>-205997</v>
      </c>
      <c r="N100" s="774">
        <v>0.13500000000000001</v>
      </c>
      <c r="O100" s="774">
        <f t="shared" si="95"/>
        <v>6353.507213349003</v>
      </c>
      <c r="P100" s="774"/>
      <c r="Q100" s="480"/>
      <c r="R100" s="564">
        <f t="shared" si="96"/>
        <v>3055331.0243749423</v>
      </c>
      <c r="S100" s="564">
        <f t="shared" si="97"/>
        <v>2060698.2842845246</v>
      </c>
      <c r="T100" s="564">
        <f t="shared" si="98"/>
        <v>2077532.2458753935</v>
      </c>
      <c r="U100" s="564"/>
      <c r="V100" s="564">
        <f t="shared" si="99"/>
        <v>7193561.55453486</v>
      </c>
      <c r="X100" s="775">
        <f t="shared" si="100"/>
        <v>47063.016395177794</v>
      </c>
      <c r="Y100" s="775">
        <v>45</v>
      </c>
      <c r="Z100" s="775">
        <f t="shared" si="101"/>
        <v>2117835.7377830008</v>
      </c>
      <c r="AA100" s="676">
        <f t="shared" si="102"/>
        <v>25414028.85339601</v>
      </c>
      <c r="AB100" s="480">
        <f t="shared" si="87"/>
        <v>25414028.85339601</v>
      </c>
      <c r="AC100" s="152">
        <f t="shared" si="103"/>
        <v>25414028.85339601</v>
      </c>
      <c r="AF100" s="776">
        <f t="shared" si="88"/>
        <v>47063.016395177794</v>
      </c>
      <c r="AG100" s="776">
        <f t="shared" si="89"/>
        <v>47063.016395177794</v>
      </c>
      <c r="AH100" s="777">
        <f t="shared" si="90"/>
        <v>0</v>
      </c>
    </row>
    <row r="101" spans="1:34">
      <c r="A101" s="152" t="s">
        <v>721</v>
      </c>
      <c r="B101" s="473">
        <v>125</v>
      </c>
      <c r="C101" s="152">
        <v>65</v>
      </c>
      <c r="D101" s="802">
        <f>ROUND(+C101*H$187,2)</f>
        <v>7.83</v>
      </c>
      <c r="E101" s="563">
        <f>'Schedule 2'!$H$15</f>
        <v>3.6488281070166551</v>
      </c>
      <c r="F101" s="563">
        <f>'Schedule 4'!$K40</f>
        <v>3.8991434236323066</v>
      </c>
      <c r="G101" s="940">
        <f t="shared" si="91"/>
        <v>15.377971530648962</v>
      </c>
      <c r="H101" s="1041">
        <f t="shared" si="92"/>
        <v>1053896.3344930853</v>
      </c>
      <c r="I101" s="1040">
        <v>15.345639241789549</v>
      </c>
      <c r="J101" s="773">
        <f t="shared" si="93"/>
        <v>2.1069365928638728E-3</v>
      </c>
      <c r="K101" s="480">
        <f>'Schedule 1'!H55</f>
        <v>5711.0714742872315</v>
      </c>
      <c r="L101" s="564">
        <f t="shared" si="94"/>
        <v>2216</v>
      </c>
      <c r="N101" s="774">
        <v>0.19500000000000001</v>
      </c>
      <c r="O101" s="774">
        <f t="shared" si="95"/>
        <v>1113.6589374860102</v>
      </c>
      <c r="P101" s="774"/>
      <c r="Q101" s="480"/>
      <c r="R101" s="564">
        <f t="shared" si="96"/>
        <v>536612.27572402824</v>
      </c>
      <c r="S101" s="564">
        <f t="shared" si="97"/>
        <v>250064.61739872355</v>
      </c>
      <c r="T101" s="564">
        <f t="shared" si="98"/>
        <v>267219.44137033343</v>
      </c>
      <c r="U101" s="564"/>
      <c r="V101" s="564">
        <f t="shared" si="99"/>
        <v>1053896.3344930853</v>
      </c>
      <c r="X101" s="775">
        <f t="shared" si="100"/>
        <v>5711.0714742872315</v>
      </c>
      <c r="Y101" s="775">
        <v>65</v>
      </c>
      <c r="Z101" s="775">
        <f t="shared" si="101"/>
        <v>371219.64582867007</v>
      </c>
      <c r="AA101" s="676">
        <f t="shared" si="102"/>
        <v>4454635.7499440406</v>
      </c>
      <c r="AB101" s="480">
        <f t="shared" si="87"/>
        <v>4454635.7499440406</v>
      </c>
      <c r="AC101" s="152">
        <f t="shared" si="103"/>
        <v>4454635.7499440406</v>
      </c>
      <c r="AF101" s="776">
        <f t="shared" si="88"/>
        <v>5711.0714742872315</v>
      </c>
      <c r="AG101" s="776">
        <f t="shared" si="89"/>
        <v>5711.0714742872315</v>
      </c>
      <c r="AH101" s="777">
        <f t="shared" si="90"/>
        <v>0</v>
      </c>
    </row>
    <row r="102" spans="1:34">
      <c r="A102" s="152" t="s">
        <v>949</v>
      </c>
      <c r="B102" s="473">
        <v>126</v>
      </c>
      <c r="C102" s="152">
        <v>99</v>
      </c>
      <c r="D102" s="802">
        <f>ROUND(+C102*H$196,2)-0.02</f>
        <v>9.24</v>
      </c>
      <c r="E102" s="563">
        <f>'Schedule 2'!$H$15*2</f>
        <v>7.2976562140333101</v>
      </c>
      <c r="F102" s="563">
        <f>'Schedule 4'!$K39</f>
        <v>3.678635591534714</v>
      </c>
      <c r="G102" s="940">
        <f t="shared" si="91"/>
        <v>20.216291805568027</v>
      </c>
      <c r="H102" s="1041">
        <f t="shared" si="92"/>
        <v>3626.9116475386263</v>
      </c>
      <c r="I102" s="1040">
        <v>19.665046785955521</v>
      </c>
      <c r="J102" s="773">
        <f t="shared" si="93"/>
        <v>2.8031716660150252E-2</v>
      </c>
      <c r="K102" s="480">
        <f>'Schedule 1'!H56</f>
        <v>14.950448885568669</v>
      </c>
      <c r="L102" s="564">
        <f t="shared" si="94"/>
        <v>99</v>
      </c>
      <c r="N102" s="774">
        <v>0.13500000000000001</v>
      </c>
      <c r="O102" s="774">
        <f t="shared" si="95"/>
        <v>2.0183105995517705</v>
      </c>
      <c r="P102" s="774">
        <f>+O102</f>
        <v>2.0183105995517705</v>
      </c>
      <c r="Q102" s="480"/>
      <c r="R102" s="564">
        <f t="shared" si="96"/>
        <v>1657.7057724318543</v>
      </c>
      <c r="S102" s="564">
        <f t="shared" si="97"/>
        <v>1309.2388345482909</v>
      </c>
      <c r="T102" s="564">
        <f t="shared" si="98"/>
        <v>659.9670405584809</v>
      </c>
      <c r="U102" s="564"/>
      <c r="V102" s="564">
        <f t="shared" si="99"/>
        <v>3626.9116475386263</v>
      </c>
      <c r="X102" s="775">
        <f t="shared" si="100"/>
        <v>14.950448885568669</v>
      </c>
      <c r="Y102" s="775">
        <v>150</v>
      </c>
      <c r="Z102" s="775">
        <f t="shared" si="101"/>
        <v>2242.5673328353005</v>
      </c>
      <c r="AA102" s="676">
        <f t="shared" si="102"/>
        <v>26910.807994023606</v>
      </c>
      <c r="AB102" s="480">
        <f t="shared" si="87"/>
        <v>26910.807994023606</v>
      </c>
      <c r="AC102" s="152">
        <f t="shared" si="103"/>
        <v>26910.807994023606</v>
      </c>
      <c r="AF102" s="776">
        <f t="shared" si="88"/>
        <v>14.950448885568669</v>
      </c>
      <c r="AG102" s="776">
        <f t="shared" si="89"/>
        <v>14.950448885568669</v>
      </c>
      <c r="AH102" s="777">
        <f t="shared" si="90"/>
        <v>0</v>
      </c>
    </row>
    <row r="103" spans="1:34" ht="15.75">
      <c r="B103" s="473"/>
      <c r="D103" s="802"/>
      <c r="E103" s="563"/>
      <c r="F103" s="563"/>
      <c r="G103" s="1042"/>
      <c r="H103" s="1041"/>
      <c r="I103" s="1051"/>
      <c r="J103" s="773"/>
      <c r="K103" s="480"/>
      <c r="L103" s="564"/>
      <c r="N103" s="774"/>
      <c r="O103" s="774"/>
      <c r="P103" s="774"/>
      <c r="X103" s="775"/>
      <c r="Y103" s="775"/>
      <c r="Z103" s="1019"/>
      <c r="AA103" s="1019"/>
      <c r="AB103" s="152">
        <f t="shared" si="87"/>
        <v>0</v>
      </c>
      <c r="AF103" s="776">
        <f t="shared" si="88"/>
        <v>0</v>
      </c>
      <c r="AG103" s="776">
        <f t="shared" si="89"/>
        <v>0</v>
      </c>
      <c r="AH103" s="777">
        <f t="shared" si="90"/>
        <v>0</v>
      </c>
    </row>
    <row r="104" spans="1:34">
      <c r="A104" s="152" t="s">
        <v>713</v>
      </c>
      <c r="B104" s="473">
        <v>221</v>
      </c>
      <c r="C104" s="152">
        <v>100</v>
      </c>
      <c r="D104" s="802">
        <f>+D97</f>
        <v>12.05</v>
      </c>
      <c r="E104" s="563">
        <f>'Schedule 2'!$H$15</f>
        <v>3.6488281070166551</v>
      </c>
      <c r="F104" s="563">
        <v>0</v>
      </c>
      <c r="G104" s="940">
        <f>SUM(D104:F104)</f>
        <v>15.698828107016656</v>
      </c>
      <c r="H104" s="1041">
        <f>G104*K104*12</f>
        <v>32107.579317852076</v>
      </c>
      <c r="I104" s="1040">
        <v>14.050794129899918</v>
      </c>
      <c r="J104" s="773">
        <f>+G104/I104-1</f>
        <v>0.11729116246958182</v>
      </c>
      <c r="K104" s="480">
        <f>'Schedule 1'!I51</f>
        <v>170.43511729548283</v>
      </c>
      <c r="L104" s="564">
        <f>ROUND((G104-I104)*K104*12,0)</f>
        <v>3371</v>
      </c>
      <c r="N104" s="774">
        <v>0.3</v>
      </c>
      <c r="O104" s="774">
        <f>K104*N104</f>
        <v>51.130535188644849</v>
      </c>
      <c r="P104" s="774"/>
      <c r="Q104" s="480"/>
      <c r="R104" s="564">
        <f>$D104*$K104*12</f>
        <v>24644.917960926818</v>
      </c>
      <c r="S104" s="564">
        <f>$E104*$K104*12</f>
        <v>7462.6613569252586</v>
      </c>
      <c r="T104" s="564">
        <f>$F104*$K104*12</f>
        <v>0</v>
      </c>
      <c r="U104" s="564"/>
      <c r="V104" s="564">
        <f>SUM(R104:T104)</f>
        <v>32107.579317852076</v>
      </c>
      <c r="X104" s="775">
        <f>+K104</f>
        <v>170.43511729548283</v>
      </c>
      <c r="Y104" s="775">
        <v>100</v>
      </c>
      <c r="Z104" s="775">
        <f>X104*Y104</f>
        <v>17043.511729548281</v>
      </c>
      <c r="AA104" s="676">
        <f>Z104*12</f>
        <v>204522.14075457939</v>
      </c>
      <c r="AB104" s="480">
        <f t="shared" si="87"/>
        <v>204522.14075457939</v>
      </c>
      <c r="AC104" s="152">
        <f>IF(T104&gt;0,AA104,0)</f>
        <v>0</v>
      </c>
      <c r="AF104" s="776">
        <f t="shared" si="88"/>
        <v>170.43511729548283</v>
      </c>
      <c r="AG104" s="776">
        <f t="shared" si="89"/>
        <v>0</v>
      </c>
      <c r="AH104" s="777">
        <f t="shared" si="90"/>
        <v>170.43511729548283</v>
      </c>
    </row>
    <row r="105" spans="1:34">
      <c r="A105" s="152" t="s">
        <v>717</v>
      </c>
      <c r="B105" s="473">
        <v>222</v>
      </c>
      <c r="C105" s="152">
        <v>32</v>
      </c>
      <c r="D105" s="802">
        <f>+D99</f>
        <v>3.8400000000000003</v>
      </c>
      <c r="E105" s="563">
        <f>'Schedule 2'!$H$15</f>
        <v>3.6488281070166551</v>
      </c>
      <c r="F105" s="563">
        <v>0</v>
      </c>
      <c r="G105" s="940">
        <f>SUM(D105:F105)</f>
        <v>7.4888281070166549</v>
      </c>
      <c r="H105" s="1041">
        <f>G105*K105*12</f>
        <v>23108.820953043774</v>
      </c>
      <c r="I105" s="1040">
        <v>6.5794541215679745</v>
      </c>
      <c r="J105" s="773">
        <f>+G105/I105-1</f>
        <v>0.13821419963514603</v>
      </c>
      <c r="K105" s="480">
        <f>'Schedule 1'!I53</f>
        <v>257.1477208317811</v>
      </c>
      <c r="L105" s="564">
        <f>ROUND((G105-I105)*K105*12,0)</f>
        <v>2806</v>
      </c>
      <c r="N105" s="774">
        <v>9.6000000000000002E-2</v>
      </c>
      <c r="O105" s="774">
        <f>K105*N105</f>
        <v>24.686181199850985</v>
      </c>
      <c r="P105" s="774"/>
      <c r="Q105" s="480"/>
      <c r="R105" s="564">
        <f>$D105*$K105*12</f>
        <v>11849.366975928473</v>
      </c>
      <c r="S105" s="564">
        <f>$E105*$K105*12</f>
        <v>11259.453977115301</v>
      </c>
      <c r="T105" s="564">
        <f>$F105*$K105*12</f>
        <v>0</v>
      </c>
      <c r="U105" s="564"/>
      <c r="V105" s="564">
        <f>SUM(R105:T105)</f>
        <v>23108.820953043774</v>
      </c>
      <c r="X105" s="775">
        <f>+K105</f>
        <v>257.1477208317811</v>
      </c>
      <c r="Y105" s="775">
        <v>32</v>
      </c>
      <c r="Z105" s="775">
        <f>X105*Y105</f>
        <v>8228.7270666169952</v>
      </c>
      <c r="AA105" s="676">
        <f>Z105*12</f>
        <v>98744.72479940395</v>
      </c>
      <c r="AB105" s="480">
        <f t="shared" si="87"/>
        <v>98744.72479940395</v>
      </c>
      <c r="AC105" s="152">
        <f>IF(T105&gt;0,AA105,0)</f>
        <v>0</v>
      </c>
      <c r="AF105" s="776">
        <f t="shared" si="88"/>
        <v>257.1477208317811</v>
      </c>
      <c r="AG105" s="776">
        <f t="shared" si="89"/>
        <v>0</v>
      </c>
      <c r="AH105" s="777">
        <f t="shared" si="90"/>
        <v>257.1477208317811</v>
      </c>
    </row>
    <row r="106" spans="1:34">
      <c r="A106" s="152" t="s">
        <v>719</v>
      </c>
      <c r="B106" s="473">
        <v>223</v>
      </c>
      <c r="C106" s="152">
        <v>45</v>
      </c>
      <c r="D106" s="802">
        <f>+D100</f>
        <v>5.41</v>
      </c>
      <c r="E106" s="563">
        <f>'Schedule 2'!$H$15</f>
        <v>3.6488281070166551</v>
      </c>
      <c r="F106" s="563">
        <v>0</v>
      </c>
      <c r="G106" s="940">
        <f>SUM(D106:F106)</f>
        <v>9.0588281070166552</v>
      </c>
      <c r="H106" s="1041">
        <f>G106*K106*12</f>
        <v>14626.823030327369</v>
      </c>
      <c r="I106" s="1040">
        <v>8.0073573584549642</v>
      </c>
      <c r="J106" s="773">
        <f>+G106/I106-1</f>
        <v>0.13131307889630328</v>
      </c>
      <c r="K106" s="480">
        <f>'Schedule 1'!I54</f>
        <v>134.554039970118</v>
      </c>
      <c r="L106" s="564">
        <f>ROUND((G106-I106)*K106*12,0)</f>
        <v>1698</v>
      </c>
      <c r="N106" s="774">
        <v>0.13500000000000001</v>
      </c>
      <c r="O106" s="774">
        <f>K106*N106</f>
        <v>18.164795395965932</v>
      </c>
      <c r="P106" s="774"/>
      <c r="Q106" s="480"/>
      <c r="R106" s="564">
        <f>$D106*$K106*12</f>
        <v>8735.2482748600596</v>
      </c>
      <c r="S106" s="564">
        <f>$E106*$K106*12</f>
        <v>5891.574755467308</v>
      </c>
      <c r="T106" s="564">
        <f>$F106*$K106*12</f>
        <v>0</v>
      </c>
      <c r="U106" s="564"/>
      <c r="V106" s="564">
        <f>SUM(R106:T106)</f>
        <v>14626.823030327367</v>
      </c>
      <c r="X106" s="775">
        <f>+K106</f>
        <v>134.554039970118</v>
      </c>
      <c r="Y106" s="775">
        <v>45</v>
      </c>
      <c r="Z106" s="775">
        <f>X106*Y106</f>
        <v>6054.9317986553096</v>
      </c>
      <c r="AA106" s="676">
        <f>Z106*12</f>
        <v>72659.181583863712</v>
      </c>
      <c r="AB106" s="480">
        <f t="shared" si="87"/>
        <v>72659.181583863712</v>
      </c>
      <c r="AC106" s="152">
        <f>IF(T106&gt;0,AA106,0)</f>
        <v>0</v>
      </c>
      <c r="AF106" s="776">
        <f t="shared" si="88"/>
        <v>134.554039970118</v>
      </c>
      <c r="AG106" s="776">
        <f t="shared" si="89"/>
        <v>0</v>
      </c>
      <c r="AH106" s="777">
        <f t="shared" si="90"/>
        <v>134.554039970118</v>
      </c>
    </row>
    <row r="107" spans="1:34">
      <c r="A107" s="152" t="s">
        <v>721</v>
      </c>
      <c r="B107" s="473">
        <v>224</v>
      </c>
      <c r="C107" s="152">
        <v>65</v>
      </c>
      <c r="D107" s="802">
        <f>+D101</f>
        <v>7.83</v>
      </c>
      <c r="E107" s="563">
        <f>'Schedule 2'!$H$15</f>
        <v>3.6488281070166551</v>
      </c>
      <c r="F107" s="563">
        <v>0</v>
      </c>
      <c r="G107" s="940">
        <f>SUM(D107:F107)</f>
        <v>11.478828107016655</v>
      </c>
      <c r="H107" s="1041">
        <f>G107*K107*12</f>
        <v>31576.908449953386</v>
      </c>
      <c r="I107" s="1040">
        <v>10.209516184434948</v>
      </c>
      <c r="J107" s="773">
        <f>+G107/I107-1</f>
        <v>0.12432635392819624</v>
      </c>
      <c r="K107" s="480">
        <f>'Schedule 1'!I55</f>
        <v>229.24021624538625</v>
      </c>
      <c r="L107" s="564">
        <f>ROUND((G107-I107)*K107*12,0)</f>
        <v>3492</v>
      </c>
      <c r="N107" s="774">
        <v>0.19500000000000001</v>
      </c>
      <c r="O107" s="774">
        <f>K107*N107</f>
        <v>44.701842167850323</v>
      </c>
      <c r="P107" s="774"/>
      <c r="Q107" s="480"/>
      <c r="R107" s="564">
        <f>$D107*$K107*12</f>
        <v>21539.410718416493</v>
      </c>
      <c r="S107" s="564">
        <f>$E107*$K107*12</f>
        <v>10037.497731536896</v>
      </c>
      <c r="T107" s="564">
        <f>$F107*$K107*12</f>
        <v>0</v>
      </c>
      <c r="U107" s="564"/>
      <c r="V107" s="564">
        <f>SUM(R107:T107)</f>
        <v>31576.908449953389</v>
      </c>
      <c r="X107" s="775">
        <f>+K107</f>
        <v>229.24021624538625</v>
      </c>
      <c r="Y107" s="775">
        <v>65</v>
      </c>
      <c r="Z107" s="775">
        <f>X107*Y107</f>
        <v>14900.614055950105</v>
      </c>
      <c r="AA107" s="676">
        <f>Z107*12</f>
        <v>178807.36867140126</v>
      </c>
      <c r="AB107" s="480">
        <f t="shared" si="87"/>
        <v>178807.36867140126</v>
      </c>
      <c r="AC107" s="152">
        <f>IF(T107&gt;0,AA107,0)</f>
        <v>0</v>
      </c>
      <c r="AF107" s="776">
        <f t="shared" si="88"/>
        <v>229.24021624538625</v>
      </c>
      <c r="AG107" s="776">
        <f t="shared" si="89"/>
        <v>0</v>
      </c>
      <c r="AH107" s="777">
        <f t="shared" si="90"/>
        <v>229.24021624538625</v>
      </c>
    </row>
    <row r="108" spans="1:34" ht="15.75">
      <c r="B108" s="473"/>
      <c r="D108" s="802"/>
      <c r="E108" s="563"/>
      <c r="F108" s="563"/>
      <c r="G108" s="1042"/>
      <c r="H108" s="1041"/>
      <c r="I108" s="1051"/>
      <c r="J108" s="773"/>
      <c r="K108" s="480"/>
      <c r="L108" s="564"/>
      <c r="N108" s="774"/>
      <c r="O108" s="774"/>
      <c r="P108" s="774"/>
      <c r="X108" s="775"/>
      <c r="Y108" s="775"/>
      <c r="Z108" s="1019"/>
      <c r="AA108" s="1019"/>
      <c r="AB108" s="152">
        <f t="shared" si="87"/>
        <v>0</v>
      </c>
      <c r="AF108" s="776">
        <f t="shared" si="88"/>
        <v>0</v>
      </c>
      <c r="AG108" s="776">
        <f t="shared" si="89"/>
        <v>0</v>
      </c>
      <c r="AH108" s="777">
        <f t="shared" si="90"/>
        <v>0</v>
      </c>
    </row>
    <row r="109" spans="1:34">
      <c r="A109" s="152" t="s">
        <v>713</v>
      </c>
      <c r="B109" s="473">
        <v>321</v>
      </c>
      <c r="C109" s="152">
        <v>100</v>
      </c>
      <c r="D109" s="802">
        <f>+D97</f>
        <v>12.05</v>
      </c>
      <c r="E109" s="563">
        <v>0</v>
      </c>
      <c r="F109" s="563">
        <v>0</v>
      </c>
      <c r="G109" s="940">
        <f t="shared" ref="G109:G114" si="104">SUM(D109:F109)</f>
        <v>12.05</v>
      </c>
      <c r="H109" s="1041">
        <f t="shared" ref="H109:H114" si="105">G109*K109*12</f>
        <v>244863.83400944245</v>
      </c>
      <c r="I109" s="1040">
        <v>10.970794129899918</v>
      </c>
      <c r="J109" s="773">
        <f t="shared" ref="J109:J114" si="106">+G109/I109-1</f>
        <v>9.8370806827812407E-2</v>
      </c>
      <c r="K109" s="480">
        <f>'Schedule 1'!J51</f>
        <v>1693.3875104387444</v>
      </c>
      <c r="L109" s="564">
        <f t="shared" ref="L109:L114" si="107">ROUND((G109-I109)*K109*12,0)</f>
        <v>21930</v>
      </c>
      <c r="N109" s="774">
        <v>0.3</v>
      </c>
      <c r="O109" s="774">
        <f t="shared" ref="O109:O114" si="108">K109*N109</f>
        <v>508.01625313162327</v>
      </c>
      <c r="P109" s="774"/>
      <c r="R109" s="564">
        <f t="shared" ref="R109:R114" si="109">$D109*$K109*12</f>
        <v>244863.83400944245</v>
      </c>
      <c r="S109" s="564">
        <f t="shared" ref="S109:S114" si="110">$E109*$K109*12</f>
        <v>0</v>
      </c>
      <c r="T109" s="564">
        <f t="shared" ref="T109:T114" si="111">$F109*$K109*12</f>
        <v>0</v>
      </c>
      <c r="U109" s="564"/>
      <c r="V109" s="564">
        <f t="shared" ref="V109:V114" si="112">SUM(R109:T109)</f>
        <v>244863.83400944245</v>
      </c>
      <c r="X109" s="775">
        <f t="shared" ref="X109:X114" si="113">+K109</f>
        <v>1693.3875104387444</v>
      </c>
      <c r="Y109" s="775">
        <v>100</v>
      </c>
      <c r="Z109" s="775">
        <f t="shared" ref="Z109:Z114" si="114">X109*Y109</f>
        <v>169338.75104387442</v>
      </c>
      <c r="AA109" s="676">
        <f t="shared" ref="AA109:AA114" si="115">Z109*12</f>
        <v>2032065.0125264931</v>
      </c>
      <c r="AB109" s="152">
        <f t="shared" si="87"/>
        <v>0</v>
      </c>
      <c r="AC109" s="152">
        <f t="shared" ref="AC109:AC114" si="116">IF(T109&gt;0,AA109,0)</f>
        <v>0</v>
      </c>
      <c r="AF109" s="776">
        <f t="shared" si="88"/>
        <v>0</v>
      </c>
      <c r="AG109" s="776">
        <f t="shared" si="89"/>
        <v>0</v>
      </c>
      <c r="AH109" s="777">
        <f t="shared" si="90"/>
        <v>0</v>
      </c>
    </row>
    <row r="110" spans="1:34">
      <c r="A110" s="152" t="s">
        <v>717</v>
      </c>
      <c r="B110" s="473">
        <v>322</v>
      </c>
      <c r="C110" s="152">
        <v>32</v>
      </c>
      <c r="D110" s="802">
        <f>+D99</f>
        <v>3.8400000000000003</v>
      </c>
      <c r="E110" s="563">
        <v>0</v>
      </c>
      <c r="F110" s="563">
        <v>0</v>
      </c>
      <c r="G110" s="940">
        <f t="shared" si="104"/>
        <v>3.8400000000000003</v>
      </c>
      <c r="H110" s="1041">
        <f t="shared" si="105"/>
        <v>290447.274247177</v>
      </c>
      <c r="I110" s="1040">
        <v>3.4994541215679744</v>
      </c>
      <c r="J110" s="773">
        <f t="shared" si="106"/>
        <v>9.7314000013076329E-2</v>
      </c>
      <c r="K110" s="480">
        <f>'Schedule 1'!J53</f>
        <v>6303.1092501557505</v>
      </c>
      <c r="L110" s="564">
        <f t="shared" si="107"/>
        <v>25758</v>
      </c>
      <c r="N110" s="774">
        <v>9.6000000000000002E-2</v>
      </c>
      <c r="O110" s="774">
        <f t="shared" si="108"/>
        <v>605.09848801495207</v>
      </c>
      <c r="P110" s="774"/>
      <c r="R110" s="564">
        <f t="shared" si="109"/>
        <v>290447.274247177</v>
      </c>
      <c r="S110" s="564">
        <f t="shared" si="110"/>
        <v>0</v>
      </c>
      <c r="T110" s="564">
        <f t="shared" si="111"/>
        <v>0</v>
      </c>
      <c r="U110" s="564"/>
      <c r="V110" s="564">
        <f t="shared" si="112"/>
        <v>290447.274247177</v>
      </c>
      <c r="X110" s="775">
        <f t="shared" si="113"/>
        <v>6303.1092501557505</v>
      </c>
      <c r="Y110" s="775">
        <v>32</v>
      </c>
      <c r="Z110" s="775">
        <f t="shared" si="114"/>
        <v>201699.49600498402</v>
      </c>
      <c r="AA110" s="676">
        <f t="shared" si="115"/>
        <v>2420393.9520598082</v>
      </c>
      <c r="AB110" s="152">
        <f t="shared" ref="AB110:AB135" si="117">IF(S110&gt;0,AA110,0)</f>
        <v>0</v>
      </c>
      <c r="AC110" s="152">
        <f t="shared" si="116"/>
        <v>0</v>
      </c>
      <c r="AF110" s="776">
        <f t="shared" ref="AF110:AF141" si="118">IF(S110&gt;0,X110,0)</f>
        <v>0</v>
      </c>
      <c r="AG110" s="776">
        <f t="shared" ref="AG110:AG141" si="119">IF(T110&gt;0,X110,0)</f>
        <v>0</v>
      </c>
      <c r="AH110" s="777">
        <f t="shared" si="90"/>
        <v>0</v>
      </c>
    </row>
    <row r="111" spans="1:34">
      <c r="A111" s="152" t="s">
        <v>719</v>
      </c>
      <c r="B111" s="473">
        <v>323</v>
      </c>
      <c r="C111" s="152">
        <v>45</v>
      </c>
      <c r="D111" s="802">
        <f>+D100</f>
        <v>5.41</v>
      </c>
      <c r="E111" s="563">
        <v>0</v>
      </c>
      <c r="F111" s="563">
        <v>0</v>
      </c>
      <c r="G111" s="940">
        <f t="shared" si="104"/>
        <v>5.41</v>
      </c>
      <c r="H111" s="1041">
        <f t="shared" si="105"/>
        <v>167199.12253509925</v>
      </c>
      <c r="I111" s="1040">
        <v>4.9273573584549641</v>
      </c>
      <c r="J111" s="773">
        <f t="shared" si="106"/>
        <v>9.7951621210679685E-2</v>
      </c>
      <c r="K111" s="480">
        <f>'Schedule 1'!J54</f>
        <v>2575.4639946872958</v>
      </c>
      <c r="L111" s="564">
        <f t="shared" si="107"/>
        <v>14916</v>
      </c>
      <c r="N111" s="774">
        <v>0.13500000000000001</v>
      </c>
      <c r="O111" s="774">
        <f t="shared" si="108"/>
        <v>347.68763928278497</v>
      </c>
      <c r="P111" s="774"/>
      <c r="R111" s="564">
        <f t="shared" si="109"/>
        <v>167199.12253509925</v>
      </c>
      <c r="S111" s="564">
        <f t="shared" si="110"/>
        <v>0</v>
      </c>
      <c r="T111" s="564">
        <f t="shared" si="111"/>
        <v>0</v>
      </c>
      <c r="U111" s="564"/>
      <c r="V111" s="564">
        <f t="shared" si="112"/>
        <v>167199.12253509925</v>
      </c>
      <c r="X111" s="775">
        <f t="shared" si="113"/>
        <v>2575.4639946872958</v>
      </c>
      <c r="Y111" s="775">
        <v>45</v>
      </c>
      <c r="Z111" s="775">
        <f t="shared" si="114"/>
        <v>115895.87976092831</v>
      </c>
      <c r="AA111" s="676">
        <f t="shared" si="115"/>
        <v>1390750.5571311396</v>
      </c>
      <c r="AB111" s="152">
        <f t="shared" si="117"/>
        <v>0</v>
      </c>
      <c r="AC111" s="152">
        <f t="shared" si="116"/>
        <v>0</v>
      </c>
      <c r="AF111" s="776">
        <f t="shared" si="118"/>
        <v>0</v>
      </c>
      <c r="AG111" s="776">
        <f t="shared" si="119"/>
        <v>0</v>
      </c>
      <c r="AH111" s="777">
        <f t="shared" si="90"/>
        <v>0</v>
      </c>
    </row>
    <row r="112" spans="1:34">
      <c r="A112" s="152" t="s">
        <v>721</v>
      </c>
      <c r="B112" s="473">
        <v>324</v>
      </c>
      <c r="C112" s="152">
        <v>65</v>
      </c>
      <c r="D112" s="802">
        <f>+D101</f>
        <v>7.83</v>
      </c>
      <c r="E112" s="563">
        <v>0</v>
      </c>
      <c r="F112" s="563">
        <v>0</v>
      </c>
      <c r="G112" s="940">
        <f t="shared" si="104"/>
        <v>7.83</v>
      </c>
      <c r="H112" s="1041">
        <f t="shared" si="105"/>
        <v>108914.49854573209</v>
      </c>
      <c r="I112" s="1040">
        <v>7.1295161844349479</v>
      </c>
      <c r="J112" s="773">
        <f t="shared" si="106"/>
        <v>9.8251241380773902E-2</v>
      </c>
      <c r="K112" s="480">
        <f>'Schedule 1'!J55</f>
        <v>1159.1581369277574</v>
      </c>
      <c r="L112" s="564">
        <f t="shared" si="107"/>
        <v>9744</v>
      </c>
      <c r="N112" s="774">
        <v>0.19500000000000001</v>
      </c>
      <c r="O112" s="774">
        <f t="shared" si="108"/>
        <v>226.03583670091268</v>
      </c>
      <c r="P112" s="774"/>
      <c r="R112" s="564">
        <f t="shared" si="109"/>
        <v>108914.49854573209</v>
      </c>
      <c r="S112" s="564">
        <f t="shared" si="110"/>
        <v>0</v>
      </c>
      <c r="T112" s="564">
        <f t="shared" si="111"/>
        <v>0</v>
      </c>
      <c r="U112" s="564"/>
      <c r="V112" s="564">
        <f t="shared" si="112"/>
        <v>108914.49854573209</v>
      </c>
      <c r="X112" s="775">
        <f t="shared" si="113"/>
        <v>1159.1581369277574</v>
      </c>
      <c r="Y112" s="775">
        <v>65</v>
      </c>
      <c r="Z112" s="775">
        <f t="shared" si="114"/>
        <v>75345.278900304227</v>
      </c>
      <c r="AA112" s="676">
        <f t="shared" si="115"/>
        <v>904143.34680365073</v>
      </c>
      <c r="AB112" s="152">
        <f t="shared" si="117"/>
        <v>0</v>
      </c>
      <c r="AC112" s="152">
        <f t="shared" si="116"/>
        <v>0</v>
      </c>
      <c r="AF112" s="776">
        <f t="shared" si="118"/>
        <v>0</v>
      </c>
      <c r="AG112" s="776">
        <f t="shared" si="119"/>
        <v>0</v>
      </c>
      <c r="AH112" s="777">
        <f t="shared" si="90"/>
        <v>0</v>
      </c>
    </row>
    <row r="113" spans="1:34">
      <c r="A113" s="152" t="s">
        <v>715</v>
      </c>
      <c r="B113" s="473">
        <v>326</v>
      </c>
      <c r="C113" s="152">
        <v>150</v>
      </c>
      <c r="D113" s="802">
        <f>+D98</f>
        <v>18.07</v>
      </c>
      <c r="E113" s="563">
        <v>0</v>
      </c>
      <c r="F113" s="563">
        <v>0</v>
      </c>
      <c r="G113" s="940">
        <f t="shared" si="104"/>
        <v>18.07</v>
      </c>
      <c r="H113" s="1041">
        <f t="shared" si="105"/>
        <v>19235.00832899048</v>
      </c>
      <c r="I113" s="1040">
        <v>16.45119119484988</v>
      </c>
      <c r="J113" s="773">
        <f t="shared" si="106"/>
        <v>9.8400704604107769E-2</v>
      </c>
      <c r="K113" s="480">
        <f>'Schedule 1'!J52</f>
        <v>88.705996721040762</v>
      </c>
      <c r="L113" s="564">
        <f t="shared" si="107"/>
        <v>1723</v>
      </c>
      <c r="N113" s="774">
        <v>0.45</v>
      </c>
      <c r="O113" s="774">
        <f t="shared" si="108"/>
        <v>39.917698524468342</v>
      </c>
      <c r="P113" s="774"/>
      <c r="R113" s="564">
        <f t="shared" si="109"/>
        <v>19235.00832899048</v>
      </c>
      <c r="S113" s="564">
        <f t="shared" si="110"/>
        <v>0</v>
      </c>
      <c r="T113" s="564">
        <f t="shared" si="111"/>
        <v>0</v>
      </c>
      <c r="U113" s="564"/>
      <c r="V113" s="564">
        <f t="shared" si="112"/>
        <v>19235.00832899048</v>
      </c>
      <c r="X113" s="775">
        <f t="shared" si="113"/>
        <v>88.705996721040762</v>
      </c>
      <c r="Y113" s="775">
        <v>150</v>
      </c>
      <c r="Z113" s="775">
        <f t="shared" si="114"/>
        <v>13305.899508156115</v>
      </c>
      <c r="AA113" s="676">
        <f t="shared" si="115"/>
        <v>159670.79409787338</v>
      </c>
      <c r="AB113" s="152">
        <f t="shared" si="117"/>
        <v>0</v>
      </c>
      <c r="AC113" s="152">
        <f t="shared" si="116"/>
        <v>0</v>
      </c>
      <c r="AF113" s="776">
        <f t="shared" si="118"/>
        <v>0</v>
      </c>
      <c r="AG113" s="776">
        <f t="shared" si="119"/>
        <v>0</v>
      </c>
      <c r="AH113" s="777">
        <f t="shared" si="90"/>
        <v>0</v>
      </c>
    </row>
    <row r="114" spans="1:34">
      <c r="A114" s="152" t="s">
        <v>723</v>
      </c>
      <c r="B114" s="473">
        <v>327</v>
      </c>
      <c r="C114" s="152">
        <v>183</v>
      </c>
      <c r="D114" s="802">
        <f>ROUND(+C114*H$187,2)+0.01</f>
        <v>22.05</v>
      </c>
      <c r="E114" s="563">
        <v>0</v>
      </c>
      <c r="F114" s="563">
        <v>0</v>
      </c>
      <c r="G114" s="940">
        <f t="shared" si="104"/>
        <v>22.05</v>
      </c>
      <c r="H114" s="1041">
        <f t="shared" si="105"/>
        <v>791.17775502429402</v>
      </c>
      <c r="I114" s="1040">
        <v>20.081253257716856</v>
      </c>
      <c r="J114" s="773">
        <f t="shared" si="106"/>
        <v>9.8039037554919162E-2</v>
      </c>
      <c r="K114" s="480">
        <f>'Schedule 1'!J57</f>
        <v>2.9900897771137336</v>
      </c>
      <c r="L114" s="564">
        <f t="shared" si="107"/>
        <v>71</v>
      </c>
      <c r="N114" s="774">
        <v>0.55000000000000004</v>
      </c>
      <c r="O114" s="774">
        <f t="shared" si="108"/>
        <v>1.6445493774125537</v>
      </c>
      <c r="P114" s="774"/>
      <c r="R114" s="564">
        <f t="shared" si="109"/>
        <v>791.17775502429402</v>
      </c>
      <c r="S114" s="564">
        <f t="shared" si="110"/>
        <v>0</v>
      </c>
      <c r="T114" s="564">
        <f t="shared" si="111"/>
        <v>0</v>
      </c>
      <c r="U114" s="564"/>
      <c r="V114" s="564">
        <f t="shared" si="112"/>
        <v>791.17775502429402</v>
      </c>
      <c r="X114" s="775">
        <f t="shared" si="113"/>
        <v>2.9900897771137336</v>
      </c>
      <c r="Y114" s="775">
        <v>183</v>
      </c>
      <c r="Z114" s="775">
        <f t="shared" si="114"/>
        <v>547.18642921181322</v>
      </c>
      <c r="AA114" s="676">
        <f t="shared" si="115"/>
        <v>6566.2371505417586</v>
      </c>
      <c r="AB114" s="152">
        <f t="shared" si="117"/>
        <v>0</v>
      </c>
      <c r="AC114" s="152">
        <f t="shared" si="116"/>
        <v>0</v>
      </c>
      <c r="AF114" s="776">
        <f t="shared" si="118"/>
        <v>0</v>
      </c>
      <c r="AG114" s="776">
        <f t="shared" si="119"/>
        <v>0</v>
      </c>
      <c r="AH114" s="777">
        <f t="shared" si="90"/>
        <v>0</v>
      </c>
    </row>
    <row r="115" spans="1:34" ht="15.75">
      <c r="B115" s="473"/>
      <c r="D115" s="802"/>
      <c r="E115" s="563"/>
      <c r="F115" s="563"/>
      <c r="G115" s="1042"/>
      <c r="H115" s="1047"/>
      <c r="I115" s="1051"/>
      <c r="J115" s="773"/>
      <c r="K115" s="554"/>
      <c r="L115" s="564"/>
      <c r="N115" s="774"/>
      <c r="O115" s="774"/>
      <c r="P115" s="774"/>
      <c r="R115" s="564"/>
      <c r="S115" s="564"/>
      <c r="T115" s="564"/>
      <c r="U115" s="564"/>
      <c r="V115" s="564"/>
      <c r="X115" s="775"/>
      <c r="Y115" s="775"/>
      <c r="Z115" s="775"/>
      <c r="AA115" s="676"/>
      <c r="AB115" s="152">
        <f t="shared" si="117"/>
        <v>0</v>
      </c>
      <c r="AF115" s="776">
        <f t="shared" si="118"/>
        <v>0</v>
      </c>
      <c r="AG115" s="776">
        <f t="shared" si="119"/>
        <v>0</v>
      </c>
      <c r="AH115" s="777">
        <f t="shared" si="90"/>
        <v>0</v>
      </c>
    </row>
    <row r="116" spans="1:34" s="558" customFormat="1">
      <c r="A116" s="558" t="s">
        <v>724</v>
      </c>
      <c r="B116" s="457">
        <v>328</v>
      </c>
      <c r="C116" s="558">
        <v>363</v>
      </c>
      <c r="D116" s="802">
        <f>ROUND(+C116*H$187,2)+0.01</f>
        <v>43.739999999999995</v>
      </c>
      <c r="E116" s="442">
        <v>0</v>
      </c>
      <c r="F116" s="442">
        <v>0</v>
      </c>
      <c r="G116" s="948">
        <f>SUM(D116:F116)</f>
        <v>43.739999999999995</v>
      </c>
      <c r="H116" s="1053">
        <f>G116*K116*12</f>
        <v>8370.3377184611018</v>
      </c>
      <c r="I116" s="1040">
        <v>39.830682691536708</v>
      </c>
      <c r="J116" s="731">
        <f>+G116/I116-1</f>
        <v>9.8148388234730044E-2</v>
      </c>
      <c r="K116" s="559">
        <f>'Schedule 1'!J58</f>
        <v>15.947145477939912</v>
      </c>
      <c r="L116" s="565">
        <f>ROUND((G116-I116)*K116*12,0)</f>
        <v>748</v>
      </c>
      <c r="N116" s="1046">
        <v>1.0900000000000001</v>
      </c>
      <c r="O116" s="1046">
        <f>K116*N116</f>
        <v>17.382388570954507</v>
      </c>
      <c r="P116" s="1046"/>
      <c r="R116" s="565">
        <f>$D116*$K116*12</f>
        <v>8370.3377184611018</v>
      </c>
      <c r="S116" s="565">
        <f>$E116*$K116*12</f>
        <v>0</v>
      </c>
      <c r="T116" s="565">
        <f>$F116*$K116*12</f>
        <v>0</v>
      </c>
      <c r="U116" s="565"/>
      <c r="V116" s="565">
        <f>SUM(R116:T116)</f>
        <v>8370.3377184611018</v>
      </c>
      <c r="X116" s="440">
        <f>+K116</f>
        <v>15.947145477939912</v>
      </c>
      <c r="Y116" s="440">
        <v>183</v>
      </c>
      <c r="Z116" s="440">
        <f>X116*Y116</f>
        <v>2918.327622463004</v>
      </c>
      <c r="AA116" s="460">
        <f>Z116*12</f>
        <v>35019.931469556046</v>
      </c>
      <c r="AB116" s="558">
        <f t="shared" si="117"/>
        <v>0</v>
      </c>
      <c r="AC116" s="558">
        <f>IF(T116&gt;0,AA116,0)</f>
        <v>0</v>
      </c>
      <c r="AF116" s="1054">
        <f t="shared" si="118"/>
        <v>0</v>
      </c>
      <c r="AG116" s="1054">
        <f t="shared" si="119"/>
        <v>0</v>
      </c>
      <c r="AH116" s="1055">
        <f t="shared" si="90"/>
        <v>0</v>
      </c>
    </row>
    <row r="117" spans="1:34" s="558" customFormat="1">
      <c r="A117" s="558" t="s">
        <v>950</v>
      </c>
      <c r="B117" s="457">
        <v>329</v>
      </c>
      <c r="C117" s="558">
        <f>(1.5*4000)/12</f>
        <v>500</v>
      </c>
      <c r="D117" s="802">
        <f>ROUND(+C117*H$187,2)</f>
        <v>60.23</v>
      </c>
      <c r="E117" s="442">
        <v>0</v>
      </c>
      <c r="F117" s="442">
        <v>0</v>
      </c>
      <c r="G117" s="948">
        <f>SUM(D117:F117)</f>
        <v>60.23</v>
      </c>
      <c r="H117" s="1053">
        <f>G117*K117*12</f>
        <v>720.37242910224063</v>
      </c>
      <c r="I117" s="1040">
        <v>54.843970649499596</v>
      </c>
      <c r="J117" s="731">
        <f>+G117/I117-1</f>
        <v>9.8206407864262601E-2</v>
      </c>
      <c r="K117" s="560">
        <f>'Schedule 1'!J59</f>
        <v>0.99669659237124453</v>
      </c>
      <c r="L117" s="566">
        <f>ROUND((G117-I117)*K117*12,0)</f>
        <v>64</v>
      </c>
      <c r="N117" s="1046">
        <v>1.0900000000000001</v>
      </c>
      <c r="O117" s="1046">
        <f>K117*N117</f>
        <v>1.0863992856846567</v>
      </c>
      <c r="P117" s="1046"/>
      <c r="R117" s="565">
        <f>$D117*$K117*12</f>
        <v>720.37242910224063</v>
      </c>
      <c r="S117" s="565">
        <f>$E117*$K117*12</f>
        <v>0</v>
      </c>
      <c r="T117" s="565">
        <f>$F117*$K117*12</f>
        <v>0</v>
      </c>
      <c r="U117" s="565"/>
      <c r="V117" s="565">
        <f>SUM(R117:T117)</f>
        <v>720.37242910224063</v>
      </c>
      <c r="X117" s="440">
        <f>+K117</f>
        <v>0.99669659237124453</v>
      </c>
      <c r="Y117" s="440">
        <v>183</v>
      </c>
      <c r="Z117" s="440">
        <f>X117*Y117</f>
        <v>182.39547640393775</v>
      </c>
      <c r="AA117" s="460">
        <f>Z117*12</f>
        <v>2188.7457168472529</v>
      </c>
      <c r="AB117" s="558">
        <f t="shared" si="117"/>
        <v>0</v>
      </c>
      <c r="AC117" s="558">
        <f>IF(T117&gt;0,AA117,0)</f>
        <v>0</v>
      </c>
      <c r="AF117" s="1054">
        <f t="shared" si="118"/>
        <v>0</v>
      </c>
      <c r="AG117" s="1054">
        <f t="shared" si="119"/>
        <v>0</v>
      </c>
      <c r="AH117" s="1055">
        <f t="shared" si="90"/>
        <v>0</v>
      </c>
    </row>
    <row r="118" spans="1:34" ht="15.75">
      <c r="A118" s="1056"/>
      <c r="B118" s="473"/>
      <c r="D118" s="802"/>
      <c r="E118" s="563"/>
      <c r="F118" s="563"/>
      <c r="G118" s="1042"/>
      <c r="H118" s="1041">
        <f>SUM(H97:H117)</f>
        <v>17020271.282291129</v>
      </c>
      <c r="I118" s="1051"/>
      <c r="J118" s="773"/>
      <c r="K118" s="480">
        <f>SUM(K97:K117)</f>
        <v>115000.84622097891</v>
      </c>
      <c r="L118" s="564">
        <f>SUM(L97:L116)</f>
        <v>-433829</v>
      </c>
      <c r="N118" s="774"/>
      <c r="O118" s="774"/>
      <c r="P118" s="774"/>
      <c r="X118" s="775"/>
      <c r="Y118" s="775"/>
      <c r="Z118" s="1019"/>
      <c r="AA118" s="1019"/>
      <c r="AB118" s="152">
        <f t="shared" si="117"/>
        <v>0</v>
      </c>
      <c r="AF118" s="776">
        <f t="shared" si="118"/>
        <v>0</v>
      </c>
      <c r="AG118" s="776">
        <f t="shared" si="119"/>
        <v>0</v>
      </c>
      <c r="AH118" s="777">
        <f t="shared" si="90"/>
        <v>0</v>
      </c>
    </row>
    <row r="119" spans="1:34" ht="15.75">
      <c r="B119" s="473"/>
      <c r="D119" s="558"/>
      <c r="E119" s="563" t="s">
        <v>951</v>
      </c>
      <c r="F119" s="563"/>
      <c r="G119" s="1042"/>
      <c r="H119" s="1041"/>
      <c r="I119" s="1043"/>
      <c r="N119" s="774"/>
      <c r="O119" s="774"/>
      <c r="P119" s="774"/>
      <c r="X119" s="775">
        <f>SUM(X97:X118)</f>
        <v>115000.84622097891</v>
      </c>
      <c r="Y119" s="775"/>
      <c r="Z119" s="775">
        <f>SUM(Z97:Z118)</f>
        <v>5510417.5130076446</v>
      </c>
      <c r="AA119" s="609">
        <f>SUM(AA97:AA118)</f>
        <v>66125010.156091727</v>
      </c>
      <c r="AB119" s="152">
        <f t="shared" si="117"/>
        <v>0</v>
      </c>
      <c r="AF119" s="776">
        <f t="shared" si="118"/>
        <v>0</v>
      </c>
      <c r="AG119" s="776">
        <f t="shared" si="119"/>
        <v>0</v>
      </c>
      <c r="AH119" s="777">
        <f t="shared" si="90"/>
        <v>0</v>
      </c>
    </row>
    <row r="120" spans="1:34" ht="15.75">
      <c r="A120" s="548" t="s">
        <v>952</v>
      </c>
      <c r="B120" s="497"/>
      <c r="D120" s="558"/>
      <c r="E120" s="563"/>
      <c r="F120" s="563"/>
      <c r="G120" s="1042"/>
      <c r="H120" s="1041"/>
      <c r="I120" s="1043"/>
      <c r="N120" s="774"/>
      <c r="O120" s="774"/>
      <c r="P120" s="774"/>
      <c r="X120" s="775"/>
      <c r="Y120" s="775"/>
      <c r="Z120" s="1019"/>
      <c r="AA120" s="1019"/>
      <c r="AB120" s="152">
        <f t="shared" si="117"/>
        <v>0</v>
      </c>
      <c r="AF120" s="776">
        <f t="shared" si="118"/>
        <v>0</v>
      </c>
      <c r="AG120" s="776">
        <f t="shared" si="119"/>
        <v>0</v>
      </c>
      <c r="AH120" s="777">
        <f t="shared" si="90"/>
        <v>0</v>
      </c>
    </row>
    <row r="121" spans="1:34" ht="15.75">
      <c r="B121" s="473"/>
      <c r="D121" s="558"/>
      <c r="E121" s="563"/>
      <c r="F121" s="563"/>
      <c r="G121" s="1042"/>
      <c r="H121" s="1041"/>
      <c r="I121" s="1043"/>
      <c r="N121" s="774"/>
      <c r="O121" s="774"/>
      <c r="P121" s="774"/>
      <c r="X121" s="775"/>
      <c r="Y121" s="775"/>
      <c r="Z121" s="1019"/>
      <c r="AA121" s="1019"/>
      <c r="AB121" s="152">
        <f t="shared" si="117"/>
        <v>0</v>
      </c>
      <c r="AF121" s="776">
        <f t="shared" si="118"/>
        <v>0</v>
      </c>
      <c r="AG121" s="776">
        <f t="shared" si="119"/>
        <v>0</v>
      </c>
      <c r="AH121" s="777">
        <f t="shared" si="90"/>
        <v>0</v>
      </c>
    </row>
    <row r="122" spans="1:34">
      <c r="A122" s="152" t="s">
        <v>731</v>
      </c>
      <c r="B122" s="473">
        <v>140</v>
      </c>
      <c r="C122" s="152">
        <v>150</v>
      </c>
      <c r="D122" s="802">
        <f>ROUND(+C122*H$187,2)</f>
        <v>18.07</v>
      </c>
      <c r="E122" s="563">
        <f>+'Schedule 2'!H17</f>
        <v>5.8381249712266481</v>
      </c>
      <c r="F122" s="563">
        <f>'Schedule 4'!$K48</f>
        <v>4.6311474669481338</v>
      </c>
      <c r="G122" s="940">
        <f>SUM(D122:F122)</f>
        <v>28.539272438174784</v>
      </c>
      <c r="H122" s="1041">
        <f>G122*K122*12</f>
        <v>448862.03037679981</v>
      </c>
      <c r="I122" s="1040">
        <v>28.001995782204478</v>
      </c>
      <c r="J122" s="773">
        <f>+G122/I122-1</f>
        <v>1.9187084383169184E-2</v>
      </c>
      <c r="K122" s="480">
        <f>'Schedule 1'!H67</f>
        <v>1310.6560189681866</v>
      </c>
      <c r="L122" s="564">
        <f>ROUND((G122-I122)*K122*12,0)</f>
        <v>8450</v>
      </c>
      <c r="N122" s="774">
        <v>0.45</v>
      </c>
      <c r="O122" s="774">
        <f>K122*N122</f>
        <v>589.79520853568397</v>
      </c>
      <c r="P122" s="774"/>
      <c r="Q122" s="480"/>
      <c r="R122" s="564">
        <f>$D122*$K122*12</f>
        <v>284202.6511530616</v>
      </c>
      <c r="S122" s="564">
        <f>$E122*$K122*12</f>
        <v>91821.283596320121</v>
      </c>
      <c r="T122" s="564">
        <f>$F122*$K122*12</f>
        <v>72838.095627418108</v>
      </c>
      <c r="U122" s="564"/>
      <c r="V122" s="564">
        <f>SUM(R122:T122)</f>
        <v>448862.03037679987</v>
      </c>
      <c r="X122" s="775">
        <f>+K122</f>
        <v>1310.6560189681866</v>
      </c>
      <c r="Y122" s="775">
        <v>150</v>
      </c>
      <c r="Z122" s="775">
        <f>X122*Y122</f>
        <v>196598.40284522797</v>
      </c>
      <c r="AA122" s="676">
        <f>Z122*12</f>
        <v>2359180.8341427357</v>
      </c>
      <c r="AB122" s="480">
        <f t="shared" si="117"/>
        <v>2359180.8341427357</v>
      </c>
      <c r="AC122" s="152">
        <f>IF(T122&gt;0,AA122,0)</f>
        <v>2359180.8341427357</v>
      </c>
      <c r="AF122" s="776">
        <f t="shared" si="118"/>
        <v>1310.6560189681866</v>
      </c>
      <c r="AG122" s="776">
        <f t="shared" si="119"/>
        <v>1310.6560189681866</v>
      </c>
      <c r="AH122" s="777">
        <f t="shared" si="90"/>
        <v>0</v>
      </c>
    </row>
    <row r="123" spans="1:34">
      <c r="A123" s="152" t="s">
        <v>733</v>
      </c>
      <c r="B123" s="473">
        <v>141</v>
      </c>
      <c r="C123" s="152">
        <v>360</v>
      </c>
      <c r="D123" s="802">
        <f>ROUND(+C123*H$187,2)</f>
        <v>43.37</v>
      </c>
      <c r="E123" s="945">
        <f>'Schedule 2'!$H18</f>
        <v>8.7571874568399721</v>
      </c>
      <c r="F123" s="945">
        <f>'Schedule 4'!$K49</f>
        <v>6.8383338550968018</v>
      </c>
      <c r="G123" s="940">
        <f>SUM(D123:F123)</f>
        <v>58.965521311936769</v>
      </c>
      <c r="H123" s="1041">
        <f>G123*K123*12</f>
        <v>691849.0825197642</v>
      </c>
      <c r="I123" s="1040">
        <v>56.512835319994316</v>
      </c>
      <c r="J123" s="773">
        <f>+G123/I123-1</f>
        <v>4.3400512079327491E-2</v>
      </c>
      <c r="K123" s="480">
        <f>'Schedule 1'!H68</f>
        <v>977.75935711619093</v>
      </c>
      <c r="L123" s="564">
        <f>ROUND((G123-I123)*K123*12,0)</f>
        <v>28778</v>
      </c>
      <c r="N123" s="774">
        <v>1.08</v>
      </c>
      <c r="O123" s="774">
        <f>K123*N123</f>
        <v>1055.9801056854863</v>
      </c>
      <c r="P123" s="774"/>
      <c r="Q123" s="480"/>
      <c r="R123" s="564">
        <f>$D123*$K123*12</f>
        <v>508865.07981755037</v>
      </c>
      <c r="S123" s="564">
        <f>$E123*$K123*12</f>
        <v>102749.06373534986</v>
      </c>
      <c r="T123" s="564">
        <f>$F123*$K123*12</f>
        <v>80234.938966863992</v>
      </c>
      <c r="U123" s="564"/>
      <c r="V123" s="564">
        <f>SUM(R123:T123)</f>
        <v>691849.08251976431</v>
      </c>
      <c r="X123" s="775">
        <f>+K123</f>
        <v>977.75935711619093</v>
      </c>
      <c r="Y123" s="440">
        <v>360</v>
      </c>
      <c r="Z123" s="775">
        <f>X123*Y123</f>
        <v>351993.36856182874</v>
      </c>
      <c r="AA123" s="676">
        <f>Z123*12</f>
        <v>4223920.4227419449</v>
      </c>
      <c r="AB123" s="480">
        <f t="shared" si="117"/>
        <v>4223920.4227419449</v>
      </c>
      <c r="AC123" s="152">
        <f>IF(T123&gt;0,AA123,0)</f>
        <v>4223920.4227419449</v>
      </c>
      <c r="AF123" s="776">
        <f t="shared" si="118"/>
        <v>977.75935711619093</v>
      </c>
      <c r="AG123" s="776">
        <f t="shared" si="119"/>
        <v>977.75935711619093</v>
      </c>
      <c r="AH123" s="777">
        <f t="shared" si="90"/>
        <v>0</v>
      </c>
    </row>
    <row r="124" spans="1:34">
      <c r="A124" s="152" t="s">
        <v>735</v>
      </c>
      <c r="B124" s="473">
        <v>142</v>
      </c>
      <c r="C124" s="152">
        <v>100</v>
      </c>
      <c r="D124" s="802">
        <f>ROUND(+C124*H$187,2)</f>
        <v>12.05</v>
      </c>
      <c r="E124" s="563">
        <f>+'Schedule 2'!H16</f>
        <v>8.7571874568399721</v>
      </c>
      <c r="F124" s="563">
        <f>'Schedule 4'!$K47</f>
        <v>4.5567241833649401</v>
      </c>
      <c r="G124" s="940">
        <f>SUM(D124:F124)</f>
        <v>25.363911640204911</v>
      </c>
      <c r="H124" s="1041">
        <f>G124*K124*12</f>
        <v>33066.402585704825</v>
      </c>
      <c r="I124" s="1040">
        <v>24.900633502254518</v>
      </c>
      <c r="J124" s="773">
        <f>+G124/I124-1</f>
        <v>1.8605074361198293E-2</v>
      </c>
      <c r="K124" s="480">
        <f>'Schedule 1'!H69</f>
        <v>108.63992856846565</v>
      </c>
      <c r="L124" s="564">
        <f>ROUND((G124-I124)*K124*12,0)</f>
        <v>604</v>
      </c>
      <c r="N124" s="774">
        <v>0.3</v>
      </c>
      <c r="O124" s="774">
        <f>K124*N124</f>
        <v>32.591978570539695</v>
      </c>
      <c r="P124" s="774"/>
      <c r="Q124" s="480"/>
      <c r="R124" s="564">
        <f>$D124*$K124*12</f>
        <v>15709.333671000133</v>
      </c>
      <c r="S124" s="564">
        <f>$E124*$K124*12</f>
        <v>11416.562637261095</v>
      </c>
      <c r="T124" s="564">
        <f>$F124*$K124*12</f>
        <v>5940.5062774436046</v>
      </c>
      <c r="U124" s="564"/>
      <c r="V124" s="564">
        <f>SUM(R124:T124)</f>
        <v>33066.402585704833</v>
      </c>
      <c r="X124" s="775">
        <f>+K124</f>
        <v>108.63992856846565</v>
      </c>
      <c r="Y124" s="775">
        <v>100</v>
      </c>
      <c r="Z124" s="775">
        <f>X124*Y124</f>
        <v>10863.992856846566</v>
      </c>
      <c r="AA124" s="676">
        <f>Z124*12</f>
        <v>130367.91428215879</v>
      </c>
      <c r="AB124" s="480">
        <f t="shared" si="117"/>
        <v>130367.91428215879</v>
      </c>
      <c r="AC124" s="152">
        <f>IF(T124&gt;0,AA124,0)</f>
        <v>130367.91428215879</v>
      </c>
      <c r="AF124" s="776">
        <f t="shared" si="118"/>
        <v>108.63992856846565</v>
      </c>
      <c r="AG124" s="776">
        <f t="shared" si="119"/>
        <v>108.63992856846565</v>
      </c>
      <c r="AH124" s="777">
        <f t="shared" si="90"/>
        <v>0</v>
      </c>
    </row>
    <row r="125" spans="1:34" ht="15.75">
      <c r="B125" s="473"/>
      <c r="D125" s="802"/>
      <c r="E125" s="945"/>
      <c r="F125" s="945"/>
      <c r="G125" s="1057"/>
      <c r="H125" s="1058"/>
      <c r="I125" s="1051"/>
      <c r="J125" s="773"/>
      <c r="K125" s="480"/>
      <c r="L125" s="564"/>
      <c r="N125" s="774"/>
      <c r="O125" s="774"/>
      <c r="P125" s="774"/>
      <c r="X125" s="775"/>
      <c r="Y125" s="775"/>
      <c r="Z125" s="1019"/>
      <c r="AA125" s="1019"/>
      <c r="AB125" s="152">
        <f t="shared" si="117"/>
        <v>0</v>
      </c>
      <c r="AF125" s="776">
        <f t="shared" si="118"/>
        <v>0</v>
      </c>
      <c r="AG125" s="776">
        <f t="shared" si="119"/>
        <v>0</v>
      </c>
      <c r="AH125" s="777">
        <f t="shared" si="90"/>
        <v>0</v>
      </c>
    </row>
    <row r="126" spans="1:34">
      <c r="A126" s="558" t="s">
        <v>736</v>
      </c>
      <c r="B126" s="457">
        <v>143</v>
      </c>
      <c r="C126" s="558">
        <v>67</v>
      </c>
      <c r="D126" s="802">
        <f>ROUND(+C126*H$187,2)-0.01</f>
        <v>8.06</v>
      </c>
      <c r="E126" s="802">
        <f>+'Schedule 2'!H16</f>
        <v>8.7571874568399721</v>
      </c>
      <c r="F126" s="802">
        <f>+'Schedule 4'!K47</f>
        <v>4.5567241833649401</v>
      </c>
      <c r="G126" s="940">
        <f>SUM(D126:F126)</f>
        <v>21.373911640204916</v>
      </c>
      <c r="H126" s="1053">
        <f>G126*K126*12</f>
        <v>1022.5586350769433</v>
      </c>
      <c r="I126" s="1040">
        <v>21.270571439387545</v>
      </c>
      <c r="J126" s="731">
        <f>+G126/I126-1</f>
        <v>4.8583650473070783E-3</v>
      </c>
      <c r="K126" s="559">
        <f>'Schedule 1'!H70</f>
        <v>3.9867863694849781</v>
      </c>
      <c r="L126" s="565">
        <f>ROUND((G126-I126)*K126*12,0)</f>
        <v>5</v>
      </c>
      <c r="M126" s="558"/>
      <c r="N126" s="1046">
        <v>0.2</v>
      </c>
      <c r="O126" s="1059">
        <f>K126*N126</f>
        <v>0.79735727389699562</v>
      </c>
      <c r="P126" s="1050"/>
      <c r="Q126" s="480"/>
      <c r="R126" s="565">
        <f>$D126*$K126*12</f>
        <v>385.60197765658711</v>
      </c>
      <c r="S126" s="565">
        <f>$E126*$K126*12</f>
        <v>418.95642705545299</v>
      </c>
      <c r="T126" s="565">
        <f>$F126*$K126*12</f>
        <v>218.00023036490293</v>
      </c>
      <c r="U126" s="565"/>
      <c r="V126" s="565">
        <f>SUM(R126:T126)</f>
        <v>1022.558635076943</v>
      </c>
      <c r="X126" s="440">
        <f>+K126</f>
        <v>3.9867863694849781</v>
      </c>
      <c r="Y126" s="440">
        <v>67</v>
      </c>
      <c r="Z126" s="440">
        <f>X126*Y126</f>
        <v>267.11468675549355</v>
      </c>
      <c r="AA126" s="460">
        <f>Z126*12</f>
        <v>3205.3762410659228</v>
      </c>
      <c r="AB126" s="480">
        <f t="shared" si="117"/>
        <v>3205.3762410659228</v>
      </c>
      <c r="AC126" s="152">
        <f>IF(T126&gt;0,AA126,0)</f>
        <v>3205.3762410659228</v>
      </c>
      <c r="AF126" s="776">
        <f t="shared" si="118"/>
        <v>3.9867863694849781</v>
      </c>
      <c r="AG126" s="776">
        <f t="shared" si="119"/>
        <v>3.9867863694849781</v>
      </c>
      <c r="AH126" s="777">
        <f t="shared" si="90"/>
        <v>0</v>
      </c>
    </row>
    <row r="127" spans="1:34" ht="15.75">
      <c r="A127" s="558"/>
      <c r="B127" s="457"/>
      <c r="C127" s="558"/>
      <c r="D127" s="802"/>
      <c r="E127" s="802"/>
      <c r="F127" s="802"/>
      <c r="G127" s="1060"/>
      <c r="H127" s="1053"/>
      <c r="I127" s="1051"/>
      <c r="J127" s="731"/>
      <c r="K127" s="559"/>
      <c r="L127" s="565"/>
      <c r="M127" s="558"/>
      <c r="N127" s="774"/>
      <c r="O127" s="774"/>
      <c r="P127" s="774"/>
      <c r="Q127" s="558"/>
      <c r="R127" s="565"/>
      <c r="S127" s="565"/>
      <c r="T127" s="565"/>
      <c r="U127" s="565"/>
      <c r="V127" s="565"/>
      <c r="X127" s="775"/>
      <c r="Y127" s="775"/>
      <c r="Z127" s="1019"/>
      <c r="AA127" s="1019"/>
      <c r="AB127" s="152">
        <f t="shared" si="117"/>
        <v>0</v>
      </c>
      <c r="AF127" s="776">
        <f t="shared" si="118"/>
        <v>0</v>
      </c>
      <c r="AG127" s="776">
        <f t="shared" si="119"/>
        <v>0</v>
      </c>
      <c r="AH127" s="777">
        <f t="shared" si="90"/>
        <v>0</v>
      </c>
    </row>
    <row r="128" spans="1:34">
      <c r="A128" s="558" t="s">
        <v>737</v>
      </c>
      <c r="B128" s="457">
        <v>144</v>
      </c>
      <c r="C128" s="558">
        <v>50</v>
      </c>
      <c r="D128" s="802">
        <f>ROUND(+C128*H$187,2)</f>
        <v>6.02</v>
      </c>
      <c r="E128" s="802">
        <f>+'Schedule 2'!H16</f>
        <v>8.7571874568399721</v>
      </c>
      <c r="F128" s="802">
        <f>+'Schedule 4'!K47</f>
        <v>4.5567241833649401</v>
      </c>
      <c r="G128" s="940">
        <f>SUM(D128:F128)</f>
        <v>19.33391164020491</v>
      </c>
      <c r="H128" s="1053">
        <f>G128*K128*12</f>
        <v>1618.6836833159139</v>
      </c>
      <c r="I128" s="1040">
        <v>19.410236437304558</v>
      </c>
      <c r="J128" s="731">
        <f>+G128/I128-1</f>
        <v>-3.9321930645295211E-3</v>
      </c>
      <c r="K128" s="559">
        <f>'Schedule 1'!H71</f>
        <v>6.9768761465987117</v>
      </c>
      <c r="L128" s="565">
        <f>ROUND((G128-I128)*K128*12,0)</f>
        <v>-6</v>
      </c>
      <c r="M128" s="558"/>
      <c r="N128" s="1046">
        <v>0.15</v>
      </c>
      <c r="O128" s="1046">
        <f>K128*N128</f>
        <v>1.0465314219898068</v>
      </c>
      <c r="P128" s="1046"/>
      <c r="Q128" s="480"/>
      <c r="R128" s="565">
        <f>$D128*$K128*12</f>
        <v>504.00953283029094</v>
      </c>
      <c r="S128" s="565">
        <f>$E128*$K128*12</f>
        <v>733.17374734704288</v>
      </c>
      <c r="T128" s="565">
        <f>$F128*$K128*12</f>
        <v>381.50040313858017</v>
      </c>
      <c r="U128" s="565"/>
      <c r="V128" s="565">
        <f>SUM(R128:T128)</f>
        <v>1618.6836833159141</v>
      </c>
      <c r="W128" s="558"/>
      <c r="X128" s="440">
        <f>+K128</f>
        <v>6.9768761465987117</v>
      </c>
      <c r="Y128" s="440">
        <v>50</v>
      </c>
      <c r="Z128" s="440">
        <f>X128*Y128</f>
        <v>348.8438073299356</v>
      </c>
      <c r="AA128" s="460">
        <f>Z128*12</f>
        <v>4186.1256879592274</v>
      </c>
      <c r="AB128" s="480">
        <f t="shared" si="117"/>
        <v>4186.1256879592274</v>
      </c>
      <c r="AC128" s="152">
        <f>IF(T128&gt;0,AA128,0)</f>
        <v>4186.1256879592274</v>
      </c>
      <c r="AF128" s="776">
        <f t="shared" si="118"/>
        <v>6.9768761465987117</v>
      </c>
      <c r="AG128" s="776">
        <f t="shared" si="119"/>
        <v>6.9768761465987117</v>
      </c>
      <c r="AH128" s="777">
        <f t="shared" si="90"/>
        <v>0</v>
      </c>
    </row>
    <row r="129" spans="1:34" ht="15.75">
      <c r="A129" s="558"/>
      <c r="B129" s="457"/>
      <c r="C129" s="558"/>
      <c r="D129" s="802"/>
      <c r="E129" s="802"/>
      <c r="F129" s="802"/>
      <c r="G129" s="1060"/>
      <c r="H129" s="1053"/>
      <c r="I129" s="1051"/>
      <c r="J129" s="731"/>
      <c r="K129" s="559"/>
      <c r="L129" s="565"/>
      <c r="M129" s="558"/>
      <c r="N129" s="1046"/>
      <c r="O129" s="1046"/>
      <c r="P129" s="1046"/>
      <c r="Q129" s="558"/>
      <c r="R129" s="565"/>
      <c r="S129" s="565"/>
      <c r="T129" s="565"/>
      <c r="U129" s="565"/>
      <c r="V129" s="565"/>
      <c r="W129" s="558"/>
      <c r="X129" s="558"/>
      <c r="Y129" s="558"/>
      <c r="Z129" s="558"/>
      <c r="AA129" s="558"/>
      <c r="AB129" s="152">
        <f t="shared" si="117"/>
        <v>0</v>
      </c>
      <c r="AF129" s="776">
        <f t="shared" si="118"/>
        <v>0</v>
      </c>
      <c r="AG129" s="776">
        <f t="shared" si="119"/>
        <v>0</v>
      </c>
      <c r="AH129" s="777">
        <f t="shared" si="90"/>
        <v>0</v>
      </c>
    </row>
    <row r="130" spans="1:34">
      <c r="A130" s="558" t="s">
        <v>733</v>
      </c>
      <c r="B130" s="457">
        <v>341</v>
      </c>
      <c r="C130" s="558">
        <v>360</v>
      </c>
      <c r="D130" s="802">
        <f>+D123</f>
        <v>43.37</v>
      </c>
      <c r="E130" s="558">
        <v>0</v>
      </c>
      <c r="F130" s="558">
        <v>0</v>
      </c>
      <c r="G130" s="940">
        <f t="shared" ref="G130:G135" si="120">SUM(D130:F130)</f>
        <v>43.37</v>
      </c>
      <c r="H130" s="1053">
        <f t="shared" ref="H130:H135" si="121">G130*K130*12</f>
        <v>11411.857039741191</v>
      </c>
      <c r="I130" s="1040">
        <v>39.488858867639713</v>
      </c>
      <c r="J130" s="731">
        <f t="shared" ref="J130:J135" si="122">+G130/I130-1</f>
        <v>9.8284459051329875E-2</v>
      </c>
      <c r="K130" s="559">
        <f>'Schedule 1'!J68</f>
        <v>21.927325032167381</v>
      </c>
      <c r="L130" s="565">
        <f t="shared" ref="L130:L135" si="123">ROUND((G130-I130)*K130*12,0)</f>
        <v>1021</v>
      </c>
      <c r="M130" s="558"/>
      <c r="N130" s="1046">
        <v>1.08</v>
      </c>
      <c r="O130" s="1046">
        <f t="shared" ref="O130:O135" si="124">K130*N130</f>
        <v>23.681511034740772</v>
      </c>
      <c r="P130" s="1046"/>
      <c r="Q130" s="558"/>
      <c r="R130" s="565">
        <f t="shared" ref="R130:R135" si="125">$D130*$K130*12</f>
        <v>11411.857039741191</v>
      </c>
      <c r="S130" s="565">
        <f t="shared" ref="S130:S135" si="126">$E130*$K130*12</f>
        <v>0</v>
      </c>
      <c r="T130" s="565">
        <f t="shared" ref="T130:T135" si="127">$F130*$K130*12</f>
        <v>0</v>
      </c>
      <c r="U130" s="565"/>
      <c r="V130" s="565">
        <f t="shared" ref="V130:V135" si="128">SUM(R130:T130)</f>
        <v>11411.857039741191</v>
      </c>
      <c r="W130" s="558"/>
      <c r="X130" s="440">
        <f t="shared" ref="X130:X135" si="129">+K130</f>
        <v>21.927325032167381</v>
      </c>
      <c r="Y130" s="440">
        <v>360</v>
      </c>
      <c r="Z130" s="440">
        <f t="shared" ref="Z130:Z135" si="130">X130*Y130</f>
        <v>7893.8370115802572</v>
      </c>
      <c r="AA130" s="460">
        <f t="shared" ref="AA130:AA135" si="131">Z130*12</f>
        <v>94726.044138963087</v>
      </c>
      <c r="AB130" s="152">
        <f t="shared" si="117"/>
        <v>0</v>
      </c>
      <c r="AC130" s="152">
        <f t="shared" ref="AC130:AC135" si="132">IF(T130&gt;0,AA130,0)</f>
        <v>0</v>
      </c>
      <c r="AF130" s="776">
        <f t="shared" si="118"/>
        <v>0</v>
      </c>
      <c r="AG130" s="776">
        <f t="shared" si="119"/>
        <v>0</v>
      </c>
      <c r="AH130" s="777">
        <f t="shared" si="90"/>
        <v>0</v>
      </c>
    </row>
    <row r="131" spans="1:34">
      <c r="A131" s="558" t="s">
        <v>731</v>
      </c>
      <c r="B131" s="457">
        <v>342</v>
      </c>
      <c r="C131" s="558">
        <v>150</v>
      </c>
      <c r="D131" s="802">
        <f>+D122</f>
        <v>18.07</v>
      </c>
      <c r="E131" s="558">
        <v>0</v>
      </c>
      <c r="F131" s="558">
        <v>0</v>
      </c>
      <c r="G131" s="940">
        <f t="shared" si="120"/>
        <v>18.07</v>
      </c>
      <c r="H131" s="1053">
        <f t="shared" si="121"/>
        <v>34363.666565275125</v>
      </c>
      <c r="I131" s="1040">
        <v>16.45119119484988</v>
      </c>
      <c r="J131" s="731">
        <f t="shared" si="122"/>
        <v>9.8400704604107769E-2</v>
      </c>
      <c r="K131" s="559">
        <f>'Schedule 1'!J67</f>
        <v>158.47475818702787</v>
      </c>
      <c r="L131" s="565">
        <f t="shared" si="123"/>
        <v>3078</v>
      </c>
      <c r="M131" s="558"/>
      <c r="N131" s="1046">
        <v>0.45</v>
      </c>
      <c r="O131" s="1046">
        <f t="shared" si="124"/>
        <v>71.313641184162549</v>
      </c>
      <c r="P131" s="1046"/>
      <c r="Q131" s="558"/>
      <c r="R131" s="565">
        <f t="shared" si="125"/>
        <v>34363.666565275125</v>
      </c>
      <c r="S131" s="565">
        <f t="shared" si="126"/>
        <v>0</v>
      </c>
      <c r="T131" s="565">
        <f t="shared" si="127"/>
        <v>0</v>
      </c>
      <c r="U131" s="565"/>
      <c r="V131" s="565">
        <f t="shared" si="128"/>
        <v>34363.666565275125</v>
      </c>
      <c r="W131" s="558"/>
      <c r="X131" s="440">
        <f t="shared" si="129"/>
        <v>158.47475818702787</v>
      </c>
      <c r="Y131" s="440">
        <v>150</v>
      </c>
      <c r="Z131" s="440">
        <f t="shared" si="130"/>
        <v>23771.213728054179</v>
      </c>
      <c r="AA131" s="460">
        <f t="shared" si="131"/>
        <v>285254.56473665015</v>
      </c>
      <c r="AB131" s="152">
        <f t="shared" si="117"/>
        <v>0</v>
      </c>
      <c r="AC131" s="152">
        <f t="shared" si="132"/>
        <v>0</v>
      </c>
      <c r="AF131" s="776">
        <f t="shared" si="118"/>
        <v>0</v>
      </c>
      <c r="AG131" s="776">
        <f t="shared" si="119"/>
        <v>0</v>
      </c>
      <c r="AH131" s="777">
        <f t="shared" si="90"/>
        <v>0</v>
      </c>
    </row>
    <row r="132" spans="1:34">
      <c r="A132" s="558" t="s">
        <v>735</v>
      </c>
      <c r="B132" s="457">
        <v>343</v>
      </c>
      <c r="C132" s="558">
        <v>100</v>
      </c>
      <c r="D132" s="802">
        <f>+D124</f>
        <v>12.05</v>
      </c>
      <c r="E132" s="558">
        <v>0</v>
      </c>
      <c r="F132" s="558">
        <v>0</v>
      </c>
      <c r="G132" s="940">
        <f t="shared" si="120"/>
        <v>12.05</v>
      </c>
      <c r="H132" s="1053">
        <f t="shared" si="121"/>
        <v>12106.275489578085</v>
      </c>
      <c r="I132" s="1040">
        <v>10.970794129899918</v>
      </c>
      <c r="J132" s="731">
        <f t="shared" si="122"/>
        <v>9.8370806827812407E-2</v>
      </c>
      <c r="K132" s="559">
        <f>'Schedule 1'!J69</f>
        <v>83.722513759184537</v>
      </c>
      <c r="L132" s="565">
        <f t="shared" si="123"/>
        <v>1084</v>
      </c>
      <c r="M132" s="558"/>
      <c r="N132" s="1046">
        <v>0.3</v>
      </c>
      <c r="O132" s="1046">
        <f t="shared" si="124"/>
        <v>25.11675412775536</v>
      </c>
      <c r="P132" s="1046"/>
      <c r="Q132" s="558"/>
      <c r="R132" s="565">
        <f t="shared" si="125"/>
        <v>12106.275489578085</v>
      </c>
      <c r="S132" s="565">
        <f t="shared" si="126"/>
        <v>0</v>
      </c>
      <c r="T132" s="565">
        <f t="shared" si="127"/>
        <v>0</v>
      </c>
      <c r="U132" s="565"/>
      <c r="V132" s="565">
        <f t="shared" si="128"/>
        <v>12106.275489578085</v>
      </c>
      <c r="W132" s="558"/>
      <c r="X132" s="440">
        <f t="shared" si="129"/>
        <v>83.722513759184537</v>
      </c>
      <c r="Y132" s="440">
        <v>100</v>
      </c>
      <c r="Z132" s="440">
        <f t="shared" si="130"/>
        <v>8372.251375918453</v>
      </c>
      <c r="AA132" s="460">
        <f t="shared" si="131"/>
        <v>100467.01651102144</v>
      </c>
      <c r="AB132" s="152">
        <f t="shared" si="117"/>
        <v>0</v>
      </c>
      <c r="AC132" s="152">
        <f t="shared" si="132"/>
        <v>0</v>
      </c>
      <c r="AF132" s="776">
        <f t="shared" si="118"/>
        <v>0</v>
      </c>
      <c r="AG132" s="776">
        <f t="shared" si="119"/>
        <v>0</v>
      </c>
      <c r="AH132" s="777">
        <f t="shared" si="90"/>
        <v>0</v>
      </c>
    </row>
    <row r="133" spans="1:34">
      <c r="A133" s="558" t="s">
        <v>738</v>
      </c>
      <c r="B133" s="457">
        <v>344</v>
      </c>
      <c r="C133" s="558">
        <v>75</v>
      </c>
      <c r="D133" s="802">
        <f>ROUND(+C133*H$187,2)</f>
        <v>9.0299999999999994</v>
      </c>
      <c r="E133" s="558">
        <v>0</v>
      </c>
      <c r="F133" s="558">
        <v>0</v>
      </c>
      <c r="G133" s="940">
        <f t="shared" si="120"/>
        <v>9.0299999999999994</v>
      </c>
      <c r="H133" s="1053">
        <f t="shared" si="121"/>
        <v>12096.228787926981</v>
      </c>
      <c r="I133" s="1040">
        <v>8.22559559742494</v>
      </c>
      <c r="J133" s="731">
        <f t="shared" si="122"/>
        <v>9.7792845885455559E-2</v>
      </c>
      <c r="K133" s="559">
        <f>'Schedule 1'!J72</f>
        <v>111.63001834557939</v>
      </c>
      <c r="L133" s="565">
        <f t="shared" si="123"/>
        <v>1078</v>
      </c>
      <c r="M133" s="558"/>
      <c r="N133" s="1046">
        <v>0.22500000000000001</v>
      </c>
      <c r="O133" s="1046">
        <f t="shared" si="124"/>
        <v>25.116754127755364</v>
      </c>
      <c r="P133" s="1046"/>
      <c r="Q133" s="558"/>
      <c r="R133" s="565">
        <f t="shared" si="125"/>
        <v>12096.228787926981</v>
      </c>
      <c r="S133" s="565">
        <f t="shared" si="126"/>
        <v>0</v>
      </c>
      <c r="T133" s="565">
        <f t="shared" si="127"/>
        <v>0</v>
      </c>
      <c r="U133" s="565"/>
      <c r="V133" s="565">
        <f t="shared" si="128"/>
        <v>12096.228787926981</v>
      </c>
      <c r="W133" s="558"/>
      <c r="X133" s="440">
        <f t="shared" si="129"/>
        <v>111.63001834557939</v>
      </c>
      <c r="Y133" s="440">
        <v>75</v>
      </c>
      <c r="Z133" s="440">
        <f t="shared" si="130"/>
        <v>8372.2513759184549</v>
      </c>
      <c r="AA133" s="460">
        <f t="shared" si="131"/>
        <v>100467.01651102146</v>
      </c>
      <c r="AB133" s="152">
        <f t="shared" si="117"/>
        <v>0</v>
      </c>
      <c r="AC133" s="152">
        <f t="shared" si="132"/>
        <v>0</v>
      </c>
      <c r="AF133" s="776">
        <f t="shared" si="118"/>
        <v>0</v>
      </c>
      <c r="AG133" s="776">
        <f t="shared" si="119"/>
        <v>0</v>
      </c>
      <c r="AH133" s="777">
        <f t="shared" si="90"/>
        <v>0</v>
      </c>
    </row>
    <row r="134" spans="1:34">
      <c r="A134" s="558" t="s">
        <v>736</v>
      </c>
      <c r="B134" s="457">
        <v>345</v>
      </c>
      <c r="C134" s="558">
        <v>67</v>
      </c>
      <c r="D134" s="802">
        <f>+D126</f>
        <v>8.06</v>
      </c>
      <c r="E134" s="558">
        <v>0</v>
      </c>
      <c r="F134" s="558">
        <v>0</v>
      </c>
      <c r="G134" s="940">
        <f t="shared" si="120"/>
        <v>8.06</v>
      </c>
      <c r="H134" s="1053">
        <f t="shared" si="121"/>
        <v>1928.0098882829354</v>
      </c>
      <c r="I134" s="1040">
        <v>7.3407320670329455</v>
      </c>
      <c r="J134" s="731">
        <f t="shared" si="122"/>
        <v>9.7983133888957852E-2</v>
      </c>
      <c r="K134" s="559">
        <f>'Schedule 1'!J73</f>
        <v>19.933931847424891</v>
      </c>
      <c r="L134" s="565">
        <f t="shared" si="123"/>
        <v>172</v>
      </c>
      <c r="M134" s="558"/>
      <c r="N134" s="1046">
        <v>0.2</v>
      </c>
      <c r="O134" s="1046">
        <f t="shared" si="124"/>
        <v>3.9867863694849781</v>
      </c>
      <c r="P134" s="1046"/>
      <c r="Q134" s="558"/>
      <c r="R134" s="565">
        <f t="shared" si="125"/>
        <v>1928.0098882829354</v>
      </c>
      <c r="S134" s="565">
        <f t="shared" si="126"/>
        <v>0</v>
      </c>
      <c r="T134" s="565">
        <f t="shared" si="127"/>
        <v>0</v>
      </c>
      <c r="U134" s="565"/>
      <c r="V134" s="565">
        <f t="shared" si="128"/>
        <v>1928.0098882829354</v>
      </c>
      <c r="W134" s="558"/>
      <c r="X134" s="440">
        <f t="shared" si="129"/>
        <v>19.933931847424891</v>
      </c>
      <c r="Y134" s="440">
        <v>67</v>
      </c>
      <c r="Z134" s="440">
        <f t="shared" si="130"/>
        <v>1335.5734337774677</v>
      </c>
      <c r="AA134" s="460">
        <f t="shared" si="131"/>
        <v>16026.881205329613</v>
      </c>
      <c r="AB134" s="152">
        <f t="shared" si="117"/>
        <v>0</v>
      </c>
      <c r="AC134" s="152">
        <f t="shared" si="132"/>
        <v>0</v>
      </c>
      <c r="AF134" s="776">
        <f t="shared" si="118"/>
        <v>0</v>
      </c>
      <c r="AG134" s="776">
        <f t="shared" si="119"/>
        <v>0</v>
      </c>
      <c r="AH134" s="777">
        <f t="shared" si="90"/>
        <v>0</v>
      </c>
    </row>
    <row r="135" spans="1:34">
      <c r="A135" s="558" t="s">
        <v>737</v>
      </c>
      <c r="B135" s="457">
        <v>346</v>
      </c>
      <c r="C135" s="558">
        <v>50</v>
      </c>
      <c r="D135" s="802">
        <f>+D128</f>
        <v>6.02</v>
      </c>
      <c r="E135" s="558">
        <v>0</v>
      </c>
      <c r="F135" s="558">
        <v>0</v>
      </c>
      <c r="G135" s="940">
        <f t="shared" si="120"/>
        <v>6.02</v>
      </c>
      <c r="H135" s="1045">
        <f t="shared" si="121"/>
        <v>0</v>
      </c>
      <c r="I135" s="1040">
        <v>5.48039706494996</v>
      </c>
      <c r="J135" s="731">
        <f t="shared" si="122"/>
        <v>9.8460554710731785E-2</v>
      </c>
      <c r="K135" s="560">
        <f>'Schedule 1'!J74</f>
        <v>0</v>
      </c>
      <c r="L135" s="566">
        <f t="shared" si="123"/>
        <v>0</v>
      </c>
      <c r="M135" s="558"/>
      <c r="N135" s="1046">
        <v>0.15</v>
      </c>
      <c r="O135" s="1046">
        <f t="shared" si="124"/>
        <v>0</v>
      </c>
      <c r="P135" s="1046"/>
      <c r="Q135" s="558"/>
      <c r="R135" s="566">
        <f t="shared" si="125"/>
        <v>0</v>
      </c>
      <c r="S135" s="566">
        <f t="shared" si="126"/>
        <v>0</v>
      </c>
      <c r="T135" s="566">
        <f t="shared" si="127"/>
        <v>0</v>
      </c>
      <c r="U135" s="566"/>
      <c r="V135" s="566">
        <f t="shared" si="128"/>
        <v>0</v>
      </c>
      <c r="W135" s="558"/>
      <c r="X135" s="440">
        <f t="shared" si="129"/>
        <v>0</v>
      </c>
      <c r="Y135" s="440">
        <v>50</v>
      </c>
      <c r="Z135" s="440">
        <f t="shared" si="130"/>
        <v>0</v>
      </c>
      <c r="AA135" s="460">
        <f t="shared" si="131"/>
        <v>0</v>
      </c>
      <c r="AB135" s="152">
        <f t="shared" si="117"/>
        <v>0</v>
      </c>
      <c r="AC135" s="152">
        <f t="shared" si="132"/>
        <v>0</v>
      </c>
      <c r="AF135" s="776">
        <f t="shared" si="118"/>
        <v>0</v>
      </c>
      <c r="AG135" s="776">
        <f t="shared" si="119"/>
        <v>0</v>
      </c>
      <c r="AH135" s="777">
        <f t="shared" si="90"/>
        <v>0</v>
      </c>
    </row>
    <row r="136" spans="1:34">
      <c r="A136" s="558"/>
      <c r="B136" s="457"/>
      <c r="C136" s="558"/>
      <c r="D136" s="802"/>
      <c r="E136" s="558"/>
      <c r="F136" s="558"/>
      <c r="G136" s="1060"/>
      <c r="H136" s="1045"/>
      <c r="I136" s="1040"/>
      <c r="J136" s="731"/>
      <c r="K136" s="560"/>
      <c r="L136" s="566"/>
      <c r="M136" s="558"/>
      <c r="N136" s="1046"/>
      <c r="O136" s="1046"/>
      <c r="P136" s="1046"/>
      <c r="Q136" s="558"/>
      <c r="R136" s="566"/>
      <c r="S136" s="566"/>
      <c r="T136" s="566"/>
      <c r="U136" s="566"/>
      <c r="V136" s="566"/>
      <c r="W136" s="558"/>
      <c r="X136" s="440"/>
      <c r="Y136" s="440"/>
      <c r="Z136" s="440"/>
      <c r="AA136" s="460"/>
      <c r="AF136" s="776">
        <f t="shared" si="118"/>
        <v>0</v>
      </c>
      <c r="AG136" s="776">
        <f t="shared" si="119"/>
        <v>0</v>
      </c>
      <c r="AH136" s="777">
        <f t="shared" si="90"/>
        <v>0</v>
      </c>
    </row>
    <row r="137" spans="1:34" ht="15.75">
      <c r="A137" s="548"/>
      <c r="D137" s="802"/>
      <c r="G137" s="1057"/>
      <c r="H137" s="1058">
        <f>SUM(H122:H135)</f>
        <v>1248324.795571466</v>
      </c>
      <c r="I137" s="1051"/>
      <c r="J137" s="773"/>
      <c r="K137" s="480">
        <f>SUM(K122:K134)</f>
        <v>2803.7075143403108</v>
      </c>
      <c r="L137" s="564">
        <f>SUM(L122:L135)</f>
        <v>44264</v>
      </c>
      <c r="N137" s="774"/>
      <c r="O137" s="774"/>
      <c r="P137" s="774"/>
      <c r="X137" s="775">
        <f>SUM(X122:X135)</f>
        <v>2803.7075143403108</v>
      </c>
      <c r="Y137" s="775"/>
      <c r="Z137" s="775">
        <f>SUM(Z122:Z135)</f>
        <v>609816.84968323749</v>
      </c>
      <c r="AA137" s="609">
        <f>SUM(AA122:AA135)</f>
        <v>7317802.1961988509</v>
      </c>
      <c r="AF137" s="776">
        <f t="shared" si="118"/>
        <v>0</v>
      </c>
      <c r="AG137" s="776">
        <f t="shared" si="119"/>
        <v>0</v>
      </c>
      <c r="AH137" s="777">
        <f t="shared" si="90"/>
        <v>0</v>
      </c>
    </row>
    <row r="138" spans="1:34" ht="15.75">
      <c r="A138" s="548" t="s">
        <v>530</v>
      </c>
      <c r="D138" s="802"/>
      <c r="G138" s="1057"/>
      <c r="H138" s="1058"/>
      <c r="I138" s="1051"/>
      <c r="J138" s="773"/>
      <c r="K138" s="480"/>
      <c r="L138" s="564"/>
      <c r="N138" s="774"/>
      <c r="O138" s="774"/>
      <c r="P138" s="774"/>
      <c r="AB138" s="152">
        <f>IF(S137&gt;0,AA137,0)</f>
        <v>0</v>
      </c>
      <c r="AF138" s="776">
        <f t="shared" si="118"/>
        <v>0</v>
      </c>
      <c r="AG138" s="776">
        <f t="shared" si="119"/>
        <v>0</v>
      </c>
      <c r="AH138" s="777">
        <f t="shared" si="90"/>
        <v>0</v>
      </c>
    </row>
    <row r="139" spans="1:34" ht="15.75">
      <c r="A139" s="548"/>
      <c r="D139" s="802"/>
      <c r="G139" s="1057"/>
      <c r="H139" s="1058"/>
      <c r="I139" s="1051"/>
      <c r="J139" s="773"/>
      <c r="K139" s="480"/>
      <c r="L139" s="564"/>
      <c r="N139" s="774"/>
      <c r="O139" s="774"/>
      <c r="P139" s="774"/>
      <c r="X139" s="775"/>
      <c r="Y139" s="775"/>
      <c r="Z139" s="775"/>
      <c r="AA139" s="775"/>
      <c r="AB139" s="152">
        <f t="shared" ref="AB139:AB155" si="133">IF(S139&gt;0,AA139,0)</f>
        <v>0</v>
      </c>
      <c r="AF139" s="776">
        <f t="shared" si="118"/>
        <v>0</v>
      </c>
      <c r="AG139" s="776">
        <f t="shared" si="119"/>
        <v>0</v>
      </c>
      <c r="AH139" s="777">
        <f t="shared" si="90"/>
        <v>0</v>
      </c>
    </row>
    <row r="140" spans="1:34">
      <c r="A140" s="152" t="s">
        <v>536</v>
      </c>
      <c r="B140" s="457">
        <v>530</v>
      </c>
      <c r="C140" s="152">
        <v>3</v>
      </c>
      <c r="D140" s="802">
        <f>'2012 Unpublished Rates'!T121</f>
        <v>0.29000000000000004</v>
      </c>
      <c r="E140" s="558">
        <v>0</v>
      </c>
      <c r="F140" s="558">
        <v>0</v>
      </c>
      <c r="G140" s="940">
        <f>SUM(D140:F140)</f>
        <v>0.29000000000000004</v>
      </c>
      <c r="H140" s="1053">
        <f>G140*K140*12</f>
        <v>0</v>
      </c>
      <c r="I140" s="1040">
        <v>0.27</v>
      </c>
      <c r="J140" s="731">
        <f>+G140/I140-1</f>
        <v>7.4074074074074181E-2</v>
      </c>
      <c r="K140" s="480"/>
      <c r="L140" s="565">
        <f>ROUND((G140-I140)*K140*12,0)</f>
        <v>0</v>
      </c>
      <c r="N140" s="774"/>
      <c r="O140" s="1046">
        <f>K140*N140</f>
        <v>0</v>
      </c>
      <c r="P140" s="774"/>
      <c r="R140" s="565">
        <f>$D140*$K140*12</f>
        <v>0</v>
      </c>
      <c r="S140" s="565">
        <f>$E140*$K140*12</f>
        <v>0</v>
      </c>
      <c r="T140" s="565">
        <f>$F140*$K140*12</f>
        <v>0</v>
      </c>
      <c r="U140" s="565"/>
      <c r="V140" s="565">
        <f>SUM(R140:T140)</f>
        <v>0</v>
      </c>
      <c r="X140" s="440">
        <f>+K140</f>
        <v>0</v>
      </c>
      <c r="Y140" s="152">
        <v>3</v>
      </c>
      <c r="Z140" s="440">
        <f>X140*Y140</f>
        <v>0</v>
      </c>
      <c r="AA140" s="460">
        <f>Z140*12</f>
        <v>0</v>
      </c>
      <c r="AB140" s="152">
        <f t="shared" si="133"/>
        <v>0</v>
      </c>
      <c r="AC140" s="152">
        <f>IF(T140&gt;0,AA140,0)</f>
        <v>0</v>
      </c>
      <c r="AF140" s="776">
        <f t="shared" si="118"/>
        <v>0</v>
      </c>
      <c r="AG140" s="776">
        <f t="shared" si="119"/>
        <v>0</v>
      </c>
      <c r="AH140" s="777">
        <f t="shared" si="90"/>
        <v>0</v>
      </c>
    </row>
    <row r="141" spans="1:34">
      <c r="A141" s="152" t="s">
        <v>537</v>
      </c>
      <c r="B141" s="457">
        <v>531</v>
      </c>
      <c r="C141" s="152">
        <v>5</v>
      </c>
      <c r="D141" s="802">
        <f>'2012 Unpublished Rates'!T122</f>
        <v>0.49</v>
      </c>
      <c r="E141" s="558">
        <v>0</v>
      </c>
      <c r="F141" s="558">
        <v>0</v>
      </c>
      <c r="G141" s="940">
        <f>SUM(D141:F141)</f>
        <v>0.49</v>
      </c>
      <c r="H141" s="1045">
        <f>G141*K141*12</f>
        <v>0</v>
      </c>
      <c r="I141" s="1040">
        <v>0.44</v>
      </c>
      <c r="J141" s="731">
        <f>+G141/I141-1</f>
        <v>0.11363636363636354</v>
      </c>
      <c r="K141" s="480"/>
      <c r="L141" s="565">
        <f>ROUND((G141-I141)*K141*12,0)</f>
        <v>0</v>
      </c>
      <c r="N141" s="774"/>
      <c r="O141" s="1046">
        <f>K141*N141</f>
        <v>0</v>
      </c>
      <c r="P141" s="774"/>
      <c r="R141" s="565">
        <f>$D141*$K141*12</f>
        <v>0</v>
      </c>
      <c r="S141" s="565">
        <f>$E141*$K141*12</f>
        <v>0</v>
      </c>
      <c r="T141" s="565">
        <f>$F141*$K141*12</f>
        <v>0</v>
      </c>
      <c r="U141" s="565"/>
      <c r="V141" s="565">
        <f>SUM(R141:T141)</f>
        <v>0</v>
      </c>
      <c r="X141" s="440">
        <f>+K141</f>
        <v>0</v>
      </c>
      <c r="Y141" s="152">
        <v>5</v>
      </c>
      <c r="Z141" s="440">
        <f>X141*Y141</f>
        <v>0</v>
      </c>
      <c r="AA141" s="460">
        <f>Z141*12</f>
        <v>0</v>
      </c>
      <c r="AB141" s="152">
        <f t="shared" si="133"/>
        <v>0</v>
      </c>
      <c r="AC141" s="152">
        <f>IF(T141&gt;0,AA141,0)</f>
        <v>0</v>
      </c>
      <c r="AF141" s="776">
        <f t="shared" si="118"/>
        <v>0</v>
      </c>
      <c r="AG141" s="776">
        <f t="shared" si="119"/>
        <v>0</v>
      </c>
      <c r="AH141" s="777">
        <f t="shared" si="90"/>
        <v>0</v>
      </c>
    </row>
    <row r="142" spans="1:34" ht="15.75">
      <c r="B142" s="457"/>
      <c r="D142" s="802"/>
      <c r="G142" s="1057"/>
      <c r="H142" s="1058">
        <f>SUM(H140:H141)</f>
        <v>0</v>
      </c>
      <c r="I142" s="1051"/>
      <c r="J142" s="773"/>
      <c r="K142" s="480"/>
      <c r="L142" s="564"/>
      <c r="N142" s="774"/>
      <c r="O142" s="774"/>
      <c r="P142" s="774"/>
      <c r="X142" s="775"/>
      <c r="Z142" s="775"/>
      <c r="AA142" s="775"/>
      <c r="AB142" s="152">
        <f t="shared" si="133"/>
        <v>0</v>
      </c>
      <c r="AF142" s="776">
        <f t="shared" ref="AF142:AF156" si="134">IF(S142&gt;0,X142,0)</f>
        <v>0</v>
      </c>
      <c r="AG142" s="776">
        <f t="shared" ref="AG142:AG157" si="135">IF(T142&gt;0,X142,0)</f>
        <v>0</v>
      </c>
      <c r="AH142" s="777">
        <f t="shared" si="90"/>
        <v>0</v>
      </c>
    </row>
    <row r="143" spans="1:34" ht="15.75">
      <c r="A143" s="548" t="s">
        <v>598</v>
      </c>
      <c r="B143" s="457"/>
      <c r="D143" s="802"/>
      <c r="G143" s="1057"/>
      <c r="H143" s="1058"/>
      <c r="I143" s="1051"/>
      <c r="J143" s="773"/>
      <c r="K143" s="480"/>
      <c r="L143" s="564"/>
      <c r="N143" s="774"/>
      <c r="O143" s="774"/>
      <c r="P143" s="774"/>
      <c r="X143" s="775"/>
      <c r="Z143" s="775"/>
      <c r="AA143" s="775"/>
      <c r="AB143" s="152">
        <f t="shared" si="133"/>
        <v>0</v>
      </c>
      <c r="AF143" s="776">
        <f t="shared" si="134"/>
        <v>0</v>
      </c>
      <c r="AG143" s="776">
        <f t="shared" si="135"/>
        <v>0</v>
      </c>
      <c r="AH143" s="777">
        <f t="shared" ref="AH143:AH156" si="136">AF143-AG143</f>
        <v>0</v>
      </c>
    </row>
    <row r="144" spans="1:34">
      <c r="A144" s="558" t="s">
        <v>114</v>
      </c>
      <c r="B144" s="457">
        <v>532</v>
      </c>
      <c r="C144" s="152">
        <v>15</v>
      </c>
      <c r="D144" s="802">
        <f t="shared" ref="D144:D156" si="137">ROUND(+C144*H$187,2)</f>
        <v>1.81</v>
      </c>
      <c r="E144" s="152">
        <v>0</v>
      </c>
      <c r="F144" s="152">
        <v>0</v>
      </c>
      <c r="G144" s="940">
        <f t="shared" ref="G144:G155" si="138">SUM(D144:F144)</f>
        <v>1.81</v>
      </c>
      <c r="H144" s="1053">
        <f>G144*K144*12</f>
        <v>2078.2319986851298</v>
      </c>
      <c r="I144" s="1040">
        <v>1.6291191194849879</v>
      </c>
      <c r="J144" s="731">
        <f t="shared" ref="J144:J155" si="139">+G144/I144-1</f>
        <v>0.11102986782955071</v>
      </c>
      <c r="K144" s="480">
        <f>'Schedule 1'!J77</f>
        <v>95.682872867639475</v>
      </c>
      <c r="L144" s="565">
        <f t="shared" ref="L144:L155" si="140">ROUND((G144-I144)*K144*12,0)</f>
        <v>208</v>
      </c>
      <c r="N144" s="774">
        <v>0.44</v>
      </c>
      <c r="O144" s="1046">
        <f t="shared" ref="O144:O153" si="141">K144*N144</f>
        <v>42.100464061761372</v>
      </c>
      <c r="P144" s="774"/>
      <c r="R144" s="565">
        <f t="shared" ref="R144:R156" si="142">$D144*$K144*12</f>
        <v>2078.2319986851298</v>
      </c>
      <c r="S144" s="565">
        <f t="shared" ref="S144:S155" si="143">$E144*$K144*12</f>
        <v>0</v>
      </c>
      <c r="T144" s="565">
        <f t="shared" ref="T144:T155" si="144">$F144*$K144*12</f>
        <v>0</v>
      </c>
      <c r="U144" s="565"/>
      <c r="V144" s="565">
        <f t="shared" ref="V144:V149" si="145">SUM(R144:T144)</f>
        <v>2078.2319986851298</v>
      </c>
      <c r="X144" s="440">
        <f t="shared" ref="X144:X149" si="146">+K144</f>
        <v>95.682872867639475</v>
      </c>
      <c r="Y144" s="152">
        <v>15</v>
      </c>
      <c r="Z144" s="440">
        <f t="shared" ref="Z144:Z149" si="147">X144*Y144</f>
        <v>1435.2430930145922</v>
      </c>
      <c r="AA144" s="460">
        <f t="shared" ref="AA144:AA149" si="148">Z144*12</f>
        <v>17222.917116175107</v>
      </c>
      <c r="AB144" s="152">
        <f t="shared" si="133"/>
        <v>0</v>
      </c>
      <c r="AC144" s="152">
        <f t="shared" ref="AC144:AC155" si="149">IF(T144&gt;0,AA144,0)</f>
        <v>0</v>
      </c>
      <c r="AF144" s="776">
        <f t="shared" si="134"/>
        <v>0</v>
      </c>
      <c r="AG144" s="776">
        <f t="shared" si="135"/>
        <v>0</v>
      </c>
      <c r="AH144" s="777">
        <f t="shared" si="136"/>
        <v>0</v>
      </c>
    </row>
    <row r="145" spans="1:34">
      <c r="A145" s="558" t="s">
        <v>115</v>
      </c>
      <c r="B145" s="457">
        <v>533</v>
      </c>
      <c r="C145" s="152">
        <v>22</v>
      </c>
      <c r="D145" s="802">
        <f t="shared" si="137"/>
        <v>2.65</v>
      </c>
      <c r="E145" s="152">
        <v>0</v>
      </c>
      <c r="F145" s="152">
        <v>0</v>
      </c>
      <c r="G145" s="940">
        <f t="shared" si="138"/>
        <v>2.65</v>
      </c>
      <c r="H145" s="1053">
        <f t="shared" ref="H145:H150" si="150">G145*K145*12</f>
        <v>2186.951662980985</v>
      </c>
      <c r="I145" s="1040">
        <v>2.4133747085779822</v>
      </c>
      <c r="J145" s="731">
        <f t="shared" si="139"/>
        <v>9.8047472935291813E-2</v>
      </c>
      <c r="K145" s="480">
        <f>'Schedule 1'!J79</f>
        <v>68.772064873615875</v>
      </c>
      <c r="L145" s="565">
        <f t="shared" si="140"/>
        <v>195</v>
      </c>
      <c r="N145" s="774">
        <v>0.66</v>
      </c>
      <c r="O145" s="1046">
        <f t="shared" si="141"/>
        <v>45.389562816586476</v>
      </c>
      <c r="P145" s="774"/>
      <c r="R145" s="565">
        <f t="shared" si="142"/>
        <v>2186.951662980985</v>
      </c>
      <c r="S145" s="565">
        <f t="shared" si="143"/>
        <v>0</v>
      </c>
      <c r="T145" s="565">
        <f t="shared" si="144"/>
        <v>0</v>
      </c>
      <c r="U145" s="565"/>
      <c r="V145" s="565">
        <f t="shared" si="145"/>
        <v>2186.951662980985</v>
      </c>
      <c r="X145" s="440">
        <f t="shared" si="146"/>
        <v>68.772064873615875</v>
      </c>
      <c r="Y145" s="152">
        <v>22</v>
      </c>
      <c r="Z145" s="440">
        <f t="shared" si="147"/>
        <v>1512.9854272195494</v>
      </c>
      <c r="AA145" s="460">
        <f t="shared" si="148"/>
        <v>18155.825126634591</v>
      </c>
      <c r="AB145" s="152">
        <f t="shared" si="133"/>
        <v>0</v>
      </c>
      <c r="AC145" s="152">
        <f t="shared" si="149"/>
        <v>0</v>
      </c>
      <c r="AF145" s="776">
        <f t="shared" si="134"/>
        <v>0</v>
      </c>
      <c r="AG145" s="776">
        <f t="shared" si="135"/>
        <v>0</v>
      </c>
      <c r="AH145" s="777">
        <f t="shared" si="136"/>
        <v>0</v>
      </c>
    </row>
    <row r="146" spans="1:34">
      <c r="A146" s="558" t="s">
        <v>116</v>
      </c>
      <c r="B146" s="457">
        <v>534</v>
      </c>
      <c r="C146" s="152">
        <v>29</v>
      </c>
      <c r="D146" s="802">
        <f t="shared" si="137"/>
        <v>3.49</v>
      </c>
      <c r="E146" s="152">
        <v>0</v>
      </c>
      <c r="F146" s="152">
        <v>0</v>
      </c>
      <c r="G146" s="940">
        <f t="shared" si="138"/>
        <v>3.49</v>
      </c>
      <c r="H146" s="1053">
        <f>G146*K146*12</f>
        <v>12146.821106955747</v>
      </c>
      <c r="I146" s="1040">
        <v>3.2076302976709767</v>
      </c>
      <c r="J146" s="731">
        <f t="shared" si="139"/>
        <v>8.8030625765709081E-2</v>
      </c>
      <c r="K146" s="480">
        <f>'Schedule 1'!J80</f>
        <v>290.03870838003218</v>
      </c>
      <c r="L146" s="565">
        <f t="shared" si="140"/>
        <v>983</v>
      </c>
      <c r="N146" s="774">
        <v>0.88</v>
      </c>
      <c r="O146" s="1046">
        <f t="shared" si="141"/>
        <v>255.2340633744283</v>
      </c>
      <c r="P146" s="774"/>
      <c r="R146" s="565">
        <f t="shared" si="142"/>
        <v>12146.821106955747</v>
      </c>
      <c r="S146" s="565">
        <f t="shared" si="143"/>
        <v>0</v>
      </c>
      <c r="T146" s="565">
        <f t="shared" si="144"/>
        <v>0</v>
      </c>
      <c r="U146" s="565"/>
      <c r="V146" s="565">
        <f t="shared" si="145"/>
        <v>12146.821106955747</v>
      </c>
      <c r="X146" s="440">
        <f t="shared" si="146"/>
        <v>290.03870838003218</v>
      </c>
      <c r="Y146" s="152">
        <v>29</v>
      </c>
      <c r="Z146" s="440">
        <f t="shared" si="147"/>
        <v>8411.1225430209324</v>
      </c>
      <c r="AA146" s="460">
        <f t="shared" si="148"/>
        <v>100933.4705162512</v>
      </c>
      <c r="AB146" s="152">
        <f t="shared" si="133"/>
        <v>0</v>
      </c>
      <c r="AC146" s="152">
        <f t="shared" si="149"/>
        <v>0</v>
      </c>
      <c r="AF146" s="776">
        <f t="shared" si="134"/>
        <v>0</v>
      </c>
      <c r="AG146" s="776">
        <f t="shared" si="135"/>
        <v>0</v>
      </c>
      <c r="AH146" s="777">
        <f t="shared" si="136"/>
        <v>0</v>
      </c>
    </row>
    <row r="147" spans="1:34">
      <c r="A147" s="558" t="s">
        <v>541</v>
      </c>
      <c r="B147" s="457">
        <v>535</v>
      </c>
      <c r="C147" s="152">
        <v>31</v>
      </c>
      <c r="D147" s="802">
        <f t="shared" si="137"/>
        <v>3.73</v>
      </c>
      <c r="E147" s="152">
        <v>0</v>
      </c>
      <c r="F147" s="152">
        <v>0</v>
      </c>
      <c r="G147" s="940">
        <f t="shared" si="138"/>
        <v>3.73</v>
      </c>
      <c r="H147" s="1053">
        <f t="shared" si="150"/>
        <v>0</v>
      </c>
      <c r="I147" s="1040">
        <v>3.3688461802689753</v>
      </c>
      <c r="J147" s="731">
        <f t="shared" si="139"/>
        <v>0.10720401003948177</v>
      </c>
      <c r="K147" s="480">
        <v>0</v>
      </c>
      <c r="L147" s="565">
        <f t="shared" si="140"/>
        <v>0</v>
      </c>
      <c r="N147" s="774">
        <v>0.92</v>
      </c>
      <c r="O147" s="1046">
        <f t="shared" si="141"/>
        <v>0</v>
      </c>
      <c r="P147" s="774"/>
      <c r="R147" s="565">
        <f t="shared" si="142"/>
        <v>0</v>
      </c>
      <c r="S147" s="565">
        <f t="shared" si="143"/>
        <v>0</v>
      </c>
      <c r="T147" s="565">
        <f t="shared" si="144"/>
        <v>0</v>
      </c>
      <c r="U147" s="565"/>
      <c r="V147" s="565">
        <f t="shared" si="145"/>
        <v>0</v>
      </c>
      <c r="X147" s="440">
        <f t="shared" si="146"/>
        <v>0</v>
      </c>
      <c r="Y147" s="152">
        <v>31</v>
      </c>
      <c r="Z147" s="440">
        <f t="shared" si="147"/>
        <v>0</v>
      </c>
      <c r="AA147" s="460">
        <f t="shared" si="148"/>
        <v>0</v>
      </c>
      <c r="AB147" s="152">
        <f t="shared" si="133"/>
        <v>0</v>
      </c>
      <c r="AC147" s="152">
        <f t="shared" si="149"/>
        <v>0</v>
      </c>
      <c r="AF147" s="776">
        <f t="shared" si="134"/>
        <v>0</v>
      </c>
      <c r="AG147" s="776">
        <f t="shared" si="135"/>
        <v>0</v>
      </c>
      <c r="AH147" s="777">
        <f t="shared" si="136"/>
        <v>0</v>
      </c>
    </row>
    <row r="148" spans="1:34">
      <c r="A148" s="558" t="s">
        <v>539</v>
      </c>
      <c r="B148" s="457">
        <v>536</v>
      </c>
      <c r="C148" s="152">
        <v>35</v>
      </c>
      <c r="D148" s="802">
        <f t="shared" si="137"/>
        <v>4.22</v>
      </c>
      <c r="E148" s="152">
        <v>0</v>
      </c>
      <c r="F148" s="152">
        <v>0</v>
      </c>
      <c r="G148" s="940">
        <f t="shared" si="138"/>
        <v>4.22</v>
      </c>
      <c r="H148" s="1053">
        <f>G148*K148*12</f>
        <v>0</v>
      </c>
      <c r="I148" s="1040">
        <v>3.8412779454649715</v>
      </c>
      <c r="J148" s="731">
        <f t="shared" si="139"/>
        <v>9.859272354455606E-2</v>
      </c>
      <c r="K148" s="480">
        <v>0</v>
      </c>
      <c r="L148" s="565">
        <f t="shared" si="140"/>
        <v>0</v>
      </c>
      <c r="N148" s="774">
        <v>0.105</v>
      </c>
      <c r="O148" s="1046">
        <f t="shared" si="141"/>
        <v>0</v>
      </c>
      <c r="P148" s="774"/>
      <c r="R148" s="565">
        <f t="shared" si="142"/>
        <v>0</v>
      </c>
      <c r="S148" s="565">
        <f t="shared" si="143"/>
        <v>0</v>
      </c>
      <c r="T148" s="565">
        <f t="shared" si="144"/>
        <v>0</v>
      </c>
      <c r="U148" s="565"/>
      <c r="V148" s="565">
        <f t="shared" si="145"/>
        <v>0</v>
      </c>
      <c r="X148" s="440">
        <f t="shared" si="146"/>
        <v>0</v>
      </c>
      <c r="Y148" s="152">
        <v>35</v>
      </c>
      <c r="Z148" s="440">
        <f t="shared" si="147"/>
        <v>0</v>
      </c>
      <c r="AA148" s="460">
        <f t="shared" si="148"/>
        <v>0</v>
      </c>
      <c r="AB148" s="152">
        <f t="shared" si="133"/>
        <v>0</v>
      </c>
      <c r="AC148" s="152">
        <f t="shared" si="149"/>
        <v>0</v>
      </c>
      <c r="AF148" s="776">
        <f t="shared" si="134"/>
        <v>0</v>
      </c>
      <c r="AG148" s="776">
        <f t="shared" si="135"/>
        <v>0</v>
      </c>
      <c r="AH148" s="777">
        <f t="shared" si="136"/>
        <v>0</v>
      </c>
    </row>
    <row r="149" spans="1:34">
      <c r="A149" s="558" t="s">
        <v>540</v>
      </c>
      <c r="B149" s="457">
        <v>537</v>
      </c>
      <c r="C149" s="152">
        <v>57</v>
      </c>
      <c r="D149" s="802">
        <f t="shared" si="137"/>
        <v>6.87</v>
      </c>
      <c r="E149" s="152">
        <v>0</v>
      </c>
      <c r="F149" s="152">
        <v>0</v>
      </c>
      <c r="G149" s="940">
        <f t="shared" si="138"/>
        <v>6.87</v>
      </c>
      <c r="H149" s="1053">
        <f t="shared" si="150"/>
        <v>0</v>
      </c>
      <c r="I149" s="1040">
        <v>6.2446526540429534</v>
      </c>
      <c r="J149" s="731">
        <f t="shared" si="139"/>
        <v>0.10014125374166016</v>
      </c>
      <c r="K149" s="480">
        <v>0</v>
      </c>
      <c r="L149" s="565">
        <f t="shared" si="140"/>
        <v>0</v>
      </c>
      <c r="N149" s="774">
        <v>0.17</v>
      </c>
      <c r="O149" s="1046">
        <f t="shared" si="141"/>
        <v>0</v>
      </c>
      <c r="P149" s="774"/>
      <c r="R149" s="565">
        <f t="shared" si="142"/>
        <v>0</v>
      </c>
      <c r="S149" s="565">
        <f t="shared" si="143"/>
        <v>0</v>
      </c>
      <c r="T149" s="565">
        <f t="shared" si="144"/>
        <v>0</v>
      </c>
      <c r="U149" s="565"/>
      <c r="V149" s="565">
        <f t="shared" si="145"/>
        <v>0</v>
      </c>
      <c r="X149" s="440">
        <f t="shared" si="146"/>
        <v>0</v>
      </c>
      <c r="Y149" s="152">
        <v>57</v>
      </c>
      <c r="Z149" s="440">
        <f t="shared" si="147"/>
        <v>0</v>
      </c>
      <c r="AA149" s="460">
        <f t="shared" si="148"/>
        <v>0</v>
      </c>
      <c r="AB149" s="152">
        <f t="shared" si="133"/>
        <v>0</v>
      </c>
      <c r="AC149" s="152">
        <f t="shared" si="149"/>
        <v>0</v>
      </c>
      <c r="AF149" s="776">
        <f t="shared" si="134"/>
        <v>0</v>
      </c>
      <c r="AG149" s="776">
        <f t="shared" si="135"/>
        <v>0</v>
      </c>
      <c r="AH149" s="777">
        <f t="shared" si="136"/>
        <v>0</v>
      </c>
    </row>
    <row r="150" spans="1:34">
      <c r="A150" s="558" t="s">
        <v>637</v>
      </c>
      <c r="B150" s="457">
        <v>539</v>
      </c>
      <c r="C150" s="152">
        <v>37</v>
      </c>
      <c r="D150" s="802">
        <f t="shared" si="137"/>
        <v>4.46</v>
      </c>
      <c r="E150" s="152">
        <v>0</v>
      </c>
      <c r="F150" s="152">
        <v>0</v>
      </c>
      <c r="G150" s="940">
        <f t="shared" si="138"/>
        <v>4.46</v>
      </c>
      <c r="H150" s="1053">
        <f t="shared" si="150"/>
        <v>5547.6929688657365</v>
      </c>
      <c r="I150" s="1040">
        <v>4.0524938280629703</v>
      </c>
      <c r="J150" s="731">
        <f t="shared" si="139"/>
        <v>0.10055688897416815</v>
      </c>
      <c r="K150" s="480">
        <f>'Schedule 1'!J78</f>
        <v>103.65644560660942</v>
      </c>
      <c r="L150" s="565">
        <f t="shared" si="140"/>
        <v>507</v>
      </c>
      <c r="N150" s="774">
        <v>0.11</v>
      </c>
      <c r="O150" s="1046">
        <f t="shared" si="141"/>
        <v>11.402209016727037</v>
      </c>
      <c r="P150" s="774"/>
      <c r="Q150" s="480"/>
      <c r="R150" s="565">
        <f t="shared" si="142"/>
        <v>5547.6929688657365</v>
      </c>
      <c r="S150" s="565">
        <f t="shared" si="143"/>
        <v>0</v>
      </c>
      <c r="T150" s="565">
        <f t="shared" si="144"/>
        <v>0</v>
      </c>
      <c r="U150" s="565"/>
      <c r="V150" s="565">
        <f t="shared" ref="V150:V155" si="151">SUM(R150:T150)</f>
        <v>5547.6929688657365</v>
      </c>
      <c r="X150" s="440">
        <f t="shared" ref="X150:X155" si="152">+K150</f>
        <v>103.65644560660942</v>
      </c>
      <c r="Y150" s="152">
        <v>37</v>
      </c>
      <c r="Z150" s="440">
        <f t="shared" ref="Z150:Z155" si="153">X150*Y150</f>
        <v>3835.2884874445485</v>
      </c>
      <c r="AA150" s="460">
        <f t="shared" ref="AA150:AA155" si="154">Z150*12</f>
        <v>46023.461849334584</v>
      </c>
      <c r="AB150" s="152">
        <f t="shared" si="133"/>
        <v>0</v>
      </c>
      <c r="AC150" s="152">
        <f t="shared" si="149"/>
        <v>0</v>
      </c>
      <c r="AF150" s="776">
        <f t="shared" si="134"/>
        <v>0</v>
      </c>
      <c r="AG150" s="776">
        <f t="shared" si="135"/>
        <v>0</v>
      </c>
      <c r="AH150" s="777">
        <f t="shared" si="136"/>
        <v>0</v>
      </c>
    </row>
    <row r="151" spans="1:34">
      <c r="A151" s="558" t="s">
        <v>638</v>
      </c>
      <c r="B151" s="457">
        <v>540</v>
      </c>
      <c r="C151" s="152">
        <v>22</v>
      </c>
      <c r="D151" s="802">
        <f t="shared" si="137"/>
        <v>2.65</v>
      </c>
      <c r="E151" s="152">
        <v>0</v>
      </c>
      <c r="F151" s="152">
        <v>0</v>
      </c>
      <c r="G151" s="940">
        <f t="shared" si="138"/>
        <v>2.65</v>
      </c>
      <c r="H151" s="1053">
        <f>G151*K151*12</f>
        <v>9666.9602494086994</v>
      </c>
      <c r="I151" s="1040">
        <v>2.4033747085779824</v>
      </c>
      <c r="J151" s="731">
        <f t="shared" si="139"/>
        <v>0.10261624645619216</v>
      </c>
      <c r="K151" s="480">
        <f>'Schedule 1'!J81</f>
        <v>303.99246067322957</v>
      </c>
      <c r="L151" s="565">
        <f t="shared" si="140"/>
        <v>900</v>
      </c>
      <c r="N151" s="774">
        <v>0.65</v>
      </c>
      <c r="O151" s="1046">
        <f t="shared" si="141"/>
        <v>197.59509943759923</v>
      </c>
      <c r="P151" s="774"/>
      <c r="Q151" s="480"/>
      <c r="R151" s="565">
        <f t="shared" si="142"/>
        <v>9666.9602494086994</v>
      </c>
      <c r="S151" s="565">
        <f t="shared" si="143"/>
        <v>0</v>
      </c>
      <c r="T151" s="565">
        <f t="shared" si="144"/>
        <v>0</v>
      </c>
      <c r="U151" s="565"/>
      <c r="V151" s="565">
        <f t="shared" si="151"/>
        <v>9666.9602494086994</v>
      </c>
      <c r="X151" s="440">
        <f t="shared" si="152"/>
        <v>303.99246067322957</v>
      </c>
      <c r="Y151" s="152">
        <v>22</v>
      </c>
      <c r="Z151" s="440">
        <f t="shared" si="153"/>
        <v>6687.8341348110507</v>
      </c>
      <c r="AA151" s="460">
        <f t="shared" si="154"/>
        <v>80254.009617732605</v>
      </c>
      <c r="AB151" s="152">
        <f t="shared" si="133"/>
        <v>0</v>
      </c>
      <c r="AC151" s="152">
        <f t="shared" si="149"/>
        <v>0</v>
      </c>
      <c r="AF151" s="776">
        <f t="shared" si="134"/>
        <v>0</v>
      </c>
      <c r="AG151" s="776">
        <f t="shared" si="135"/>
        <v>0</v>
      </c>
      <c r="AH151" s="777">
        <f t="shared" si="136"/>
        <v>0</v>
      </c>
    </row>
    <row r="152" spans="1:34">
      <c r="A152" s="558" t="s">
        <v>595</v>
      </c>
      <c r="B152" s="457">
        <v>541</v>
      </c>
      <c r="C152" s="152">
        <v>18</v>
      </c>
      <c r="D152" s="802">
        <f t="shared" si="137"/>
        <v>2.17</v>
      </c>
      <c r="E152" s="152">
        <v>0</v>
      </c>
      <c r="F152" s="152">
        <v>0</v>
      </c>
      <c r="G152" s="940">
        <f t="shared" si="138"/>
        <v>2.17</v>
      </c>
      <c r="H152" s="1053">
        <f>G152*K152*12</f>
        <v>5138.8878945387478</v>
      </c>
      <c r="I152" s="1061">
        <v>1.99</v>
      </c>
      <c r="J152" s="731">
        <f t="shared" si="139"/>
        <v>9.0452261306532611E-2</v>
      </c>
      <c r="K152" s="480">
        <f>'Schedule 1'!J82</f>
        <v>197.34592528950643</v>
      </c>
      <c r="L152" s="565">
        <f t="shared" si="140"/>
        <v>426</v>
      </c>
      <c r="N152" s="774">
        <v>0.55000000000000004</v>
      </c>
      <c r="O152" s="774">
        <f t="shared" si="141"/>
        <v>108.54025890922854</v>
      </c>
      <c r="P152" s="774"/>
      <c r="R152" s="565">
        <f t="shared" si="142"/>
        <v>5138.8878945387478</v>
      </c>
      <c r="S152" s="565">
        <f t="shared" si="143"/>
        <v>0</v>
      </c>
      <c r="T152" s="565">
        <f t="shared" si="144"/>
        <v>0</v>
      </c>
      <c r="U152" s="565"/>
      <c r="V152" s="565">
        <f t="shared" si="151"/>
        <v>5138.8878945387478</v>
      </c>
      <c r="X152" s="440">
        <f t="shared" si="152"/>
        <v>197.34592528950643</v>
      </c>
      <c r="Y152" s="775">
        <v>18</v>
      </c>
      <c r="Z152" s="440">
        <f t="shared" si="153"/>
        <v>3552.2266552111155</v>
      </c>
      <c r="AA152" s="460">
        <f t="shared" si="154"/>
        <v>42626.719862533384</v>
      </c>
      <c r="AB152" s="152">
        <f t="shared" si="133"/>
        <v>0</v>
      </c>
      <c r="AC152" s="152">
        <f t="shared" si="149"/>
        <v>0</v>
      </c>
      <c r="AF152" s="776">
        <f t="shared" si="134"/>
        <v>0</v>
      </c>
      <c r="AG152" s="776">
        <f t="shared" si="135"/>
        <v>0</v>
      </c>
      <c r="AH152" s="777">
        <f t="shared" si="136"/>
        <v>0</v>
      </c>
    </row>
    <row r="153" spans="1:34" ht="15.75" customHeight="1">
      <c r="A153" s="558" t="s">
        <v>596</v>
      </c>
      <c r="B153" s="457">
        <v>542</v>
      </c>
      <c r="C153" s="152">
        <v>28</v>
      </c>
      <c r="D153" s="802">
        <f t="shared" si="137"/>
        <v>3.37</v>
      </c>
      <c r="E153" s="152">
        <v>0</v>
      </c>
      <c r="F153" s="152">
        <v>0</v>
      </c>
      <c r="G153" s="940">
        <f t="shared" si="138"/>
        <v>3.37</v>
      </c>
      <c r="H153" s="1053">
        <f>G153*K153*12</f>
        <v>3305.1256360304365</v>
      </c>
      <c r="I153" s="1061">
        <v>3.07</v>
      </c>
      <c r="J153" s="731">
        <f t="shared" si="139"/>
        <v>9.7719869706840434E-2</v>
      </c>
      <c r="K153" s="480">
        <f>'Schedule 1'!J83</f>
        <v>81.729120574442049</v>
      </c>
      <c r="L153" s="565">
        <f t="shared" si="140"/>
        <v>294</v>
      </c>
      <c r="N153" s="774">
        <v>0.83</v>
      </c>
      <c r="O153" s="774">
        <f t="shared" si="141"/>
        <v>67.835170076786895</v>
      </c>
      <c r="P153" s="774"/>
      <c r="Q153" s="480"/>
      <c r="R153" s="565">
        <f t="shared" si="142"/>
        <v>3305.1256360304365</v>
      </c>
      <c r="S153" s="565">
        <f t="shared" si="143"/>
        <v>0</v>
      </c>
      <c r="T153" s="565">
        <f t="shared" si="144"/>
        <v>0</v>
      </c>
      <c r="U153" s="565"/>
      <c r="V153" s="565">
        <f t="shared" si="151"/>
        <v>3305.1256360304365</v>
      </c>
      <c r="X153" s="440">
        <f t="shared" si="152"/>
        <v>81.729120574442049</v>
      </c>
      <c r="Y153" s="775">
        <v>28</v>
      </c>
      <c r="Z153" s="440">
        <f t="shared" si="153"/>
        <v>2288.4153760843774</v>
      </c>
      <c r="AA153" s="460">
        <f t="shared" si="154"/>
        <v>27460.984513012529</v>
      </c>
      <c r="AB153" s="152">
        <f t="shared" si="133"/>
        <v>0</v>
      </c>
      <c r="AC153" s="152">
        <f t="shared" si="149"/>
        <v>0</v>
      </c>
      <c r="AF153" s="776">
        <f t="shared" si="134"/>
        <v>0</v>
      </c>
      <c r="AG153" s="776">
        <f t="shared" si="135"/>
        <v>0</v>
      </c>
      <c r="AH153" s="777">
        <f t="shared" si="136"/>
        <v>0</v>
      </c>
    </row>
    <row r="154" spans="1:34" ht="15.75" customHeight="1">
      <c r="A154" s="558" t="s">
        <v>413</v>
      </c>
      <c r="B154" s="457">
        <v>543</v>
      </c>
      <c r="C154" s="152">
        <v>16</v>
      </c>
      <c r="D154" s="802">
        <f t="shared" si="137"/>
        <v>1.93</v>
      </c>
      <c r="E154" s="152">
        <v>0</v>
      </c>
      <c r="F154" s="152">
        <v>0</v>
      </c>
      <c r="G154" s="940">
        <f t="shared" si="138"/>
        <v>1.93</v>
      </c>
      <c r="H154" s="1053">
        <f>G154*K154*12</f>
        <v>1662.0115017108976</v>
      </c>
      <c r="I154" s="1061">
        <v>1.77</v>
      </c>
      <c r="J154" s="731">
        <f t="shared" si="139"/>
        <v>9.0395480225988756E-2</v>
      </c>
      <c r="K154" s="480">
        <f>'Schedule 1'!J84</f>
        <v>71.762154650729599</v>
      </c>
      <c r="L154" s="565">
        <f t="shared" si="140"/>
        <v>138</v>
      </c>
      <c r="N154" s="774">
        <v>0.83</v>
      </c>
      <c r="O154" s="774">
        <f>K154*N154</f>
        <v>59.562588360105565</v>
      </c>
      <c r="P154" s="774"/>
      <c r="Q154" s="480"/>
      <c r="R154" s="565">
        <f t="shared" si="142"/>
        <v>1662.0115017108976</v>
      </c>
      <c r="S154" s="565">
        <f t="shared" si="143"/>
        <v>0</v>
      </c>
      <c r="T154" s="565">
        <f t="shared" si="144"/>
        <v>0</v>
      </c>
      <c r="U154" s="565"/>
      <c r="V154" s="565">
        <f t="shared" si="151"/>
        <v>1662.0115017108976</v>
      </c>
      <c r="X154" s="440">
        <f t="shared" si="152"/>
        <v>71.762154650729599</v>
      </c>
      <c r="Y154" s="775">
        <v>28</v>
      </c>
      <c r="Z154" s="440">
        <f t="shared" si="153"/>
        <v>2009.3403302204288</v>
      </c>
      <c r="AA154" s="460">
        <f t="shared" si="154"/>
        <v>24112.083962645145</v>
      </c>
      <c r="AB154" s="152">
        <f t="shared" si="133"/>
        <v>0</v>
      </c>
      <c r="AC154" s="152">
        <f t="shared" si="149"/>
        <v>0</v>
      </c>
      <c r="AF154" s="776">
        <f t="shared" si="134"/>
        <v>0</v>
      </c>
      <c r="AG154" s="776">
        <f t="shared" si="135"/>
        <v>0</v>
      </c>
      <c r="AH154" s="777">
        <f>AF154-AG154</f>
        <v>0</v>
      </c>
    </row>
    <row r="155" spans="1:34" ht="15.75" customHeight="1">
      <c r="A155" s="558" t="s">
        <v>414</v>
      </c>
      <c r="B155" s="457">
        <v>544</v>
      </c>
      <c r="C155" s="152">
        <v>24</v>
      </c>
      <c r="D155" s="802">
        <f t="shared" si="137"/>
        <v>2.89</v>
      </c>
      <c r="E155" s="152">
        <v>0</v>
      </c>
      <c r="F155" s="152">
        <v>0</v>
      </c>
      <c r="G155" s="940">
        <f t="shared" si="138"/>
        <v>2.89</v>
      </c>
      <c r="H155" s="1045">
        <f>G155*K155*12</f>
        <v>10646.154849617906</v>
      </c>
      <c r="I155" s="1061">
        <v>2.62</v>
      </c>
      <c r="J155" s="731">
        <f t="shared" si="139"/>
        <v>0.10305343511450382</v>
      </c>
      <c r="K155" s="554">
        <f>'Schedule 1'!J85</f>
        <v>306.9825504503433</v>
      </c>
      <c r="L155" s="565">
        <f t="shared" si="140"/>
        <v>995</v>
      </c>
      <c r="N155" s="774">
        <v>0.83</v>
      </c>
      <c r="O155" s="774">
        <f>K155*N155</f>
        <v>254.79551687378492</v>
      </c>
      <c r="P155" s="774"/>
      <c r="Q155" s="480"/>
      <c r="R155" s="565">
        <f t="shared" si="142"/>
        <v>10646.154849617906</v>
      </c>
      <c r="S155" s="565">
        <f t="shared" si="143"/>
        <v>0</v>
      </c>
      <c r="T155" s="565">
        <f t="shared" si="144"/>
        <v>0</v>
      </c>
      <c r="U155" s="565"/>
      <c r="V155" s="565">
        <f t="shared" si="151"/>
        <v>10646.154849617906</v>
      </c>
      <c r="X155" s="440">
        <f t="shared" si="152"/>
        <v>306.9825504503433</v>
      </c>
      <c r="Y155" s="775">
        <v>28</v>
      </c>
      <c r="Z155" s="440">
        <f t="shared" si="153"/>
        <v>8595.5114126096123</v>
      </c>
      <c r="AA155" s="460">
        <f t="shared" si="154"/>
        <v>103146.13695131535</v>
      </c>
      <c r="AB155" s="152">
        <f t="shared" si="133"/>
        <v>0</v>
      </c>
      <c r="AC155" s="152">
        <f t="shared" si="149"/>
        <v>0</v>
      </c>
      <c r="AF155" s="776">
        <f t="shared" si="134"/>
        <v>0</v>
      </c>
      <c r="AG155" s="776">
        <f t="shared" si="135"/>
        <v>0</v>
      </c>
      <c r="AH155" s="777">
        <f>AF155-AG155</f>
        <v>0</v>
      </c>
    </row>
    <row r="156" spans="1:34" ht="15.75">
      <c r="A156" s="558"/>
      <c r="B156" s="457"/>
      <c r="C156" s="558">
        <v>0</v>
      </c>
      <c r="D156" s="802">
        <f t="shared" si="137"/>
        <v>0</v>
      </c>
      <c r="G156" s="1060"/>
      <c r="H156" s="1053">
        <f>SUM(H144:H155)</f>
        <v>52378.83786879429</v>
      </c>
      <c r="I156" s="1061"/>
      <c r="J156" s="731"/>
      <c r="K156" s="480">
        <f>SUM(K144:K155)</f>
        <v>1519.9623033661478</v>
      </c>
      <c r="L156" s="565"/>
      <c r="N156" s="774"/>
      <c r="O156" s="774"/>
      <c r="P156" s="774"/>
      <c r="Q156" s="480"/>
      <c r="R156" s="565">
        <f t="shared" si="142"/>
        <v>0</v>
      </c>
      <c r="S156" s="565"/>
      <c r="T156" s="565"/>
      <c r="U156" s="565"/>
      <c r="V156" s="565"/>
      <c r="X156" s="775">
        <f>SUM(X144:X155)</f>
        <v>1519.9623033661478</v>
      </c>
      <c r="Y156" s="775"/>
      <c r="Z156" s="775">
        <f>SUM(Z144:Z155)</f>
        <v>38327.967459636202</v>
      </c>
      <c r="AA156" s="609">
        <f>SUM(AA144:AA155)</f>
        <v>459935.60951563448</v>
      </c>
      <c r="AF156" s="776">
        <f t="shared" si="134"/>
        <v>0</v>
      </c>
      <c r="AG156" s="776">
        <f t="shared" si="135"/>
        <v>0</v>
      </c>
      <c r="AH156" s="777">
        <f t="shared" si="136"/>
        <v>0</v>
      </c>
    </row>
    <row r="157" spans="1:34" ht="16.5" thickBot="1">
      <c r="A157" s="548"/>
      <c r="B157" s="457"/>
      <c r="D157" s="945"/>
      <c r="G157" s="1060"/>
      <c r="H157" s="1053"/>
      <c r="I157" s="1061"/>
      <c r="J157" s="731"/>
      <c r="K157" s="480"/>
      <c r="L157" s="565"/>
      <c r="N157" s="774"/>
      <c r="O157" s="774"/>
      <c r="P157" s="774"/>
      <c r="Q157" s="480"/>
      <c r="R157" s="565"/>
      <c r="S157" s="565"/>
      <c r="T157" s="565"/>
      <c r="U157" s="565"/>
      <c r="V157" s="565"/>
      <c r="X157" s="775"/>
      <c r="Y157" s="775"/>
      <c r="Z157" s="775"/>
      <c r="AA157" s="609"/>
      <c r="AC157" s="1054">
        <f>IF(T157&gt;0,AA157,0)</f>
        <v>0</v>
      </c>
      <c r="AG157" s="1054">
        <f t="shared" si="135"/>
        <v>0</v>
      </c>
    </row>
    <row r="158" spans="1:34" ht="16.5" thickBot="1">
      <c r="A158" s="474" t="s">
        <v>953</v>
      </c>
      <c r="B158" s="474"/>
      <c r="D158" s="954"/>
      <c r="E158" s="954"/>
      <c r="F158" s="954"/>
      <c r="G158" s="1062"/>
      <c r="H158" s="1063">
        <f>SUM(H14:H17)+SUM(H21:H42)+SUM(H46:H52)+SUM(H55:H62)+SUM(H68:H72)+SUM(H77:H83)+SUM(H87:H93)+SUM(H97:H117)+SUM(H122:H135)+SUM(H140:H141)+SUM(H144:H155)</f>
        <v>22270670.87497912</v>
      </c>
      <c r="I158" s="1064"/>
      <c r="K158" s="713">
        <f>K18+K43+K53+K63+K73+K84+K94+K118+K137+K156</f>
        <v>138633.51912269348</v>
      </c>
      <c r="L158" s="150"/>
      <c r="N158" s="1065"/>
      <c r="O158" s="1066">
        <f>SUM(O14:O157)</f>
        <v>23396.785715894664</v>
      </c>
      <c r="P158" s="1066">
        <f>SUM(P14:P157)</f>
        <v>44.519446691446376</v>
      </c>
      <c r="R158" s="1067">
        <f>SUM(R14:R157)</f>
        <v>10821467.401357815</v>
      </c>
      <c r="S158" s="1068">
        <f>SUM(S14:S157)</f>
        <v>5840444.6148487497</v>
      </c>
      <c r="T158" s="1068">
        <f>SUM(T14:T157)</f>
        <v>5608758.8587725535</v>
      </c>
      <c r="U158" s="1068"/>
      <c r="V158" s="1069">
        <f>SUM(V14:V157)</f>
        <v>22270670.874979123</v>
      </c>
      <c r="X158" s="1070">
        <f>+X18+X44+X64+X85+X95+X119+X137+X156+X157</f>
        <v>138633.51912269348</v>
      </c>
      <c r="Y158" s="1070">
        <f>SUM(Y14:Y156)</f>
        <v>11651</v>
      </c>
      <c r="Z158" s="1070">
        <f>+Z19+Z44+Z64+Z85+Z95+Z119+Z137+Z156+Z157</f>
        <v>7505004.7402677936</v>
      </c>
      <c r="AA158" s="1071">
        <f>+AA19+AA44+AA64+AA85+AA95+AA119+AA137+AA156+AA157</f>
        <v>90060056.883213535</v>
      </c>
      <c r="AB158" s="1071">
        <f>SUM(AB14:AB157)</f>
        <v>81100515.993992642</v>
      </c>
      <c r="AC158" s="1071">
        <f>SUM(AC14:AC157)</f>
        <v>80316729.740897357</v>
      </c>
      <c r="AF158" s="1071">
        <f>SUM(AF14:AF157)</f>
        <v>124387.7347279313</v>
      </c>
      <c r="AG158" s="1071">
        <f>SUM(AG14:AG157)</f>
        <v>123433.89608903203</v>
      </c>
      <c r="AH158" s="1071">
        <f>SUM(AH14:AH157)</f>
        <v>953.83863889928102</v>
      </c>
    </row>
    <row r="159" spans="1:34" ht="15.75">
      <c r="A159" s="474"/>
      <c r="B159" s="474"/>
      <c r="D159" s="954"/>
      <c r="E159" s="954"/>
      <c r="F159" s="954"/>
      <c r="G159" s="954"/>
      <c r="H159" s="954"/>
      <c r="I159" s="954"/>
      <c r="K159" s="713"/>
      <c r="L159" s="150"/>
      <c r="N159" s="1065"/>
      <c r="O159" s="1072"/>
      <c r="P159" s="1072"/>
      <c r="X159" s="736"/>
      <c r="Y159" s="1073"/>
      <c r="Z159" s="148"/>
      <c r="AA159" s="148"/>
      <c r="AB159" s="148"/>
      <c r="AC159" s="148"/>
    </row>
    <row r="160" spans="1:34" ht="15.75">
      <c r="A160" s="474"/>
      <c r="B160" s="474"/>
      <c r="D160" s="954"/>
      <c r="E160" s="954"/>
      <c r="F160" s="954"/>
      <c r="G160" s="954"/>
      <c r="H160" s="954"/>
      <c r="I160" s="954"/>
      <c r="K160" s="713">
        <f>K162+K156</f>
        <v>138633.51912269348</v>
      </c>
      <c r="L160" s="150"/>
      <c r="N160" s="1065"/>
      <c r="O160" s="1072"/>
      <c r="P160" s="1072"/>
      <c r="X160" s="736"/>
      <c r="Y160" s="1073"/>
      <c r="Z160" s="148"/>
      <c r="AA160" s="148"/>
      <c r="AB160" s="148"/>
      <c r="AC160" s="148"/>
      <c r="AG160" s="480">
        <f>AG158-AF158</f>
        <v>-953.83863889926579</v>
      </c>
    </row>
    <row r="161" spans="1:29" ht="15.75">
      <c r="A161" s="474"/>
      <c r="B161" s="474"/>
      <c r="D161" s="954"/>
      <c r="E161" s="954"/>
      <c r="F161" s="954"/>
      <c r="G161" s="954"/>
      <c r="H161" s="954"/>
      <c r="I161" s="954"/>
      <c r="K161" s="713"/>
      <c r="L161" s="150"/>
      <c r="N161" s="1065"/>
      <c r="O161" s="1072"/>
      <c r="P161" s="1072"/>
      <c r="X161" s="736"/>
      <c r="Y161" s="1073"/>
      <c r="Z161" s="148"/>
      <c r="AA161" s="148"/>
      <c r="AB161" s="148"/>
      <c r="AC161" s="148"/>
    </row>
    <row r="162" spans="1:29" ht="15.75">
      <c r="A162" s="150" t="s">
        <v>629</v>
      </c>
      <c r="B162" s="474"/>
      <c r="D162" s="954"/>
      <c r="E162" s="954"/>
      <c r="F162" s="954"/>
      <c r="G162" s="149"/>
      <c r="H162" s="150"/>
      <c r="K162" s="251">
        <f>K18+K43+K53+K63+K73+K84+K94+K118+K137</f>
        <v>137113.55681932735</v>
      </c>
      <c r="L162" s="150"/>
      <c r="N162" s="1065"/>
      <c r="O162" s="1065"/>
      <c r="P162" s="1065"/>
      <c r="R162" s="1074">
        <f>SUM(R11:R135)</f>
        <v>10769088.563489018</v>
      </c>
      <c r="S162" s="1075">
        <f>SUM(S11:S135)</f>
        <v>5840444.6148487497</v>
      </c>
      <c r="T162" s="1075">
        <f>SUM(T11:T135)</f>
        <v>5608758.8587725535</v>
      </c>
      <c r="U162" s="1075"/>
      <c r="V162" s="1076">
        <f>SUM(V11:V135)</f>
        <v>22218292.037110332</v>
      </c>
      <c r="X162" s="377">
        <f>X18+X44+X64+X85+X95+X119+X137</f>
        <v>137113.55681932735</v>
      </c>
      <c r="Y162" s="1073"/>
      <c r="Z162" s="148"/>
      <c r="AA162" s="377">
        <f>AA19+AA44+AA64+AA85+AA95+AA119+AA137</f>
        <v>89600121.273697898</v>
      </c>
    </row>
    <row r="163" spans="1:29" ht="15.75">
      <c r="A163" s="150" t="s">
        <v>779</v>
      </c>
      <c r="B163" s="474"/>
      <c r="D163" s="954"/>
      <c r="E163" s="954"/>
      <c r="F163" s="954"/>
      <c r="G163" s="149"/>
      <c r="H163" s="150"/>
      <c r="K163" s="1077">
        <f>K156+K157</f>
        <v>1519.9623033661478</v>
      </c>
      <c r="L163" s="150"/>
      <c r="N163" s="1065"/>
      <c r="O163" s="1065"/>
      <c r="P163" s="1065"/>
      <c r="R163" s="1078">
        <f>SUM(R140:R156)</f>
        <v>52378.83786879429</v>
      </c>
      <c r="S163" s="1079">
        <f>SUM(S140:S156)</f>
        <v>0</v>
      </c>
      <c r="T163" s="1079">
        <f>SUM(T140:T156)</f>
        <v>0</v>
      </c>
      <c r="U163" s="1079"/>
      <c r="V163" s="1080">
        <f>SUM(V140:V156)</f>
        <v>52378.83786879429</v>
      </c>
      <c r="X163" s="1081">
        <f>X156+X157</f>
        <v>1519.9623033661478</v>
      </c>
      <c r="Y163" s="1073"/>
      <c r="Z163" s="148"/>
      <c r="AA163" s="1081">
        <f>AA156+AA157</f>
        <v>459935.60951563448</v>
      </c>
    </row>
    <row r="164" spans="1:29" ht="15.75">
      <c r="A164" s="692" t="s">
        <v>648</v>
      </c>
      <c r="K164" s="1082">
        <f>SUM(K162:K163)</f>
        <v>138633.51912269348</v>
      </c>
      <c r="R164" s="1083">
        <f>R162+R163</f>
        <v>10821467.401357813</v>
      </c>
      <c r="S164" s="1084">
        <f>S162+S163</f>
        <v>5840444.6148487497</v>
      </c>
      <c r="T164" s="1084">
        <f>T162+T163</f>
        <v>5608758.8587725535</v>
      </c>
      <c r="U164" s="1084"/>
      <c r="V164" s="1085">
        <f>V162+V163</f>
        <v>22270670.874979127</v>
      </c>
      <c r="X164" s="379">
        <f>SUM(X162:X163)</f>
        <v>138633.51912269348</v>
      </c>
      <c r="Y164" s="564"/>
      <c r="AA164" s="1086">
        <f>AA162+AA163</f>
        <v>90060056.883213535</v>
      </c>
    </row>
    <row r="165" spans="1:29" ht="21.75" customHeight="1">
      <c r="K165" s="480"/>
      <c r="R165" s="748"/>
      <c r="S165" s="748"/>
      <c r="T165" s="748"/>
      <c r="U165" s="748"/>
      <c r="V165" s="748"/>
      <c r="X165" s="713"/>
      <c r="AA165" s="588"/>
    </row>
    <row r="166" spans="1:29" ht="21.75" customHeight="1">
      <c r="A166" s="692" t="s">
        <v>629</v>
      </c>
      <c r="K166" s="480"/>
      <c r="R166" s="748"/>
      <c r="S166" s="748"/>
      <c r="T166" s="748"/>
      <c r="U166" s="748"/>
      <c r="V166" s="748"/>
      <c r="X166" s="713"/>
      <c r="AA166" s="588"/>
    </row>
    <row r="167" spans="1:29" ht="21.75" customHeight="1">
      <c r="A167" s="152" t="s">
        <v>185</v>
      </c>
      <c r="K167" s="480">
        <f>K14+K15+SUM(K21:K28)+SUM(K46:K52)+SUM(K97:K102)+K87+K88+K122+K123+K124+K126+K128</f>
        <v>123433.89608903204</v>
      </c>
      <c r="R167" s="1087">
        <f>R14+R15+SUM(R21:R28)+SUM(R46:R52)+SUM(R97:R102)+R87+R88+R122+R123+R124+R126+R128</f>
        <v>9657711.5429173112</v>
      </c>
      <c r="S167" s="1087">
        <f>S14+S15+SUM(S21:S28)+SUM(S46:S52)+SUM(S97:S102)+S87+S88+S122+S123+S124+S126+S128</f>
        <v>5793864.8065351546</v>
      </c>
      <c r="T167" s="1087">
        <f>T14+T15+SUM(T21:T28)+SUM(T46:T52)+SUM(T97:T102)+T87+T88+T122+T123+T124+T126+T128</f>
        <v>5608758.8587725554</v>
      </c>
      <c r="U167" s="1087"/>
      <c r="V167" s="1087">
        <f>V14+V15+SUM(V21:V28)+SUM(V46:V52)+SUM(V97:V102)+V87+V88+V122+V123+V124+V126+V128</f>
        <v>21060335.208225023</v>
      </c>
      <c r="W167" s="480"/>
      <c r="X167" s="480">
        <f t="shared" ref="X167:AC167" si="155">X14+X15+SUM(X21:X28)+SUM(X46:X52)+SUM(X97:X102)+X87+X88+X122+X123+X124+X126+X128</f>
        <v>123433.89608903204</v>
      </c>
      <c r="Y167" s="480">
        <f t="shared" si="155"/>
        <v>3636</v>
      </c>
      <c r="Z167" s="480">
        <f t="shared" si="155"/>
        <v>6693060.8117414452</v>
      </c>
      <c r="AA167" s="480">
        <f t="shared" si="155"/>
        <v>80316729.740897357</v>
      </c>
      <c r="AB167" s="480">
        <f t="shared" si="155"/>
        <v>80316729.740897357</v>
      </c>
      <c r="AC167" s="480">
        <f t="shared" si="155"/>
        <v>80316729.740897357</v>
      </c>
    </row>
    <row r="168" spans="1:29" ht="21.75" customHeight="1">
      <c r="A168" s="152" t="s">
        <v>186</v>
      </c>
      <c r="K168" s="480">
        <f>SUM(K30:K35)+SUM(K55:K60)+SUM(K104:K107)+K91</f>
        <v>953.83863889928102</v>
      </c>
      <c r="R168" s="1087">
        <f>SUM(R30:R35)+SUM(R55:R60)+SUM(R104:R107)+R91</f>
        <v>94349.412430637836</v>
      </c>
      <c r="S168" s="1087">
        <f>SUM(S30:S35)+SUM(S55:S60)+SUM(S104:S107)+S91</f>
        <v>46579.808313595851</v>
      </c>
      <c r="T168" s="1087">
        <f>SUM(T30:T35)+SUM(T55:T60)+SUM(T104:T107)+T91</f>
        <v>0</v>
      </c>
      <c r="U168" s="1087"/>
      <c r="V168" s="1087">
        <f>SUM(V30:V35)+SUM(V55:V60)+SUM(V104:V107)+V91</f>
        <v>140929.22074423369</v>
      </c>
      <c r="W168" s="480"/>
      <c r="X168" s="480">
        <f t="shared" ref="X168:AC168" si="156">SUM(X30:X35)+SUM(X55:X60)+SUM(X104:X107)+X91</f>
        <v>953.83863889928102</v>
      </c>
      <c r="Y168" s="480">
        <f t="shared" si="156"/>
        <v>1946</v>
      </c>
      <c r="Z168" s="480">
        <f t="shared" si="156"/>
        <v>65315.521091272392</v>
      </c>
      <c r="AA168" s="480">
        <f t="shared" si="156"/>
        <v>783786.25309526885</v>
      </c>
      <c r="AB168" s="480">
        <f t="shared" si="156"/>
        <v>783786.25309526885</v>
      </c>
      <c r="AC168" s="480">
        <f t="shared" si="156"/>
        <v>0</v>
      </c>
    </row>
    <row r="169" spans="1:29" ht="21.75" customHeight="1">
      <c r="A169" s="152" t="s">
        <v>187</v>
      </c>
      <c r="K169" s="480">
        <f>K17+SUM(K37:K42)+K62+SUM(K77:K83)+K93+SUM(K109:K114)+K116+K117+SUM(K130:K135)+SUM(K68:K72)</f>
        <v>12725.822091396049</v>
      </c>
      <c r="R169" s="1087">
        <f>R17+SUM(R37:R42)+R62+SUM(R77:R83)+R93+SUM(R109:R114)+R116+R117+SUM(R130:R135)+SUM(R68:R72)</f>
        <v>1017027.60814107</v>
      </c>
      <c r="S169" s="1087">
        <f>S17+SUM(S37:S42)+S62+SUM(S77:S83)+S93+SUM(S109:S114)+S116+S117+SUM(S130:S135)+SUM(S68:S72)</f>
        <v>0</v>
      </c>
      <c r="T169" s="1087">
        <f>T17+SUM(T37:T42)+T62+SUM(T77:T83)+T93+SUM(T109:T114)+T116+T117+SUM(T130:T135)+SUM(T68:T72)</f>
        <v>0</v>
      </c>
      <c r="U169" s="1087"/>
      <c r="V169" s="1087">
        <f>V17+SUM(V37:V42)+V62+SUM(V77:V83)+V93+SUM(V109:V114)+V116+V117+SUM(V130:V135)+SUM(V68:V72)</f>
        <v>1017027.60814107</v>
      </c>
      <c r="W169" s="480"/>
      <c r="X169" s="480">
        <f t="shared" ref="X169:AC169" si="157">X17+SUM(X37:X42)+X62+SUM(X77:X83)+X93+SUM(X109:X114)+X116+X117+SUM(X130:X135)+SUM(X68:X72)</f>
        <v>12725.822091396049</v>
      </c>
      <c r="Y169" s="480">
        <f t="shared" si="157"/>
        <v>5666</v>
      </c>
      <c r="Z169" s="480">
        <f t="shared" si="157"/>
        <v>708300.43997544027</v>
      </c>
      <c r="AA169" s="480">
        <f t="shared" si="157"/>
        <v>8499605.2797052804</v>
      </c>
      <c r="AB169" s="480">
        <f t="shared" si="157"/>
        <v>0</v>
      </c>
      <c r="AC169" s="480">
        <f t="shared" si="157"/>
        <v>0</v>
      </c>
    </row>
    <row r="170" spans="1:29" ht="21.75" customHeight="1">
      <c r="A170" s="152" t="s">
        <v>188</v>
      </c>
      <c r="K170" s="480">
        <f>SUM(K167:K169)</f>
        <v>137113.55681932738</v>
      </c>
      <c r="R170" s="1087">
        <f>SUM(R167:R169)</f>
        <v>10769088.56348902</v>
      </c>
      <c r="S170" s="1087">
        <f t="shared" ref="S170:AC170" si="158">SUM(S167:S169)</f>
        <v>5840444.6148487506</v>
      </c>
      <c r="T170" s="1087">
        <f t="shared" si="158"/>
        <v>5608758.8587725554</v>
      </c>
      <c r="U170" s="1087"/>
      <c r="V170" s="1087">
        <f t="shared" si="158"/>
        <v>22218292.037110325</v>
      </c>
      <c r="W170" s="480"/>
      <c r="X170" s="480">
        <f t="shared" si="158"/>
        <v>137113.55681932738</v>
      </c>
      <c r="Y170" s="480">
        <f t="shared" si="158"/>
        <v>11248</v>
      </c>
      <c r="Z170" s="480">
        <f t="shared" si="158"/>
        <v>7466676.7728081578</v>
      </c>
      <c r="AA170" s="480">
        <f t="shared" si="158"/>
        <v>89600121.273697913</v>
      </c>
      <c r="AB170" s="480">
        <f t="shared" si="158"/>
        <v>81100515.993992627</v>
      </c>
      <c r="AC170" s="480">
        <f t="shared" si="158"/>
        <v>80316729.740897357</v>
      </c>
    </row>
    <row r="171" spans="1:29" ht="9.75" customHeight="1" thickBot="1">
      <c r="K171" s="480"/>
      <c r="R171" s="1087"/>
      <c r="S171" s="1087"/>
      <c r="T171" s="1087"/>
      <c r="U171" s="1087"/>
      <c r="V171" s="1087"/>
      <c r="W171" s="480"/>
      <c r="X171" s="480"/>
      <c r="Y171" s="480"/>
      <c r="Z171" s="480"/>
      <c r="AA171" s="480"/>
      <c r="AB171" s="480"/>
      <c r="AC171" s="480"/>
    </row>
    <row r="172" spans="1:29" ht="16.5" thickBot="1">
      <c r="D172" s="876" t="s">
        <v>954</v>
      </c>
      <c r="E172" s="1088">
        <f>COUNT(B14:B151)+3</f>
        <v>93</v>
      </c>
      <c r="T172" s="567"/>
      <c r="U172" s="567"/>
    </row>
    <row r="173" spans="1:29" ht="15.75">
      <c r="D173" s="692" t="s">
        <v>955</v>
      </c>
      <c r="T173" s="708"/>
      <c r="U173" s="708"/>
    </row>
    <row r="174" spans="1:29" ht="15.75">
      <c r="D174" s="548" t="s">
        <v>956</v>
      </c>
      <c r="E174" s="548"/>
      <c r="H174" s="158"/>
      <c r="T174" s="567"/>
      <c r="U174" s="567"/>
    </row>
    <row r="175" spans="1:29">
      <c r="H175" s="158"/>
      <c r="T175" s="567"/>
      <c r="U175" s="567"/>
    </row>
    <row r="176" spans="1:29">
      <c r="H176" s="158"/>
      <c r="T176" s="567"/>
      <c r="U176" s="567"/>
    </row>
    <row r="177" spans="1:21" ht="15.75">
      <c r="D177" s="1089" t="s">
        <v>957</v>
      </c>
      <c r="E177" s="1090"/>
      <c r="F177" s="1091"/>
      <c r="G177" s="1091"/>
      <c r="H177" s="1091"/>
      <c r="I177" s="1092"/>
      <c r="T177" s="567"/>
      <c r="U177" s="567"/>
    </row>
    <row r="178" spans="1:21" ht="15.75">
      <c r="A178" s="1093" t="s">
        <v>102</v>
      </c>
      <c r="B178" s="1094"/>
      <c r="C178" s="1095"/>
      <c r="D178" s="1096" t="s">
        <v>958</v>
      </c>
      <c r="E178" s="1097"/>
      <c r="F178" s="158"/>
      <c r="G178" s="158"/>
      <c r="H178" s="158"/>
      <c r="I178" s="939"/>
      <c r="T178" s="567"/>
      <c r="U178" s="567"/>
    </row>
    <row r="179" spans="1:21" ht="15.75">
      <c r="A179" s="1098" t="s">
        <v>103</v>
      </c>
      <c r="B179" s="1099" t="s">
        <v>104</v>
      </c>
      <c r="C179" s="1100">
        <v>8.5050000000000008</v>
      </c>
      <c r="D179" s="1096"/>
      <c r="E179" s="1097"/>
      <c r="F179" s="158"/>
      <c r="G179" s="158"/>
      <c r="H179" s="158"/>
      <c r="I179" s="939"/>
      <c r="T179" s="567"/>
      <c r="U179" s="567"/>
    </row>
    <row r="180" spans="1:21" ht="15.75">
      <c r="A180" s="1098"/>
      <c r="B180" s="1099"/>
      <c r="C180" s="1100"/>
      <c r="D180" s="1101" t="s">
        <v>959</v>
      </c>
      <c r="E180" s="1102"/>
      <c r="F180" s="158"/>
      <c r="G180" s="158"/>
      <c r="H180" s="158"/>
      <c r="I180" s="939"/>
      <c r="T180" s="567"/>
      <c r="U180" s="567"/>
    </row>
    <row r="181" spans="1:21">
      <c r="A181" s="1098" t="s">
        <v>105</v>
      </c>
      <c r="B181" s="1099"/>
      <c r="C181" s="1103"/>
      <c r="D181" s="926" t="s">
        <v>1005</v>
      </c>
      <c r="E181" s="158"/>
      <c r="F181" s="158"/>
      <c r="G181" s="1104">
        <f>'2012 Rates'!D7</f>
        <v>9.3394536551495193</v>
      </c>
      <c r="H181" s="593">
        <f>ROUND(C179*(1+'2012 Stlgt Rates'!$C$3)*12,4)</f>
        <v>112.07340000000001</v>
      </c>
      <c r="I181" s="939"/>
      <c r="J181" s="479"/>
    </row>
    <row r="182" spans="1:21">
      <c r="A182" s="1098" t="s">
        <v>106</v>
      </c>
      <c r="B182" s="1099" t="s">
        <v>107</v>
      </c>
      <c r="C182" s="1105">
        <v>4.8159999999999998</v>
      </c>
      <c r="D182" s="926" t="s">
        <v>960</v>
      </c>
      <c r="E182" s="158"/>
      <c r="F182" s="158"/>
      <c r="G182" s="158"/>
      <c r="H182" s="947"/>
      <c r="I182" s="939"/>
    </row>
    <row r="183" spans="1:21" ht="30" customHeight="1">
      <c r="A183" s="1098" t="s">
        <v>108</v>
      </c>
      <c r="B183" s="1099" t="s">
        <v>107</v>
      </c>
      <c r="C183" s="1105">
        <v>4.91</v>
      </c>
      <c r="D183" s="1140" t="s">
        <v>961</v>
      </c>
      <c r="E183" s="1141"/>
      <c r="F183" s="588">
        <f>200*12</f>
        <v>2400</v>
      </c>
      <c r="G183" s="1106">
        <f>ROUND(SUM(C182:C183)/100*(1+'2012 Stlgt Rates'!$C$3),5)</f>
        <v>0.10680000000000001</v>
      </c>
      <c r="H183" s="947">
        <f>ROUND(+F183*G183,4)</f>
        <v>256.32</v>
      </c>
      <c r="I183" s="939"/>
    </row>
    <row r="184" spans="1:21" ht="30" customHeight="1">
      <c r="A184" s="1098" t="s">
        <v>109</v>
      </c>
      <c r="B184" s="1099" t="s">
        <v>107</v>
      </c>
      <c r="C184" s="1107">
        <v>0</v>
      </c>
      <c r="D184" s="1140" t="s">
        <v>962</v>
      </c>
      <c r="E184" s="1142"/>
      <c r="F184" s="588">
        <f>4000-F183</f>
        <v>1600</v>
      </c>
      <c r="G184" s="1106">
        <f>ROUND(SUM(C189:C190)/100*(1+'2012 Stlgt Rates'!$C$3),5)</f>
        <v>7.0910000000000001E-2</v>
      </c>
      <c r="H184" s="1108">
        <f>ROUND(+F184*G184,4)</f>
        <v>113.456</v>
      </c>
      <c r="I184" s="939"/>
    </row>
    <row r="185" spans="1:21">
      <c r="A185" s="1098" t="s">
        <v>110</v>
      </c>
      <c r="B185" s="1099" t="s">
        <v>107</v>
      </c>
      <c r="C185" s="1107">
        <v>0</v>
      </c>
      <c r="D185" s="926"/>
      <c r="E185" s="158"/>
      <c r="F185" s="588"/>
      <c r="G185" s="158"/>
      <c r="H185" s="593">
        <f>SUM(H181:H184)</f>
        <v>481.8494</v>
      </c>
      <c r="I185" s="939"/>
    </row>
    <row r="186" spans="1:21">
      <c r="A186" s="1109" t="s">
        <v>111</v>
      </c>
      <c r="B186" s="1099" t="s">
        <v>107</v>
      </c>
      <c r="C186" s="1100">
        <f>SUM(C182:C185)</f>
        <v>9.7259999999999991</v>
      </c>
      <c r="D186" s="926"/>
      <c r="E186" s="158"/>
      <c r="F186" s="588"/>
      <c r="G186" s="158"/>
      <c r="H186" s="593"/>
      <c r="I186" s="939"/>
    </row>
    <row r="187" spans="1:21" ht="15.75">
      <c r="A187" s="1109"/>
      <c r="B187" s="1099"/>
      <c r="C187" s="1100"/>
      <c r="D187" s="926" t="s">
        <v>963</v>
      </c>
      <c r="E187" s="158"/>
      <c r="F187" s="588">
        <f>SUM(F183:F184)</f>
        <v>4000</v>
      </c>
      <c r="G187" s="158"/>
      <c r="H187" s="1110">
        <f>ROUND(+H185/F187,7)</f>
        <v>0.1204624</v>
      </c>
      <c r="I187" s="939"/>
    </row>
    <row r="188" spans="1:21">
      <c r="A188" s="1098" t="s">
        <v>112</v>
      </c>
      <c r="B188" s="1099"/>
      <c r="C188" s="1100"/>
      <c r="D188" s="926"/>
      <c r="E188" s="158"/>
      <c r="F188" s="588"/>
      <c r="G188" s="158"/>
      <c r="H188" s="158"/>
      <c r="I188" s="939"/>
    </row>
    <row r="189" spans="1:21" ht="15.75">
      <c r="A189" s="1098" t="s">
        <v>106</v>
      </c>
      <c r="B189" s="1099" t="s">
        <v>107</v>
      </c>
      <c r="C189" s="1105">
        <v>4.8159999999999998</v>
      </c>
      <c r="D189" s="1101" t="s">
        <v>964</v>
      </c>
      <c r="E189" s="1102"/>
      <c r="F189" s="588"/>
      <c r="G189" s="158"/>
      <c r="H189" s="158"/>
      <c r="I189" s="939"/>
    </row>
    <row r="190" spans="1:21">
      <c r="A190" s="1098" t="s">
        <v>108</v>
      </c>
      <c r="B190" s="1099" t="s">
        <v>107</v>
      </c>
      <c r="C190" s="1105">
        <v>1.641</v>
      </c>
      <c r="D190" s="926" t="s">
        <v>1005</v>
      </c>
      <c r="E190" s="158"/>
      <c r="F190" s="588"/>
      <c r="G190" s="1111">
        <f>G181</f>
        <v>9.3394536551495193</v>
      </c>
      <c r="H190" s="593">
        <f>+H181</f>
        <v>112.07340000000001</v>
      </c>
      <c r="I190" s="939"/>
    </row>
    <row r="191" spans="1:21">
      <c r="A191" s="1098" t="s">
        <v>109</v>
      </c>
      <c r="B191" s="1099" t="s">
        <v>107</v>
      </c>
      <c r="C191" s="1107">
        <v>0</v>
      </c>
      <c r="D191" s="926" t="s">
        <v>960</v>
      </c>
      <c r="E191" s="158"/>
      <c r="F191" s="588"/>
      <c r="G191" s="158"/>
      <c r="H191" s="947"/>
      <c r="I191" s="939"/>
    </row>
    <row r="192" spans="1:21" ht="30" customHeight="1">
      <c r="A192" s="1098" t="s">
        <v>110</v>
      </c>
      <c r="B192" s="1099" t="s">
        <v>107</v>
      </c>
      <c r="C192" s="1107">
        <v>0</v>
      </c>
      <c r="D192" s="1140" t="s">
        <v>961</v>
      </c>
      <c r="E192" s="1142"/>
      <c r="F192" s="588">
        <f>200*12</f>
        <v>2400</v>
      </c>
      <c r="G192" s="1106">
        <f>G183</f>
        <v>0.10680000000000001</v>
      </c>
      <c r="H192" s="947">
        <f>ROUND(+F192*G192,4)</f>
        <v>256.32</v>
      </c>
      <c r="I192" s="939"/>
    </row>
    <row r="193" spans="1:9" ht="30.75" customHeight="1">
      <c r="A193" s="1109" t="s">
        <v>113</v>
      </c>
      <c r="B193" s="1099" t="s">
        <v>107</v>
      </c>
      <c r="C193" s="1100">
        <f>SUM(C189:C192)</f>
        <v>6.4569999999999999</v>
      </c>
      <c r="D193" s="1140" t="s">
        <v>962</v>
      </c>
      <c r="E193" s="1142"/>
      <c r="F193" s="588">
        <f>8760-F192</f>
        <v>6360</v>
      </c>
      <c r="G193" s="1106">
        <f>G184</f>
        <v>7.0910000000000001E-2</v>
      </c>
      <c r="H193" s="1108">
        <f>ROUND(+F193*G193,4)</f>
        <v>450.98759999999999</v>
      </c>
      <c r="I193" s="939"/>
    </row>
    <row r="194" spans="1:9">
      <c r="D194" s="926"/>
      <c r="E194" s="158"/>
      <c r="F194" s="588"/>
      <c r="G194" s="158"/>
      <c r="H194" s="593">
        <f>SUM(H190:H193)</f>
        <v>819.38099999999997</v>
      </c>
      <c r="I194" s="939"/>
    </row>
    <row r="195" spans="1:9">
      <c r="D195" s="926"/>
      <c r="E195" s="158"/>
      <c r="F195" s="588"/>
      <c r="G195" s="158"/>
      <c r="H195" s="593"/>
      <c r="I195" s="939"/>
    </row>
    <row r="196" spans="1:9" ht="15.75">
      <c r="D196" s="1112" t="s">
        <v>963</v>
      </c>
      <c r="E196" s="1113"/>
      <c r="F196" s="1114">
        <f>SUM(F192:F193)</f>
        <v>8760</v>
      </c>
      <c r="G196" s="1113"/>
      <c r="H196" s="1115">
        <f>ROUND(+H194/F196,7)</f>
        <v>9.3536599999999998E-2</v>
      </c>
      <c r="I196" s="1116"/>
    </row>
  </sheetData>
  <autoFilter ref="S1:S196"/>
  <mergeCells count="8">
    <mergeCell ref="X1:AA1"/>
    <mergeCell ref="D183:E183"/>
    <mergeCell ref="D184:E184"/>
    <mergeCell ref="D192:E192"/>
    <mergeCell ref="D193:E193"/>
    <mergeCell ref="D3:L3"/>
    <mergeCell ref="D5:L5"/>
    <mergeCell ref="D6:L6"/>
  </mergeCells>
  <phoneticPr fontId="0" type="noConversion"/>
  <conditionalFormatting sqref="A178:C193">
    <cfRule type="cellIs" dxfId="0" priority="2" stopIfTrue="1" operator="lessThan">
      <formula>0</formula>
    </cfRule>
  </conditionalFormatting>
  <printOptions horizontalCentered="1"/>
  <pageMargins left="0.25" right="0.25" top="0.25" bottom="0.65277777777777801" header="0" footer="0"/>
  <pageSetup scale="49" fitToHeight="4" orientation="landscape" r:id="rId1"/>
  <headerFooter alignWithMargins="0"/>
  <rowBreaks count="2" manualBreakCount="2">
    <brk id="64" min="3" max="15" man="1"/>
    <brk id="119" min="3" max="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"/>
  <sheetViews>
    <sheetView view="pageLayout" zoomScaleNormal="100" workbookViewId="0">
      <selection activeCell="A28" sqref="A28"/>
    </sheetView>
  </sheetViews>
  <sheetFormatPr defaultRowHeight="15"/>
  <cols>
    <col min="1" max="1" width="17.44140625" customWidth="1"/>
    <col min="5" max="5" width="10.33203125" customWidth="1"/>
    <col min="8" max="8" width="2.44140625" customWidth="1"/>
    <col min="10" max="10" width="10.44140625" customWidth="1"/>
  </cols>
  <sheetData>
    <row r="1" spans="1:13" ht="15.75">
      <c r="A1" s="853" t="s">
        <v>1248</v>
      </c>
      <c r="L1" s="28" t="s">
        <v>1255</v>
      </c>
    </row>
    <row r="2" spans="1:13" ht="15.75">
      <c r="A2" s="853"/>
    </row>
    <row r="3" spans="1:13" ht="21">
      <c r="D3" s="1147" t="s">
        <v>1249</v>
      </c>
      <c r="E3" s="1148"/>
      <c r="F3" s="1148"/>
      <c r="G3" s="1149"/>
      <c r="I3" s="1150" t="s">
        <v>1250</v>
      </c>
      <c r="J3" s="1151"/>
      <c r="K3" s="1151"/>
      <c r="L3" s="1152"/>
    </row>
    <row r="4" spans="1:13" ht="45">
      <c r="A4" s="854" t="s">
        <v>657</v>
      </c>
      <c r="B4" s="855" t="s">
        <v>656</v>
      </c>
      <c r="C4" s="855" t="s">
        <v>1251</v>
      </c>
      <c r="D4" s="856" t="s">
        <v>1252</v>
      </c>
      <c r="E4" s="857" t="s">
        <v>646</v>
      </c>
      <c r="F4" s="857" t="s">
        <v>647</v>
      </c>
      <c r="G4" s="858" t="s">
        <v>1253</v>
      </c>
      <c r="H4" s="854"/>
      <c r="I4" s="856" t="s">
        <v>1252</v>
      </c>
      <c r="J4" s="857" t="s">
        <v>646</v>
      </c>
      <c r="K4" s="857" t="s">
        <v>1254</v>
      </c>
      <c r="L4" s="858" t="s">
        <v>1253</v>
      </c>
      <c r="M4" s="854"/>
    </row>
    <row r="5" spans="1:13">
      <c r="B5" s="859"/>
      <c r="C5" s="859"/>
      <c r="D5" s="860"/>
      <c r="E5" s="741"/>
      <c r="F5" s="741"/>
      <c r="G5" s="861"/>
      <c r="I5" s="860"/>
      <c r="J5" s="741"/>
      <c r="K5" s="741"/>
      <c r="L5" s="861"/>
    </row>
    <row r="6" spans="1:13">
      <c r="A6" t="s">
        <v>599</v>
      </c>
      <c r="B6" s="859">
        <v>615</v>
      </c>
      <c r="C6" s="859">
        <v>15</v>
      </c>
      <c r="D6" s="862">
        <v>1.98</v>
      </c>
      <c r="E6" s="863">
        <v>0</v>
      </c>
      <c r="F6" s="863">
        <v>7.8495952827333584</v>
      </c>
      <c r="G6" s="864">
        <f>SUM(D6:F6)</f>
        <v>9.8295952827333579</v>
      </c>
      <c r="I6" s="862">
        <v>1.98</v>
      </c>
      <c r="J6" s="863">
        <v>0</v>
      </c>
      <c r="K6" s="863">
        <f>F6*0.85</f>
        <v>6.672155990323354</v>
      </c>
      <c r="L6" s="864">
        <f>D6+E6+K6</f>
        <v>8.6521559903233545</v>
      </c>
    </row>
    <row r="7" spans="1:13">
      <c r="A7" t="s">
        <v>600</v>
      </c>
      <c r="B7" s="859">
        <v>616</v>
      </c>
      <c r="C7" s="859">
        <v>18</v>
      </c>
      <c r="D7" s="862">
        <v>2.37</v>
      </c>
      <c r="E7" s="863">
        <v>0</v>
      </c>
      <c r="F7" s="863">
        <v>7.8495952827333584</v>
      </c>
      <c r="G7" s="864">
        <f t="shared" ref="G7:G13" si="0">SUM(D7:F7)</f>
        <v>10.219595282733358</v>
      </c>
      <c r="I7" s="862">
        <v>2.37</v>
      </c>
      <c r="J7" s="863">
        <v>0</v>
      </c>
      <c r="K7" s="863">
        <f t="shared" ref="K7:K13" si="1">F7*0.85</f>
        <v>6.672155990323354</v>
      </c>
      <c r="L7" s="864">
        <f t="shared" ref="L7:L13" si="2">D7+E7+K7</f>
        <v>9.042155990323355</v>
      </c>
    </row>
    <row r="8" spans="1:13">
      <c r="A8" t="s">
        <v>606</v>
      </c>
      <c r="B8" s="859">
        <v>617</v>
      </c>
      <c r="C8" s="859">
        <v>25</v>
      </c>
      <c r="D8" s="862">
        <v>3.3</v>
      </c>
      <c r="E8" s="863">
        <v>0</v>
      </c>
      <c r="F8" s="863">
        <v>7.8495952827333584</v>
      </c>
      <c r="G8" s="864">
        <f t="shared" si="0"/>
        <v>11.149595282733358</v>
      </c>
      <c r="I8" s="862">
        <v>3.3</v>
      </c>
      <c r="J8" s="863">
        <v>0</v>
      </c>
      <c r="K8" s="863">
        <f t="shared" si="1"/>
        <v>6.672155990323354</v>
      </c>
      <c r="L8" s="864">
        <f t="shared" si="2"/>
        <v>9.9721559903233548</v>
      </c>
    </row>
    <row r="9" spans="1:13">
      <c r="A9" t="s">
        <v>601</v>
      </c>
      <c r="B9" s="859">
        <v>618</v>
      </c>
      <c r="C9" s="859">
        <v>29</v>
      </c>
      <c r="D9" s="862">
        <v>3.82</v>
      </c>
      <c r="E9" s="863">
        <v>0</v>
      </c>
      <c r="F9" s="863">
        <v>7.8495952827333584</v>
      </c>
      <c r="G9" s="864">
        <f t="shared" si="0"/>
        <v>11.669595282733358</v>
      </c>
      <c r="I9" s="862">
        <v>3.82</v>
      </c>
      <c r="J9" s="863">
        <v>0</v>
      </c>
      <c r="K9" s="863">
        <f t="shared" si="1"/>
        <v>6.672155990323354</v>
      </c>
      <c r="L9" s="864">
        <f t="shared" si="2"/>
        <v>10.492155990323354</v>
      </c>
    </row>
    <row r="10" spans="1:13">
      <c r="A10" t="s">
        <v>605</v>
      </c>
      <c r="B10" s="859">
        <v>619</v>
      </c>
      <c r="C10" s="859">
        <v>22</v>
      </c>
      <c r="D10" s="862">
        <v>2.9</v>
      </c>
      <c r="E10" s="863">
        <v>0</v>
      </c>
      <c r="F10" s="863">
        <v>10.408810890611978</v>
      </c>
      <c r="G10" s="864">
        <f t="shared" si="0"/>
        <v>13.308810890611978</v>
      </c>
      <c r="I10" s="862">
        <v>2.9</v>
      </c>
      <c r="J10" s="863">
        <v>0</v>
      </c>
      <c r="K10" s="863">
        <f t="shared" si="1"/>
        <v>8.8474892570201806</v>
      </c>
      <c r="L10" s="864">
        <f t="shared" si="2"/>
        <v>11.747489257020181</v>
      </c>
    </row>
    <row r="11" spans="1:13">
      <c r="A11" t="s">
        <v>602</v>
      </c>
      <c r="B11" s="859">
        <v>620</v>
      </c>
      <c r="C11" s="859">
        <v>29</v>
      </c>
      <c r="D11" s="862">
        <v>3.82</v>
      </c>
      <c r="E11" s="863">
        <v>0</v>
      </c>
      <c r="F11" s="863">
        <v>11.769373532996546</v>
      </c>
      <c r="G11" s="864">
        <f t="shared" si="0"/>
        <v>15.589373532996547</v>
      </c>
      <c r="I11" s="862">
        <v>3.82</v>
      </c>
      <c r="J11" s="863">
        <v>0</v>
      </c>
      <c r="K11" s="863">
        <f t="shared" si="1"/>
        <v>10.003967503047065</v>
      </c>
      <c r="L11" s="864">
        <f t="shared" si="2"/>
        <v>13.823967503047065</v>
      </c>
    </row>
    <row r="12" spans="1:13">
      <c r="A12" t="s">
        <v>604</v>
      </c>
      <c r="B12" s="859">
        <v>621</v>
      </c>
      <c r="C12" s="859">
        <v>37</v>
      </c>
      <c r="D12" s="862">
        <v>4.88</v>
      </c>
      <c r="E12" s="863">
        <v>0</v>
      </c>
      <c r="F12" s="863">
        <v>11.769373532996546</v>
      </c>
      <c r="G12" s="864">
        <f t="shared" si="0"/>
        <v>16.649373532996545</v>
      </c>
      <c r="I12" s="862">
        <v>4.88</v>
      </c>
      <c r="J12" s="863">
        <v>0</v>
      </c>
      <c r="K12" s="863">
        <f t="shared" si="1"/>
        <v>10.003967503047065</v>
      </c>
      <c r="L12" s="864">
        <f t="shared" si="2"/>
        <v>14.883967503047064</v>
      </c>
    </row>
    <row r="13" spans="1:13">
      <c r="A13" t="s">
        <v>603</v>
      </c>
      <c r="B13" s="859">
        <v>622</v>
      </c>
      <c r="C13" s="859">
        <v>58</v>
      </c>
      <c r="D13" s="862">
        <v>7.65</v>
      </c>
      <c r="E13" s="863">
        <v>0</v>
      </c>
      <c r="F13" s="863">
        <v>11.769373532996546</v>
      </c>
      <c r="G13" s="865">
        <f t="shared" si="0"/>
        <v>19.419373532996545</v>
      </c>
      <c r="I13" s="862">
        <v>7.65</v>
      </c>
      <c r="J13" s="863">
        <v>0</v>
      </c>
      <c r="K13" s="863">
        <f t="shared" si="1"/>
        <v>10.003967503047065</v>
      </c>
      <c r="L13" s="865">
        <f t="shared" si="2"/>
        <v>17.653967503047063</v>
      </c>
    </row>
    <row r="14" spans="1:13">
      <c r="D14" s="866"/>
      <c r="E14" s="867"/>
      <c r="F14" s="867"/>
      <c r="G14" s="868"/>
      <c r="I14" s="869"/>
      <c r="J14" s="870"/>
      <c r="K14" s="867"/>
      <c r="L14" s="868"/>
    </row>
    <row r="15" spans="1:13">
      <c r="K15" s="99"/>
      <c r="L15" s="99"/>
    </row>
  </sheetData>
  <mergeCells count="2">
    <mergeCell ref="D3:G3"/>
    <mergeCell ref="I3:L3"/>
  </mergeCells>
  <printOptions horizontalCentered="1"/>
  <pageMargins left="0.7" right="0.7" top="0.75" bottom="0.75" header="0.3" footer="0.3"/>
  <pageSetup scale="6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70"/>
  <sheetViews>
    <sheetView workbookViewId="0">
      <selection activeCell="B40" sqref="B40"/>
    </sheetView>
  </sheetViews>
  <sheetFormatPr defaultColWidth="7.109375" defaultRowHeight="12.75"/>
  <cols>
    <col min="1" max="1" width="28.88671875" style="66" customWidth="1"/>
    <col min="2" max="4" width="9.109375" style="66" customWidth="1"/>
    <col min="5" max="5" width="1.77734375" style="66" customWidth="1"/>
    <col min="6" max="16384" width="7.109375" style="66"/>
  </cols>
  <sheetData>
    <row r="1" spans="1:5" ht="15.75">
      <c r="A1" s="502"/>
    </row>
    <row r="2" spans="1:5" ht="15.75">
      <c r="A2" s="68" t="s">
        <v>486</v>
      </c>
      <c r="B2" s="67"/>
      <c r="C2" s="67"/>
      <c r="D2" s="67"/>
      <c r="E2" s="67"/>
    </row>
    <row r="3" spans="1:5" ht="15.75">
      <c r="A3" s="68" t="s">
        <v>583</v>
      </c>
      <c r="B3" s="67"/>
      <c r="C3" s="67"/>
      <c r="D3" s="67"/>
      <c r="E3" s="67"/>
    </row>
    <row r="5" spans="1:5">
      <c r="A5" s="503"/>
      <c r="B5" s="504" t="s">
        <v>487</v>
      </c>
      <c r="C5" s="504" t="s">
        <v>487</v>
      </c>
      <c r="D5" s="505"/>
      <c r="E5" s="506"/>
    </row>
    <row r="6" spans="1:5">
      <c r="A6" s="507"/>
      <c r="B6" s="508">
        <v>2011</v>
      </c>
      <c r="C6" s="508">
        <v>2012</v>
      </c>
      <c r="D6" s="508" t="s">
        <v>488</v>
      </c>
      <c r="E6" s="509"/>
    </row>
    <row r="7" spans="1:5">
      <c r="A7" s="507"/>
      <c r="B7" s="508"/>
      <c r="C7" s="508"/>
      <c r="D7" s="508"/>
      <c r="E7" s="509"/>
    </row>
    <row r="8" spans="1:5">
      <c r="A8" s="510" t="s">
        <v>489</v>
      </c>
      <c r="B8" s="508"/>
      <c r="C8" s="508"/>
      <c r="D8" s="508"/>
      <c r="E8" s="509"/>
    </row>
    <row r="9" spans="1:5">
      <c r="A9" s="507"/>
      <c r="B9" s="69"/>
      <c r="C9" s="69"/>
      <c r="D9" s="69"/>
      <c r="E9" s="509"/>
    </row>
    <row r="10" spans="1:5">
      <c r="A10" s="511" t="s">
        <v>490</v>
      </c>
      <c r="B10" s="531">
        <v>217.7</v>
      </c>
      <c r="C10" s="531">
        <v>231.2</v>
      </c>
      <c r="D10" s="798"/>
      <c r="E10" s="509"/>
    </row>
    <row r="11" spans="1:5">
      <c r="A11" s="511" t="s">
        <v>491</v>
      </c>
      <c r="B11" s="532">
        <v>26.7</v>
      </c>
      <c r="C11" s="533">
        <v>28.4</v>
      </c>
      <c r="D11" s="69"/>
      <c r="E11" s="509"/>
    </row>
    <row r="12" spans="1:5">
      <c r="A12" s="512" t="s">
        <v>492</v>
      </c>
      <c r="B12" s="533">
        <v>6.3</v>
      </c>
      <c r="C12" s="533">
        <v>6.4</v>
      </c>
      <c r="D12" s="69"/>
      <c r="E12" s="509"/>
    </row>
    <row r="13" spans="1:5">
      <c r="A13" s="512" t="s">
        <v>493</v>
      </c>
      <c r="B13" s="533">
        <v>1</v>
      </c>
      <c r="C13" s="533">
        <v>1.1000000000000001</v>
      </c>
      <c r="D13" s="69"/>
      <c r="E13" s="509"/>
    </row>
    <row r="14" spans="1:5">
      <c r="A14" s="512" t="s">
        <v>494</v>
      </c>
      <c r="B14" s="533">
        <v>410.3</v>
      </c>
      <c r="C14" s="533">
        <v>332.4</v>
      </c>
      <c r="D14" s="69"/>
      <c r="E14" s="509"/>
    </row>
    <row r="15" spans="1:5">
      <c r="A15" s="507"/>
      <c r="B15" s="796"/>
      <c r="C15" s="796"/>
      <c r="D15" s="69"/>
      <c r="E15" s="509"/>
    </row>
    <row r="16" spans="1:5">
      <c r="A16" s="507"/>
      <c r="B16" s="796"/>
      <c r="C16" s="796"/>
      <c r="D16" s="69"/>
      <c r="E16" s="509"/>
    </row>
    <row r="17" spans="1:6">
      <c r="A17" s="512" t="s">
        <v>495</v>
      </c>
      <c r="B17" s="533">
        <v>-161.30000000000001</v>
      </c>
      <c r="C17" s="533">
        <v>-170.4</v>
      </c>
      <c r="D17" s="69"/>
      <c r="E17" s="509"/>
    </row>
    <row r="18" spans="1:6">
      <c r="A18" s="512" t="s">
        <v>496</v>
      </c>
      <c r="B18" s="533">
        <v>-127.7</v>
      </c>
      <c r="C18" s="533">
        <v>-143.5</v>
      </c>
      <c r="D18" s="69"/>
      <c r="E18" s="509"/>
    </row>
    <row r="19" spans="1:6">
      <c r="A19" s="512" t="s">
        <v>497</v>
      </c>
      <c r="B19" s="533">
        <v>-1.7</v>
      </c>
      <c r="C19" s="533">
        <v>-1.7</v>
      </c>
      <c r="D19" s="69"/>
      <c r="E19" s="509"/>
    </row>
    <row r="20" spans="1:6">
      <c r="A20" s="512" t="s">
        <v>498</v>
      </c>
      <c r="B20" s="533">
        <v>-1.9</v>
      </c>
      <c r="C20" s="533">
        <v>29.4</v>
      </c>
      <c r="D20" s="69"/>
      <c r="E20" s="509"/>
    </row>
    <row r="21" spans="1:6">
      <c r="A21" s="507"/>
      <c r="B21" s="796"/>
      <c r="C21" s="796"/>
      <c r="D21" s="69"/>
      <c r="E21" s="509"/>
    </row>
    <row r="22" spans="1:6">
      <c r="A22" s="507"/>
      <c r="B22" s="796"/>
      <c r="C22" s="796"/>
      <c r="D22" s="69"/>
      <c r="E22" s="509"/>
    </row>
    <row r="23" spans="1:6">
      <c r="A23" s="514" t="s">
        <v>499</v>
      </c>
      <c r="B23" s="797">
        <f>SUM(B10:B20)</f>
        <v>369.40000000000003</v>
      </c>
      <c r="C23" s="797">
        <f>SUM(C10:C20)</f>
        <v>313.3</v>
      </c>
      <c r="D23" s="536">
        <f>(B23+C23)/2</f>
        <v>341.35</v>
      </c>
      <c r="E23" s="509"/>
    </row>
    <row r="24" spans="1:6">
      <c r="A24" s="507"/>
      <c r="B24" s="515"/>
      <c r="C24" s="515"/>
      <c r="D24" s="69"/>
      <c r="E24" s="509"/>
    </row>
    <row r="25" spans="1:6">
      <c r="A25" s="516" t="s">
        <v>984</v>
      </c>
      <c r="B25" s="513"/>
      <c r="C25" s="69"/>
      <c r="D25" s="517">
        <f>D67</f>
        <v>7.9559798716195475E-3</v>
      </c>
      <c r="E25" s="509"/>
    </row>
    <row r="26" spans="1:6">
      <c r="A26" s="516" t="s">
        <v>985</v>
      </c>
      <c r="B26" s="513"/>
      <c r="C26" s="69"/>
      <c r="D26" s="517">
        <f>D68</f>
        <v>2.7496606144418309E-3</v>
      </c>
      <c r="E26" s="509"/>
    </row>
    <row r="27" spans="1:6">
      <c r="A27" s="507"/>
      <c r="B27" s="513"/>
      <c r="C27" s="69"/>
      <c r="D27" s="69"/>
      <c r="E27" s="509"/>
    </row>
    <row r="28" spans="1:6">
      <c r="A28" s="518" t="s">
        <v>986</v>
      </c>
      <c r="B28" s="513"/>
      <c r="C28" s="69"/>
      <c r="D28" s="519">
        <f>D$23*D25</f>
        <v>2.7157737291773327</v>
      </c>
      <c r="E28" s="509"/>
    </row>
    <row r="29" spans="1:6">
      <c r="A29" s="768" t="s">
        <v>986</v>
      </c>
      <c r="B29" s="70"/>
      <c r="C29" s="70"/>
      <c r="D29" s="769">
        <f>D$23*D26</f>
        <v>0.93859665073971899</v>
      </c>
      <c r="E29" s="520"/>
      <c r="F29" s="770"/>
    </row>
    <row r="31" spans="1:6">
      <c r="A31" s="503"/>
      <c r="B31" s="504" t="s">
        <v>487</v>
      </c>
      <c r="C31" s="504" t="s">
        <v>487</v>
      </c>
      <c r="D31" s="505"/>
      <c r="E31" s="506"/>
    </row>
    <row r="32" spans="1:6">
      <c r="A32" s="507"/>
      <c r="B32" s="508">
        <f>+B6</f>
        <v>2011</v>
      </c>
      <c r="C32" s="508">
        <f>+C6</f>
        <v>2012</v>
      </c>
      <c r="D32" s="508" t="s">
        <v>488</v>
      </c>
      <c r="E32" s="509"/>
    </row>
    <row r="33" spans="1:7">
      <c r="A33" s="507"/>
      <c r="B33" s="508"/>
      <c r="C33" s="508"/>
      <c r="D33" s="508"/>
      <c r="E33" s="509"/>
    </row>
    <row r="34" spans="1:7">
      <c r="A34" s="521" t="s">
        <v>506</v>
      </c>
      <c r="B34" s="69"/>
      <c r="C34" s="69"/>
      <c r="D34" s="69"/>
      <c r="E34" s="509"/>
    </row>
    <row r="35" spans="1:7">
      <c r="A35" s="507"/>
      <c r="B35" s="69"/>
      <c r="C35" s="69"/>
      <c r="D35" s="69"/>
      <c r="E35" s="509"/>
    </row>
    <row r="36" spans="1:7">
      <c r="A36" s="507" t="s">
        <v>507</v>
      </c>
      <c r="B36" s="674">
        <v>2051.12</v>
      </c>
      <c r="C36" s="674">
        <v>2154.0540000000001</v>
      </c>
      <c r="D36" s="69"/>
      <c r="E36" s="509"/>
    </row>
    <row r="37" spans="1:7">
      <c r="A37" s="522" t="s">
        <v>508</v>
      </c>
      <c r="B37" s="674">
        <v>454.13</v>
      </c>
      <c r="C37" s="674">
        <v>489.036</v>
      </c>
      <c r="D37" s="69"/>
      <c r="E37" s="509"/>
    </row>
    <row r="38" spans="1:7">
      <c r="A38" s="522" t="s">
        <v>509</v>
      </c>
      <c r="B38" s="674">
        <v>218.98099999999999</v>
      </c>
      <c r="C38" s="674">
        <v>218.18100000000001</v>
      </c>
      <c r="D38" s="69"/>
      <c r="E38" s="509"/>
    </row>
    <row r="39" spans="1:7">
      <c r="A39" s="522" t="s">
        <v>510</v>
      </c>
      <c r="B39" s="674">
        <v>33.805</v>
      </c>
      <c r="C39" s="674">
        <v>35.433</v>
      </c>
      <c r="D39" s="69"/>
      <c r="E39" s="509"/>
    </row>
    <row r="40" spans="1:7">
      <c r="A40" s="507" t="s">
        <v>511</v>
      </c>
      <c r="B40" s="674">
        <v>83.503</v>
      </c>
      <c r="C40" s="674">
        <v>83.619</v>
      </c>
      <c r="D40" s="69"/>
      <c r="E40" s="509"/>
    </row>
    <row r="41" spans="1:7">
      <c r="A41" s="507" t="s">
        <v>512</v>
      </c>
      <c r="B41" s="674">
        <v>696.51622700000007</v>
      </c>
      <c r="C41" s="674">
        <v>719.07299999999998</v>
      </c>
      <c r="D41" s="69"/>
      <c r="E41" s="509"/>
    </row>
    <row r="42" spans="1:7">
      <c r="A42" s="522" t="s">
        <v>513</v>
      </c>
      <c r="B42" s="674">
        <v>1275.4466910000001</v>
      </c>
      <c r="C42" s="674">
        <v>1359.8866680000001</v>
      </c>
      <c r="D42" s="513">
        <f>(B42+C42)/2</f>
        <v>1317.6666795000001</v>
      </c>
      <c r="E42" s="509"/>
    </row>
    <row r="43" spans="1:7">
      <c r="A43" s="523" t="s">
        <v>514</v>
      </c>
      <c r="B43" s="534">
        <v>54.506167999999995</v>
      </c>
      <c r="C43" s="534">
        <v>70.988790999999992</v>
      </c>
      <c r="D43" s="524">
        <f>(B43+C43)/2</f>
        <v>62.747479499999997</v>
      </c>
      <c r="E43" s="509"/>
      <c r="F43" s="799"/>
      <c r="G43" s="799"/>
    </row>
    <row r="44" spans="1:7">
      <c r="A44" s="522" t="s">
        <v>515</v>
      </c>
      <c r="B44" s="535">
        <v>436.875</v>
      </c>
      <c r="C44" s="535">
        <v>451.90199999999999</v>
      </c>
      <c r="D44" s="527">
        <f>(B44+C44)/2</f>
        <v>444.38850000000002</v>
      </c>
      <c r="E44" s="509"/>
      <c r="G44" s="799"/>
    </row>
    <row r="45" spans="1:7">
      <c r="A45" s="522"/>
      <c r="B45" s="525"/>
      <c r="C45" s="526"/>
      <c r="D45" s="526"/>
      <c r="E45" s="509"/>
    </row>
    <row r="46" spans="1:7">
      <c r="A46" s="516" t="s">
        <v>516</v>
      </c>
      <c r="B46" s="513"/>
      <c r="C46" s="513"/>
      <c r="D46" s="528">
        <f>ROUND(+D43/D42,3)</f>
        <v>4.8000000000000001E-2</v>
      </c>
      <c r="E46" s="509"/>
    </row>
    <row r="47" spans="1:7">
      <c r="A47" s="507"/>
      <c r="B47" s="513"/>
      <c r="C47" s="513"/>
      <c r="D47" s="529"/>
      <c r="E47" s="509"/>
    </row>
    <row r="48" spans="1:7">
      <c r="A48" s="507" t="s">
        <v>517</v>
      </c>
      <c r="B48" s="673">
        <f>SUM(B36:B44)-B43</f>
        <v>5250.3769179999999</v>
      </c>
      <c r="C48" s="673">
        <f>SUM(C36:C44)-C43</f>
        <v>5511.1846679999999</v>
      </c>
      <c r="D48" s="513">
        <f>(B48+C48)/2</f>
        <v>5380.7807929999999</v>
      </c>
      <c r="E48" s="509"/>
    </row>
    <row r="49" spans="1:7">
      <c r="A49" s="507"/>
      <c r="B49" s="69"/>
      <c r="C49" s="69"/>
      <c r="D49" s="69"/>
      <c r="E49" s="509"/>
    </row>
    <row r="50" spans="1:7">
      <c r="A50" s="516" t="s">
        <v>518</v>
      </c>
      <c r="B50" s="69"/>
      <c r="C50" s="69"/>
      <c r="D50" s="517">
        <f>+D43/(D48-D44)</f>
        <v>1.2711201982261095E-2</v>
      </c>
      <c r="E50" s="509"/>
    </row>
    <row r="51" spans="1:7">
      <c r="A51" s="507"/>
      <c r="B51" s="69"/>
      <c r="C51" s="69"/>
      <c r="D51" s="69"/>
      <c r="E51" s="509"/>
    </row>
    <row r="52" spans="1:7">
      <c r="A52" s="518" t="s">
        <v>505</v>
      </c>
      <c r="B52" s="69"/>
      <c r="C52" s="69"/>
      <c r="D52" s="519">
        <f>D$23*D50</f>
        <v>4.3389687966448252</v>
      </c>
      <c r="E52" s="509"/>
    </row>
    <row r="53" spans="1:7">
      <c r="A53" s="507"/>
      <c r="B53" s="69"/>
      <c r="C53" s="69"/>
      <c r="D53" s="69"/>
      <c r="E53" s="509"/>
    </row>
    <row r="54" spans="1:7">
      <c r="A54" s="507" t="s">
        <v>519</v>
      </c>
      <c r="B54" s="674">
        <v>1176.116</v>
      </c>
      <c r="C54" s="674">
        <v>1228.4639999999999</v>
      </c>
      <c r="D54" s="513"/>
      <c r="E54" s="509"/>
    </row>
    <row r="55" spans="1:7">
      <c r="A55" s="522" t="s">
        <v>520</v>
      </c>
      <c r="B55" s="674">
        <v>301.92500000000001</v>
      </c>
      <c r="C55" s="674">
        <v>329.084</v>
      </c>
      <c r="D55" s="513"/>
      <c r="E55" s="509"/>
    </row>
    <row r="56" spans="1:7">
      <c r="A56" s="522" t="s">
        <v>521</v>
      </c>
      <c r="B56" s="674">
        <v>205.71799999999999</v>
      </c>
      <c r="C56" s="674">
        <v>197.96899999999999</v>
      </c>
      <c r="D56" s="513"/>
      <c r="E56" s="509"/>
    </row>
    <row r="57" spans="1:7">
      <c r="A57" s="522" t="s">
        <v>522</v>
      </c>
      <c r="B57" s="674">
        <v>8.2710000000000008</v>
      </c>
      <c r="C57" s="674">
        <v>9.3010000000000002</v>
      </c>
      <c r="D57" s="513"/>
      <c r="E57" s="509"/>
    </row>
    <row r="58" spans="1:7">
      <c r="A58" s="507" t="s">
        <v>523</v>
      </c>
      <c r="B58" s="674">
        <v>63.298999999999999</v>
      </c>
      <c r="C58" s="674">
        <v>61.414000000000001</v>
      </c>
      <c r="D58" s="513"/>
      <c r="E58" s="509"/>
    </row>
    <row r="59" spans="1:7">
      <c r="A59" s="507" t="s">
        <v>524</v>
      </c>
      <c r="B59" s="674">
        <v>352.34500000000003</v>
      </c>
      <c r="C59" s="674">
        <v>359.024</v>
      </c>
      <c r="D59" s="513"/>
      <c r="E59" s="509"/>
    </row>
    <row r="60" spans="1:7">
      <c r="A60" s="522" t="s">
        <v>525</v>
      </c>
      <c r="B60" s="674">
        <v>566.78399999999999</v>
      </c>
      <c r="C60" s="674">
        <v>605.60400000000004</v>
      </c>
      <c r="D60" s="513">
        <f>(B60+C60)/2</f>
        <v>586.19399999999996</v>
      </c>
      <c r="E60" s="509"/>
    </row>
    <row r="61" spans="1:7">
      <c r="A61" s="516" t="s">
        <v>980</v>
      </c>
      <c r="B61" s="804">
        <v>23.177</v>
      </c>
      <c r="C61" s="804">
        <v>20.304959999999998</v>
      </c>
      <c r="D61" s="530">
        <f>(B61+C61)/2</f>
        <v>21.74098</v>
      </c>
      <c r="E61" s="509"/>
      <c r="G61" s="799"/>
    </row>
    <row r="62" spans="1:7">
      <c r="A62" s="516" t="s">
        <v>981</v>
      </c>
      <c r="B62" s="804">
        <v>0</v>
      </c>
      <c r="C62" s="805">
        <v>15.027769649999998</v>
      </c>
      <c r="D62" s="530">
        <f>(B62+C62)/2</f>
        <v>7.513884824999999</v>
      </c>
      <c r="E62" s="509"/>
    </row>
    <row r="63" spans="1:7">
      <c r="A63" s="522" t="s">
        <v>526</v>
      </c>
      <c r="B63" s="674">
        <v>229.44499999999999</v>
      </c>
      <c r="C63" s="674">
        <v>212.40799999999999</v>
      </c>
      <c r="D63" s="513">
        <f>(B63+C63)/2</f>
        <v>220.92649999999998</v>
      </c>
      <c r="E63" s="509"/>
    </row>
    <row r="64" spans="1:7">
      <c r="A64" s="507"/>
      <c r="B64" s="513"/>
      <c r="C64" s="513"/>
      <c r="D64" s="513"/>
      <c r="E64" s="509"/>
    </row>
    <row r="65" spans="1:5">
      <c r="A65" s="507" t="s">
        <v>527</v>
      </c>
      <c r="B65" s="513">
        <f>SUM(B54:B60)+B63</f>
        <v>2903.9030000000002</v>
      </c>
      <c r="C65" s="513">
        <f>SUM(C54:C60)+C63</f>
        <v>3003.2679999999996</v>
      </c>
      <c r="D65" s="513">
        <f>(B65+C65)/2</f>
        <v>2953.5855000000001</v>
      </c>
      <c r="E65" s="509"/>
    </row>
    <row r="66" spans="1:5">
      <c r="A66" s="507"/>
      <c r="B66" s="69"/>
      <c r="C66" s="69"/>
      <c r="D66" s="69"/>
      <c r="E66" s="509"/>
    </row>
    <row r="67" spans="1:5">
      <c r="A67" s="516" t="s">
        <v>983</v>
      </c>
      <c r="B67" s="72">
        <f>B61/(B65-B63)</f>
        <v>8.6660549539383305E-3</v>
      </c>
      <c r="C67" s="72">
        <f>C61/(C65-C63)</f>
        <v>7.2755208072063805E-3</v>
      </c>
      <c r="D67" s="71">
        <f>D61/(D65-D63)</f>
        <v>7.9559798716195475E-3</v>
      </c>
      <c r="E67" s="509"/>
    </row>
    <row r="68" spans="1:5">
      <c r="A68" s="765" t="s">
        <v>983</v>
      </c>
      <c r="B68" s="766">
        <f>B62/(B65-B63)</f>
        <v>0</v>
      </c>
      <c r="C68" s="766">
        <f>C62/(C65-C63)</f>
        <v>5.3846375848304821E-3</v>
      </c>
      <c r="D68" s="767">
        <f>D62/(D65-D63)</f>
        <v>2.7496606144418309E-3</v>
      </c>
      <c r="E68" s="520"/>
    </row>
    <row r="70" spans="1:5">
      <c r="D70" s="74"/>
    </row>
  </sheetData>
  <phoneticPr fontId="10" type="noConversion"/>
  <printOptions horizontalCentered="1"/>
  <pageMargins left="0.74803149606299213" right="0.74803149606299213" top="0.98425196850393704" bottom="0.98425196850393704" header="0.51181102362204722" footer="0.51181102362204722"/>
  <pageSetup scale="75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1184"/>
  <sheetViews>
    <sheetView workbookViewId="0">
      <selection activeCell="B40" sqref="B40"/>
    </sheetView>
  </sheetViews>
  <sheetFormatPr defaultRowHeight="15"/>
  <cols>
    <col min="1" max="1" width="13.44140625" customWidth="1"/>
    <col min="2" max="2" width="44.88671875" customWidth="1"/>
    <col min="3" max="4" width="11.6640625" customWidth="1"/>
    <col min="5" max="5" width="14.77734375" bestFit="1" customWidth="1"/>
    <col min="6" max="6" width="15" bestFit="1" customWidth="1"/>
    <col min="7" max="13" width="11.6640625" customWidth="1"/>
    <col min="14" max="15" width="11.6640625" style="485" customWidth="1"/>
    <col min="16" max="16" width="11.5546875" customWidth="1"/>
    <col min="17" max="17" width="10.77734375" customWidth="1"/>
    <col min="18" max="18" width="2.88671875" customWidth="1"/>
    <col min="19" max="21" width="10.77734375" customWidth="1"/>
    <col min="22" max="22" width="35.6640625" customWidth="1"/>
    <col min="23" max="24" width="11.6640625" customWidth="1"/>
  </cols>
  <sheetData>
    <row r="1" spans="1:146" ht="20.25">
      <c r="A1" s="197" t="s">
        <v>299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601"/>
      <c r="O1" s="601"/>
      <c r="P1" s="2"/>
      <c r="Q1" s="2"/>
      <c r="R1" s="2"/>
      <c r="S1" s="2"/>
      <c r="T1" s="2"/>
      <c r="U1" s="2"/>
      <c r="V1" s="2"/>
    </row>
    <row r="2" spans="1:146" ht="20.25">
      <c r="A2" s="197" t="s">
        <v>300</v>
      </c>
      <c r="B2" s="197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602"/>
      <c r="O2" s="602"/>
      <c r="P2" s="417"/>
      <c r="Q2" s="417"/>
      <c r="R2" s="417"/>
      <c r="S2" s="417"/>
      <c r="T2" s="417"/>
      <c r="U2" s="2"/>
      <c r="V2" s="2"/>
    </row>
    <row r="3" spans="1:146" ht="20.25">
      <c r="A3" s="418" t="s">
        <v>152</v>
      </c>
      <c r="B3" s="197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6"/>
      <c r="N3" s="602"/>
      <c r="O3" s="602"/>
      <c r="P3" s="417"/>
      <c r="Q3" s="417"/>
      <c r="R3" s="417"/>
      <c r="S3" s="417"/>
      <c r="T3" s="417"/>
      <c r="U3" s="2"/>
      <c r="V3" s="2"/>
    </row>
    <row r="4" spans="1:146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52"/>
      <c r="O4" s="152"/>
    </row>
    <row r="5" spans="1:146" ht="18.75" thickBot="1">
      <c r="A5" s="196" t="s">
        <v>301</v>
      </c>
      <c r="B5" s="30"/>
      <c r="C5" s="133"/>
      <c r="D5" s="133"/>
      <c r="J5" s="133"/>
      <c r="K5" s="133"/>
      <c r="L5" s="133"/>
      <c r="M5" s="133"/>
      <c r="N5" s="152"/>
      <c r="O5" s="152"/>
    </row>
    <row r="6" spans="1:146" ht="16.5" thickBot="1">
      <c r="A6" s="133" t="s">
        <v>103</v>
      </c>
      <c r="B6" s="133"/>
      <c r="C6" s="201">
        <f>+'2012 Rates'!D7</f>
        <v>9.3394536551495193</v>
      </c>
      <c r="D6" s="133"/>
      <c r="E6" s="419" t="s">
        <v>302</v>
      </c>
      <c r="F6" s="419"/>
      <c r="G6" s="206">
        <f>+'2012 Rates'!B11</f>
        <v>3.2504153814512136</v>
      </c>
      <c r="H6" s="207" t="s">
        <v>130</v>
      </c>
      <c r="J6" s="141"/>
      <c r="K6" s="141"/>
      <c r="L6" s="141"/>
      <c r="M6" s="141"/>
      <c r="N6" s="152"/>
      <c r="O6" s="152"/>
    </row>
    <row r="7" spans="1:146" ht="16.5" thickBot="1">
      <c r="A7" s="133" t="s">
        <v>126</v>
      </c>
      <c r="B7" s="133"/>
      <c r="C7" s="203">
        <f>+'2012 Rates'!D8</f>
        <v>0.10680249999998144</v>
      </c>
      <c r="D7" s="133"/>
      <c r="E7" s="420" t="s">
        <v>303</v>
      </c>
      <c r="F7" s="420"/>
      <c r="G7" s="206">
        <f>+'2012 Rates'!B12</f>
        <v>13.891133302485763</v>
      </c>
      <c r="H7" s="207" t="s">
        <v>130</v>
      </c>
      <c r="J7" s="205"/>
      <c r="K7" s="205"/>
      <c r="L7" s="205"/>
      <c r="M7" s="205"/>
      <c r="N7" s="152"/>
      <c r="O7" s="152"/>
    </row>
    <row r="8" spans="1:146" ht="16.5" thickBot="1">
      <c r="A8" s="133" t="s">
        <v>127</v>
      </c>
      <c r="B8" s="133"/>
      <c r="C8" s="203">
        <f>+'2012 Rates'!D9</f>
        <v>7.0905176074427326E-2</v>
      </c>
      <c r="D8" s="133"/>
      <c r="J8" s="205"/>
      <c r="K8" s="205"/>
      <c r="L8" s="205"/>
      <c r="M8" s="205"/>
      <c r="N8" s="152"/>
      <c r="O8" s="152"/>
    </row>
    <row r="9" spans="1:146" ht="16.5" thickBot="1">
      <c r="A9" s="133"/>
      <c r="B9" s="133"/>
      <c r="C9" s="669"/>
      <c r="D9" s="133"/>
      <c r="J9" s="205"/>
      <c r="K9" s="205"/>
      <c r="L9" s="205"/>
      <c r="M9" s="205"/>
      <c r="N9" s="152"/>
      <c r="O9" s="152"/>
    </row>
    <row r="10" spans="1:146" ht="15.75" thickBot="1">
      <c r="A10" s="158" t="s">
        <v>577</v>
      </c>
      <c r="B10" s="16"/>
      <c r="C10" s="670">
        <f>0.00104+0.00125</f>
        <v>2.2899999999999999E-3</v>
      </c>
      <c r="D10" s="16"/>
      <c r="E10" s="16"/>
      <c r="F10" s="16"/>
      <c r="N10" s="603"/>
      <c r="O10" s="603"/>
      <c r="U10" s="16"/>
    </row>
    <row r="11" spans="1:146" ht="15.75">
      <c r="C11" s="16"/>
      <c r="D11" s="421" t="s">
        <v>304</v>
      </c>
      <c r="E11" s="422"/>
      <c r="F11" s="422"/>
      <c r="G11" s="16"/>
      <c r="M11" s="423" t="s">
        <v>898</v>
      </c>
      <c r="N11" s="604" t="s">
        <v>304</v>
      </c>
      <c r="O11" s="605"/>
      <c r="S11" s="421" t="s">
        <v>573</v>
      </c>
      <c r="T11" s="422"/>
      <c r="U11" s="424" t="s">
        <v>837</v>
      </c>
      <c r="V11" s="16"/>
    </row>
    <row r="12" spans="1:146" ht="15.75">
      <c r="C12" s="16"/>
      <c r="D12" s="667" t="s">
        <v>305</v>
      </c>
      <c r="E12" s="666"/>
      <c r="F12" s="677"/>
      <c r="G12" s="260" t="s">
        <v>306</v>
      </c>
      <c r="H12" s="258" t="s">
        <v>1002</v>
      </c>
      <c r="I12" s="427" t="s">
        <v>1002</v>
      </c>
      <c r="J12" s="427" t="s">
        <v>1002</v>
      </c>
      <c r="K12" s="427" t="s">
        <v>914</v>
      </c>
      <c r="L12" s="427" t="s">
        <v>648</v>
      </c>
      <c r="M12" s="427" t="s">
        <v>914</v>
      </c>
      <c r="N12" s="606" t="s">
        <v>307</v>
      </c>
      <c r="O12" s="607"/>
      <c r="P12" s="425" t="s">
        <v>308</v>
      </c>
      <c r="Q12" s="426"/>
      <c r="S12" s="428" t="s">
        <v>309</v>
      </c>
      <c r="T12" s="429"/>
      <c r="U12" s="430" t="s">
        <v>310</v>
      </c>
      <c r="V12" s="431" t="s">
        <v>311</v>
      </c>
      <c r="W12" s="427" t="s">
        <v>1002</v>
      </c>
      <c r="X12" s="427" t="s">
        <v>1002</v>
      </c>
    </row>
    <row r="13" spans="1:146" ht="15.75">
      <c r="A13" s="321" t="s">
        <v>656</v>
      </c>
      <c r="B13" s="321" t="s">
        <v>657</v>
      </c>
      <c r="C13" s="321" t="s">
        <v>139</v>
      </c>
      <c r="D13" s="432" t="s">
        <v>645</v>
      </c>
      <c r="E13" s="668" t="s">
        <v>578</v>
      </c>
      <c r="F13" s="432" t="s">
        <v>579</v>
      </c>
      <c r="G13" s="684">
        <v>40602</v>
      </c>
      <c r="H13" s="680" t="s">
        <v>645</v>
      </c>
      <c r="I13" s="433" t="s">
        <v>312</v>
      </c>
      <c r="J13" s="433" t="s">
        <v>313</v>
      </c>
      <c r="K13" s="433" t="s">
        <v>922</v>
      </c>
      <c r="L13" s="433" t="s">
        <v>922</v>
      </c>
      <c r="M13" s="433" t="s">
        <v>922</v>
      </c>
      <c r="N13" s="608" t="s">
        <v>645</v>
      </c>
      <c r="O13" s="608" t="s">
        <v>754</v>
      </c>
      <c r="P13" s="432" t="s">
        <v>645</v>
      </c>
      <c r="Q13" s="432" t="s">
        <v>754</v>
      </c>
      <c r="S13" s="432" t="s">
        <v>645</v>
      </c>
      <c r="T13" s="432" t="s">
        <v>754</v>
      </c>
      <c r="U13" s="16"/>
      <c r="W13" s="433" t="s">
        <v>312</v>
      </c>
      <c r="X13" s="433" t="s">
        <v>313</v>
      </c>
    </row>
    <row r="14" spans="1:146" ht="15.75">
      <c r="A14" s="614" t="s">
        <v>277</v>
      </c>
      <c r="B14" s="615" t="s">
        <v>314</v>
      </c>
      <c r="C14" s="610"/>
      <c r="D14" s="610"/>
      <c r="E14" s="610">
        <v>300</v>
      </c>
      <c r="F14" s="678">
        <f>E14-(D14*$C$10)</f>
        <v>300</v>
      </c>
      <c r="G14" s="683">
        <v>1</v>
      </c>
      <c r="H14" s="664">
        <f t="shared" ref="H14:H41" si="0">+D14*G14*12</f>
        <v>0</v>
      </c>
      <c r="I14" s="444"/>
      <c r="J14" s="444">
        <f>+E14*G14*12</f>
        <v>3600</v>
      </c>
      <c r="K14" s="616"/>
      <c r="L14" s="616"/>
      <c r="M14" s="616"/>
      <c r="N14" s="609">
        <v>0</v>
      </c>
      <c r="O14" s="610">
        <v>300</v>
      </c>
      <c r="P14" s="617" t="str">
        <f t="shared" ref="P14:P60" si="1">IF(N14=D14,"---",N14-D14)</f>
        <v>---</v>
      </c>
      <c r="Q14" s="618" t="str">
        <f t="shared" ref="Q14:Q60" si="2">IF(O14=E14,"---",O14-E14)</f>
        <v>---</v>
      </c>
      <c r="R14" s="610"/>
      <c r="S14" s="614" t="str">
        <f t="shared" ref="S14:S60" si="3">IF(N14=D14,"OK",N14)</f>
        <v>OK</v>
      </c>
      <c r="T14" s="613">
        <f>IF(+'2012 Rates'!D709&lt;'2012 Rates'!$B$11,'2012 Rates'!$B$11,+'2012 Rates'!D709)</f>
        <v>300</v>
      </c>
      <c r="U14" s="620">
        <f>+T14/F14-1</f>
        <v>0</v>
      </c>
      <c r="V14" s="621" t="s">
        <v>315</v>
      </c>
      <c r="W14" s="434">
        <v>0</v>
      </c>
      <c r="X14" s="622">
        <f>+G14*T14*12</f>
        <v>3600</v>
      </c>
      <c r="Y14" s="485"/>
      <c r="Z14" s="485"/>
      <c r="AA14" s="485"/>
      <c r="AB14" s="485"/>
      <c r="AC14" s="485"/>
      <c r="AD14" s="485"/>
      <c r="AE14" s="485"/>
      <c r="AF14" s="485"/>
      <c r="AG14" s="485"/>
      <c r="AH14" s="485"/>
      <c r="AI14" s="485"/>
      <c r="AJ14" s="485"/>
      <c r="AK14" s="485"/>
      <c r="AL14" s="485"/>
      <c r="AM14" s="485"/>
      <c r="AN14" s="485"/>
      <c r="AO14" s="485"/>
      <c r="AP14" s="485"/>
      <c r="AQ14" s="485"/>
      <c r="AR14" s="485"/>
      <c r="AS14" s="485"/>
      <c r="AT14" s="485"/>
      <c r="AU14" s="485"/>
      <c r="AV14" s="485"/>
      <c r="AW14" s="485"/>
      <c r="AX14" s="485"/>
      <c r="AY14" s="485"/>
      <c r="AZ14" s="485"/>
      <c r="BA14" s="485"/>
      <c r="BB14" s="485"/>
      <c r="BC14" s="485"/>
      <c r="BD14" s="485"/>
      <c r="BE14" s="485"/>
      <c r="BF14" s="485"/>
      <c r="BG14" s="485"/>
      <c r="BH14" s="485"/>
      <c r="BI14" s="485"/>
      <c r="BJ14" s="485"/>
      <c r="BK14" s="485"/>
      <c r="BL14" s="485"/>
      <c r="BM14" s="485"/>
      <c r="BN14" s="485"/>
      <c r="BO14" s="485"/>
      <c r="BP14" s="485"/>
      <c r="BQ14" s="485"/>
      <c r="BR14" s="485"/>
      <c r="BS14" s="485"/>
      <c r="BT14" s="485"/>
      <c r="BU14" s="485"/>
      <c r="BV14" s="485"/>
      <c r="BW14" s="485"/>
      <c r="BX14" s="485"/>
      <c r="BY14" s="485"/>
      <c r="BZ14" s="485"/>
      <c r="CA14" s="485"/>
      <c r="CB14" s="485"/>
      <c r="CC14" s="485"/>
      <c r="CD14" s="485"/>
      <c r="CE14" s="485"/>
      <c r="CF14" s="485"/>
      <c r="CG14" s="485"/>
      <c r="CH14" s="485"/>
      <c r="CI14" s="485"/>
      <c r="CJ14" s="485"/>
      <c r="CK14" s="485"/>
      <c r="CL14" s="485"/>
      <c r="CM14" s="485"/>
      <c r="CN14" s="485"/>
      <c r="CO14" s="485"/>
      <c r="CP14" s="485"/>
      <c r="CQ14" s="485"/>
      <c r="CR14" s="485"/>
      <c r="CS14" s="485"/>
      <c r="CT14" s="485"/>
      <c r="CU14" s="485"/>
      <c r="CV14" s="485"/>
      <c r="CW14" s="485"/>
      <c r="CX14" s="485"/>
      <c r="CY14" s="485"/>
      <c r="CZ14" s="485"/>
      <c r="DA14" s="485"/>
      <c r="DB14" s="485"/>
      <c r="DC14" s="485"/>
      <c r="DD14" s="485"/>
      <c r="DE14" s="485"/>
      <c r="DF14" s="485"/>
      <c r="DG14" s="485"/>
      <c r="DH14" s="485"/>
      <c r="DI14" s="485"/>
      <c r="DJ14" s="485"/>
      <c r="DK14" s="485"/>
      <c r="DL14" s="485"/>
      <c r="DM14" s="485"/>
      <c r="DN14" s="485"/>
      <c r="DO14" s="485"/>
      <c r="DP14" s="485"/>
      <c r="DQ14" s="485"/>
      <c r="DR14" s="485"/>
      <c r="DS14" s="485"/>
      <c r="DT14" s="485"/>
      <c r="DU14" s="485"/>
      <c r="DV14" s="485"/>
      <c r="DW14" s="485"/>
      <c r="DX14" s="485"/>
      <c r="DY14" s="485"/>
      <c r="DZ14" s="485"/>
      <c r="EA14" s="485"/>
      <c r="EB14" s="485"/>
      <c r="EC14" s="485"/>
      <c r="ED14" s="485"/>
      <c r="EE14" s="485"/>
      <c r="EF14" s="485"/>
      <c r="EG14" s="485"/>
      <c r="EH14" s="485"/>
      <c r="EI14" s="485"/>
      <c r="EJ14" s="485"/>
      <c r="EK14" s="485"/>
      <c r="EL14" s="485"/>
      <c r="EM14" s="485"/>
      <c r="EN14" s="485"/>
      <c r="EO14" s="485"/>
      <c r="EP14" s="485"/>
    </row>
    <row r="15" spans="1:146" ht="15.75">
      <c r="A15" s="614" t="s">
        <v>316</v>
      </c>
      <c r="B15" s="615" t="s">
        <v>317</v>
      </c>
      <c r="C15" s="610"/>
      <c r="D15" s="609">
        <v>4249</v>
      </c>
      <c r="E15" s="610">
        <v>264.52999999999997</v>
      </c>
      <c r="F15" s="678">
        <f>E15-(D15*$C$10)</f>
        <v>254.79978999999997</v>
      </c>
      <c r="G15" s="683">
        <v>1</v>
      </c>
      <c r="H15" s="664">
        <f t="shared" si="0"/>
        <v>50988</v>
      </c>
      <c r="I15" s="444">
        <f>+E15*G15*12</f>
        <v>3174.3599999999997</v>
      </c>
      <c r="J15" s="610"/>
      <c r="K15" s="616"/>
      <c r="L15" s="616"/>
      <c r="M15" s="616"/>
      <c r="N15" s="609">
        <v>4249</v>
      </c>
      <c r="O15" s="610">
        <v>264.5336825794476</v>
      </c>
      <c r="P15" s="617" t="str">
        <f t="shared" si="1"/>
        <v>---</v>
      </c>
      <c r="Q15" s="618">
        <f t="shared" si="2"/>
        <v>3.6825794476271767E-3</v>
      </c>
      <c r="R15" s="610"/>
      <c r="S15" s="614" t="str">
        <f t="shared" si="3"/>
        <v>OK</v>
      </c>
      <c r="T15" s="613">
        <f>IF(+'2012 Rates'!F721&lt;'2012 Rates'!$B$11,'2012 Rates'!$B$11,+'2012 Rates'!F721)</f>
        <v>270.61881</v>
      </c>
      <c r="U15" s="447">
        <f t="shared" ref="U15:U78" si="4">+T15/F15-1</f>
        <v>6.2084117102294334E-2</v>
      </c>
      <c r="V15" s="445" t="s">
        <v>318</v>
      </c>
      <c r="W15" s="622">
        <f>+G15*T15*12</f>
        <v>3247.4257200000002</v>
      </c>
      <c r="X15" s="623"/>
      <c r="Y15" s="485"/>
      <c r="Z15" s="485"/>
      <c r="AA15" s="485"/>
      <c r="AB15" s="485"/>
      <c r="AC15" s="485"/>
      <c r="AD15" s="485"/>
      <c r="AE15" s="485"/>
      <c r="AF15" s="485"/>
      <c r="AG15" s="485"/>
      <c r="AH15" s="485"/>
      <c r="AI15" s="485"/>
      <c r="AJ15" s="485"/>
      <c r="AK15" s="485"/>
      <c r="AL15" s="485"/>
      <c r="AM15" s="485"/>
      <c r="AN15" s="485"/>
      <c r="AO15" s="485"/>
      <c r="AP15" s="485"/>
      <c r="AQ15" s="485"/>
      <c r="AR15" s="485"/>
      <c r="AS15" s="485"/>
      <c r="AT15" s="485"/>
      <c r="AU15" s="485"/>
      <c r="AV15" s="485"/>
      <c r="AW15" s="485"/>
      <c r="AX15" s="485"/>
      <c r="AY15" s="485"/>
      <c r="AZ15" s="485"/>
      <c r="BA15" s="485"/>
      <c r="BB15" s="485"/>
      <c r="BC15" s="485"/>
      <c r="BD15" s="485"/>
      <c r="BE15" s="485"/>
      <c r="BF15" s="485"/>
      <c r="BG15" s="485"/>
      <c r="BH15" s="485"/>
      <c r="BI15" s="485"/>
      <c r="BJ15" s="485"/>
      <c r="BK15" s="485"/>
      <c r="BL15" s="485"/>
      <c r="BM15" s="485"/>
      <c r="BN15" s="485"/>
      <c r="BO15" s="485"/>
      <c r="BP15" s="485"/>
      <c r="BQ15" s="485"/>
      <c r="BR15" s="485"/>
      <c r="BS15" s="485"/>
      <c r="BT15" s="485"/>
      <c r="BU15" s="485"/>
      <c r="BV15" s="485"/>
      <c r="BW15" s="485"/>
      <c r="BX15" s="485"/>
      <c r="BY15" s="485"/>
      <c r="BZ15" s="485"/>
      <c r="CA15" s="485"/>
      <c r="CB15" s="485"/>
      <c r="CC15" s="485"/>
      <c r="CD15" s="485"/>
      <c r="CE15" s="485"/>
      <c r="CF15" s="485"/>
      <c r="CG15" s="485"/>
      <c r="CH15" s="485"/>
      <c r="CI15" s="485"/>
      <c r="CJ15" s="485"/>
      <c r="CK15" s="485"/>
      <c r="CL15" s="485"/>
      <c r="CM15" s="485"/>
      <c r="CN15" s="485"/>
      <c r="CO15" s="485"/>
      <c r="CP15" s="485"/>
      <c r="CQ15" s="485"/>
      <c r="CR15" s="485"/>
      <c r="CS15" s="485"/>
      <c r="CT15" s="485"/>
      <c r="CU15" s="485"/>
      <c r="CV15" s="485"/>
      <c r="CW15" s="485"/>
      <c r="CX15" s="485"/>
      <c r="CY15" s="485"/>
      <c r="CZ15" s="485"/>
      <c r="DA15" s="485"/>
      <c r="DB15" s="485"/>
      <c r="DC15" s="485"/>
      <c r="DD15" s="485"/>
      <c r="DE15" s="485"/>
      <c r="DF15" s="485"/>
      <c r="DG15" s="485"/>
      <c r="DH15" s="485"/>
      <c r="DI15" s="485"/>
      <c r="DJ15" s="485"/>
      <c r="DK15" s="485"/>
      <c r="DL15" s="485"/>
      <c r="DM15" s="485"/>
      <c r="DN15" s="485"/>
      <c r="DO15" s="485"/>
      <c r="DP15" s="485"/>
      <c r="DQ15" s="485"/>
      <c r="DR15" s="485"/>
      <c r="DS15" s="485"/>
      <c r="DT15" s="485"/>
      <c r="DU15" s="485"/>
      <c r="DV15" s="485"/>
      <c r="DW15" s="485"/>
      <c r="DX15" s="485"/>
      <c r="DY15" s="485"/>
      <c r="DZ15" s="485"/>
      <c r="EA15" s="485"/>
      <c r="EB15" s="485"/>
      <c r="EC15" s="485"/>
      <c r="ED15" s="485"/>
      <c r="EE15" s="485"/>
      <c r="EF15" s="485"/>
      <c r="EG15" s="485"/>
      <c r="EH15" s="485"/>
      <c r="EI15" s="485"/>
      <c r="EJ15" s="485"/>
      <c r="EK15" s="485"/>
      <c r="EL15" s="485"/>
      <c r="EM15" s="485"/>
      <c r="EN15" s="485"/>
      <c r="EO15" s="485"/>
      <c r="EP15" s="485"/>
    </row>
    <row r="16" spans="1:146" ht="15.75">
      <c r="A16" s="614" t="s">
        <v>279</v>
      </c>
      <c r="B16" s="615" t="s">
        <v>314</v>
      </c>
      <c r="C16" s="610"/>
      <c r="D16" s="610"/>
      <c r="E16" s="610">
        <v>300</v>
      </c>
      <c r="F16" s="678">
        <f t="shared" ref="F16:F77" si="5">E16-(D16*$C$10)</f>
        <v>300</v>
      </c>
      <c r="G16" s="683">
        <v>1</v>
      </c>
      <c r="H16" s="664">
        <f t="shared" si="0"/>
        <v>0</v>
      </c>
      <c r="I16" s="444"/>
      <c r="J16" s="444">
        <f>+E16*G16*12</f>
        <v>3600</v>
      </c>
      <c r="K16" s="616"/>
      <c r="L16" s="616"/>
      <c r="M16" s="616"/>
      <c r="N16" s="609">
        <v>0</v>
      </c>
      <c r="O16" s="610">
        <v>300</v>
      </c>
      <c r="P16" s="617" t="str">
        <f t="shared" si="1"/>
        <v>---</v>
      </c>
      <c r="Q16" s="618" t="str">
        <f t="shared" si="2"/>
        <v>---</v>
      </c>
      <c r="R16" s="610"/>
      <c r="S16" s="614" t="str">
        <f t="shared" si="3"/>
        <v>OK</v>
      </c>
      <c r="T16" s="613">
        <f>IF(+'2012 Rates'!D710&lt;'2012 Rates'!$B$11,'2012 Rates'!$B$11,+'2012 Rates'!D710)</f>
        <v>300</v>
      </c>
      <c r="U16" s="447">
        <f t="shared" si="4"/>
        <v>0</v>
      </c>
      <c r="V16" s="445" t="s">
        <v>315</v>
      </c>
      <c r="W16" s="623">
        <v>0</v>
      </c>
      <c r="X16" s="444">
        <f>+G16*T16*12</f>
        <v>3600</v>
      </c>
      <c r="Y16" s="485"/>
      <c r="Z16" s="485"/>
      <c r="AA16" s="485"/>
      <c r="AB16" s="485"/>
      <c r="AC16" s="485"/>
      <c r="AD16" s="485"/>
      <c r="AE16" s="485"/>
      <c r="AF16" s="485"/>
      <c r="AG16" s="485"/>
      <c r="AH16" s="485"/>
      <c r="AI16" s="485"/>
      <c r="AJ16" s="485"/>
      <c r="AK16" s="485"/>
      <c r="AL16" s="485"/>
      <c r="AM16" s="485"/>
      <c r="AN16" s="485"/>
      <c r="AO16" s="485"/>
      <c r="AP16" s="485"/>
      <c r="AQ16" s="485"/>
      <c r="AR16" s="485"/>
      <c r="AS16" s="485"/>
      <c r="AT16" s="485"/>
      <c r="AU16" s="485"/>
      <c r="AV16" s="485"/>
      <c r="AW16" s="485"/>
      <c r="AX16" s="485"/>
      <c r="AY16" s="485"/>
      <c r="AZ16" s="485"/>
      <c r="BA16" s="485"/>
      <c r="BB16" s="485"/>
      <c r="BC16" s="485"/>
      <c r="BD16" s="485"/>
      <c r="BE16" s="485"/>
      <c r="BF16" s="485"/>
      <c r="BG16" s="485"/>
      <c r="BH16" s="485"/>
      <c r="BI16" s="485"/>
      <c r="BJ16" s="485"/>
      <c r="BK16" s="485"/>
      <c r="BL16" s="485"/>
      <c r="BM16" s="485"/>
      <c r="BN16" s="485"/>
      <c r="BO16" s="485"/>
      <c r="BP16" s="485"/>
      <c r="BQ16" s="485"/>
      <c r="BR16" s="485"/>
      <c r="BS16" s="485"/>
      <c r="BT16" s="485"/>
      <c r="BU16" s="485"/>
      <c r="BV16" s="485"/>
      <c r="BW16" s="485"/>
      <c r="BX16" s="485"/>
      <c r="BY16" s="485"/>
      <c r="BZ16" s="485"/>
      <c r="CA16" s="485"/>
      <c r="CB16" s="485"/>
      <c r="CC16" s="485"/>
      <c r="CD16" s="485"/>
      <c r="CE16" s="485"/>
      <c r="CF16" s="485"/>
      <c r="CG16" s="485"/>
      <c r="CH16" s="485"/>
      <c r="CI16" s="485"/>
      <c r="CJ16" s="485"/>
      <c r="CK16" s="485"/>
      <c r="CL16" s="485"/>
      <c r="CM16" s="485"/>
      <c r="CN16" s="485"/>
      <c r="CO16" s="485"/>
      <c r="CP16" s="485"/>
      <c r="CQ16" s="485"/>
      <c r="CR16" s="485"/>
      <c r="CS16" s="485"/>
      <c r="CT16" s="485"/>
      <c r="CU16" s="485"/>
      <c r="CV16" s="485"/>
      <c r="CW16" s="485"/>
      <c r="CX16" s="485"/>
      <c r="CY16" s="485"/>
      <c r="CZ16" s="485"/>
      <c r="DA16" s="485"/>
      <c r="DB16" s="485"/>
      <c r="DC16" s="485"/>
      <c r="DD16" s="485"/>
      <c r="DE16" s="485"/>
      <c r="DF16" s="485"/>
      <c r="DG16" s="485"/>
      <c r="DH16" s="485"/>
      <c r="DI16" s="485"/>
      <c r="DJ16" s="485"/>
      <c r="DK16" s="485"/>
      <c r="DL16" s="485"/>
      <c r="DM16" s="485"/>
      <c r="DN16" s="485"/>
      <c r="DO16" s="485"/>
      <c r="DP16" s="485"/>
      <c r="DQ16" s="485"/>
      <c r="DR16" s="485"/>
      <c r="DS16" s="485"/>
      <c r="DT16" s="485"/>
      <c r="DU16" s="485"/>
      <c r="DV16" s="485"/>
      <c r="DW16" s="485"/>
      <c r="DX16" s="485"/>
      <c r="DY16" s="485"/>
      <c r="DZ16" s="485"/>
      <c r="EA16" s="485"/>
      <c r="EB16" s="485"/>
      <c r="EC16" s="485"/>
      <c r="ED16" s="485"/>
      <c r="EE16" s="485"/>
      <c r="EF16" s="485"/>
      <c r="EG16" s="485"/>
      <c r="EH16" s="485"/>
      <c r="EI16" s="485"/>
      <c r="EJ16" s="485"/>
      <c r="EK16" s="485"/>
      <c r="EL16" s="485"/>
      <c r="EM16" s="485"/>
      <c r="EN16" s="485"/>
      <c r="EO16" s="485"/>
      <c r="EP16" s="485"/>
    </row>
    <row r="17" spans="1:146" ht="15.75">
      <c r="A17" s="614" t="s">
        <v>280</v>
      </c>
      <c r="B17" s="615" t="s">
        <v>314</v>
      </c>
      <c r="C17" s="610"/>
      <c r="D17" s="610"/>
      <c r="E17" s="610">
        <v>645</v>
      </c>
      <c r="F17" s="678">
        <f t="shared" si="5"/>
        <v>645</v>
      </c>
      <c r="G17" s="683">
        <v>0</v>
      </c>
      <c r="H17" s="664">
        <f t="shared" si="0"/>
        <v>0</v>
      </c>
      <c r="I17" s="444"/>
      <c r="J17" s="444">
        <f>+E17*G17*12</f>
        <v>0</v>
      </c>
      <c r="K17" s="616"/>
      <c r="L17" s="616"/>
      <c r="M17" s="616"/>
      <c r="N17" s="609">
        <v>0</v>
      </c>
      <c r="O17" s="610">
        <v>645</v>
      </c>
      <c r="P17" s="617" t="str">
        <f t="shared" si="1"/>
        <v>---</v>
      </c>
      <c r="Q17" s="618" t="str">
        <f t="shared" si="2"/>
        <v>---</v>
      </c>
      <c r="R17" s="610"/>
      <c r="S17" s="614" t="str">
        <f t="shared" si="3"/>
        <v>OK</v>
      </c>
      <c r="T17" s="613">
        <f>IF(+'2012 Rates'!D711&lt;'2012 Rates'!$B$11,'2012 Rates'!$B$11,+'2012 Rates'!D711)</f>
        <v>645</v>
      </c>
      <c r="U17" s="447">
        <f t="shared" si="4"/>
        <v>0</v>
      </c>
      <c r="V17" s="445" t="s">
        <v>315</v>
      </c>
      <c r="W17" s="623"/>
      <c r="X17" s="444">
        <f>+G17*T17*12</f>
        <v>0</v>
      </c>
      <c r="Y17" s="485"/>
      <c r="Z17" s="485"/>
      <c r="AA17" s="485"/>
      <c r="AB17" s="485"/>
      <c r="AC17" s="485"/>
      <c r="AD17" s="485"/>
      <c r="AE17" s="485"/>
      <c r="AF17" s="485"/>
      <c r="AG17" s="485"/>
      <c r="AH17" s="485"/>
      <c r="AI17" s="485"/>
      <c r="AJ17" s="485"/>
      <c r="AK17" s="485"/>
      <c r="AL17" s="485"/>
      <c r="AM17" s="485"/>
      <c r="AN17" s="485"/>
      <c r="AO17" s="485"/>
      <c r="AP17" s="485"/>
      <c r="AQ17" s="485"/>
      <c r="AR17" s="485"/>
      <c r="AS17" s="485"/>
      <c r="AT17" s="485"/>
      <c r="AU17" s="485"/>
      <c r="AV17" s="485"/>
      <c r="AW17" s="485"/>
      <c r="AX17" s="485"/>
      <c r="AY17" s="485"/>
      <c r="AZ17" s="485"/>
      <c r="BA17" s="485"/>
      <c r="BB17" s="485"/>
      <c r="BC17" s="485"/>
      <c r="BD17" s="485"/>
      <c r="BE17" s="485"/>
      <c r="BF17" s="485"/>
      <c r="BG17" s="485"/>
      <c r="BH17" s="485"/>
      <c r="BI17" s="485"/>
      <c r="BJ17" s="485"/>
      <c r="BK17" s="485"/>
      <c r="BL17" s="485"/>
      <c r="BM17" s="485"/>
      <c r="BN17" s="485"/>
      <c r="BO17" s="485"/>
      <c r="BP17" s="485"/>
      <c r="BQ17" s="485"/>
      <c r="BR17" s="485"/>
      <c r="BS17" s="485"/>
      <c r="BT17" s="485"/>
      <c r="BU17" s="485"/>
      <c r="BV17" s="485"/>
      <c r="BW17" s="485"/>
      <c r="BX17" s="485"/>
      <c r="BY17" s="485"/>
      <c r="BZ17" s="485"/>
      <c r="CA17" s="485"/>
      <c r="CB17" s="485"/>
      <c r="CC17" s="485"/>
      <c r="CD17" s="485"/>
      <c r="CE17" s="485"/>
      <c r="CF17" s="485"/>
      <c r="CG17" s="485"/>
      <c r="CH17" s="485"/>
      <c r="CI17" s="485"/>
      <c r="CJ17" s="485"/>
      <c r="CK17" s="485"/>
      <c r="CL17" s="485"/>
      <c r="CM17" s="485"/>
      <c r="CN17" s="485"/>
      <c r="CO17" s="485"/>
      <c r="CP17" s="485"/>
      <c r="CQ17" s="485"/>
      <c r="CR17" s="485"/>
      <c r="CS17" s="485"/>
      <c r="CT17" s="485"/>
      <c r="CU17" s="485"/>
      <c r="CV17" s="485"/>
      <c r="CW17" s="485"/>
      <c r="CX17" s="485"/>
      <c r="CY17" s="485"/>
      <c r="CZ17" s="485"/>
      <c r="DA17" s="485"/>
      <c r="DB17" s="485"/>
      <c r="DC17" s="485"/>
      <c r="DD17" s="485"/>
      <c r="DE17" s="485"/>
      <c r="DF17" s="485"/>
      <c r="DG17" s="485"/>
      <c r="DH17" s="485"/>
      <c r="DI17" s="485"/>
      <c r="DJ17" s="485"/>
      <c r="DK17" s="485"/>
      <c r="DL17" s="485"/>
      <c r="DM17" s="485"/>
      <c r="DN17" s="485"/>
      <c r="DO17" s="485"/>
      <c r="DP17" s="485"/>
      <c r="DQ17" s="485"/>
      <c r="DR17" s="485"/>
      <c r="DS17" s="485"/>
      <c r="DT17" s="485"/>
      <c r="DU17" s="485"/>
      <c r="DV17" s="485"/>
      <c r="DW17" s="485"/>
      <c r="DX17" s="485"/>
      <c r="DY17" s="485"/>
      <c r="DZ17" s="485"/>
      <c r="EA17" s="485"/>
      <c r="EB17" s="485"/>
      <c r="EC17" s="485"/>
      <c r="ED17" s="485"/>
      <c r="EE17" s="485"/>
      <c r="EF17" s="485"/>
      <c r="EG17" s="485"/>
      <c r="EH17" s="485"/>
      <c r="EI17" s="485"/>
      <c r="EJ17" s="485"/>
      <c r="EK17" s="485"/>
      <c r="EL17" s="485"/>
      <c r="EM17" s="485"/>
      <c r="EN17" s="485"/>
      <c r="EO17" s="485"/>
      <c r="EP17" s="485"/>
    </row>
    <row r="18" spans="1:146" ht="15.75">
      <c r="A18" s="435" t="s">
        <v>292</v>
      </c>
      <c r="B18" s="436" t="s">
        <v>319</v>
      </c>
      <c r="C18" s="437">
        <v>11900</v>
      </c>
      <c r="D18" s="438">
        <v>1428</v>
      </c>
      <c r="E18" s="439">
        <v>159.03</v>
      </c>
      <c r="F18" s="678">
        <f t="shared" si="5"/>
        <v>155.75988000000001</v>
      </c>
      <c r="G18" s="683">
        <v>1</v>
      </c>
      <c r="H18" s="681">
        <f t="shared" si="0"/>
        <v>17136</v>
      </c>
      <c r="I18" s="623">
        <f t="shared" ref="I18:I41" si="6">+E18*G18*12</f>
        <v>1908.3600000000001</v>
      </c>
      <c r="J18" s="442"/>
      <c r="K18" s="443"/>
      <c r="L18" s="443"/>
      <c r="M18" s="443"/>
      <c r="N18" s="609">
        <v>1428</v>
      </c>
      <c r="O18" s="610">
        <v>159.02702017497086</v>
      </c>
      <c r="P18" s="617" t="str">
        <f t="shared" si="1"/>
        <v>---</v>
      </c>
      <c r="Q18" s="618">
        <f t="shared" si="2"/>
        <v>-2.9798250291435124E-3</v>
      </c>
      <c r="R18" s="611"/>
      <c r="S18" s="624" t="str">
        <f t="shared" si="3"/>
        <v>OK</v>
      </c>
      <c r="T18" s="613">
        <f>IF(+'2012 Rates'!O726&lt;'2012 Rates'!$B$11,'2012 Rates'!$B$11,+'2012 Rates'!O726)</f>
        <v>171.03</v>
      </c>
      <c r="U18" s="447">
        <f t="shared" si="4"/>
        <v>9.8036285081883667E-2</v>
      </c>
      <c r="V18" s="445"/>
      <c r="W18" s="623">
        <f t="shared" ref="W18:W60" si="7">+G18*T18*12</f>
        <v>2052.36</v>
      </c>
      <c r="X18" s="444"/>
      <c r="Y18" s="485"/>
      <c r="Z18" s="485"/>
      <c r="AA18" s="485"/>
      <c r="AB18" s="485"/>
      <c r="AC18" s="485"/>
      <c r="AD18" s="485"/>
      <c r="AE18" s="485"/>
      <c r="AF18" s="485"/>
      <c r="AG18" s="485"/>
      <c r="AH18" s="485"/>
      <c r="AI18" s="485"/>
      <c r="AJ18" s="485"/>
      <c r="AK18" s="485"/>
      <c r="AL18" s="485"/>
      <c r="AM18" s="485"/>
      <c r="AN18" s="485"/>
      <c r="AO18" s="485"/>
      <c r="AP18" s="485"/>
      <c r="AQ18" s="485"/>
      <c r="AR18" s="485"/>
      <c r="AS18" s="485"/>
      <c r="AT18" s="485"/>
      <c r="AU18" s="485"/>
      <c r="AV18" s="485"/>
      <c r="AW18" s="485"/>
      <c r="AX18" s="485"/>
      <c r="AY18" s="485"/>
      <c r="AZ18" s="485"/>
      <c r="BA18" s="485"/>
      <c r="BB18" s="485"/>
      <c r="BC18" s="485"/>
      <c r="BD18" s="485"/>
      <c r="BE18" s="485"/>
      <c r="BF18" s="485"/>
      <c r="BG18" s="485"/>
      <c r="BH18" s="485"/>
      <c r="BI18" s="485"/>
      <c r="BJ18" s="485"/>
      <c r="BK18" s="485"/>
      <c r="BL18" s="485"/>
      <c r="BM18" s="485"/>
      <c r="BN18" s="485"/>
      <c r="BO18" s="485"/>
      <c r="BP18" s="485"/>
      <c r="BQ18" s="485"/>
      <c r="BR18" s="485"/>
      <c r="BS18" s="485"/>
      <c r="BT18" s="485"/>
      <c r="BU18" s="485"/>
      <c r="BV18" s="485"/>
      <c r="BW18" s="485"/>
      <c r="BX18" s="485"/>
      <c r="BY18" s="485"/>
      <c r="BZ18" s="485"/>
      <c r="CA18" s="485"/>
      <c r="CB18" s="485"/>
      <c r="CC18" s="485"/>
      <c r="CD18" s="485"/>
      <c r="CE18" s="485"/>
      <c r="CF18" s="485"/>
      <c r="CG18" s="485"/>
      <c r="CH18" s="485"/>
      <c r="CI18" s="485"/>
      <c r="CJ18" s="485"/>
      <c r="CK18" s="485"/>
      <c r="CL18" s="485"/>
      <c r="CM18" s="485"/>
      <c r="CN18" s="485"/>
      <c r="CO18" s="485"/>
      <c r="CP18" s="485"/>
      <c r="CQ18" s="485"/>
      <c r="CR18" s="485"/>
      <c r="CS18" s="485"/>
      <c r="CT18" s="485"/>
      <c r="CU18" s="485"/>
      <c r="CV18" s="485"/>
      <c r="CW18" s="485"/>
      <c r="CX18" s="485"/>
      <c r="CY18" s="485"/>
      <c r="CZ18" s="485"/>
      <c r="DA18" s="485"/>
      <c r="DB18" s="485"/>
      <c r="DC18" s="485"/>
      <c r="DD18" s="485"/>
      <c r="DE18" s="485"/>
      <c r="DF18" s="485"/>
      <c r="DG18" s="485"/>
      <c r="DH18" s="485"/>
      <c r="DI18" s="485"/>
      <c r="DJ18" s="485"/>
      <c r="DK18" s="485"/>
      <c r="DL18" s="485"/>
      <c r="DM18" s="485"/>
      <c r="DN18" s="485"/>
      <c r="DO18" s="485"/>
      <c r="DP18" s="485"/>
      <c r="DQ18" s="485"/>
      <c r="DR18" s="485"/>
      <c r="DS18" s="485"/>
      <c r="DT18" s="485"/>
      <c r="DU18" s="485"/>
      <c r="DV18" s="485"/>
      <c r="DW18" s="485"/>
      <c r="DX18" s="485"/>
      <c r="DY18" s="485"/>
      <c r="DZ18" s="485"/>
      <c r="EA18" s="485"/>
      <c r="EB18" s="485"/>
      <c r="EC18" s="485"/>
      <c r="ED18" s="485"/>
      <c r="EE18" s="485"/>
      <c r="EF18" s="485"/>
      <c r="EG18" s="485"/>
      <c r="EH18" s="485"/>
      <c r="EI18" s="485"/>
      <c r="EJ18" s="485"/>
      <c r="EK18" s="485"/>
      <c r="EL18" s="485"/>
      <c r="EM18" s="485"/>
      <c r="EN18" s="485"/>
      <c r="EO18" s="485"/>
      <c r="EP18" s="485"/>
    </row>
    <row r="19" spans="1:146" ht="15.75">
      <c r="A19" s="435" t="s">
        <v>293</v>
      </c>
      <c r="B19" s="436" t="s">
        <v>320</v>
      </c>
      <c r="C19" s="437">
        <v>20</v>
      </c>
      <c r="D19" s="438">
        <v>2</v>
      </c>
      <c r="E19" s="439">
        <v>0.23</v>
      </c>
      <c r="F19" s="678">
        <f>E19</f>
        <v>0.23</v>
      </c>
      <c r="G19" s="683">
        <v>6</v>
      </c>
      <c r="H19" s="681">
        <f t="shared" si="0"/>
        <v>144</v>
      </c>
      <c r="I19" s="623">
        <f t="shared" si="6"/>
        <v>16.560000000000002</v>
      </c>
      <c r="J19" s="442"/>
      <c r="K19" s="443"/>
      <c r="L19" s="443"/>
      <c r="M19" s="443"/>
      <c r="N19" s="609">
        <v>2</v>
      </c>
      <c r="O19" s="610">
        <v>2.9612158825979984</v>
      </c>
      <c r="P19" s="617" t="str">
        <f t="shared" si="1"/>
        <v>---</v>
      </c>
      <c r="Q19" s="618">
        <f t="shared" si="2"/>
        <v>2.7312158825979984</v>
      </c>
      <c r="R19" s="611"/>
      <c r="S19" s="624" t="str">
        <f t="shared" si="3"/>
        <v>OK</v>
      </c>
      <c r="T19" s="613">
        <f>'2012 Rates'!O727</f>
        <v>0.24</v>
      </c>
      <c r="U19" s="447">
        <f t="shared" si="4"/>
        <v>4.3478260869565188E-2</v>
      </c>
      <c r="V19" s="445"/>
      <c r="W19" s="623">
        <f t="shared" si="7"/>
        <v>17.28</v>
      </c>
      <c r="X19" s="444"/>
      <c r="Y19" s="485"/>
      <c r="Z19" s="485"/>
      <c r="AA19" s="485"/>
      <c r="AB19" s="485"/>
      <c r="AC19" s="485"/>
      <c r="AD19" s="485"/>
      <c r="AE19" s="485"/>
      <c r="AF19" s="485"/>
      <c r="AG19" s="485"/>
      <c r="AH19" s="485"/>
      <c r="AI19" s="485"/>
      <c r="AJ19" s="485"/>
      <c r="AK19" s="485"/>
      <c r="AL19" s="485"/>
      <c r="AM19" s="485"/>
      <c r="AN19" s="485"/>
      <c r="AO19" s="485"/>
      <c r="AP19" s="485"/>
      <c r="AQ19" s="485"/>
      <c r="AR19" s="485"/>
      <c r="AS19" s="485"/>
      <c r="AT19" s="485"/>
      <c r="AU19" s="485"/>
      <c r="AV19" s="485"/>
      <c r="AW19" s="485"/>
      <c r="AX19" s="485"/>
      <c r="AY19" s="485"/>
      <c r="AZ19" s="485"/>
      <c r="BA19" s="485"/>
      <c r="BB19" s="485"/>
      <c r="BC19" s="485"/>
      <c r="BD19" s="485"/>
      <c r="BE19" s="485"/>
      <c r="BF19" s="485"/>
      <c r="BG19" s="485"/>
      <c r="BH19" s="485"/>
      <c r="BI19" s="485"/>
      <c r="BJ19" s="485"/>
      <c r="BK19" s="485"/>
      <c r="BL19" s="485"/>
      <c r="BM19" s="485"/>
      <c r="BN19" s="485"/>
      <c r="BO19" s="485"/>
      <c r="BP19" s="485"/>
      <c r="BQ19" s="485"/>
      <c r="BR19" s="485"/>
      <c r="BS19" s="485"/>
      <c r="BT19" s="485"/>
      <c r="BU19" s="485"/>
      <c r="BV19" s="485"/>
      <c r="BW19" s="485"/>
      <c r="BX19" s="485"/>
      <c r="BY19" s="485"/>
      <c r="BZ19" s="485"/>
      <c r="CA19" s="485"/>
      <c r="CB19" s="485"/>
      <c r="CC19" s="485"/>
      <c r="CD19" s="485"/>
      <c r="CE19" s="485"/>
      <c r="CF19" s="485"/>
      <c r="CG19" s="485"/>
      <c r="CH19" s="485"/>
      <c r="CI19" s="485"/>
      <c r="CJ19" s="485"/>
      <c r="CK19" s="485"/>
      <c r="CL19" s="485"/>
      <c r="CM19" s="485"/>
      <c r="CN19" s="485"/>
      <c r="CO19" s="485"/>
      <c r="CP19" s="485"/>
      <c r="CQ19" s="485"/>
      <c r="CR19" s="485"/>
      <c r="CS19" s="485"/>
      <c r="CT19" s="485"/>
      <c r="CU19" s="485"/>
      <c r="CV19" s="485"/>
      <c r="CW19" s="485"/>
      <c r="CX19" s="485"/>
      <c r="CY19" s="485"/>
      <c r="CZ19" s="485"/>
      <c r="DA19" s="485"/>
      <c r="DB19" s="485"/>
      <c r="DC19" s="485"/>
      <c r="DD19" s="485"/>
      <c r="DE19" s="485"/>
      <c r="DF19" s="485"/>
      <c r="DG19" s="485"/>
      <c r="DH19" s="485"/>
      <c r="DI19" s="485"/>
      <c r="DJ19" s="485"/>
      <c r="DK19" s="485"/>
      <c r="DL19" s="485"/>
      <c r="DM19" s="485"/>
      <c r="DN19" s="485"/>
      <c r="DO19" s="485"/>
      <c r="DP19" s="485"/>
      <c r="DQ19" s="485"/>
      <c r="DR19" s="485"/>
      <c r="DS19" s="485"/>
      <c r="DT19" s="485"/>
      <c r="DU19" s="485"/>
      <c r="DV19" s="485"/>
      <c r="DW19" s="485"/>
      <c r="DX19" s="485"/>
      <c r="DY19" s="485"/>
      <c r="DZ19" s="485"/>
      <c r="EA19" s="485"/>
      <c r="EB19" s="485"/>
      <c r="EC19" s="485"/>
      <c r="ED19" s="485"/>
      <c r="EE19" s="485"/>
      <c r="EF19" s="485"/>
      <c r="EG19" s="485"/>
      <c r="EH19" s="485"/>
      <c r="EI19" s="485"/>
      <c r="EJ19" s="485"/>
      <c r="EK19" s="485"/>
      <c r="EL19" s="485"/>
      <c r="EM19" s="485"/>
      <c r="EN19" s="485"/>
      <c r="EO19" s="485"/>
      <c r="EP19" s="485"/>
    </row>
    <row r="20" spans="1:146" ht="15.75">
      <c r="A20" s="435" t="s">
        <v>294</v>
      </c>
      <c r="B20" s="436" t="s">
        <v>321</v>
      </c>
      <c r="C20" s="437">
        <v>0</v>
      </c>
      <c r="D20" s="438">
        <v>1</v>
      </c>
      <c r="E20" s="439">
        <v>0.08</v>
      </c>
      <c r="F20" s="678">
        <f t="shared" si="5"/>
        <v>7.7710000000000001E-2</v>
      </c>
      <c r="G20" s="683">
        <v>13</v>
      </c>
      <c r="H20" s="681">
        <f t="shared" si="0"/>
        <v>156</v>
      </c>
      <c r="I20" s="623">
        <f t="shared" si="6"/>
        <v>12.48</v>
      </c>
      <c r="J20" s="442"/>
      <c r="K20" s="443"/>
      <c r="L20" s="443"/>
      <c r="M20" s="443"/>
      <c r="N20" s="609">
        <v>1</v>
      </c>
      <c r="O20" s="610">
        <v>0.08</v>
      </c>
      <c r="P20" s="617" t="str">
        <f t="shared" si="1"/>
        <v>---</v>
      </c>
      <c r="Q20" s="618" t="str">
        <f t="shared" si="2"/>
        <v>---</v>
      </c>
      <c r="R20" s="611"/>
      <c r="S20" s="624" t="str">
        <f t="shared" si="3"/>
        <v>OK</v>
      </c>
      <c r="T20" s="613">
        <f>'2012 Rates'!O728</f>
        <v>7.0000000000000007E-2</v>
      </c>
      <c r="U20" s="447">
        <f t="shared" si="4"/>
        <v>-9.9215030240638158E-2</v>
      </c>
      <c r="V20" s="445"/>
      <c r="W20" s="623">
        <f t="shared" si="7"/>
        <v>10.920000000000002</v>
      </c>
      <c r="X20" s="444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5"/>
      <c r="AV20" s="485"/>
      <c r="AW20" s="485"/>
      <c r="AX20" s="485"/>
      <c r="AY20" s="485"/>
      <c r="AZ20" s="485"/>
      <c r="BA20" s="485"/>
      <c r="BB20" s="485"/>
      <c r="BC20" s="485"/>
      <c r="BD20" s="485"/>
      <c r="BE20" s="485"/>
      <c r="BF20" s="485"/>
      <c r="BG20" s="485"/>
      <c r="BH20" s="485"/>
      <c r="BI20" s="485"/>
      <c r="BJ20" s="485"/>
      <c r="BK20" s="485"/>
      <c r="BL20" s="485"/>
      <c r="BM20" s="485"/>
      <c r="BN20" s="485"/>
      <c r="BO20" s="485"/>
      <c r="BP20" s="485"/>
      <c r="BQ20" s="485"/>
      <c r="BR20" s="485"/>
      <c r="BS20" s="485"/>
      <c r="BT20" s="485"/>
      <c r="BU20" s="485"/>
      <c r="BV20" s="485"/>
      <c r="BW20" s="485"/>
      <c r="BX20" s="485"/>
      <c r="BY20" s="485"/>
      <c r="BZ20" s="485"/>
      <c r="CA20" s="485"/>
      <c r="CB20" s="485"/>
      <c r="CC20" s="485"/>
      <c r="CD20" s="485"/>
      <c r="CE20" s="485"/>
      <c r="CF20" s="485"/>
      <c r="CG20" s="485"/>
      <c r="CH20" s="485"/>
      <c r="CI20" s="485"/>
      <c r="CJ20" s="485"/>
      <c r="CK20" s="485"/>
      <c r="CL20" s="485"/>
      <c r="CM20" s="485"/>
      <c r="CN20" s="485"/>
      <c r="CO20" s="485"/>
      <c r="CP20" s="485"/>
      <c r="CQ20" s="485"/>
      <c r="CR20" s="485"/>
      <c r="CS20" s="485"/>
      <c r="CT20" s="485"/>
      <c r="CU20" s="485"/>
      <c r="CV20" s="485"/>
      <c r="CW20" s="485"/>
      <c r="CX20" s="485"/>
      <c r="CY20" s="485"/>
      <c r="CZ20" s="485"/>
      <c r="DA20" s="485"/>
      <c r="DB20" s="485"/>
      <c r="DC20" s="485"/>
      <c r="DD20" s="485"/>
      <c r="DE20" s="485"/>
      <c r="DF20" s="485"/>
      <c r="DG20" s="485"/>
      <c r="DH20" s="485"/>
      <c r="DI20" s="485"/>
      <c r="DJ20" s="485"/>
      <c r="DK20" s="485"/>
      <c r="DL20" s="485"/>
      <c r="DM20" s="485"/>
      <c r="DN20" s="485"/>
      <c r="DO20" s="485"/>
      <c r="DP20" s="485"/>
      <c r="DQ20" s="485"/>
      <c r="DR20" s="485"/>
      <c r="DS20" s="485"/>
      <c r="DT20" s="485"/>
      <c r="DU20" s="485"/>
      <c r="DV20" s="485"/>
      <c r="DW20" s="485"/>
      <c r="DX20" s="485"/>
      <c r="DY20" s="485"/>
      <c r="DZ20" s="485"/>
      <c r="EA20" s="485"/>
      <c r="EB20" s="485"/>
      <c r="EC20" s="485"/>
      <c r="ED20" s="485"/>
      <c r="EE20" s="485"/>
      <c r="EF20" s="485"/>
      <c r="EG20" s="485"/>
      <c r="EH20" s="485"/>
      <c r="EI20" s="485"/>
      <c r="EJ20" s="485"/>
      <c r="EK20" s="485"/>
      <c r="EL20" s="485"/>
      <c r="EM20" s="485"/>
      <c r="EN20" s="485"/>
      <c r="EO20" s="485"/>
      <c r="EP20" s="485"/>
    </row>
    <row r="21" spans="1:146" ht="15.75">
      <c r="A21" s="624" t="s">
        <v>297</v>
      </c>
      <c r="B21" s="485" t="s">
        <v>322</v>
      </c>
      <c r="C21" s="611"/>
      <c r="D21" s="626">
        <v>246</v>
      </c>
      <c r="E21" s="611">
        <v>21.58</v>
      </c>
      <c r="F21" s="678">
        <f t="shared" si="5"/>
        <v>21.016659999999998</v>
      </c>
      <c r="G21" s="683">
        <v>1</v>
      </c>
      <c r="H21" s="681">
        <f t="shared" si="0"/>
        <v>2952</v>
      </c>
      <c r="I21" s="623">
        <f t="shared" si="6"/>
        <v>258.95999999999998</v>
      </c>
      <c r="J21" s="623"/>
      <c r="K21" s="627"/>
      <c r="L21" s="627"/>
      <c r="M21" s="627"/>
      <c r="N21" s="609">
        <v>246</v>
      </c>
      <c r="O21" s="610">
        <v>21.576713559553802</v>
      </c>
      <c r="P21" s="617" t="str">
        <f t="shared" si="1"/>
        <v>---</v>
      </c>
      <c r="Q21" s="618">
        <f t="shared" si="2"/>
        <v>-3.2864404461960817E-3</v>
      </c>
      <c r="R21" s="611"/>
      <c r="S21" s="624" t="str">
        <f t="shared" si="3"/>
        <v>OK</v>
      </c>
      <c r="T21" s="613">
        <f>IF(+'2012 Rates'!O730&lt;'2012 Rates'!$B$11,'2012 Rates'!$B$11,+'2012 Rates'!O730)</f>
        <v>23.07</v>
      </c>
      <c r="U21" s="447">
        <f t="shared" si="4"/>
        <v>9.7700586106450826E-2</v>
      </c>
      <c r="V21" s="445"/>
      <c r="W21" s="623">
        <f t="shared" si="7"/>
        <v>276.84000000000003</v>
      </c>
      <c r="X21" s="623"/>
      <c r="Y21" s="485"/>
      <c r="Z21" s="485"/>
      <c r="AA21" s="485"/>
      <c r="AB21" s="485"/>
      <c r="AC21" s="485"/>
      <c r="AD21" s="485"/>
      <c r="AE21" s="485"/>
      <c r="AF21" s="485"/>
      <c r="AG21" s="485"/>
      <c r="AH21" s="485"/>
      <c r="AI21" s="485"/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5"/>
      <c r="AV21" s="485"/>
      <c r="AW21" s="485"/>
      <c r="AX21" s="485"/>
      <c r="AY21" s="485"/>
      <c r="AZ21" s="485"/>
      <c r="BA21" s="485"/>
      <c r="BB21" s="485"/>
      <c r="BC21" s="485"/>
      <c r="BD21" s="485"/>
      <c r="BE21" s="485"/>
      <c r="BF21" s="485"/>
      <c r="BG21" s="485"/>
      <c r="BH21" s="485"/>
      <c r="BI21" s="485"/>
      <c r="BJ21" s="485"/>
      <c r="BK21" s="485"/>
      <c r="BL21" s="485"/>
      <c r="BM21" s="485"/>
      <c r="BN21" s="485"/>
      <c r="BO21" s="485"/>
      <c r="BP21" s="485"/>
      <c r="BQ21" s="485"/>
      <c r="BR21" s="485"/>
      <c r="BS21" s="485"/>
      <c r="BT21" s="485"/>
      <c r="BU21" s="485"/>
      <c r="BV21" s="485"/>
      <c r="BW21" s="485"/>
      <c r="BX21" s="485"/>
      <c r="BY21" s="485"/>
      <c r="BZ21" s="485"/>
      <c r="CA21" s="485"/>
      <c r="CB21" s="485"/>
      <c r="CC21" s="485"/>
      <c r="CD21" s="485"/>
      <c r="CE21" s="485"/>
      <c r="CF21" s="485"/>
      <c r="CG21" s="485"/>
      <c r="CH21" s="485"/>
      <c r="CI21" s="485"/>
      <c r="CJ21" s="485"/>
      <c r="CK21" s="485"/>
      <c r="CL21" s="485"/>
      <c r="CM21" s="485"/>
      <c r="CN21" s="485"/>
      <c r="CO21" s="485"/>
      <c r="CP21" s="485"/>
      <c r="CQ21" s="485"/>
      <c r="CR21" s="485"/>
      <c r="CS21" s="485"/>
      <c r="CT21" s="485"/>
      <c r="CU21" s="485"/>
      <c r="CV21" s="485"/>
      <c r="CW21" s="485"/>
      <c r="CX21" s="485"/>
      <c r="CY21" s="485"/>
      <c r="CZ21" s="485"/>
      <c r="DA21" s="485"/>
      <c r="DB21" s="485"/>
      <c r="DC21" s="485"/>
      <c r="DD21" s="485"/>
      <c r="DE21" s="485"/>
      <c r="DF21" s="485"/>
      <c r="DG21" s="485"/>
      <c r="DH21" s="485"/>
      <c r="DI21" s="485"/>
      <c r="DJ21" s="485"/>
      <c r="DK21" s="485"/>
      <c r="DL21" s="485"/>
      <c r="DM21" s="485"/>
      <c r="DN21" s="485"/>
      <c r="DO21" s="485"/>
      <c r="DP21" s="485"/>
      <c r="DQ21" s="485"/>
      <c r="DR21" s="485"/>
      <c r="DS21" s="485"/>
      <c r="DT21" s="485"/>
      <c r="DU21" s="485"/>
      <c r="DV21" s="485"/>
      <c r="DW21" s="485"/>
      <c r="DX21" s="485"/>
      <c r="DY21" s="485"/>
      <c r="DZ21" s="485"/>
      <c r="EA21" s="485"/>
      <c r="EB21" s="485"/>
      <c r="EC21" s="485"/>
      <c r="ED21" s="485"/>
      <c r="EE21" s="485"/>
      <c r="EF21" s="485"/>
      <c r="EG21" s="485"/>
      <c r="EH21" s="485"/>
      <c r="EI21" s="485"/>
      <c r="EJ21" s="485"/>
      <c r="EK21" s="485"/>
      <c r="EL21" s="485"/>
      <c r="EM21" s="485"/>
      <c r="EN21" s="485"/>
      <c r="EO21" s="485"/>
      <c r="EP21" s="485"/>
    </row>
    <row r="22" spans="1:146" ht="15.75">
      <c r="A22" s="624" t="s">
        <v>295</v>
      </c>
      <c r="B22" s="485" t="s">
        <v>323</v>
      </c>
      <c r="C22" s="628">
        <v>5275</v>
      </c>
      <c r="D22" s="626">
        <v>390</v>
      </c>
      <c r="E22" s="611">
        <v>34.22</v>
      </c>
      <c r="F22" s="678">
        <f t="shared" si="5"/>
        <v>33.326900000000002</v>
      </c>
      <c r="G22" s="683">
        <v>1</v>
      </c>
      <c r="H22" s="681">
        <f t="shared" si="0"/>
        <v>4680</v>
      </c>
      <c r="I22" s="623">
        <f t="shared" si="6"/>
        <v>410.64</v>
      </c>
      <c r="J22" s="623"/>
      <c r="K22" s="627"/>
      <c r="L22" s="627"/>
      <c r="M22" s="627"/>
      <c r="N22" s="609">
        <v>390</v>
      </c>
      <c r="O22" s="610">
        <v>34.21649710660968</v>
      </c>
      <c r="P22" s="617" t="str">
        <f t="shared" si="1"/>
        <v>---</v>
      </c>
      <c r="Q22" s="618">
        <f t="shared" si="2"/>
        <v>-3.5028933903191728E-3</v>
      </c>
      <c r="R22" s="611"/>
      <c r="S22" s="624" t="str">
        <f t="shared" si="3"/>
        <v>OK</v>
      </c>
      <c r="T22" s="613">
        <f>IF(+'2012 Rates'!O729&lt;'2012 Rates'!$B$11,'2012 Rates'!$B$11,+'2012 Rates'!O729)</f>
        <v>36.590000000000003</v>
      </c>
      <c r="U22" s="447">
        <f t="shared" si="4"/>
        <v>9.7911896996120351E-2</v>
      </c>
      <c r="V22" s="445"/>
      <c r="W22" s="623">
        <f t="shared" si="7"/>
        <v>439.08000000000004</v>
      </c>
      <c r="X22" s="623"/>
      <c r="Y22" s="485"/>
      <c r="Z22" s="485"/>
      <c r="AA22" s="485"/>
      <c r="AB22" s="485"/>
      <c r="AC22" s="485"/>
      <c r="AD22" s="485"/>
      <c r="AE22" s="485"/>
      <c r="AF22" s="485"/>
      <c r="AG22" s="485"/>
      <c r="AH22" s="485"/>
      <c r="AI22" s="485"/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5"/>
      <c r="AV22" s="485"/>
      <c r="AW22" s="485"/>
      <c r="AX22" s="485"/>
      <c r="AY22" s="485"/>
      <c r="AZ22" s="485"/>
      <c r="BA22" s="485"/>
      <c r="BB22" s="485"/>
      <c r="BC22" s="485"/>
      <c r="BD22" s="485"/>
      <c r="BE22" s="485"/>
      <c r="BF22" s="485"/>
      <c r="BG22" s="485"/>
      <c r="BH22" s="485"/>
      <c r="BI22" s="485"/>
      <c r="BJ22" s="485"/>
      <c r="BK22" s="485"/>
      <c r="BL22" s="485"/>
      <c r="BM22" s="485"/>
      <c r="BN22" s="485"/>
      <c r="BO22" s="485"/>
      <c r="BP22" s="485"/>
      <c r="BQ22" s="485"/>
      <c r="BR22" s="485"/>
      <c r="BS22" s="485"/>
      <c r="BT22" s="485"/>
      <c r="BU22" s="485"/>
      <c r="BV22" s="485"/>
      <c r="BW22" s="485"/>
      <c r="BX22" s="485"/>
      <c r="BY22" s="485"/>
      <c r="BZ22" s="485"/>
      <c r="CA22" s="485"/>
      <c r="CB22" s="485"/>
      <c r="CC22" s="485"/>
      <c r="CD22" s="485"/>
      <c r="CE22" s="485"/>
      <c r="CF22" s="485"/>
      <c r="CG22" s="485"/>
      <c r="CH22" s="485"/>
      <c r="CI22" s="485"/>
      <c r="CJ22" s="485"/>
      <c r="CK22" s="485"/>
      <c r="CL22" s="485"/>
      <c r="CM22" s="485"/>
      <c r="CN22" s="485"/>
      <c r="CO22" s="485"/>
      <c r="CP22" s="485"/>
      <c r="CQ22" s="485"/>
      <c r="CR22" s="485"/>
      <c r="CS22" s="485"/>
      <c r="CT22" s="485"/>
      <c r="CU22" s="485"/>
      <c r="CV22" s="485"/>
      <c r="CW22" s="485"/>
      <c r="CX22" s="485"/>
      <c r="CY22" s="485"/>
      <c r="CZ22" s="485"/>
      <c r="DA22" s="485"/>
      <c r="DB22" s="485"/>
      <c r="DC22" s="485"/>
      <c r="DD22" s="485"/>
      <c r="DE22" s="485"/>
      <c r="DF22" s="485"/>
      <c r="DG22" s="485"/>
      <c r="DH22" s="485"/>
      <c r="DI22" s="485"/>
      <c r="DJ22" s="485"/>
      <c r="DK22" s="485"/>
      <c r="DL22" s="485"/>
      <c r="DM22" s="485"/>
      <c r="DN22" s="485"/>
      <c r="DO22" s="485"/>
      <c r="DP22" s="485"/>
      <c r="DQ22" s="485"/>
      <c r="DR22" s="485"/>
      <c r="DS22" s="485"/>
      <c r="DT22" s="485"/>
      <c r="DU22" s="485"/>
      <c r="DV22" s="485"/>
      <c r="DW22" s="485"/>
      <c r="DX22" s="485"/>
      <c r="DY22" s="485"/>
      <c r="DZ22" s="485"/>
      <c r="EA22" s="485"/>
      <c r="EB22" s="485"/>
      <c r="EC22" s="485"/>
      <c r="ED22" s="485"/>
      <c r="EE22" s="485"/>
      <c r="EF22" s="485"/>
      <c r="EG22" s="485"/>
      <c r="EH22" s="485"/>
      <c r="EI22" s="485"/>
      <c r="EJ22" s="485"/>
      <c r="EK22" s="485"/>
      <c r="EL22" s="485"/>
      <c r="EM22" s="485"/>
      <c r="EN22" s="485"/>
      <c r="EO22" s="485"/>
      <c r="EP22" s="485"/>
    </row>
    <row r="23" spans="1:146" ht="15.75">
      <c r="A23" s="624" t="s">
        <v>298</v>
      </c>
      <c r="B23" s="445" t="s">
        <v>324</v>
      </c>
      <c r="C23" s="628">
        <v>2275</v>
      </c>
      <c r="D23" s="626">
        <v>137</v>
      </c>
      <c r="E23" s="611">
        <v>14.86</v>
      </c>
      <c r="F23" s="678">
        <f t="shared" si="5"/>
        <v>14.54627</v>
      </c>
      <c r="G23" s="683">
        <v>1</v>
      </c>
      <c r="H23" s="681">
        <f t="shared" si="0"/>
        <v>1644</v>
      </c>
      <c r="I23" s="623">
        <f t="shared" si="6"/>
        <v>178.32</v>
      </c>
      <c r="J23" s="623"/>
      <c r="K23" s="627"/>
      <c r="L23" s="627"/>
      <c r="M23" s="627"/>
      <c r="N23" s="609">
        <v>137</v>
      </c>
      <c r="O23" s="610">
        <v>14.864307957962891</v>
      </c>
      <c r="P23" s="617" t="str">
        <f t="shared" si="1"/>
        <v>---</v>
      </c>
      <c r="Q23" s="618">
        <f t="shared" si="2"/>
        <v>4.3079579628919618E-3</v>
      </c>
      <c r="R23" s="611"/>
      <c r="S23" s="624" t="str">
        <f t="shared" si="3"/>
        <v>OK</v>
      </c>
      <c r="T23" s="613">
        <f>IF(+'2012 Rates'!O731&lt;'2012 Rates'!$B$11,'2012 Rates'!$B$11,+'2012 Rates'!O731)</f>
        <v>15.99</v>
      </c>
      <c r="U23" s="447">
        <f t="shared" si="4"/>
        <v>9.9250873247918481E-2</v>
      </c>
      <c r="V23" s="445"/>
      <c r="W23" s="623">
        <f t="shared" si="7"/>
        <v>191.88</v>
      </c>
      <c r="X23" s="623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5"/>
      <c r="AV23" s="485"/>
      <c r="AW23" s="485"/>
      <c r="AX23" s="485"/>
      <c r="AY23" s="485"/>
      <c r="AZ23" s="485"/>
      <c r="BA23" s="485"/>
      <c r="BB23" s="485"/>
      <c r="BC23" s="485"/>
      <c r="BD23" s="485"/>
      <c r="BE23" s="485"/>
      <c r="BF23" s="485"/>
      <c r="BG23" s="485"/>
      <c r="BH23" s="485"/>
      <c r="BI23" s="485"/>
      <c r="BJ23" s="485"/>
      <c r="BK23" s="485"/>
      <c r="BL23" s="485"/>
      <c r="BM23" s="485"/>
      <c r="BN23" s="485"/>
      <c r="BO23" s="485"/>
      <c r="BP23" s="485"/>
      <c r="BQ23" s="485"/>
      <c r="BR23" s="485"/>
      <c r="BS23" s="485"/>
      <c r="BT23" s="485"/>
      <c r="BU23" s="485"/>
      <c r="BV23" s="485"/>
      <c r="BW23" s="485"/>
      <c r="BX23" s="485"/>
      <c r="BY23" s="485"/>
      <c r="BZ23" s="485"/>
      <c r="CA23" s="485"/>
      <c r="CB23" s="485"/>
      <c r="CC23" s="485"/>
      <c r="CD23" s="485"/>
      <c r="CE23" s="485"/>
      <c r="CF23" s="485"/>
      <c r="CG23" s="485"/>
      <c r="CH23" s="485"/>
      <c r="CI23" s="485"/>
      <c r="CJ23" s="485"/>
      <c r="CK23" s="485"/>
      <c r="CL23" s="485"/>
      <c r="CM23" s="485"/>
      <c r="CN23" s="485"/>
      <c r="CO23" s="485"/>
      <c r="CP23" s="485"/>
      <c r="CQ23" s="485"/>
      <c r="CR23" s="485"/>
      <c r="CS23" s="485"/>
      <c r="CT23" s="485"/>
      <c r="CU23" s="485"/>
      <c r="CV23" s="485"/>
      <c r="CW23" s="485"/>
      <c r="CX23" s="485"/>
      <c r="CY23" s="485"/>
      <c r="CZ23" s="485"/>
      <c r="DA23" s="485"/>
      <c r="DB23" s="485"/>
      <c r="DC23" s="485"/>
      <c r="DD23" s="485"/>
      <c r="DE23" s="485"/>
      <c r="DF23" s="485"/>
      <c r="DG23" s="485"/>
      <c r="DH23" s="485"/>
      <c r="DI23" s="485"/>
      <c r="DJ23" s="485"/>
      <c r="DK23" s="485"/>
      <c r="DL23" s="485"/>
      <c r="DM23" s="485"/>
      <c r="DN23" s="485"/>
      <c r="DO23" s="485"/>
      <c r="DP23" s="485"/>
      <c r="DQ23" s="485"/>
      <c r="DR23" s="485"/>
      <c r="DS23" s="485"/>
      <c r="DT23" s="485"/>
      <c r="DU23" s="485"/>
      <c r="DV23" s="485"/>
      <c r="DW23" s="485"/>
      <c r="DX23" s="485"/>
      <c r="DY23" s="485"/>
      <c r="DZ23" s="485"/>
      <c r="EA23" s="485"/>
      <c r="EB23" s="485"/>
      <c r="EC23" s="485"/>
      <c r="ED23" s="485"/>
      <c r="EE23" s="485"/>
      <c r="EF23" s="485"/>
      <c r="EG23" s="485"/>
      <c r="EH23" s="485"/>
      <c r="EI23" s="485"/>
      <c r="EJ23" s="485"/>
      <c r="EK23" s="485"/>
      <c r="EL23" s="485"/>
      <c r="EM23" s="485"/>
      <c r="EN23" s="485"/>
      <c r="EO23" s="485"/>
      <c r="EP23" s="485"/>
    </row>
    <row r="24" spans="1:146" ht="15.75">
      <c r="A24" s="624">
        <v>300</v>
      </c>
      <c r="B24" s="629" t="s">
        <v>325</v>
      </c>
      <c r="C24" s="485"/>
      <c r="D24" s="626">
        <v>78</v>
      </c>
      <c r="E24" s="611">
        <v>6.82</v>
      </c>
      <c r="F24" s="678">
        <f t="shared" si="5"/>
        <v>6.6413799999999998</v>
      </c>
      <c r="G24" s="683">
        <v>528</v>
      </c>
      <c r="H24" s="681">
        <f t="shared" si="0"/>
        <v>494208</v>
      </c>
      <c r="I24" s="623">
        <f t="shared" si="6"/>
        <v>43211.520000000004</v>
      </c>
      <c r="J24" s="623"/>
      <c r="K24" s="627">
        <v>0.107</v>
      </c>
      <c r="L24" s="627">
        <f t="shared" ref="L24:L59" si="8">G24*K24</f>
        <v>56.496000000000002</v>
      </c>
      <c r="M24" s="627">
        <f>+L24</f>
        <v>56.496000000000002</v>
      </c>
      <c r="N24" s="609">
        <v>78</v>
      </c>
      <c r="O24" s="610">
        <v>6.8152994213219369</v>
      </c>
      <c r="P24" s="617" t="str">
        <f t="shared" si="1"/>
        <v>---</v>
      </c>
      <c r="Q24" s="618">
        <f t="shared" si="2"/>
        <v>-4.700578678063394E-3</v>
      </c>
      <c r="R24" s="485"/>
      <c r="S24" s="624" t="str">
        <f t="shared" si="3"/>
        <v>OK</v>
      </c>
      <c r="T24" s="613">
        <f>IF(+'2012 Rates'!P81&lt;'2012 Rates'!$B$11,'2012 Rates'!$B$11,+'2012 Rates'!P81)</f>
        <v>7.28</v>
      </c>
      <c r="U24" s="447">
        <f t="shared" si="4"/>
        <v>9.6157726255687859E-2</v>
      </c>
      <c r="V24" s="485"/>
      <c r="W24" s="623">
        <f t="shared" si="7"/>
        <v>46126.080000000002</v>
      </c>
      <c r="X24" s="623"/>
      <c r="Y24" s="485"/>
      <c r="Z24" s="485"/>
      <c r="AA24" s="485"/>
      <c r="AB24" s="485"/>
      <c r="AC24" s="485"/>
      <c r="AD24" s="485"/>
      <c r="AE24" s="485"/>
      <c r="AF24" s="485"/>
      <c r="AG24" s="485"/>
      <c r="AH24" s="485"/>
      <c r="AI24" s="485"/>
      <c r="AJ24" s="485"/>
      <c r="AK24" s="485"/>
      <c r="AL24" s="485"/>
      <c r="AM24" s="485"/>
      <c r="AN24" s="485"/>
      <c r="AO24" s="485"/>
      <c r="AP24" s="485"/>
      <c r="AQ24" s="485"/>
      <c r="AR24" s="485"/>
      <c r="AS24" s="485"/>
      <c r="AT24" s="485"/>
      <c r="AU24" s="485"/>
      <c r="AV24" s="485"/>
      <c r="AW24" s="485"/>
      <c r="AX24" s="485"/>
      <c r="AY24" s="485"/>
      <c r="AZ24" s="485"/>
      <c r="BA24" s="485"/>
      <c r="BB24" s="485"/>
      <c r="BC24" s="485"/>
      <c r="BD24" s="485"/>
      <c r="BE24" s="485"/>
      <c r="BF24" s="485"/>
      <c r="BG24" s="485"/>
      <c r="BH24" s="485"/>
      <c r="BI24" s="485"/>
      <c r="BJ24" s="485"/>
      <c r="BK24" s="485"/>
      <c r="BL24" s="485"/>
      <c r="BM24" s="485"/>
      <c r="BN24" s="485"/>
      <c r="BO24" s="485"/>
      <c r="BP24" s="485"/>
      <c r="BQ24" s="485"/>
      <c r="BR24" s="485"/>
      <c r="BS24" s="485"/>
      <c r="BT24" s="485"/>
      <c r="BU24" s="485"/>
      <c r="BV24" s="485"/>
      <c r="BW24" s="485"/>
      <c r="BX24" s="485"/>
      <c r="BY24" s="485"/>
      <c r="BZ24" s="485"/>
      <c r="CA24" s="485"/>
      <c r="CB24" s="485"/>
      <c r="CC24" s="485"/>
      <c r="CD24" s="485"/>
      <c r="CE24" s="485"/>
      <c r="CF24" s="485"/>
      <c r="CG24" s="485"/>
      <c r="CH24" s="485"/>
      <c r="CI24" s="485"/>
      <c r="CJ24" s="485"/>
      <c r="CK24" s="485"/>
      <c r="CL24" s="485"/>
      <c r="CM24" s="485"/>
      <c r="CN24" s="485"/>
      <c r="CO24" s="485"/>
      <c r="CP24" s="485"/>
      <c r="CQ24" s="485"/>
      <c r="CR24" s="485"/>
      <c r="CS24" s="485"/>
      <c r="CT24" s="485"/>
      <c r="CU24" s="485"/>
      <c r="CV24" s="485"/>
      <c r="CW24" s="485"/>
      <c r="CX24" s="485"/>
      <c r="CY24" s="485"/>
      <c r="CZ24" s="485"/>
      <c r="DA24" s="485"/>
      <c r="DB24" s="485"/>
      <c r="DC24" s="485"/>
      <c r="DD24" s="485"/>
      <c r="DE24" s="485"/>
      <c r="DF24" s="485"/>
      <c r="DG24" s="485"/>
      <c r="DH24" s="485"/>
      <c r="DI24" s="485"/>
      <c r="DJ24" s="485"/>
      <c r="DK24" s="485"/>
      <c r="DL24" s="485"/>
      <c r="DM24" s="485"/>
      <c r="DN24" s="485"/>
      <c r="DO24" s="485"/>
      <c r="DP24" s="485"/>
      <c r="DQ24" s="485"/>
      <c r="DR24" s="485"/>
      <c r="DS24" s="485"/>
      <c r="DT24" s="485"/>
      <c r="DU24" s="485"/>
      <c r="DV24" s="485"/>
      <c r="DW24" s="485"/>
      <c r="DX24" s="485"/>
      <c r="DY24" s="485"/>
      <c r="DZ24" s="485"/>
      <c r="EA24" s="485"/>
      <c r="EB24" s="485"/>
      <c r="EC24" s="485"/>
      <c r="ED24" s="485"/>
      <c r="EE24" s="485"/>
      <c r="EF24" s="485"/>
      <c r="EG24" s="485"/>
      <c r="EH24" s="485"/>
      <c r="EI24" s="485"/>
      <c r="EJ24" s="485"/>
      <c r="EK24" s="485"/>
      <c r="EL24" s="485"/>
      <c r="EM24" s="485"/>
      <c r="EN24" s="485"/>
      <c r="EO24" s="485"/>
      <c r="EP24" s="485"/>
    </row>
    <row r="25" spans="1:146" ht="15.75">
      <c r="A25" s="624">
        <v>351</v>
      </c>
      <c r="B25" s="629" t="s">
        <v>329</v>
      </c>
      <c r="C25" s="624">
        <v>400</v>
      </c>
      <c r="D25" s="626">
        <v>178</v>
      </c>
      <c r="E25" s="611">
        <v>19.93</v>
      </c>
      <c r="F25" s="678">
        <f t="shared" si="5"/>
        <v>19.522379999999998</v>
      </c>
      <c r="G25" s="683">
        <v>1</v>
      </c>
      <c r="H25" s="681">
        <f t="shared" si="0"/>
        <v>2136</v>
      </c>
      <c r="I25" s="623">
        <f t="shared" si="6"/>
        <v>239.16</v>
      </c>
      <c r="J25" s="623"/>
      <c r="K25" s="627">
        <v>0.53300000000000003</v>
      </c>
      <c r="L25" s="627">
        <f t="shared" si="8"/>
        <v>0.53300000000000003</v>
      </c>
      <c r="M25" s="627"/>
      <c r="N25" s="609">
        <v>178</v>
      </c>
      <c r="O25" s="610">
        <v>19.932093551221858</v>
      </c>
      <c r="P25" s="617" t="str">
        <f t="shared" si="1"/>
        <v>---</v>
      </c>
      <c r="Q25" s="618">
        <f t="shared" si="2"/>
        <v>2.0935512218578367E-3</v>
      </c>
      <c r="R25" s="485"/>
      <c r="S25" s="624" t="str">
        <f t="shared" si="3"/>
        <v>OK</v>
      </c>
      <c r="T25" s="613">
        <f>IF(+'2012 Rates'!O115&lt;'2012 Rates'!$B$11,'2012 Rates'!$B$11,+'2012 Rates'!O115)</f>
        <v>21.44</v>
      </c>
      <c r="U25" s="447">
        <f t="shared" si="4"/>
        <v>9.8226753090555619E-2</v>
      </c>
      <c r="V25" s="485"/>
      <c r="W25" s="623">
        <f t="shared" si="7"/>
        <v>257.28000000000003</v>
      </c>
      <c r="X25" s="623"/>
      <c r="Y25" s="485"/>
      <c r="Z25" s="485"/>
      <c r="AA25" s="485"/>
      <c r="AB25" s="485"/>
      <c r="AC25" s="485"/>
      <c r="AD25" s="485"/>
      <c r="AE25" s="485"/>
      <c r="AF25" s="485"/>
      <c r="AG25" s="485"/>
      <c r="AH25" s="485"/>
      <c r="AI25" s="485"/>
      <c r="AJ25" s="485"/>
      <c r="AK25" s="485"/>
      <c r="AL25" s="485"/>
      <c r="AM25" s="485"/>
      <c r="AN25" s="485"/>
      <c r="AO25" s="485"/>
      <c r="AP25" s="485"/>
      <c r="AQ25" s="485"/>
      <c r="AR25" s="485"/>
      <c r="AS25" s="485"/>
      <c r="AT25" s="485"/>
      <c r="AU25" s="485"/>
      <c r="AV25" s="485"/>
      <c r="AW25" s="485"/>
      <c r="AX25" s="485"/>
      <c r="AY25" s="485"/>
      <c r="AZ25" s="485"/>
      <c r="BA25" s="485"/>
      <c r="BB25" s="485"/>
      <c r="BC25" s="485"/>
      <c r="BD25" s="485"/>
      <c r="BE25" s="485"/>
      <c r="BF25" s="485"/>
      <c r="BG25" s="485"/>
      <c r="BH25" s="485"/>
      <c r="BI25" s="485"/>
      <c r="BJ25" s="485"/>
      <c r="BK25" s="485"/>
      <c r="BL25" s="485"/>
      <c r="BM25" s="485"/>
      <c r="BN25" s="485"/>
      <c r="BO25" s="485"/>
      <c r="BP25" s="485"/>
      <c r="BQ25" s="485"/>
      <c r="BR25" s="485"/>
      <c r="BS25" s="485"/>
      <c r="BT25" s="485"/>
      <c r="BU25" s="485"/>
      <c r="BV25" s="485"/>
      <c r="BW25" s="485"/>
      <c r="BX25" s="485"/>
      <c r="BY25" s="485"/>
      <c r="BZ25" s="485"/>
      <c r="CA25" s="485"/>
      <c r="CB25" s="485"/>
      <c r="CC25" s="485"/>
      <c r="CD25" s="485"/>
      <c r="CE25" s="485"/>
      <c r="CF25" s="485"/>
      <c r="CG25" s="485"/>
      <c r="CH25" s="485"/>
      <c r="CI25" s="485"/>
      <c r="CJ25" s="485"/>
      <c r="CK25" s="485"/>
      <c r="CL25" s="485"/>
      <c r="CM25" s="485"/>
      <c r="CN25" s="485"/>
      <c r="CO25" s="485"/>
      <c r="CP25" s="485"/>
      <c r="CQ25" s="485"/>
      <c r="CR25" s="485"/>
      <c r="CS25" s="485"/>
      <c r="CT25" s="485"/>
      <c r="CU25" s="485"/>
      <c r="CV25" s="485"/>
      <c r="CW25" s="485"/>
      <c r="CX25" s="485"/>
      <c r="CY25" s="485"/>
      <c r="CZ25" s="485"/>
      <c r="DA25" s="485"/>
      <c r="DB25" s="485"/>
      <c r="DC25" s="485"/>
      <c r="DD25" s="485"/>
      <c r="DE25" s="485"/>
      <c r="DF25" s="485"/>
      <c r="DG25" s="485"/>
      <c r="DH25" s="485"/>
      <c r="DI25" s="485"/>
      <c r="DJ25" s="485"/>
      <c r="DK25" s="485"/>
      <c r="DL25" s="485"/>
      <c r="DM25" s="485"/>
      <c r="DN25" s="485"/>
      <c r="DO25" s="485"/>
      <c r="DP25" s="485"/>
      <c r="DQ25" s="485"/>
      <c r="DR25" s="485"/>
      <c r="DS25" s="485"/>
      <c r="DT25" s="485"/>
      <c r="DU25" s="485"/>
      <c r="DV25" s="485"/>
      <c r="DW25" s="485"/>
      <c r="DX25" s="485"/>
      <c r="DY25" s="485"/>
      <c r="DZ25" s="485"/>
      <c r="EA25" s="485"/>
      <c r="EB25" s="485"/>
      <c r="EC25" s="485"/>
      <c r="ED25" s="485"/>
      <c r="EE25" s="485"/>
      <c r="EF25" s="485"/>
      <c r="EG25" s="485"/>
      <c r="EH25" s="485"/>
      <c r="EI25" s="485"/>
      <c r="EJ25" s="485"/>
      <c r="EK25" s="485"/>
      <c r="EL25" s="485"/>
      <c r="EM25" s="485"/>
      <c r="EN25" s="485"/>
      <c r="EO25" s="485"/>
      <c r="EP25" s="485"/>
    </row>
    <row r="26" spans="1:146" ht="15.75">
      <c r="A26" s="624">
        <v>352</v>
      </c>
      <c r="B26" s="629" t="s">
        <v>330</v>
      </c>
      <c r="C26" s="624">
        <v>756</v>
      </c>
      <c r="D26" s="626">
        <v>511</v>
      </c>
      <c r="E26" s="611">
        <v>45.17</v>
      </c>
      <c r="F26" s="678">
        <f t="shared" si="5"/>
        <v>43.999810000000004</v>
      </c>
      <c r="G26" s="683">
        <v>4</v>
      </c>
      <c r="H26" s="681">
        <f t="shared" si="0"/>
        <v>24528</v>
      </c>
      <c r="I26" s="623">
        <f t="shared" si="6"/>
        <v>2168.16</v>
      </c>
      <c r="J26" s="623"/>
      <c r="K26" s="627">
        <v>0.75600000000000001</v>
      </c>
      <c r="L26" s="627">
        <f t="shared" si="8"/>
        <v>3.024</v>
      </c>
      <c r="M26" s="627"/>
      <c r="N26" s="609">
        <v>511</v>
      </c>
      <c r="O26" s="610">
        <v>45.169718003788589</v>
      </c>
      <c r="P26" s="617" t="str">
        <f t="shared" si="1"/>
        <v>---</v>
      </c>
      <c r="Q26" s="618">
        <f t="shared" si="2"/>
        <v>-2.8199621141311582E-4</v>
      </c>
      <c r="R26" s="485"/>
      <c r="S26" s="624" t="str">
        <f t="shared" si="3"/>
        <v>OK</v>
      </c>
      <c r="T26" s="613">
        <f>IF(+'2012 Rates'!P119&lt;'2012 Rates'!$B$11,'2012 Rates'!$B$11,+'2012 Rates'!P119)</f>
        <v>48.32</v>
      </c>
      <c r="U26" s="447">
        <f t="shared" si="4"/>
        <v>9.8186560351055885E-2</v>
      </c>
      <c r="V26" s="485"/>
      <c r="W26" s="623">
        <f t="shared" si="7"/>
        <v>2319.36</v>
      </c>
      <c r="X26" s="623"/>
      <c r="Y26" s="485"/>
      <c r="Z26" s="485"/>
      <c r="AA26" s="485"/>
      <c r="AB26" s="485"/>
      <c r="AC26" s="485"/>
      <c r="AD26" s="485"/>
      <c r="AE26" s="485"/>
      <c r="AF26" s="485"/>
      <c r="AG26" s="485"/>
      <c r="AH26" s="485"/>
      <c r="AI26" s="485"/>
      <c r="AJ26" s="485"/>
      <c r="AK26" s="485"/>
      <c r="AL26" s="485"/>
      <c r="AM26" s="485"/>
      <c r="AN26" s="485"/>
      <c r="AO26" s="485"/>
      <c r="AP26" s="485"/>
      <c r="AQ26" s="485"/>
      <c r="AR26" s="485"/>
      <c r="AS26" s="485"/>
      <c r="AT26" s="485"/>
      <c r="AU26" s="485"/>
      <c r="AV26" s="485"/>
      <c r="AW26" s="485"/>
      <c r="AX26" s="485"/>
      <c r="AY26" s="485"/>
      <c r="AZ26" s="485"/>
      <c r="BA26" s="485"/>
      <c r="BB26" s="485"/>
      <c r="BC26" s="485"/>
      <c r="BD26" s="485"/>
      <c r="BE26" s="485"/>
      <c r="BF26" s="485"/>
      <c r="BG26" s="485"/>
      <c r="BH26" s="485"/>
      <c r="BI26" s="485"/>
      <c r="BJ26" s="485"/>
      <c r="BK26" s="485"/>
      <c r="BL26" s="485"/>
      <c r="BM26" s="485"/>
      <c r="BN26" s="485"/>
      <c r="BO26" s="485"/>
      <c r="BP26" s="485"/>
      <c r="BQ26" s="485"/>
      <c r="BR26" s="485"/>
      <c r="BS26" s="485"/>
      <c r="BT26" s="485"/>
      <c r="BU26" s="485"/>
      <c r="BV26" s="485"/>
      <c r="BW26" s="485"/>
      <c r="BX26" s="485"/>
      <c r="BY26" s="485"/>
      <c r="BZ26" s="485"/>
      <c r="CA26" s="485"/>
      <c r="CB26" s="485"/>
      <c r="CC26" s="485"/>
      <c r="CD26" s="485"/>
      <c r="CE26" s="485"/>
      <c r="CF26" s="485"/>
      <c r="CG26" s="485"/>
      <c r="CH26" s="485"/>
      <c r="CI26" s="485"/>
      <c r="CJ26" s="485"/>
      <c r="CK26" s="485"/>
      <c r="CL26" s="485"/>
      <c r="CM26" s="485"/>
      <c r="CN26" s="485"/>
      <c r="CO26" s="485"/>
      <c r="CP26" s="485"/>
      <c r="CQ26" s="485"/>
      <c r="CR26" s="485"/>
      <c r="CS26" s="485"/>
      <c r="CT26" s="485"/>
      <c r="CU26" s="485"/>
      <c r="CV26" s="485"/>
      <c r="CW26" s="485"/>
      <c r="CX26" s="485"/>
      <c r="CY26" s="485"/>
      <c r="CZ26" s="485"/>
      <c r="DA26" s="485"/>
      <c r="DB26" s="485"/>
      <c r="DC26" s="485"/>
      <c r="DD26" s="485"/>
      <c r="DE26" s="485"/>
      <c r="DF26" s="485"/>
      <c r="DG26" s="485"/>
      <c r="DH26" s="485"/>
      <c r="DI26" s="485"/>
      <c r="DJ26" s="485"/>
      <c r="DK26" s="485"/>
      <c r="DL26" s="485"/>
      <c r="DM26" s="485"/>
      <c r="DN26" s="485"/>
      <c r="DO26" s="485"/>
      <c r="DP26" s="485"/>
      <c r="DQ26" s="485"/>
      <c r="DR26" s="485"/>
      <c r="DS26" s="485"/>
      <c r="DT26" s="485"/>
      <c r="DU26" s="485"/>
      <c r="DV26" s="485"/>
      <c r="DW26" s="485"/>
      <c r="DX26" s="485"/>
      <c r="DY26" s="485"/>
      <c r="DZ26" s="485"/>
      <c r="EA26" s="485"/>
      <c r="EB26" s="485"/>
      <c r="EC26" s="485"/>
      <c r="ED26" s="485"/>
      <c r="EE26" s="485"/>
      <c r="EF26" s="485"/>
      <c r="EG26" s="485"/>
      <c r="EH26" s="485"/>
      <c r="EI26" s="485"/>
      <c r="EJ26" s="485"/>
      <c r="EK26" s="485"/>
      <c r="EL26" s="485"/>
      <c r="EM26" s="485"/>
      <c r="EN26" s="485"/>
      <c r="EO26" s="485"/>
      <c r="EP26" s="485"/>
    </row>
    <row r="27" spans="1:146" ht="15.75">
      <c r="A27" s="624">
        <v>360</v>
      </c>
      <c r="B27" s="629" t="s">
        <v>331</v>
      </c>
      <c r="C27" s="624">
        <v>393</v>
      </c>
      <c r="D27" s="626">
        <v>93</v>
      </c>
      <c r="E27" s="611">
        <v>11.59</v>
      </c>
      <c r="F27" s="678">
        <f t="shared" si="5"/>
        <v>11.37703</v>
      </c>
      <c r="G27" s="683">
        <v>95</v>
      </c>
      <c r="H27" s="681">
        <f t="shared" si="0"/>
        <v>106020</v>
      </c>
      <c r="I27" s="623">
        <f t="shared" si="6"/>
        <v>13212.599999999999</v>
      </c>
      <c r="J27" s="623"/>
      <c r="K27" s="627">
        <v>0.41799999999999998</v>
      </c>
      <c r="L27" s="627">
        <f t="shared" si="8"/>
        <v>39.71</v>
      </c>
      <c r="M27" s="627"/>
      <c r="N27" s="609">
        <v>93</v>
      </c>
      <c r="O27" s="610">
        <v>11.591318540806924</v>
      </c>
      <c r="P27" s="617" t="str">
        <f t="shared" si="1"/>
        <v>---</v>
      </c>
      <c r="Q27" s="618">
        <f t="shared" si="2"/>
        <v>1.3185408069240623E-3</v>
      </c>
      <c r="R27" s="485"/>
      <c r="S27" s="624" t="str">
        <f t="shared" si="3"/>
        <v>OK</v>
      </c>
      <c r="T27" s="613">
        <f>IF(+'2012 Rates'!O124&lt;'2012 Rates'!$B$11,'2012 Rates'!$B$11,+'2012 Rates'!O124)</f>
        <v>12.5</v>
      </c>
      <c r="U27" s="447">
        <f t="shared" si="4"/>
        <v>9.8705022312501667E-2</v>
      </c>
      <c r="V27" s="485"/>
      <c r="W27" s="623">
        <f t="shared" si="7"/>
        <v>14250</v>
      </c>
      <c r="X27" s="623"/>
      <c r="Y27" s="485"/>
      <c r="Z27" s="485"/>
      <c r="AA27" s="485"/>
      <c r="AB27" s="485"/>
      <c r="AC27" s="485"/>
      <c r="AD27" s="485"/>
      <c r="AE27" s="485"/>
      <c r="AF27" s="485"/>
      <c r="AG27" s="485"/>
      <c r="AH27" s="485"/>
      <c r="AI27" s="485"/>
      <c r="AJ27" s="485"/>
      <c r="AK27" s="485"/>
      <c r="AL27" s="485"/>
      <c r="AM27" s="485"/>
      <c r="AN27" s="485"/>
      <c r="AO27" s="485"/>
      <c r="AP27" s="485"/>
      <c r="AQ27" s="485"/>
      <c r="AR27" s="485"/>
      <c r="AS27" s="485"/>
      <c r="AT27" s="485"/>
      <c r="AU27" s="485"/>
      <c r="AV27" s="485"/>
      <c r="AW27" s="485"/>
      <c r="AX27" s="485"/>
      <c r="AY27" s="485"/>
      <c r="AZ27" s="485"/>
      <c r="BA27" s="485"/>
      <c r="BB27" s="485"/>
      <c r="BC27" s="485"/>
      <c r="BD27" s="485"/>
      <c r="BE27" s="485"/>
      <c r="BF27" s="485"/>
      <c r="BG27" s="485"/>
      <c r="BH27" s="485"/>
      <c r="BI27" s="485"/>
      <c r="BJ27" s="485"/>
      <c r="BK27" s="485"/>
      <c r="BL27" s="485"/>
      <c r="BM27" s="485"/>
      <c r="BN27" s="485"/>
      <c r="BO27" s="485"/>
      <c r="BP27" s="485"/>
      <c r="BQ27" s="485"/>
      <c r="BR27" s="485"/>
      <c r="BS27" s="485"/>
      <c r="BT27" s="485"/>
      <c r="BU27" s="485"/>
      <c r="BV27" s="485"/>
      <c r="BW27" s="485"/>
      <c r="BX27" s="485"/>
      <c r="BY27" s="485"/>
      <c r="BZ27" s="485"/>
      <c r="CA27" s="485"/>
      <c r="CB27" s="485"/>
      <c r="CC27" s="485"/>
      <c r="CD27" s="485"/>
      <c r="CE27" s="485"/>
      <c r="CF27" s="485"/>
      <c r="CG27" s="485"/>
      <c r="CH27" s="485"/>
      <c r="CI27" s="485"/>
      <c r="CJ27" s="485"/>
      <c r="CK27" s="485"/>
      <c r="CL27" s="485"/>
      <c r="CM27" s="485"/>
      <c r="CN27" s="485"/>
      <c r="CO27" s="485"/>
      <c r="CP27" s="485"/>
      <c r="CQ27" s="485"/>
      <c r="CR27" s="485"/>
      <c r="CS27" s="485"/>
      <c r="CT27" s="485"/>
      <c r="CU27" s="485"/>
      <c r="CV27" s="485"/>
      <c r="CW27" s="485"/>
      <c r="CX27" s="485"/>
      <c r="CY27" s="485"/>
      <c r="CZ27" s="485"/>
      <c r="DA27" s="485"/>
      <c r="DB27" s="485"/>
      <c r="DC27" s="485"/>
      <c r="DD27" s="485"/>
      <c r="DE27" s="485"/>
      <c r="DF27" s="485"/>
      <c r="DG27" s="485"/>
      <c r="DH27" s="485"/>
      <c r="DI27" s="485"/>
      <c r="DJ27" s="485"/>
      <c r="DK27" s="485"/>
      <c r="DL27" s="485"/>
      <c r="DM27" s="485"/>
      <c r="DN27" s="485"/>
      <c r="DO27" s="485"/>
      <c r="DP27" s="485"/>
      <c r="DQ27" s="485"/>
      <c r="DR27" s="485"/>
      <c r="DS27" s="485"/>
      <c r="DT27" s="485"/>
      <c r="DU27" s="485"/>
      <c r="DV27" s="485"/>
      <c r="DW27" s="485"/>
      <c r="DX27" s="485"/>
      <c r="DY27" s="485"/>
      <c r="DZ27" s="485"/>
      <c r="EA27" s="485"/>
      <c r="EB27" s="485"/>
      <c r="EC27" s="485"/>
      <c r="ED27" s="485"/>
      <c r="EE27" s="485"/>
      <c r="EF27" s="485"/>
      <c r="EG27" s="485"/>
      <c r="EH27" s="485"/>
      <c r="EI27" s="485"/>
      <c r="EJ27" s="485"/>
      <c r="EK27" s="485"/>
      <c r="EL27" s="485"/>
      <c r="EM27" s="485"/>
      <c r="EN27" s="485"/>
      <c r="EO27" s="485"/>
      <c r="EP27" s="485"/>
    </row>
    <row r="28" spans="1:146" ht="15.75">
      <c r="A28" s="624">
        <v>361</v>
      </c>
      <c r="B28" s="629" t="s">
        <v>332</v>
      </c>
      <c r="C28" s="624">
        <v>295</v>
      </c>
      <c r="D28" s="626">
        <v>70</v>
      </c>
      <c r="E28" s="611">
        <v>8.7200000000000006</v>
      </c>
      <c r="F28" s="678">
        <f t="shared" si="5"/>
        <v>8.5597000000000012</v>
      </c>
      <c r="G28" s="683">
        <v>26</v>
      </c>
      <c r="H28" s="681">
        <f t="shared" si="0"/>
        <v>21840</v>
      </c>
      <c r="I28" s="623">
        <f t="shared" si="6"/>
        <v>2720.6400000000003</v>
      </c>
      <c r="J28" s="623"/>
      <c r="K28" s="627">
        <v>0.29499999999999998</v>
      </c>
      <c r="L28" s="627">
        <f t="shared" si="8"/>
        <v>7.67</v>
      </c>
      <c r="M28" s="627"/>
      <c r="N28" s="609">
        <v>70</v>
      </c>
      <c r="O28" s="610">
        <v>8.7247558909299432</v>
      </c>
      <c r="P28" s="617" t="str">
        <f t="shared" si="1"/>
        <v>---</v>
      </c>
      <c r="Q28" s="618">
        <f t="shared" si="2"/>
        <v>4.7558909299425522E-3</v>
      </c>
      <c r="R28" s="485"/>
      <c r="S28" s="624" t="str">
        <f t="shared" si="3"/>
        <v>OK</v>
      </c>
      <c r="T28" s="613">
        <f>IF(+'2012 Rates'!O128&lt;'2012 Rates'!$B$11,'2012 Rates'!$B$11,+'2012 Rates'!O128)</f>
        <v>9.4</v>
      </c>
      <c r="U28" s="447">
        <f t="shared" si="4"/>
        <v>9.8169328364311692E-2</v>
      </c>
      <c r="V28" s="485"/>
      <c r="W28" s="623">
        <f t="shared" si="7"/>
        <v>2932.8</v>
      </c>
      <c r="X28" s="623"/>
      <c r="Y28" s="485"/>
      <c r="Z28" s="485"/>
      <c r="AA28" s="485"/>
      <c r="AB28" s="485"/>
      <c r="AC28" s="485"/>
      <c r="AD28" s="485"/>
      <c r="AE28" s="485"/>
      <c r="AF28" s="485"/>
      <c r="AG28" s="485"/>
      <c r="AH28" s="485"/>
      <c r="AI28" s="485"/>
      <c r="AJ28" s="485"/>
      <c r="AK28" s="485"/>
      <c r="AL28" s="485"/>
      <c r="AM28" s="485"/>
      <c r="AN28" s="485"/>
      <c r="AO28" s="485"/>
      <c r="AP28" s="485"/>
      <c r="AQ28" s="485"/>
      <c r="AR28" s="485"/>
      <c r="AS28" s="485"/>
      <c r="AT28" s="485"/>
      <c r="AU28" s="485"/>
      <c r="AV28" s="485"/>
      <c r="AW28" s="485"/>
      <c r="AX28" s="485"/>
      <c r="AY28" s="485"/>
      <c r="AZ28" s="485"/>
      <c r="BA28" s="485"/>
      <c r="BB28" s="485"/>
      <c r="BC28" s="485"/>
      <c r="BD28" s="485"/>
      <c r="BE28" s="485"/>
      <c r="BF28" s="485"/>
      <c r="BG28" s="485"/>
      <c r="BH28" s="485"/>
      <c r="BI28" s="485"/>
      <c r="BJ28" s="485"/>
      <c r="BK28" s="485"/>
      <c r="BL28" s="485"/>
      <c r="BM28" s="485"/>
      <c r="BN28" s="485"/>
      <c r="BO28" s="485"/>
      <c r="BP28" s="485"/>
      <c r="BQ28" s="485"/>
      <c r="BR28" s="485"/>
      <c r="BS28" s="485"/>
      <c r="BT28" s="485"/>
      <c r="BU28" s="485"/>
      <c r="BV28" s="485"/>
      <c r="BW28" s="485"/>
      <c r="BX28" s="485"/>
      <c r="BY28" s="485"/>
      <c r="BZ28" s="485"/>
      <c r="CA28" s="485"/>
      <c r="CB28" s="485"/>
      <c r="CC28" s="485"/>
      <c r="CD28" s="485"/>
      <c r="CE28" s="485"/>
      <c r="CF28" s="485"/>
      <c r="CG28" s="485"/>
      <c r="CH28" s="485"/>
      <c r="CI28" s="485"/>
      <c r="CJ28" s="485"/>
      <c r="CK28" s="485"/>
      <c r="CL28" s="485"/>
      <c r="CM28" s="485"/>
      <c r="CN28" s="485"/>
      <c r="CO28" s="485"/>
      <c r="CP28" s="485"/>
      <c r="CQ28" s="485"/>
      <c r="CR28" s="485"/>
      <c r="CS28" s="485"/>
      <c r="CT28" s="485"/>
      <c r="CU28" s="485"/>
      <c r="CV28" s="485"/>
      <c r="CW28" s="485"/>
      <c r="CX28" s="485"/>
      <c r="CY28" s="485"/>
      <c r="CZ28" s="485"/>
      <c r="DA28" s="485"/>
      <c r="DB28" s="485"/>
      <c r="DC28" s="485"/>
      <c r="DD28" s="485"/>
      <c r="DE28" s="485"/>
      <c r="DF28" s="485"/>
      <c r="DG28" s="485"/>
      <c r="DH28" s="485"/>
      <c r="DI28" s="485"/>
      <c r="DJ28" s="485"/>
      <c r="DK28" s="485"/>
      <c r="DL28" s="485"/>
      <c r="DM28" s="485"/>
      <c r="DN28" s="485"/>
      <c r="DO28" s="485"/>
      <c r="DP28" s="485"/>
      <c r="DQ28" s="485"/>
      <c r="DR28" s="485"/>
      <c r="DS28" s="485"/>
      <c r="DT28" s="485"/>
      <c r="DU28" s="485"/>
      <c r="DV28" s="485"/>
      <c r="DW28" s="485"/>
      <c r="DX28" s="485"/>
      <c r="DY28" s="485"/>
      <c r="DZ28" s="485"/>
      <c r="EA28" s="485"/>
      <c r="EB28" s="485"/>
      <c r="EC28" s="485"/>
      <c r="ED28" s="485"/>
      <c r="EE28" s="485"/>
      <c r="EF28" s="485"/>
      <c r="EG28" s="485"/>
      <c r="EH28" s="485"/>
      <c r="EI28" s="485"/>
      <c r="EJ28" s="485"/>
      <c r="EK28" s="485"/>
      <c r="EL28" s="485"/>
      <c r="EM28" s="485"/>
      <c r="EN28" s="485"/>
      <c r="EO28" s="485"/>
      <c r="EP28" s="485"/>
    </row>
    <row r="29" spans="1:146" ht="15.75">
      <c r="A29" s="624">
        <v>362</v>
      </c>
      <c r="B29" s="629" t="s">
        <v>333</v>
      </c>
      <c r="C29" s="624">
        <v>350</v>
      </c>
      <c r="D29" s="626">
        <v>128</v>
      </c>
      <c r="E29" s="611">
        <v>14.34</v>
      </c>
      <c r="F29" s="678">
        <f t="shared" si="5"/>
        <v>14.04688</v>
      </c>
      <c r="G29" s="683">
        <v>95</v>
      </c>
      <c r="H29" s="681">
        <f>+D29*G29*12</f>
        <v>145920</v>
      </c>
      <c r="I29" s="623">
        <f t="shared" si="6"/>
        <v>16347.599999999999</v>
      </c>
      <c r="J29" s="623"/>
      <c r="K29" s="627">
        <v>0.38500000000000001</v>
      </c>
      <c r="L29" s="627">
        <f t="shared" si="8"/>
        <v>36.575000000000003</v>
      </c>
      <c r="M29" s="627"/>
      <c r="N29" s="609">
        <v>128</v>
      </c>
      <c r="O29" s="610">
        <v>14.338696486271898</v>
      </c>
      <c r="P29" s="617" t="str">
        <f t="shared" si="1"/>
        <v>---</v>
      </c>
      <c r="Q29" s="618">
        <f t="shared" si="2"/>
        <v>-1.3035137281018905E-3</v>
      </c>
      <c r="R29" s="485"/>
      <c r="S29" s="624" t="str">
        <f t="shared" si="3"/>
        <v>OK</v>
      </c>
      <c r="T29" s="613">
        <f>IF(+'2012 Rates'!O130&lt;'2012 Rates'!$B$11,'2012 Rates'!$B$11,+'2012 Rates'!O130)</f>
        <v>15.440000000000001</v>
      </c>
      <c r="U29" s="447">
        <f t="shared" si="4"/>
        <v>9.9176471928285936E-2</v>
      </c>
      <c r="V29" s="485"/>
      <c r="W29" s="623">
        <f t="shared" si="7"/>
        <v>17601.600000000002</v>
      </c>
      <c r="X29" s="623"/>
      <c r="Y29" s="485"/>
      <c r="Z29" s="485"/>
      <c r="AA29" s="485"/>
      <c r="AB29" s="485"/>
      <c r="AC29" s="485"/>
      <c r="AD29" s="485"/>
      <c r="AE29" s="485"/>
      <c r="AF29" s="485"/>
      <c r="AG29" s="485"/>
      <c r="AH29" s="485"/>
      <c r="AI29" s="485"/>
      <c r="AJ29" s="485"/>
      <c r="AK29" s="485"/>
      <c r="AL29" s="485"/>
      <c r="AM29" s="485"/>
      <c r="AN29" s="485"/>
      <c r="AO29" s="485"/>
      <c r="AP29" s="485"/>
      <c r="AQ29" s="485"/>
      <c r="AR29" s="485"/>
      <c r="AS29" s="485"/>
      <c r="AT29" s="485"/>
      <c r="AU29" s="485"/>
      <c r="AV29" s="485"/>
      <c r="AW29" s="485"/>
      <c r="AX29" s="485"/>
      <c r="AY29" s="485"/>
      <c r="AZ29" s="485"/>
      <c r="BA29" s="485"/>
      <c r="BB29" s="485"/>
      <c r="BC29" s="485"/>
      <c r="BD29" s="485"/>
      <c r="BE29" s="485"/>
      <c r="BF29" s="485"/>
      <c r="BG29" s="485"/>
      <c r="BH29" s="485"/>
      <c r="BI29" s="485"/>
      <c r="BJ29" s="485"/>
      <c r="BK29" s="485"/>
      <c r="BL29" s="485"/>
      <c r="BM29" s="485"/>
      <c r="BN29" s="485"/>
      <c r="BO29" s="485"/>
      <c r="BP29" s="485"/>
      <c r="BQ29" s="485"/>
      <c r="BR29" s="485"/>
      <c r="BS29" s="485"/>
      <c r="BT29" s="485"/>
      <c r="BU29" s="485"/>
      <c r="BV29" s="485"/>
      <c r="BW29" s="485"/>
      <c r="BX29" s="485"/>
      <c r="BY29" s="485"/>
      <c r="BZ29" s="485"/>
      <c r="CA29" s="485"/>
      <c r="CB29" s="485"/>
      <c r="CC29" s="485"/>
      <c r="CD29" s="485"/>
      <c r="CE29" s="485"/>
      <c r="CF29" s="485"/>
      <c r="CG29" s="485"/>
      <c r="CH29" s="485"/>
      <c r="CI29" s="485"/>
      <c r="CJ29" s="485"/>
      <c r="CK29" s="485"/>
      <c r="CL29" s="485"/>
      <c r="CM29" s="485"/>
      <c r="CN29" s="485"/>
      <c r="CO29" s="485"/>
      <c r="CP29" s="485"/>
      <c r="CQ29" s="485"/>
      <c r="CR29" s="485"/>
      <c r="CS29" s="485"/>
      <c r="CT29" s="485"/>
      <c r="CU29" s="485"/>
      <c r="CV29" s="485"/>
      <c r="CW29" s="485"/>
      <c r="CX29" s="485"/>
      <c r="CY29" s="485"/>
      <c r="CZ29" s="485"/>
      <c r="DA29" s="485"/>
      <c r="DB29" s="485"/>
      <c r="DC29" s="485"/>
      <c r="DD29" s="485"/>
      <c r="DE29" s="485"/>
      <c r="DF29" s="485"/>
      <c r="DG29" s="485"/>
      <c r="DH29" s="485"/>
      <c r="DI29" s="485"/>
      <c r="DJ29" s="485"/>
      <c r="DK29" s="485"/>
      <c r="DL29" s="485"/>
      <c r="DM29" s="485"/>
      <c r="DN29" s="485"/>
      <c r="DO29" s="485"/>
      <c r="DP29" s="485"/>
      <c r="DQ29" s="485"/>
      <c r="DR29" s="485"/>
      <c r="DS29" s="485"/>
      <c r="DT29" s="485"/>
      <c r="DU29" s="485"/>
      <c r="DV29" s="485"/>
      <c r="DW29" s="485"/>
      <c r="DX29" s="485"/>
      <c r="DY29" s="485"/>
      <c r="DZ29" s="485"/>
      <c r="EA29" s="485"/>
      <c r="EB29" s="485"/>
      <c r="EC29" s="485"/>
      <c r="ED29" s="485"/>
      <c r="EE29" s="485"/>
      <c r="EF29" s="485"/>
      <c r="EG29" s="485"/>
      <c r="EH29" s="485"/>
      <c r="EI29" s="485"/>
      <c r="EJ29" s="485"/>
      <c r="EK29" s="485"/>
      <c r="EL29" s="485"/>
      <c r="EM29" s="485"/>
      <c r="EN29" s="485"/>
      <c r="EO29" s="485"/>
      <c r="EP29" s="485"/>
    </row>
    <row r="30" spans="1:146" ht="15.75">
      <c r="A30" s="624">
        <v>363</v>
      </c>
      <c r="B30" s="629" t="s">
        <v>330</v>
      </c>
      <c r="C30" s="624">
        <v>1126</v>
      </c>
      <c r="D30" s="626">
        <v>311</v>
      </c>
      <c r="E30" s="611">
        <v>37.44</v>
      </c>
      <c r="F30" s="678">
        <f t="shared" si="5"/>
        <v>36.727809999999998</v>
      </c>
      <c r="G30" s="683">
        <v>2</v>
      </c>
      <c r="H30" s="681">
        <f t="shared" si="0"/>
        <v>7464</v>
      </c>
      <c r="I30" s="623">
        <f t="shared" si="6"/>
        <v>898.56</v>
      </c>
      <c r="J30" s="623"/>
      <c r="K30" s="627">
        <v>1.2390000000000001</v>
      </c>
      <c r="L30" s="627">
        <f t="shared" si="8"/>
        <v>2.4780000000000002</v>
      </c>
      <c r="M30" s="627"/>
      <c r="N30" s="609">
        <v>311</v>
      </c>
      <c r="O30" s="610">
        <v>37.436129743988751</v>
      </c>
      <c r="P30" s="617" t="str">
        <f t="shared" si="1"/>
        <v>---</v>
      </c>
      <c r="Q30" s="618">
        <f t="shared" si="2"/>
        <v>-3.8702560112469087E-3</v>
      </c>
      <c r="R30" s="485"/>
      <c r="S30" s="624" t="str">
        <f t="shared" si="3"/>
        <v>OK</v>
      </c>
      <c r="T30" s="613">
        <f>IF(+'2012 Rates'!O135&lt;'2012 Rates'!$B$11,'2012 Rates'!$B$11,+'2012 Rates'!O135)</f>
        <v>40.350000000000009</v>
      </c>
      <c r="U30" s="447">
        <f t="shared" si="4"/>
        <v>9.8622542427659221E-2</v>
      </c>
      <c r="V30" s="485"/>
      <c r="W30" s="623">
        <f t="shared" si="7"/>
        <v>968.4000000000002</v>
      </c>
      <c r="X30" s="623"/>
      <c r="Y30" s="485"/>
      <c r="Z30" s="485"/>
      <c r="AA30" s="485"/>
      <c r="AB30" s="485"/>
      <c r="AC30" s="485"/>
      <c r="AD30" s="485"/>
      <c r="AE30" s="485"/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485"/>
      <c r="CP30" s="485"/>
      <c r="CQ30" s="485"/>
      <c r="CR30" s="485"/>
      <c r="CS30" s="485"/>
      <c r="CT30" s="485"/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</row>
    <row r="31" spans="1:146" ht="15.75">
      <c r="A31" s="624">
        <v>364</v>
      </c>
      <c r="B31" s="629" t="s">
        <v>330</v>
      </c>
      <c r="C31" s="624">
        <v>1003</v>
      </c>
      <c r="D31" s="626">
        <v>334</v>
      </c>
      <c r="E31" s="611">
        <v>37.44</v>
      </c>
      <c r="F31" s="678">
        <f t="shared" si="5"/>
        <v>36.675139999999999</v>
      </c>
      <c r="G31" s="683">
        <v>1</v>
      </c>
      <c r="H31" s="681">
        <f t="shared" si="0"/>
        <v>4008</v>
      </c>
      <c r="I31" s="623">
        <f t="shared" si="6"/>
        <v>449.28</v>
      </c>
      <c r="J31" s="623"/>
      <c r="K31" s="627">
        <v>1.0029999999999999</v>
      </c>
      <c r="L31" s="627">
        <f t="shared" si="8"/>
        <v>1.0029999999999999</v>
      </c>
      <c r="M31" s="627"/>
      <c r="N31" s="609">
        <v>334</v>
      </c>
      <c r="O31" s="610">
        <v>37.442692393865727</v>
      </c>
      <c r="P31" s="617" t="str">
        <f t="shared" si="1"/>
        <v>---</v>
      </c>
      <c r="Q31" s="618">
        <f t="shared" si="2"/>
        <v>2.6923938657290591E-3</v>
      </c>
      <c r="R31" s="485"/>
      <c r="S31" s="624" t="str">
        <f t="shared" si="3"/>
        <v>OK</v>
      </c>
      <c r="T31" s="613">
        <f>IF(+'2012 Rates'!O137&lt;'2012 Rates'!$B$11,'2012 Rates'!$B$11,+'2012 Rates'!O137)</f>
        <v>40.269999999999996</v>
      </c>
      <c r="U31" s="447">
        <f t="shared" si="4"/>
        <v>9.8018985067269027E-2</v>
      </c>
      <c r="V31" s="485"/>
      <c r="W31" s="623">
        <f t="shared" si="7"/>
        <v>483.23999999999995</v>
      </c>
      <c r="X31" s="623"/>
      <c r="Y31" s="485"/>
      <c r="Z31" s="485"/>
      <c r="AA31" s="485"/>
      <c r="AB31" s="485"/>
      <c r="AC31" s="485"/>
      <c r="AD31" s="485"/>
      <c r="AE31" s="485"/>
      <c r="AF31" s="485"/>
      <c r="AG31" s="485"/>
      <c r="AH31" s="485"/>
      <c r="AI31" s="485"/>
      <c r="AJ31" s="485"/>
      <c r="AK31" s="485"/>
      <c r="AL31" s="485"/>
      <c r="AM31" s="485"/>
      <c r="AN31" s="485"/>
      <c r="AO31" s="485"/>
      <c r="AP31" s="485"/>
      <c r="AQ31" s="485"/>
      <c r="AR31" s="485"/>
      <c r="AS31" s="485"/>
      <c r="AT31" s="485"/>
      <c r="AU31" s="485"/>
      <c r="AV31" s="485"/>
      <c r="AW31" s="485"/>
      <c r="AX31" s="485"/>
      <c r="AY31" s="485"/>
      <c r="AZ31" s="485"/>
      <c r="BA31" s="485"/>
      <c r="BB31" s="485"/>
      <c r="BC31" s="485"/>
      <c r="BD31" s="485"/>
      <c r="BE31" s="485"/>
      <c r="BF31" s="485"/>
      <c r="BG31" s="485"/>
      <c r="BH31" s="485"/>
      <c r="BI31" s="485"/>
      <c r="BJ31" s="485"/>
      <c r="BK31" s="485"/>
      <c r="BL31" s="485"/>
      <c r="BM31" s="485"/>
      <c r="BN31" s="485"/>
      <c r="BO31" s="485"/>
      <c r="BP31" s="485"/>
      <c r="BQ31" s="485"/>
      <c r="BR31" s="485"/>
      <c r="BS31" s="485"/>
      <c r="BT31" s="485"/>
      <c r="BU31" s="485"/>
      <c r="BV31" s="485"/>
      <c r="BW31" s="485"/>
      <c r="BX31" s="485"/>
      <c r="BY31" s="485"/>
      <c r="BZ31" s="485"/>
      <c r="CA31" s="485"/>
      <c r="CB31" s="485"/>
      <c r="CC31" s="485"/>
      <c r="CD31" s="485"/>
      <c r="CE31" s="485"/>
      <c r="CF31" s="485"/>
      <c r="CG31" s="485"/>
      <c r="CH31" s="485"/>
      <c r="CI31" s="485"/>
      <c r="CJ31" s="485"/>
      <c r="CK31" s="485"/>
      <c r="CL31" s="485"/>
      <c r="CM31" s="485"/>
      <c r="CN31" s="485"/>
      <c r="CO31" s="485"/>
      <c r="CP31" s="485"/>
      <c r="CQ31" s="485"/>
      <c r="CR31" s="485"/>
      <c r="CS31" s="485"/>
      <c r="CT31" s="485"/>
      <c r="CU31" s="485"/>
      <c r="CV31" s="485"/>
      <c r="CW31" s="485"/>
      <c r="CX31" s="485"/>
      <c r="CY31" s="485"/>
      <c r="CZ31" s="485"/>
      <c r="DA31" s="485"/>
      <c r="DB31" s="485"/>
      <c r="DC31" s="485"/>
      <c r="DD31" s="485"/>
      <c r="DE31" s="485"/>
      <c r="DF31" s="485"/>
      <c r="DG31" s="485"/>
      <c r="DH31" s="485"/>
      <c r="DI31" s="485"/>
      <c r="DJ31" s="485"/>
      <c r="DK31" s="485"/>
      <c r="DL31" s="485"/>
      <c r="DM31" s="485"/>
      <c r="DN31" s="485"/>
      <c r="DO31" s="485"/>
      <c r="DP31" s="485"/>
      <c r="DQ31" s="485"/>
      <c r="DR31" s="485"/>
      <c r="DS31" s="485"/>
      <c r="DT31" s="485"/>
      <c r="DU31" s="485"/>
      <c r="DV31" s="485"/>
      <c r="DW31" s="485"/>
      <c r="DX31" s="485"/>
      <c r="DY31" s="485"/>
      <c r="DZ31" s="485"/>
      <c r="EA31" s="485"/>
      <c r="EB31" s="485"/>
      <c r="EC31" s="485"/>
      <c r="ED31" s="485"/>
      <c r="EE31" s="485"/>
      <c r="EF31" s="485"/>
      <c r="EG31" s="485"/>
      <c r="EH31" s="485"/>
      <c r="EI31" s="485"/>
      <c r="EJ31" s="485"/>
      <c r="EK31" s="485"/>
      <c r="EL31" s="485"/>
      <c r="EM31" s="485"/>
      <c r="EN31" s="485"/>
      <c r="EO31" s="485"/>
      <c r="EP31" s="485"/>
    </row>
    <row r="32" spans="1:146" ht="15.75">
      <c r="A32" s="624">
        <v>365</v>
      </c>
      <c r="B32" s="629" t="s">
        <v>330</v>
      </c>
      <c r="C32" s="624">
        <v>701</v>
      </c>
      <c r="D32" s="626">
        <v>265</v>
      </c>
      <c r="E32" s="611">
        <v>30.11</v>
      </c>
      <c r="F32" s="678">
        <f t="shared" si="5"/>
        <v>29.503149999999998</v>
      </c>
      <c r="G32" s="683">
        <v>2</v>
      </c>
      <c r="H32" s="681">
        <f t="shared" si="0"/>
        <v>6360</v>
      </c>
      <c r="I32" s="623">
        <f t="shared" si="6"/>
        <v>722.64</v>
      </c>
      <c r="J32" s="623"/>
      <c r="K32" s="627">
        <v>0.82299999999999995</v>
      </c>
      <c r="L32" s="627">
        <f t="shared" si="8"/>
        <v>1.6459999999999999</v>
      </c>
      <c r="M32" s="627"/>
      <c r="N32" s="609">
        <v>265</v>
      </c>
      <c r="O32" s="610">
        <v>30.11300444423479</v>
      </c>
      <c r="P32" s="617" t="str">
        <f t="shared" si="1"/>
        <v>---</v>
      </c>
      <c r="Q32" s="618">
        <f t="shared" si="2"/>
        <v>3.0044442347900713E-3</v>
      </c>
      <c r="R32" s="485"/>
      <c r="S32" s="624" t="str">
        <f t="shared" si="3"/>
        <v>OK</v>
      </c>
      <c r="T32" s="613">
        <f>IF(+'2012 Rates'!O138&lt;'2012 Rates'!$B$11,'2012 Rates'!$B$11,+'2012 Rates'!O138)</f>
        <v>32.400000000000006</v>
      </c>
      <c r="U32" s="447">
        <f t="shared" si="4"/>
        <v>9.8187820622543942E-2</v>
      </c>
      <c r="V32" s="485"/>
      <c r="W32" s="623">
        <f t="shared" si="7"/>
        <v>777.60000000000014</v>
      </c>
      <c r="X32" s="623"/>
      <c r="Y32" s="485"/>
      <c r="Z32" s="485"/>
      <c r="AA32" s="485"/>
      <c r="AB32" s="485"/>
      <c r="AC32" s="485"/>
      <c r="AD32" s="485"/>
      <c r="AE32" s="485"/>
      <c r="AF32" s="485"/>
      <c r="AG32" s="485"/>
      <c r="AH32" s="485"/>
      <c r="AI32" s="485"/>
      <c r="AJ32" s="485"/>
      <c r="AK32" s="485"/>
      <c r="AL32" s="485"/>
      <c r="AM32" s="485"/>
      <c r="AN32" s="485"/>
      <c r="AO32" s="485"/>
      <c r="AP32" s="485"/>
      <c r="AQ32" s="485"/>
      <c r="AR32" s="485"/>
      <c r="AS32" s="485"/>
      <c r="AT32" s="485"/>
      <c r="AU32" s="485"/>
      <c r="AV32" s="485"/>
      <c r="AW32" s="485"/>
      <c r="AX32" s="485"/>
      <c r="AY32" s="485"/>
      <c r="AZ32" s="485"/>
      <c r="BA32" s="485"/>
      <c r="BB32" s="485"/>
      <c r="BC32" s="485"/>
      <c r="BD32" s="485"/>
      <c r="BE32" s="485"/>
      <c r="BF32" s="485"/>
      <c r="BG32" s="485"/>
      <c r="BH32" s="485"/>
      <c r="BI32" s="485"/>
      <c r="BJ32" s="485"/>
      <c r="BK32" s="485"/>
      <c r="BL32" s="485"/>
      <c r="BM32" s="485"/>
      <c r="BN32" s="485"/>
      <c r="BO32" s="485"/>
      <c r="BP32" s="485"/>
      <c r="BQ32" s="485"/>
      <c r="BR32" s="485"/>
      <c r="BS32" s="485"/>
      <c r="BT32" s="485"/>
      <c r="BU32" s="485"/>
      <c r="BV32" s="485"/>
      <c r="BW32" s="485"/>
      <c r="BX32" s="485"/>
      <c r="BY32" s="485"/>
      <c r="BZ32" s="485"/>
      <c r="CA32" s="485"/>
      <c r="CB32" s="485"/>
      <c r="CC32" s="485"/>
      <c r="CD32" s="485"/>
      <c r="CE32" s="485"/>
      <c r="CF32" s="485"/>
      <c r="CG32" s="485"/>
      <c r="CH32" s="485"/>
      <c r="CI32" s="485"/>
      <c r="CJ32" s="485"/>
      <c r="CK32" s="485"/>
      <c r="CL32" s="485"/>
      <c r="CM32" s="485"/>
      <c r="CN32" s="485"/>
      <c r="CO32" s="485"/>
      <c r="CP32" s="485"/>
      <c r="CQ32" s="485"/>
      <c r="CR32" s="485"/>
      <c r="CS32" s="485"/>
      <c r="CT32" s="485"/>
      <c r="CU32" s="485"/>
      <c r="CV32" s="485"/>
      <c r="CW32" s="485"/>
      <c r="CX32" s="485"/>
      <c r="CY32" s="485"/>
      <c r="CZ32" s="485"/>
      <c r="DA32" s="485"/>
      <c r="DB32" s="485"/>
      <c r="DC32" s="485"/>
      <c r="DD32" s="485"/>
      <c r="DE32" s="485"/>
      <c r="DF32" s="485"/>
      <c r="DG32" s="485"/>
      <c r="DH32" s="485"/>
      <c r="DI32" s="485"/>
      <c r="DJ32" s="485"/>
      <c r="DK32" s="485"/>
      <c r="DL32" s="485"/>
      <c r="DM32" s="485"/>
      <c r="DN32" s="485"/>
      <c r="DO32" s="485"/>
      <c r="DP32" s="485"/>
      <c r="DQ32" s="485"/>
      <c r="DR32" s="485"/>
      <c r="DS32" s="485"/>
      <c r="DT32" s="485"/>
      <c r="DU32" s="485"/>
      <c r="DV32" s="485"/>
      <c r="DW32" s="485"/>
      <c r="DX32" s="485"/>
      <c r="DY32" s="485"/>
      <c r="DZ32" s="485"/>
      <c r="EA32" s="485"/>
      <c r="EB32" s="485"/>
      <c r="EC32" s="485"/>
      <c r="ED32" s="485"/>
      <c r="EE32" s="485"/>
      <c r="EF32" s="485"/>
      <c r="EG32" s="485"/>
      <c r="EH32" s="485"/>
      <c r="EI32" s="485"/>
      <c r="EJ32" s="485"/>
      <c r="EK32" s="485"/>
      <c r="EL32" s="485"/>
      <c r="EM32" s="485"/>
      <c r="EN32" s="485"/>
      <c r="EO32" s="485"/>
      <c r="EP32" s="485"/>
    </row>
    <row r="33" spans="1:146" ht="15.75">
      <c r="A33" s="624">
        <v>366</v>
      </c>
      <c r="B33" s="629" t="s">
        <v>330</v>
      </c>
      <c r="C33" s="624">
        <v>650</v>
      </c>
      <c r="D33" s="626">
        <v>238</v>
      </c>
      <c r="E33" s="611">
        <v>26.67</v>
      </c>
      <c r="F33" s="678">
        <f t="shared" si="5"/>
        <v>26.124980000000001</v>
      </c>
      <c r="G33" s="683">
        <v>1</v>
      </c>
      <c r="H33" s="681">
        <f t="shared" si="0"/>
        <v>2856</v>
      </c>
      <c r="I33" s="623">
        <f t="shared" si="6"/>
        <v>320.04000000000002</v>
      </c>
      <c r="J33" s="623"/>
      <c r="K33" s="627">
        <v>0.71499999999999997</v>
      </c>
      <c r="L33" s="627">
        <f t="shared" si="8"/>
        <v>0.71499999999999997</v>
      </c>
      <c r="M33" s="627"/>
      <c r="N33" s="609">
        <v>238</v>
      </c>
      <c r="O33" s="610">
        <v>26.666170029161805</v>
      </c>
      <c r="P33" s="617" t="str">
        <f t="shared" si="1"/>
        <v>---</v>
      </c>
      <c r="Q33" s="618">
        <f t="shared" si="2"/>
        <v>-3.8299708381970277E-3</v>
      </c>
      <c r="R33" s="485"/>
      <c r="S33" s="624" t="str">
        <f t="shared" si="3"/>
        <v>OK</v>
      </c>
      <c r="T33" s="613">
        <f>IF(+'2012 Rates'!O139&lt;'2012 Rates'!$B$11,'2012 Rates'!$B$11,+'2012 Rates'!O139)</f>
        <v>28.689999999999998</v>
      </c>
      <c r="U33" s="447">
        <f t="shared" si="4"/>
        <v>9.8182658895815234E-2</v>
      </c>
      <c r="V33" s="485"/>
      <c r="W33" s="623">
        <f t="shared" si="7"/>
        <v>344.28</v>
      </c>
      <c r="X33" s="623"/>
      <c r="Y33" s="485"/>
      <c r="Z33" s="485"/>
      <c r="AA33" s="485"/>
      <c r="AB33" s="485"/>
      <c r="AC33" s="485"/>
      <c r="AD33" s="485"/>
      <c r="AE33" s="485"/>
      <c r="AF33" s="485"/>
      <c r="AG33" s="485"/>
      <c r="AH33" s="485"/>
      <c r="AI33" s="485"/>
      <c r="AJ33" s="485"/>
      <c r="AK33" s="485"/>
      <c r="AL33" s="485"/>
      <c r="AM33" s="485"/>
      <c r="AN33" s="485"/>
      <c r="AO33" s="485"/>
      <c r="AP33" s="485"/>
      <c r="AQ33" s="485"/>
      <c r="AR33" s="485"/>
      <c r="AS33" s="485"/>
      <c r="AT33" s="485"/>
      <c r="AU33" s="485"/>
      <c r="AV33" s="485"/>
      <c r="AW33" s="485"/>
      <c r="AX33" s="485"/>
      <c r="AY33" s="485"/>
      <c r="AZ33" s="485"/>
      <c r="BA33" s="485"/>
      <c r="BB33" s="485"/>
      <c r="BC33" s="485"/>
      <c r="BD33" s="485"/>
      <c r="BE33" s="485"/>
      <c r="BF33" s="485"/>
      <c r="BG33" s="485"/>
      <c r="BH33" s="485"/>
      <c r="BI33" s="485"/>
      <c r="BJ33" s="485"/>
      <c r="BK33" s="485"/>
      <c r="BL33" s="485"/>
      <c r="BM33" s="485"/>
      <c r="BN33" s="485"/>
      <c r="BO33" s="485"/>
      <c r="BP33" s="485"/>
      <c r="BQ33" s="485"/>
      <c r="BR33" s="485"/>
      <c r="BS33" s="485"/>
      <c r="BT33" s="485"/>
      <c r="BU33" s="485"/>
      <c r="BV33" s="485"/>
      <c r="BW33" s="485"/>
      <c r="BX33" s="485"/>
      <c r="BY33" s="485"/>
      <c r="BZ33" s="485"/>
      <c r="CA33" s="485"/>
      <c r="CB33" s="485"/>
      <c r="CC33" s="485"/>
      <c r="CD33" s="485"/>
      <c r="CE33" s="485"/>
      <c r="CF33" s="485"/>
      <c r="CG33" s="485"/>
      <c r="CH33" s="485"/>
      <c r="CI33" s="485"/>
      <c r="CJ33" s="485"/>
      <c r="CK33" s="485"/>
      <c r="CL33" s="485"/>
      <c r="CM33" s="485"/>
      <c r="CN33" s="485"/>
      <c r="CO33" s="485"/>
      <c r="CP33" s="485"/>
      <c r="CQ33" s="485"/>
      <c r="CR33" s="485"/>
      <c r="CS33" s="485"/>
      <c r="CT33" s="485"/>
      <c r="CU33" s="485"/>
      <c r="CV33" s="485"/>
      <c r="CW33" s="485"/>
      <c r="CX33" s="485"/>
      <c r="CY33" s="485"/>
      <c r="CZ33" s="485"/>
      <c r="DA33" s="485"/>
      <c r="DB33" s="485"/>
      <c r="DC33" s="485"/>
      <c r="DD33" s="485"/>
      <c r="DE33" s="485"/>
      <c r="DF33" s="485"/>
      <c r="DG33" s="485"/>
      <c r="DH33" s="485"/>
      <c r="DI33" s="485"/>
      <c r="DJ33" s="485"/>
      <c r="DK33" s="485"/>
      <c r="DL33" s="485"/>
      <c r="DM33" s="485"/>
      <c r="DN33" s="485"/>
      <c r="DO33" s="485"/>
      <c r="DP33" s="485"/>
      <c r="DQ33" s="485"/>
      <c r="DR33" s="485"/>
      <c r="DS33" s="485"/>
      <c r="DT33" s="485"/>
      <c r="DU33" s="485"/>
      <c r="DV33" s="485"/>
      <c r="DW33" s="485"/>
      <c r="DX33" s="485"/>
      <c r="DY33" s="485"/>
      <c r="DZ33" s="485"/>
      <c r="EA33" s="485"/>
      <c r="EB33" s="485"/>
      <c r="EC33" s="485"/>
      <c r="ED33" s="485"/>
      <c r="EE33" s="485"/>
      <c r="EF33" s="485"/>
      <c r="EG33" s="485"/>
      <c r="EH33" s="485"/>
      <c r="EI33" s="485"/>
      <c r="EJ33" s="485"/>
      <c r="EK33" s="485"/>
      <c r="EL33" s="485"/>
      <c r="EM33" s="485"/>
      <c r="EN33" s="485"/>
      <c r="EO33" s="485"/>
      <c r="EP33" s="485"/>
    </row>
    <row r="34" spans="1:146" ht="15.75">
      <c r="A34" s="624">
        <v>367</v>
      </c>
      <c r="B34" s="629" t="s">
        <v>330</v>
      </c>
      <c r="C34" s="624">
        <v>590</v>
      </c>
      <c r="D34" s="626">
        <v>216</v>
      </c>
      <c r="E34" s="611">
        <v>24.2</v>
      </c>
      <c r="F34" s="678">
        <f t="shared" si="5"/>
        <v>23.705359999999999</v>
      </c>
      <c r="G34" s="683">
        <v>8</v>
      </c>
      <c r="H34" s="681">
        <f t="shared" si="0"/>
        <v>20736</v>
      </c>
      <c r="I34" s="623">
        <f t="shared" si="6"/>
        <v>2323.1999999999998</v>
      </c>
      <c r="J34" s="623"/>
      <c r="K34" s="627">
        <v>0.64900000000000002</v>
      </c>
      <c r="L34" s="627">
        <f t="shared" si="8"/>
        <v>5.1920000000000002</v>
      </c>
      <c r="M34" s="627"/>
      <c r="N34" s="609">
        <v>216</v>
      </c>
      <c r="O34" s="610">
        <v>24.204675320583828</v>
      </c>
      <c r="P34" s="617" t="str">
        <f t="shared" si="1"/>
        <v>---</v>
      </c>
      <c r="Q34" s="618">
        <f t="shared" si="2"/>
        <v>4.6753205838285794E-3</v>
      </c>
      <c r="R34" s="485"/>
      <c r="S34" s="624" t="str">
        <f t="shared" si="3"/>
        <v>OK</v>
      </c>
      <c r="T34" s="613">
        <f>IF(+'2012 Rates'!O140&lt;'2012 Rates'!$B$11,'2012 Rates'!$B$11,+'2012 Rates'!O140)</f>
        <v>26.04</v>
      </c>
      <c r="U34" s="447">
        <f t="shared" si="4"/>
        <v>9.8485743308686313E-2</v>
      </c>
      <c r="V34" s="485"/>
      <c r="W34" s="623">
        <f t="shared" si="7"/>
        <v>2499.84</v>
      </c>
      <c r="X34" s="623"/>
      <c r="Y34" s="485"/>
      <c r="Z34" s="485"/>
      <c r="AA34" s="485"/>
      <c r="AB34" s="485"/>
      <c r="AC34" s="485"/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485"/>
      <c r="DR34" s="485"/>
      <c r="DS34" s="485"/>
      <c r="DT34" s="485"/>
      <c r="DU34" s="485"/>
      <c r="DV34" s="485"/>
      <c r="DW34" s="485"/>
      <c r="DX34" s="485"/>
      <c r="DY34" s="485"/>
      <c r="DZ34" s="485"/>
      <c r="EA34" s="485"/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</row>
    <row r="35" spans="1:146" ht="15.75">
      <c r="A35" s="624">
        <v>368</v>
      </c>
      <c r="B35" s="629" t="s">
        <v>330</v>
      </c>
      <c r="C35" s="624">
        <v>250</v>
      </c>
      <c r="D35" s="626">
        <v>92</v>
      </c>
      <c r="E35" s="611">
        <v>10.3</v>
      </c>
      <c r="F35" s="678">
        <f t="shared" si="5"/>
        <v>10.089320000000001</v>
      </c>
      <c r="G35" s="683">
        <v>1</v>
      </c>
      <c r="H35" s="681">
        <f t="shared" si="0"/>
        <v>1104</v>
      </c>
      <c r="I35" s="623">
        <f t="shared" si="6"/>
        <v>123.60000000000001</v>
      </c>
      <c r="J35" s="623"/>
      <c r="K35" s="627">
        <v>0.27500000000000002</v>
      </c>
      <c r="L35" s="627">
        <f t="shared" si="8"/>
        <v>0.27500000000000002</v>
      </c>
      <c r="M35" s="627"/>
      <c r="N35" s="609">
        <v>92</v>
      </c>
      <c r="O35" s="610">
        <v>10.296250599507927</v>
      </c>
      <c r="P35" s="617" t="str">
        <f t="shared" si="1"/>
        <v>---</v>
      </c>
      <c r="Q35" s="618">
        <f t="shared" si="2"/>
        <v>-3.749400492074173E-3</v>
      </c>
      <c r="R35" s="485"/>
      <c r="S35" s="624" t="str">
        <f t="shared" si="3"/>
        <v>OK</v>
      </c>
      <c r="T35" s="613">
        <f>IF(+'2012 Rates'!O141&lt;'2012 Rates'!$B$11,'2012 Rates'!$B$11,+'2012 Rates'!O141)</f>
        <v>11.059999999999999</v>
      </c>
      <c r="U35" s="447">
        <f t="shared" si="4"/>
        <v>9.6208664211264727E-2</v>
      </c>
      <c r="V35" s="485"/>
      <c r="W35" s="623">
        <f t="shared" si="7"/>
        <v>132.71999999999997</v>
      </c>
      <c r="X35" s="623"/>
      <c r="Y35" s="485"/>
      <c r="Z35" s="485"/>
      <c r="AA35" s="485"/>
      <c r="AB35" s="485"/>
      <c r="AC35" s="485"/>
      <c r="AD35" s="485"/>
      <c r="AE35" s="485"/>
      <c r="AF35" s="485"/>
      <c r="AG35" s="485"/>
      <c r="AH35" s="485"/>
      <c r="AI35" s="485"/>
      <c r="AJ35" s="485"/>
      <c r="AK35" s="485"/>
      <c r="AL35" s="485"/>
      <c r="AM35" s="485"/>
      <c r="AN35" s="485"/>
      <c r="AO35" s="485"/>
      <c r="AP35" s="485"/>
      <c r="AQ35" s="485"/>
      <c r="AR35" s="485"/>
      <c r="AS35" s="485"/>
      <c r="AT35" s="485"/>
      <c r="AU35" s="485"/>
      <c r="AV35" s="485"/>
      <c r="AW35" s="485"/>
      <c r="AX35" s="485"/>
      <c r="AY35" s="485"/>
      <c r="AZ35" s="485"/>
      <c r="BA35" s="485"/>
      <c r="BB35" s="485"/>
      <c r="BC35" s="485"/>
      <c r="BD35" s="485"/>
      <c r="BE35" s="485"/>
      <c r="BF35" s="485"/>
      <c r="BG35" s="485"/>
      <c r="BH35" s="485"/>
      <c r="BI35" s="485"/>
      <c r="BJ35" s="485"/>
      <c r="BK35" s="485"/>
      <c r="BL35" s="485"/>
      <c r="BM35" s="485"/>
      <c r="BN35" s="485"/>
      <c r="BO35" s="485"/>
      <c r="BP35" s="485"/>
      <c r="BQ35" s="485"/>
      <c r="BR35" s="485"/>
      <c r="BS35" s="485"/>
      <c r="BT35" s="485"/>
      <c r="BU35" s="485"/>
      <c r="BV35" s="485"/>
      <c r="BW35" s="485"/>
      <c r="BX35" s="485"/>
      <c r="BY35" s="485"/>
      <c r="BZ35" s="485"/>
      <c r="CA35" s="485"/>
      <c r="CB35" s="485"/>
      <c r="CC35" s="485"/>
      <c r="CD35" s="485"/>
      <c r="CE35" s="485"/>
      <c r="CF35" s="485"/>
      <c r="CG35" s="485"/>
      <c r="CH35" s="485"/>
      <c r="CI35" s="485"/>
      <c r="CJ35" s="485"/>
      <c r="CK35" s="485"/>
      <c r="CL35" s="485"/>
      <c r="CM35" s="485"/>
      <c r="CN35" s="485"/>
      <c r="CO35" s="485"/>
      <c r="CP35" s="485"/>
      <c r="CQ35" s="485"/>
      <c r="CR35" s="485"/>
      <c r="CS35" s="485"/>
      <c r="CT35" s="485"/>
      <c r="CU35" s="485"/>
      <c r="CV35" s="485"/>
      <c r="CW35" s="485"/>
      <c r="CX35" s="485"/>
      <c r="CY35" s="485"/>
      <c r="CZ35" s="485"/>
      <c r="DA35" s="485"/>
      <c r="DB35" s="485"/>
      <c r="DC35" s="485"/>
      <c r="DD35" s="485"/>
      <c r="DE35" s="485"/>
      <c r="DF35" s="485"/>
      <c r="DG35" s="485"/>
      <c r="DH35" s="485"/>
      <c r="DI35" s="485"/>
      <c r="DJ35" s="485"/>
      <c r="DK35" s="485"/>
      <c r="DL35" s="485"/>
      <c r="DM35" s="485"/>
      <c r="DN35" s="485"/>
      <c r="DO35" s="485"/>
      <c r="DP35" s="485"/>
      <c r="DQ35" s="485"/>
      <c r="DR35" s="485"/>
      <c r="DS35" s="485"/>
      <c r="DT35" s="485"/>
      <c r="DU35" s="485"/>
      <c r="DV35" s="485"/>
      <c r="DW35" s="485"/>
      <c r="DX35" s="485"/>
      <c r="DY35" s="485"/>
      <c r="DZ35" s="485"/>
      <c r="EA35" s="485"/>
      <c r="EB35" s="485"/>
      <c r="EC35" s="485"/>
      <c r="ED35" s="485"/>
      <c r="EE35" s="485"/>
      <c r="EF35" s="485"/>
      <c r="EG35" s="485"/>
      <c r="EH35" s="485"/>
      <c r="EI35" s="485"/>
      <c r="EJ35" s="485"/>
      <c r="EK35" s="485"/>
      <c r="EL35" s="485"/>
      <c r="EM35" s="485"/>
      <c r="EN35" s="485"/>
      <c r="EO35" s="485"/>
      <c r="EP35" s="485"/>
    </row>
    <row r="36" spans="1:146" ht="15.75">
      <c r="A36" s="624">
        <v>369</v>
      </c>
      <c r="B36" s="629" t="s">
        <v>330</v>
      </c>
      <c r="C36" s="624">
        <v>175</v>
      </c>
      <c r="D36" s="626">
        <v>64</v>
      </c>
      <c r="E36" s="611">
        <v>7.19</v>
      </c>
      <c r="F36" s="678">
        <f t="shared" si="5"/>
        <v>7.0434400000000004</v>
      </c>
      <c r="G36" s="683">
        <v>1</v>
      </c>
      <c r="H36" s="681">
        <f t="shared" si="0"/>
        <v>768</v>
      </c>
      <c r="I36" s="623">
        <f t="shared" si="6"/>
        <v>86.28</v>
      </c>
      <c r="J36" s="623"/>
      <c r="K36" s="627">
        <v>0.193</v>
      </c>
      <c r="L36" s="627">
        <f t="shared" si="8"/>
        <v>0.193</v>
      </c>
      <c r="M36" s="627"/>
      <c r="N36" s="609">
        <v>64</v>
      </c>
      <c r="O36" s="610">
        <v>7.1943482431359493</v>
      </c>
      <c r="P36" s="617" t="str">
        <f t="shared" si="1"/>
        <v>---</v>
      </c>
      <c r="Q36" s="618">
        <f t="shared" si="2"/>
        <v>4.3482431359489482E-3</v>
      </c>
      <c r="R36" s="485"/>
      <c r="S36" s="624" t="str">
        <f t="shared" si="3"/>
        <v>OK</v>
      </c>
      <c r="T36" s="613">
        <f>IF(+'2012 Rates'!O142&lt;'2012 Rates'!$B$11,'2012 Rates'!$B$11,+'2012 Rates'!O142)</f>
        <v>7.74</v>
      </c>
      <c r="U36" s="447">
        <f t="shared" si="4"/>
        <v>9.8894858194291446E-2</v>
      </c>
      <c r="V36" s="485"/>
      <c r="W36" s="623">
        <f t="shared" si="7"/>
        <v>92.88</v>
      </c>
      <c r="X36" s="623"/>
      <c r="Y36" s="485"/>
      <c r="Z36" s="485"/>
      <c r="AA36" s="485"/>
      <c r="AB36" s="485"/>
      <c r="AC36" s="485"/>
      <c r="AD36" s="485"/>
      <c r="AE36" s="485"/>
      <c r="AF36" s="485"/>
      <c r="AG36" s="485"/>
      <c r="AH36" s="485"/>
      <c r="AI36" s="485"/>
      <c r="AJ36" s="485"/>
      <c r="AK36" s="485"/>
      <c r="AL36" s="485"/>
      <c r="AM36" s="485"/>
      <c r="AN36" s="485"/>
      <c r="AO36" s="485"/>
      <c r="AP36" s="485"/>
      <c r="AQ36" s="485"/>
      <c r="AR36" s="485"/>
      <c r="AS36" s="485"/>
      <c r="AT36" s="485"/>
      <c r="AU36" s="485"/>
      <c r="AV36" s="485"/>
      <c r="AW36" s="485"/>
      <c r="AX36" s="485"/>
      <c r="AY36" s="485"/>
      <c r="AZ36" s="485"/>
      <c r="BA36" s="485"/>
      <c r="BB36" s="485"/>
      <c r="BC36" s="485"/>
      <c r="BD36" s="485"/>
      <c r="BE36" s="485"/>
      <c r="BF36" s="485"/>
      <c r="BG36" s="485"/>
      <c r="BH36" s="485"/>
      <c r="BI36" s="485"/>
      <c r="BJ36" s="485"/>
      <c r="BK36" s="485"/>
      <c r="BL36" s="485"/>
      <c r="BM36" s="485"/>
      <c r="BN36" s="485"/>
      <c r="BO36" s="485"/>
      <c r="BP36" s="485"/>
      <c r="BQ36" s="485"/>
      <c r="BR36" s="485"/>
      <c r="BS36" s="485"/>
      <c r="BT36" s="485"/>
      <c r="BU36" s="485"/>
      <c r="BV36" s="485"/>
      <c r="BW36" s="485"/>
      <c r="BX36" s="485"/>
      <c r="BY36" s="485"/>
      <c r="BZ36" s="485"/>
      <c r="CA36" s="485"/>
      <c r="CB36" s="485"/>
      <c r="CC36" s="485"/>
      <c r="CD36" s="485"/>
      <c r="CE36" s="485"/>
      <c r="CF36" s="485"/>
      <c r="CG36" s="485"/>
      <c r="CH36" s="485"/>
      <c r="CI36" s="485"/>
      <c r="CJ36" s="485"/>
      <c r="CK36" s="485"/>
      <c r="CL36" s="485"/>
      <c r="CM36" s="485"/>
      <c r="CN36" s="485"/>
      <c r="CO36" s="485"/>
      <c r="CP36" s="485"/>
      <c r="CQ36" s="485"/>
      <c r="CR36" s="485"/>
      <c r="CS36" s="485"/>
      <c r="CT36" s="485"/>
      <c r="CU36" s="485"/>
      <c r="CV36" s="485"/>
      <c r="CW36" s="485"/>
      <c r="CX36" s="485"/>
      <c r="CY36" s="485"/>
      <c r="CZ36" s="485"/>
      <c r="DA36" s="485"/>
      <c r="DB36" s="485"/>
      <c r="DC36" s="485"/>
      <c r="DD36" s="485"/>
      <c r="DE36" s="485"/>
      <c r="DF36" s="485"/>
      <c r="DG36" s="485"/>
      <c r="DH36" s="485"/>
      <c r="DI36" s="485"/>
      <c r="DJ36" s="485"/>
      <c r="DK36" s="485"/>
      <c r="DL36" s="485"/>
      <c r="DM36" s="485"/>
      <c r="DN36" s="485"/>
      <c r="DO36" s="485"/>
      <c r="DP36" s="485"/>
      <c r="DQ36" s="485"/>
      <c r="DR36" s="485"/>
      <c r="DS36" s="485"/>
      <c r="DT36" s="485"/>
      <c r="DU36" s="485"/>
      <c r="DV36" s="485"/>
      <c r="DW36" s="485"/>
      <c r="DX36" s="485"/>
      <c r="DY36" s="485"/>
      <c r="DZ36" s="485"/>
      <c r="EA36" s="485"/>
      <c r="EB36" s="485"/>
      <c r="EC36" s="485"/>
      <c r="ED36" s="485"/>
      <c r="EE36" s="485"/>
      <c r="EF36" s="485"/>
      <c r="EG36" s="485"/>
      <c r="EH36" s="485"/>
      <c r="EI36" s="485"/>
      <c r="EJ36" s="485"/>
      <c r="EK36" s="485"/>
      <c r="EL36" s="485"/>
      <c r="EM36" s="485"/>
      <c r="EN36" s="485"/>
      <c r="EO36" s="485"/>
      <c r="EP36" s="485"/>
    </row>
    <row r="37" spans="1:146" ht="15.75">
      <c r="A37" s="624">
        <v>370</v>
      </c>
      <c r="B37" s="629" t="s">
        <v>334</v>
      </c>
      <c r="C37" s="624"/>
      <c r="D37" s="626">
        <v>150</v>
      </c>
      <c r="E37" s="611">
        <v>27.69</v>
      </c>
      <c r="F37" s="678">
        <f t="shared" si="5"/>
        <v>27.346500000000002</v>
      </c>
      <c r="G37" s="683">
        <v>42</v>
      </c>
      <c r="H37" s="681">
        <f t="shared" si="0"/>
        <v>75600</v>
      </c>
      <c r="I37" s="623">
        <f t="shared" si="6"/>
        <v>13955.76</v>
      </c>
      <c r="J37" s="623"/>
      <c r="K37" s="627">
        <v>1.5</v>
      </c>
      <c r="L37" s="627">
        <f t="shared" si="8"/>
        <v>63</v>
      </c>
      <c r="M37" s="627"/>
      <c r="N37" s="609">
        <v>150</v>
      </c>
      <c r="O37" s="610">
        <v>27.690191194849881</v>
      </c>
      <c r="P37" s="617" t="str">
        <f t="shared" si="1"/>
        <v>---</v>
      </c>
      <c r="Q37" s="618">
        <f t="shared" si="2"/>
        <v>1.9119484987939472E-4</v>
      </c>
      <c r="R37" s="485"/>
      <c r="S37" s="624" t="str">
        <f t="shared" si="3"/>
        <v>OK</v>
      </c>
      <c r="T37" s="613">
        <f>IF(+'2012 Rates'!O144&lt;'2012 Rates'!$B$11,'2012 Rates'!$B$11,+'2012 Rates'!O144)</f>
        <v>30.03</v>
      </c>
      <c r="U37" s="447">
        <f t="shared" si="4"/>
        <v>9.8129559541440425E-2</v>
      </c>
      <c r="V37" s="485"/>
      <c r="W37" s="623">
        <f t="shared" si="7"/>
        <v>15135.119999999999</v>
      </c>
      <c r="X37" s="623"/>
      <c r="Y37" s="485"/>
      <c r="Z37" s="485"/>
      <c r="AA37" s="485"/>
      <c r="AB37" s="485"/>
      <c r="AC37" s="485"/>
      <c r="AD37" s="485"/>
      <c r="AE37" s="485"/>
      <c r="AF37" s="485"/>
      <c r="AG37" s="485"/>
      <c r="AH37" s="485"/>
      <c r="AI37" s="485"/>
      <c r="AJ37" s="485"/>
      <c r="AK37" s="485"/>
      <c r="AL37" s="485"/>
      <c r="AM37" s="485"/>
      <c r="AN37" s="485"/>
      <c r="AO37" s="485"/>
      <c r="AP37" s="485"/>
      <c r="AQ37" s="485"/>
      <c r="AR37" s="485"/>
      <c r="AS37" s="485"/>
      <c r="AT37" s="485"/>
      <c r="AU37" s="485"/>
      <c r="AV37" s="485"/>
      <c r="AW37" s="485"/>
      <c r="AX37" s="485"/>
      <c r="AY37" s="485"/>
      <c r="AZ37" s="485"/>
      <c r="BA37" s="485"/>
      <c r="BB37" s="485"/>
      <c r="BC37" s="485"/>
      <c r="BD37" s="485"/>
      <c r="BE37" s="485"/>
      <c r="BF37" s="485"/>
      <c r="BG37" s="485"/>
      <c r="BH37" s="485"/>
      <c r="BI37" s="485"/>
      <c r="BJ37" s="485"/>
      <c r="BK37" s="485"/>
      <c r="BL37" s="485"/>
      <c r="BM37" s="485"/>
      <c r="BN37" s="485"/>
      <c r="BO37" s="485"/>
      <c r="BP37" s="485"/>
      <c r="BQ37" s="485"/>
      <c r="BR37" s="485"/>
      <c r="BS37" s="485"/>
      <c r="BT37" s="485"/>
      <c r="BU37" s="485"/>
      <c r="BV37" s="485"/>
      <c r="BW37" s="485"/>
      <c r="BX37" s="485"/>
      <c r="BY37" s="485"/>
      <c r="BZ37" s="485"/>
      <c r="CA37" s="485"/>
      <c r="CB37" s="485"/>
      <c r="CC37" s="485"/>
      <c r="CD37" s="485"/>
      <c r="CE37" s="485"/>
      <c r="CF37" s="485"/>
      <c r="CG37" s="485"/>
      <c r="CH37" s="485"/>
      <c r="CI37" s="485"/>
      <c r="CJ37" s="485"/>
      <c r="CK37" s="485"/>
      <c r="CL37" s="485"/>
      <c r="CM37" s="485"/>
      <c r="CN37" s="485"/>
      <c r="CO37" s="485"/>
      <c r="CP37" s="485"/>
      <c r="CQ37" s="485"/>
      <c r="CR37" s="485"/>
      <c r="CS37" s="485"/>
      <c r="CT37" s="485"/>
      <c r="CU37" s="485"/>
      <c r="CV37" s="485"/>
      <c r="CW37" s="485"/>
      <c r="CX37" s="485"/>
      <c r="CY37" s="485"/>
      <c r="CZ37" s="485"/>
      <c r="DA37" s="485"/>
      <c r="DB37" s="485"/>
      <c r="DC37" s="485"/>
      <c r="DD37" s="485"/>
      <c r="DE37" s="485"/>
      <c r="DF37" s="485"/>
      <c r="DG37" s="485"/>
      <c r="DH37" s="485"/>
      <c r="DI37" s="485"/>
      <c r="DJ37" s="485"/>
      <c r="DK37" s="485"/>
      <c r="DL37" s="485"/>
      <c r="DM37" s="485"/>
      <c r="DN37" s="485"/>
      <c r="DO37" s="485"/>
      <c r="DP37" s="485"/>
      <c r="DQ37" s="485"/>
      <c r="DR37" s="485"/>
      <c r="DS37" s="485"/>
      <c r="DT37" s="485"/>
      <c r="DU37" s="485"/>
      <c r="DV37" s="485"/>
      <c r="DW37" s="485"/>
      <c r="DX37" s="485"/>
      <c r="DY37" s="485"/>
      <c r="DZ37" s="485"/>
      <c r="EA37" s="485"/>
      <c r="EB37" s="485"/>
      <c r="EC37" s="485"/>
      <c r="ED37" s="485"/>
      <c r="EE37" s="485"/>
      <c r="EF37" s="485"/>
      <c r="EG37" s="485"/>
      <c r="EH37" s="485"/>
      <c r="EI37" s="485"/>
      <c r="EJ37" s="485"/>
      <c r="EK37" s="485"/>
      <c r="EL37" s="485"/>
      <c r="EM37" s="485"/>
      <c r="EN37" s="485"/>
      <c r="EO37" s="485"/>
      <c r="EP37" s="485"/>
    </row>
    <row r="38" spans="1:146" ht="15.75">
      <c r="A38" s="624">
        <v>371</v>
      </c>
      <c r="B38" s="629" t="s">
        <v>335</v>
      </c>
      <c r="C38" s="624"/>
      <c r="D38" s="626">
        <v>200</v>
      </c>
      <c r="E38" s="611">
        <v>32.67</v>
      </c>
      <c r="F38" s="678">
        <f t="shared" si="5"/>
        <v>32.212000000000003</v>
      </c>
      <c r="G38" s="683">
        <v>6</v>
      </c>
      <c r="H38" s="681">
        <f t="shared" si="0"/>
        <v>14400</v>
      </c>
      <c r="I38" s="623">
        <f t="shared" si="6"/>
        <v>2352.2400000000002</v>
      </c>
      <c r="J38" s="623"/>
      <c r="K38" s="627">
        <v>1.5</v>
      </c>
      <c r="L38" s="627">
        <f t="shared" si="8"/>
        <v>9</v>
      </c>
      <c r="M38" s="627"/>
      <c r="N38" s="609">
        <v>200</v>
      </c>
      <c r="O38" s="610">
        <v>32.673588259799843</v>
      </c>
      <c r="P38" s="617" t="str">
        <f t="shared" si="1"/>
        <v>---</v>
      </c>
      <c r="Q38" s="618">
        <f t="shared" si="2"/>
        <v>3.5882597998408983E-3</v>
      </c>
      <c r="R38" s="485"/>
      <c r="S38" s="624" t="str">
        <f t="shared" si="3"/>
        <v>OK</v>
      </c>
      <c r="T38" s="613">
        <f>IF(+'2012 Rates'!O145&lt;'2012 Rates'!$B$11,'2012 Rates'!$B$11,+'2012 Rates'!O145)</f>
        <v>35.369999999999997</v>
      </c>
      <c r="U38" s="447">
        <f t="shared" si="4"/>
        <v>9.8037998261517156E-2</v>
      </c>
      <c r="V38" s="485"/>
      <c r="W38" s="623">
        <f t="shared" si="7"/>
        <v>2546.6399999999994</v>
      </c>
      <c r="X38" s="623"/>
      <c r="Y38" s="485"/>
      <c r="Z38" s="485"/>
      <c r="AA38" s="485"/>
      <c r="AB38" s="485"/>
      <c r="AC38" s="485"/>
      <c r="AD38" s="485"/>
      <c r="AE38" s="485"/>
      <c r="AF38" s="485"/>
      <c r="AG38" s="485"/>
      <c r="AH38" s="485"/>
      <c r="AI38" s="485"/>
      <c r="AJ38" s="485"/>
      <c r="AK38" s="485"/>
      <c r="AL38" s="485"/>
      <c r="AM38" s="485"/>
      <c r="AN38" s="485"/>
      <c r="AO38" s="485"/>
      <c r="AP38" s="485"/>
      <c r="AQ38" s="485"/>
      <c r="AR38" s="485"/>
      <c r="AS38" s="485"/>
      <c r="AT38" s="485"/>
      <c r="AU38" s="485"/>
      <c r="AV38" s="485"/>
      <c r="AW38" s="485"/>
      <c r="AX38" s="485"/>
      <c r="AY38" s="485"/>
      <c r="AZ38" s="485"/>
      <c r="BA38" s="485"/>
      <c r="BB38" s="485"/>
      <c r="BC38" s="485"/>
      <c r="BD38" s="485"/>
      <c r="BE38" s="485"/>
      <c r="BF38" s="485"/>
      <c r="BG38" s="485"/>
      <c r="BH38" s="485"/>
      <c r="BI38" s="485"/>
      <c r="BJ38" s="485"/>
      <c r="BK38" s="485"/>
      <c r="BL38" s="485"/>
      <c r="BM38" s="485"/>
      <c r="BN38" s="485"/>
      <c r="BO38" s="485"/>
      <c r="BP38" s="485"/>
      <c r="BQ38" s="485"/>
      <c r="BR38" s="485"/>
      <c r="BS38" s="485"/>
      <c r="BT38" s="485"/>
      <c r="BU38" s="485"/>
      <c r="BV38" s="485"/>
      <c r="BW38" s="485"/>
      <c r="BX38" s="485"/>
      <c r="BY38" s="485"/>
      <c r="BZ38" s="485"/>
      <c r="CA38" s="485"/>
      <c r="CB38" s="485"/>
      <c r="CC38" s="485"/>
      <c r="CD38" s="485"/>
      <c r="CE38" s="485"/>
      <c r="CF38" s="485"/>
      <c r="CG38" s="485"/>
      <c r="CH38" s="485"/>
      <c r="CI38" s="485"/>
      <c r="CJ38" s="485"/>
      <c r="CK38" s="485"/>
      <c r="CL38" s="485"/>
      <c r="CM38" s="485"/>
      <c r="CN38" s="485"/>
      <c r="CO38" s="485"/>
      <c r="CP38" s="485"/>
      <c r="CQ38" s="485"/>
      <c r="CR38" s="485"/>
      <c r="CS38" s="485"/>
      <c r="CT38" s="485"/>
      <c r="CU38" s="485"/>
      <c r="CV38" s="485"/>
      <c r="CW38" s="485"/>
      <c r="CX38" s="485"/>
      <c r="CY38" s="485"/>
      <c r="CZ38" s="485"/>
      <c r="DA38" s="485"/>
      <c r="DB38" s="485"/>
      <c r="DC38" s="485"/>
      <c r="DD38" s="485"/>
      <c r="DE38" s="485"/>
      <c r="DF38" s="485"/>
      <c r="DG38" s="485"/>
      <c r="DH38" s="485"/>
      <c r="DI38" s="485"/>
      <c r="DJ38" s="485"/>
      <c r="DK38" s="485"/>
      <c r="DL38" s="485"/>
      <c r="DM38" s="485"/>
      <c r="DN38" s="485"/>
      <c r="DO38" s="485"/>
      <c r="DP38" s="485"/>
      <c r="DQ38" s="485"/>
      <c r="DR38" s="485"/>
      <c r="DS38" s="485"/>
      <c r="DT38" s="485"/>
      <c r="DU38" s="485"/>
      <c r="DV38" s="485"/>
      <c r="DW38" s="485"/>
      <c r="DX38" s="485"/>
      <c r="DY38" s="485"/>
      <c r="DZ38" s="485"/>
      <c r="EA38" s="485"/>
      <c r="EB38" s="485"/>
      <c r="EC38" s="485"/>
      <c r="ED38" s="485"/>
      <c r="EE38" s="485"/>
      <c r="EF38" s="485"/>
      <c r="EG38" s="485"/>
      <c r="EH38" s="485"/>
      <c r="EI38" s="485"/>
      <c r="EJ38" s="485"/>
      <c r="EK38" s="485"/>
      <c r="EL38" s="485"/>
      <c r="EM38" s="485"/>
      <c r="EN38" s="485"/>
      <c r="EO38" s="485"/>
      <c r="EP38" s="485"/>
    </row>
    <row r="39" spans="1:146" ht="15.75">
      <c r="A39" s="624">
        <v>372</v>
      </c>
      <c r="B39" s="629" t="s">
        <v>336</v>
      </c>
      <c r="C39" s="624"/>
      <c r="D39" s="626">
        <v>150</v>
      </c>
      <c r="E39" s="611">
        <v>27.69</v>
      </c>
      <c r="F39" s="678">
        <f t="shared" si="5"/>
        <v>27.346500000000002</v>
      </c>
      <c r="G39" s="683">
        <v>2</v>
      </c>
      <c r="H39" s="681">
        <f t="shared" si="0"/>
        <v>3600</v>
      </c>
      <c r="I39" s="623">
        <f t="shared" si="6"/>
        <v>664.56000000000006</v>
      </c>
      <c r="J39" s="623"/>
      <c r="K39" s="627">
        <v>1.5</v>
      </c>
      <c r="L39" s="627">
        <f t="shared" si="8"/>
        <v>3</v>
      </c>
      <c r="M39" s="627"/>
      <c r="N39" s="609">
        <v>150</v>
      </c>
      <c r="O39" s="610">
        <v>27.690191194849881</v>
      </c>
      <c r="P39" s="617" t="str">
        <f t="shared" si="1"/>
        <v>---</v>
      </c>
      <c r="Q39" s="618">
        <f t="shared" si="2"/>
        <v>1.9119484987939472E-4</v>
      </c>
      <c r="R39" s="485"/>
      <c r="S39" s="624" t="str">
        <f t="shared" si="3"/>
        <v>OK</v>
      </c>
      <c r="T39" s="613">
        <f>IF(+'2012 Rates'!O146&lt;'2012 Rates'!$B$11,'2012 Rates'!$B$11,+'2012 Rates'!O146)</f>
        <v>30.03</v>
      </c>
      <c r="U39" s="447">
        <f t="shared" si="4"/>
        <v>9.8129559541440425E-2</v>
      </c>
      <c r="V39" s="485"/>
      <c r="W39" s="623">
        <f t="shared" si="7"/>
        <v>720.72</v>
      </c>
      <c r="X39" s="623"/>
      <c r="Y39" s="485"/>
      <c r="Z39" s="485"/>
      <c r="AA39" s="485"/>
      <c r="AB39" s="485"/>
      <c r="AC39" s="485"/>
      <c r="AD39" s="485"/>
      <c r="AE39" s="485"/>
      <c r="AF39" s="485"/>
      <c r="AG39" s="485"/>
      <c r="AH39" s="485"/>
      <c r="AI39" s="485"/>
      <c r="AJ39" s="485"/>
      <c r="AK39" s="485"/>
      <c r="AL39" s="485"/>
      <c r="AM39" s="485"/>
      <c r="AN39" s="485"/>
      <c r="AO39" s="485"/>
      <c r="AP39" s="485"/>
      <c r="AQ39" s="485"/>
      <c r="AR39" s="485"/>
      <c r="AS39" s="485"/>
      <c r="AT39" s="485"/>
      <c r="AU39" s="485"/>
      <c r="AV39" s="485"/>
      <c r="AW39" s="485"/>
      <c r="AX39" s="485"/>
      <c r="AY39" s="485"/>
      <c r="AZ39" s="485"/>
      <c r="BA39" s="485"/>
      <c r="BB39" s="485"/>
      <c r="BC39" s="485"/>
      <c r="BD39" s="485"/>
      <c r="BE39" s="485"/>
      <c r="BF39" s="485"/>
      <c r="BG39" s="485"/>
      <c r="BH39" s="485"/>
      <c r="BI39" s="485"/>
      <c r="BJ39" s="485"/>
      <c r="BK39" s="485"/>
      <c r="BL39" s="485"/>
      <c r="BM39" s="485"/>
      <c r="BN39" s="485"/>
      <c r="BO39" s="485"/>
      <c r="BP39" s="485"/>
      <c r="BQ39" s="485"/>
      <c r="BR39" s="485"/>
      <c r="BS39" s="485"/>
      <c r="BT39" s="485"/>
      <c r="BU39" s="485"/>
      <c r="BV39" s="485"/>
      <c r="BW39" s="485"/>
      <c r="BX39" s="485"/>
      <c r="BY39" s="485"/>
      <c r="BZ39" s="485"/>
      <c r="CA39" s="485"/>
      <c r="CB39" s="485"/>
      <c r="CC39" s="485"/>
      <c r="CD39" s="485"/>
      <c r="CE39" s="485"/>
      <c r="CF39" s="485"/>
      <c r="CG39" s="485"/>
      <c r="CH39" s="485"/>
      <c r="CI39" s="485"/>
      <c r="CJ39" s="485"/>
      <c r="CK39" s="485"/>
      <c r="CL39" s="485"/>
      <c r="CM39" s="485"/>
      <c r="CN39" s="485"/>
      <c r="CO39" s="485"/>
      <c r="CP39" s="485"/>
      <c r="CQ39" s="485"/>
      <c r="CR39" s="485"/>
      <c r="CS39" s="485"/>
      <c r="CT39" s="485"/>
      <c r="CU39" s="485"/>
      <c r="CV39" s="485"/>
      <c r="CW39" s="485"/>
      <c r="CX39" s="485"/>
      <c r="CY39" s="485"/>
      <c r="CZ39" s="485"/>
      <c r="DA39" s="485"/>
      <c r="DB39" s="485"/>
      <c r="DC39" s="485"/>
      <c r="DD39" s="485"/>
      <c r="DE39" s="485"/>
      <c r="DF39" s="485"/>
      <c r="DG39" s="485"/>
      <c r="DH39" s="485"/>
      <c r="DI39" s="485"/>
      <c r="DJ39" s="485"/>
      <c r="DK39" s="485"/>
      <c r="DL39" s="485"/>
      <c r="DM39" s="485"/>
      <c r="DN39" s="485"/>
      <c r="DO39" s="485"/>
      <c r="DP39" s="485"/>
      <c r="DQ39" s="485"/>
      <c r="DR39" s="485"/>
      <c r="DS39" s="485"/>
      <c r="DT39" s="485"/>
      <c r="DU39" s="485"/>
      <c r="DV39" s="485"/>
      <c r="DW39" s="485"/>
      <c r="DX39" s="485"/>
      <c r="DY39" s="485"/>
      <c r="DZ39" s="485"/>
      <c r="EA39" s="485"/>
      <c r="EB39" s="485"/>
      <c r="EC39" s="485"/>
      <c r="ED39" s="485"/>
      <c r="EE39" s="485"/>
      <c r="EF39" s="485"/>
      <c r="EG39" s="485"/>
      <c r="EH39" s="485"/>
      <c r="EI39" s="485"/>
      <c r="EJ39" s="485"/>
      <c r="EK39" s="485"/>
      <c r="EL39" s="485"/>
      <c r="EM39" s="485"/>
      <c r="EN39" s="485"/>
      <c r="EO39" s="485"/>
      <c r="EP39" s="485"/>
    </row>
    <row r="40" spans="1:146" ht="15.75">
      <c r="A40" s="624">
        <v>373</v>
      </c>
      <c r="B40" s="629" t="s">
        <v>337</v>
      </c>
      <c r="C40" s="624">
        <v>480</v>
      </c>
      <c r="D40" s="626">
        <v>8</v>
      </c>
      <c r="E40" s="611">
        <v>4.87</v>
      </c>
      <c r="F40" s="678">
        <f t="shared" si="5"/>
        <v>4.85168</v>
      </c>
      <c r="G40" s="683">
        <v>1</v>
      </c>
      <c r="H40" s="681">
        <f t="shared" si="0"/>
        <v>96</v>
      </c>
      <c r="I40" s="623">
        <f t="shared" si="6"/>
        <v>58.44</v>
      </c>
      <c r="J40" s="623"/>
      <c r="K40" s="627">
        <v>0.48</v>
      </c>
      <c r="L40" s="627">
        <f t="shared" si="8"/>
        <v>0.48</v>
      </c>
      <c r="M40" s="627"/>
      <c r="N40" s="609">
        <v>8</v>
      </c>
      <c r="O40" s="610">
        <v>4.8705435303919939</v>
      </c>
      <c r="P40" s="617" t="str">
        <f t="shared" si="1"/>
        <v>---</v>
      </c>
      <c r="Q40" s="618">
        <f t="shared" si="2"/>
        <v>5.4353039199384057E-4</v>
      </c>
      <c r="R40" s="485"/>
      <c r="S40" s="624" t="str">
        <f t="shared" si="3"/>
        <v>OK</v>
      </c>
      <c r="T40" s="613">
        <f>IF(+'2012 Rates'!O147&lt;'2012 Rates'!$B$11,'2012 Rates'!$B$11,+'2012 Rates'!O147)</f>
        <v>5.33</v>
      </c>
      <c r="U40" s="447">
        <f t="shared" si="4"/>
        <v>9.8588530158625565E-2</v>
      </c>
      <c r="V40" s="485"/>
      <c r="W40" s="623">
        <f t="shared" si="7"/>
        <v>63.96</v>
      </c>
      <c r="X40" s="623"/>
      <c r="Y40" s="485"/>
      <c r="Z40" s="485"/>
      <c r="AA40" s="485"/>
      <c r="AB40" s="485"/>
      <c r="AC40" s="485"/>
      <c r="AD40" s="485"/>
      <c r="AE40" s="485"/>
      <c r="AF40" s="485"/>
      <c r="AG40" s="485"/>
      <c r="AH40" s="485"/>
      <c r="AI40" s="485"/>
      <c r="AJ40" s="485"/>
      <c r="AK40" s="485"/>
      <c r="AL40" s="485"/>
      <c r="AM40" s="485"/>
      <c r="AN40" s="485"/>
      <c r="AO40" s="485"/>
      <c r="AP40" s="485"/>
      <c r="AQ40" s="485"/>
      <c r="AR40" s="485"/>
      <c r="AS40" s="485"/>
      <c r="AT40" s="485"/>
      <c r="AU40" s="485"/>
      <c r="AV40" s="485"/>
      <c r="AW40" s="485"/>
      <c r="AX40" s="485"/>
      <c r="AY40" s="485"/>
      <c r="AZ40" s="485"/>
      <c r="BA40" s="485"/>
      <c r="BB40" s="485"/>
      <c r="BC40" s="485"/>
      <c r="BD40" s="485"/>
      <c r="BE40" s="485"/>
      <c r="BF40" s="485"/>
      <c r="BG40" s="485"/>
      <c r="BH40" s="485"/>
      <c r="BI40" s="485"/>
      <c r="BJ40" s="485"/>
      <c r="BK40" s="485"/>
      <c r="BL40" s="485"/>
      <c r="BM40" s="485"/>
      <c r="BN40" s="485"/>
      <c r="BO40" s="485"/>
      <c r="BP40" s="485"/>
      <c r="BQ40" s="485"/>
      <c r="BR40" s="485"/>
      <c r="BS40" s="485"/>
      <c r="BT40" s="485"/>
      <c r="BU40" s="485"/>
      <c r="BV40" s="485"/>
      <c r="BW40" s="485"/>
      <c r="BX40" s="485"/>
      <c r="BY40" s="485"/>
      <c r="BZ40" s="485"/>
      <c r="CA40" s="485"/>
      <c r="CB40" s="485"/>
      <c r="CC40" s="485"/>
      <c r="CD40" s="485"/>
      <c r="CE40" s="485"/>
      <c r="CF40" s="485"/>
      <c r="CG40" s="485"/>
      <c r="CH40" s="485"/>
      <c r="CI40" s="485"/>
      <c r="CJ40" s="485"/>
      <c r="CK40" s="485"/>
      <c r="CL40" s="485"/>
      <c r="CM40" s="485"/>
      <c r="CN40" s="485"/>
      <c r="CO40" s="485"/>
      <c r="CP40" s="485"/>
      <c r="CQ40" s="485"/>
      <c r="CR40" s="485"/>
      <c r="CS40" s="485"/>
      <c r="CT40" s="485"/>
      <c r="CU40" s="485"/>
      <c r="CV40" s="485"/>
      <c r="CW40" s="485"/>
      <c r="CX40" s="485"/>
      <c r="CY40" s="485"/>
      <c r="CZ40" s="485"/>
      <c r="DA40" s="485"/>
      <c r="DB40" s="485"/>
      <c r="DC40" s="485"/>
      <c r="DD40" s="485"/>
      <c r="DE40" s="485"/>
      <c r="DF40" s="485"/>
      <c r="DG40" s="485"/>
      <c r="DH40" s="485"/>
      <c r="DI40" s="485"/>
      <c r="DJ40" s="485"/>
      <c r="DK40" s="485"/>
      <c r="DL40" s="485"/>
      <c r="DM40" s="485"/>
      <c r="DN40" s="485"/>
      <c r="DO40" s="485"/>
      <c r="DP40" s="485"/>
      <c r="DQ40" s="485"/>
      <c r="DR40" s="485"/>
      <c r="DS40" s="485"/>
      <c r="DT40" s="485"/>
      <c r="DU40" s="485"/>
      <c r="DV40" s="485"/>
      <c r="DW40" s="485"/>
      <c r="DX40" s="485"/>
      <c r="DY40" s="485"/>
      <c r="DZ40" s="485"/>
      <c r="EA40" s="485"/>
      <c r="EB40" s="485"/>
      <c r="EC40" s="485"/>
      <c r="ED40" s="485"/>
      <c r="EE40" s="485"/>
      <c r="EF40" s="485"/>
      <c r="EG40" s="485"/>
      <c r="EH40" s="485"/>
      <c r="EI40" s="485"/>
      <c r="EJ40" s="485"/>
      <c r="EK40" s="485"/>
      <c r="EL40" s="485"/>
      <c r="EM40" s="485"/>
      <c r="EN40" s="485"/>
      <c r="EO40" s="485"/>
      <c r="EP40" s="485"/>
    </row>
    <row r="41" spans="1:146" ht="15.75">
      <c r="A41" s="624">
        <v>374</v>
      </c>
      <c r="B41" s="629" t="s">
        <v>338</v>
      </c>
      <c r="C41" s="624"/>
      <c r="D41" s="626">
        <v>120</v>
      </c>
      <c r="E41" s="611">
        <v>12.99</v>
      </c>
      <c r="F41" s="678">
        <f t="shared" si="5"/>
        <v>12.715199999999999</v>
      </c>
      <c r="G41" s="683">
        <v>1</v>
      </c>
      <c r="H41" s="681">
        <f t="shared" si="0"/>
        <v>1440</v>
      </c>
      <c r="I41" s="623">
        <f t="shared" si="6"/>
        <v>155.88</v>
      </c>
      <c r="J41" s="623"/>
      <c r="K41" s="627">
        <v>0.33</v>
      </c>
      <c r="L41" s="627">
        <f t="shared" si="8"/>
        <v>0.33</v>
      </c>
      <c r="M41" s="627"/>
      <c r="N41" s="609">
        <v>120</v>
      </c>
      <c r="O41" s="610">
        <v>12.988152955879906</v>
      </c>
      <c r="P41" s="617" t="str">
        <f t="shared" si="1"/>
        <v>---</v>
      </c>
      <c r="Q41" s="618">
        <f t="shared" si="2"/>
        <v>-1.8470441200939547E-3</v>
      </c>
      <c r="R41" s="485"/>
      <c r="S41" s="624" t="str">
        <f t="shared" si="3"/>
        <v>OK</v>
      </c>
      <c r="T41" s="613">
        <f>IF(+'2012 Rates'!O148&lt;'2012 Rates'!$B$11,'2012 Rates'!$B$11,+'2012 Rates'!O148)</f>
        <v>13.959999999999999</v>
      </c>
      <c r="U41" s="447">
        <f t="shared" si="4"/>
        <v>9.7898578079778531E-2</v>
      </c>
      <c r="V41" s="485"/>
      <c r="W41" s="623">
        <f t="shared" si="7"/>
        <v>167.51999999999998</v>
      </c>
      <c r="X41" s="623"/>
      <c r="Y41" s="485"/>
      <c r="Z41" s="485"/>
      <c r="AA41" s="485"/>
      <c r="AB41" s="485"/>
      <c r="AC41" s="485"/>
      <c r="AD41" s="485"/>
      <c r="AE41" s="485"/>
      <c r="AF41" s="485"/>
      <c r="AG41" s="485"/>
      <c r="AH41" s="485"/>
      <c r="AI41" s="485"/>
      <c r="AJ41" s="485"/>
      <c r="AK41" s="485"/>
      <c r="AL41" s="485"/>
      <c r="AM41" s="485"/>
      <c r="AN41" s="485"/>
      <c r="AO41" s="485"/>
      <c r="AP41" s="485"/>
      <c r="AQ41" s="485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5"/>
      <c r="BD41" s="485"/>
      <c r="BE41" s="485"/>
      <c r="BF41" s="485"/>
      <c r="BG41" s="485"/>
      <c r="BH41" s="485"/>
      <c r="BI41" s="485"/>
      <c r="BJ41" s="485"/>
      <c r="BK41" s="485"/>
      <c r="BL41" s="485"/>
      <c r="BM41" s="485"/>
      <c r="BN41" s="485"/>
      <c r="BO41" s="485"/>
      <c r="BP41" s="485"/>
      <c r="BQ41" s="485"/>
      <c r="BR41" s="485"/>
      <c r="BS41" s="485"/>
      <c r="BT41" s="485"/>
      <c r="BU41" s="485"/>
      <c r="BV41" s="485"/>
      <c r="BW41" s="485"/>
      <c r="BX41" s="485"/>
      <c r="BY41" s="485"/>
      <c r="BZ41" s="485"/>
      <c r="CA41" s="485"/>
      <c r="CB41" s="485"/>
      <c r="CC41" s="485"/>
      <c r="CD41" s="485"/>
      <c r="CE41" s="485"/>
      <c r="CF41" s="485"/>
      <c r="CG41" s="485"/>
      <c r="CH41" s="485"/>
      <c r="CI41" s="485"/>
      <c r="CJ41" s="485"/>
      <c r="CK41" s="485"/>
      <c r="CL41" s="485"/>
      <c r="CM41" s="485"/>
      <c r="CN41" s="485"/>
      <c r="CO41" s="485"/>
      <c r="CP41" s="485"/>
      <c r="CQ41" s="485"/>
      <c r="CR41" s="485"/>
      <c r="CS41" s="485"/>
      <c r="CT41" s="485"/>
      <c r="CU41" s="485"/>
      <c r="CV41" s="485"/>
      <c r="CW41" s="485"/>
      <c r="CX41" s="485"/>
      <c r="CY41" s="485"/>
      <c r="CZ41" s="485"/>
      <c r="DA41" s="485"/>
      <c r="DB41" s="485"/>
      <c r="DC41" s="485"/>
      <c r="DD41" s="485"/>
      <c r="DE41" s="485"/>
      <c r="DF41" s="485"/>
      <c r="DG41" s="485"/>
      <c r="DH41" s="485"/>
      <c r="DI41" s="485"/>
      <c r="DJ41" s="485"/>
      <c r="DK41" s="485"/>
      <c r="DL41" s="485"/>
      <c r="DM41" s="485"/>
      <c r="DN41" s="485"/>
      <c r="DO41" s="485"/>
      <c r="DP41" s="485"/>
      <c r="DQ41" s="485"/>
      <c r="DR41" s="485"/>
      <c r="DS41" s="485"/>
      <c r="DT41" s="485"/>
      <c r="DU41" s="485"/>
      <c r="DV41" s="485"/>
      <c r="DW41" s="485"/>
      <c r="DX41" s="485"/>
      <c r="DY41" s="485"/>
      <c r="DZ41" s="485"/>
      <c r="EA41" s="485"/>
      <c r="EB41" s="485"/>
      <c r="EC41" s="485"/>
      <c r="ED41" s="485"/>
      <c r="EE41" s="485"/>
      <c r="EF41" s="485"/>
      <c r="EG41" s="485"/>
      <c r="EH41" s="485"/>
      <c r="EI41" s="485"/>
      <c r="EJ41" s="485"/>
      <c r="EK41" s="485"/>
      <c r="EL41" s="485"/>
      <c r="EM41" s="485"/>
      <c r="EN41" s="485"/>
      <c r="EO41" s="485"/>
      <c r="EP41" s="485"/>
    </row>
    <row r="42" spans="1:146" ht="15.75">
      <c r="A42" s="614">
        <v>375</v>
      </c>
      <c r="B42" s="630" t="s">
        <v>339</v>
      </c>
      <c r="C42" s="614"/>
      <c r="D42" s="609">
        <v>34</v>
      </c>
      <c r="E42" s="610">
        <v>2.96</v>
      </c>
      <c r="F42" s="678">
        <f>E42</f>
        <v>2.96</v>
      </c>
      <c r="G42" s="683"/>
      <c r="H42" s="664"/>
      <c r="I42" s="444"/>
      <c r="J42" s="444"/>
      <c r="K42" s="616">
        <v>3.5999999999999997E-2</v>
      </c>
      <c r="L42" s="616">
        <f t="shared" si="8"/>
        <v>0</v>
      </c>
      <c r="M42" s="616"/>
      <c r="N42" s="609">
        <v>34</v>
      </c>
      <c r="O42" s="610">
        <v>2.9637800000000003</v>
      </c>
      <c r="P42" s="617" t="str">
        <f t="shared" si="1"/>
        <v>---</v>
      </c>
      <c r="Q42" s="618">
        <f t="shared" si="2"/>
        <v>3.7800000000003386E-3</v>
      </c>
      <c r="R42" s="615"/>
      <c r="S42" s="614" t="str">
        <f t="shared" si="3"/>
        <v>OK</v>
      </c>
      <c r="T42" s="619">
        <f>IF(+'2012 Rates'!O149&lt;'2012 Rates'!$B$11,'2012 Rates'!$B$11,+'2012 Rates'!O149)</f>
        <v>3.2504153814512136</v>
      </c>
      <c r="U42" s="447">
        <f t="shared" si="4"/>
        <v>9.8113304544328983E-2</v>
      </c>
      <c r="V42" s="485" t="s">
        <v>340</v>
      </c>
      <c r="W42" s="623">
        <f t="shared" si="7"/>
        <v>0</v>
      </c>
      <c r="X42" s="485"/>
      <c r="Y42" s="485"/>
      <c r="Z42" s="485"/>
      <c r="AA42" s="485"/>
      <c r="AB42" s="485"/>
      <c r="AC42" s="485"/>
      <c r="AD42" s="485"/>
      <c r="AE42" s="485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5"/>
      <c r="AR42" s="485"/>
      <c r="AS42" s="485"/>
      <c r="AT42" s="485"/>
      <c r="AU42" s="485"/>
      <c r="AV42" s="485"/>
      <c r="AW42" s="485"/>
      <c r="AX42" s="485"/>
      <c r="AY42" s="485"/>
      <c r="AZ42" s="485"/>
      <c r="BA42" s="485"/>
      <c r="BB42" s="485"/>
      <c r="BC42" s="485"/>
      <c r="BD42" s="485"/>
      <c r="BE42" s="485"/>
      <c r="BF42" s="485"/>
      <c r="BG42" s="485"/>
      <c r="BH42" s="485"/>
      <c r="BI42" s="485"/>
      <c r="BJ42" s="485"/>
      <c r="BK42" s="485"/>
      <c r="BL42" s="485"/>
      <c r="BM42" s="485"/>
      <c r="BN42" s="485"/>
      <c r="BO42" s="485"/>
      <c r="BP42" s="485"/>
      <c r="BQ42" s="485"/>
      <c r="BR42" s="485"/>
      <c r="BS42" s="485"/>
      <c r="BT42" s="485"/>
      <c r="BU42" s="485"/>
      <c r="BV42" s="485"/>
      <c r="BW42" s="485"/>
      <c r="BX42" s="485"/>
      <c r="BY42" s="485"/>
      <c r="BZ42" s="485"/>
      <c r="CA42" s="485"/>
      <c r="CB42" s="485"/>
      <c r="CC42" s="485"/>
      <c r="CD42" s="485"/>
      <c r="CE42" s="485"/>
      <c r="CF42" s="485"/>
      <c r="CG42" s="485"/>
      <c r="CH42" s="485"/>
      <c r="CI42" s="485"/>
      <c r="CJ42" s="485"/>
      <c r="CK42" s="485"/>
      <c r="CL42" s="485"/>
      <c r="CM42" s="485"/>
      <c r="CN42" s="485"/>
      <c r="CO42" s="485"/>
      <c r="CP42" s="485"/>
      <c r="CQ42" s="485"/>
      <c r="CR42" s="485"/>
      <c r="CS42" s="485"/>
      <c r="CT42" s="485"/>
      <c r="CU42" s="485"/>
      <c r="CV42" s="485"/>
      <c r="CW42" s="485"/>
      <c r="CX42" s="485"/>
      <c r="CY42" s="485"/>
      <c r="CZ42" s="485"/>
      <c r="DA42" s="485"/>
      <c r="DB42" s="485"/>
      <c r="DC42" s="485"/>
      <c r="DD42" s="485"/>
      <c r="DE42" s="485"/>
      <c r="DF42" s="485"/>
      <c r="DG42" s="485"/>
      <c r="DH42" s="485"/>
      <c r="DI42" s="485"/>
      <c r="DJ42" s="485"/>
      <c r="DK42" s="485"/>
      <c r="DL42" s="485"/>
      <c r="DM42" s="485"/>
      <c r="DN42" s="485"/>
      <c r="DO42" s="485"/>
      <c r="DP42" s="485"/>
      <c r="DQ42" s="485"/>
      <c r="DR42" s="485"/>
      <c r="DS42" s="485"/>
      <c r="DT42" s="485"/>
      <c r="DU42" s="485"/>
      <c r="DV42" s="485"/>
      <c r="DW42" s="485"/>
      <c r="DX42" s="485"/>
      <c r="DY42" s="485"/>
      <c r="DZ42" s="485"/>
      <c r="EA42" s="485"/>
      <c r="EB42" s="485"/>
      <c r="EC42" s="485"/>
      <c r="ED42" s="485"/>
      <c r="EE42" s="485"/>
      <c r="EF42" s="485"/>
      <c r="EG42" s="485"/>
      <c r="EH42" s="485"/>
      <c r="EI42" s="485"/>
      <c r="EJ42" s="485"/>
      <c r="EK42" s="485"/>
      <c r="EL42" s="485"/>
      <c r="EM42" s="485"/>
      <c r="EN42" s="485"/>
      <c r="EO42" s="485"/>
      <c r="EP42" s="485"/>
    </row>
    <row r="43" spans="1:146" ht="15.75">
      <c r="A43" s="614">
        <v>376</v>
      </c>
      <c r="B43" s="630" t="s">
        <v>341</v>
      </c>
      <c r="C43" s="614"/>
      <c r="D43" s="609">
        <v>710</v>
      </c>
      <c r="E43" s="610">
        <v>99.46</v>
      </c>
      <c r="F43" s="678">
        <f t="shared" si="5"/>
        <v>97.834099999999992</v>
      </c>
      <c r="G43" s="683">
        <v>4</v>
      </c>
      <c r="H43" s="664">
        <f t="shared" ref="H43:H60" si="9">+D43*G43*12</f>
        <v>34080</v>
      </c>
      <c r="I43" s="444">
        <f t="shared" ref="I43:I60" si="10">+E43*G43*12</f>
        <v>4774.08</v>
      </c>
      <c r="J43" s="444"/>
      <c r="K43" s="616">
        <v>0.97299999999999998</v>
      </c>
      <c r="L43" s="616">
        <f t="shared" si="8"/>
        <v>3.8919999999999999</v>
      </c>
      <c r="M43" s="616">
        <f>+L43</f>
        <v>3.8919999999999999</v>
      </c>
      <c r="N43" s="609">
        <v>710</v>
      </c>
      <c r="O43" s="610">
        <v>99.458238322289418</v>
      </c>
      <c r="P43" s="617" t="str">
        <f t="shared" si="1"/>
        <v>---</v>
      </c>
      <c r="Q43" s="618">
        <f t="shared" si="2"/>
        <v>-1.7616777105757819E-3</v>
      </c>
      <c r="R43" s="615"/>
      <c r="S43" s="614" t="str">
        <f t="shared" si="3"/>
        <v>OK</v>
      </c>
      <c r="T43" s="619">
        <f>IF(+'2012 Rates'!G155&lt;'2012 Rates'!$B$11,'2012 Rates'!$B$11,+'2012 Rates'!G155)</f>
        <v>99.38</v>
      </c>
      <c r="U43" s="447">
        <f t="shared" si="4"/>
        <v>1.580123903628694E-2</v>
      </c>
      <c r="V43" s="485" t="s">
        <v>342</v>
      </c>
      <c r="W43" s="623">
        <f t="shared" si="7"/>
        <v>4770.24</v>
      </c>
      <c r="X43" s="485"/>
      <c r="Y43" s="485"/>
      <c r="Z43" s="485"/>
      <c r="AA43" s="485"/>
      <c r="AB43" s="485"/>
      <c r="AC43" s="485"/>
      <c r="AD43" s="485"/>
      <c r="AE43" s="485"/>
      <c r="AF43" s="485"/>
      <c r="AG43" s="485"/>
      <c r="AH43" s="485"/>
      <c r="AI43" s="485"/>
      <c r="AJ43" s="485"/>
      <c r="AK43" s="485"/>
      <c r="AL43" s="485"/>
      <c r="AM43" s="485"/>
      <c r="AN43" s="485"/>
      <c r="AO43" s="485"/>
      <c r="AP43" s="485"/>
      <c r="AQ43" s="485"/>
      <c r="AR43" s="485"/>
      <c r="AS43" s="485"/>
      <c r="AT43" s="485"/>
      <c r="AU43" s="485"/>
      <c r="AV43" s="485"/>
      <c r="AW43" s="485"/>
      <c r="AX43" s="485"/>
      <c r="AY43" s="485"/>
      <c r="AZ43" s="485"/>
      <c r="BA43" s="485"/>
      <c r="BB43" s="485"/>
      <c r="BC43" s="485"/>
      <c r="BD43" s="485"/>
      <c r="BE43" s="485"/>
      <c r="BF43" s="485"/>
      <c r="BG43" s="485"/>
      <c r="BH43" s="485"/>
      <c r="BI43" s="485"/>
      <c r="BJ43" s="485"/>
      <c r="BK43" s="485"/>
      <c r="BL43" s="485"/>
      <c r="BM43" s="485"/>
      <c r="BN43" s="485"/>
      <c r="BO43" s="485"/>
      <c r="BP43" s="485"/>
      <c r="BQ43" s="485"/>
      <c r="BR43" s="485"/>
      <c r="BS43" s="485"/>
      <c r="BT43" s="485"/>
      <c r="BU43" s="485"/>
      <c r="BV43" s="485"/>
      <c r="BW43" s="485"/>
      <c r="BX43" s="485"/>
      <c r="BY43" s="485"/>
      <c r="BZ43" s="485"/>
      <c r="CA43" s="485"/>
      <c r="CB43" s="485"/>
      <c r="CC43" s="485"/>
      <c r="CD43" s="485"/>
      <c r="CE43" s="485"/>
      <c r="CF43" s="485"/>
      <c r="CG43" s="485"/>
      <c r="CH43" s="485"/>
      <c r="CI43" s="485"/>
      <c r="CJ43" s="485"/>
      <c r="CK43" s="485"/>
      <c r="CL43" s="485"/>
      <c r="CM43" s="485"/>
      <c r="CN43" s="485"/>
      <c r="CO43" s="485"/>
      <c r="CP43" s="485"/>
      <c r="CQ43" s="485"/>
      <c r="CR43" s="485"/>
      <c r="CS43" s="485"/>
      <c r="CT43" s="485"/>
      <c r="CU43" s="485"/>
      <c r="CV43" s="485"/>
      <c r="CW43" s="485"/>
      <c r="CX43" s="485"/>
      <c r="CY43" s="485"/>
      <c r="CZ43" s="485"/>
      <c r="DA43" s="485"/>
      <c r="DB43" s="485"/>
      <c r="DC43" s="485"/>
      <c r="DD43" s="485"/>
      <c r="DE43" s="485"/>
      <c r="DF43" s="485"/>
      <c r="DG43" s="485"/>
      <c r="DH43" s="485"/>
      <c r="DI43" s="485"/>
      <c r="DJ43" s="485"/>
      <c r="DK43" s="485"/>
      <c r="DL43" s="485"/>
      <c r="DM43" s="485"/>
      <c r="DN43" s="485"/>
      <c r="DO43" s="485"/>
      <c r="DP43" s="485"/>
      <c r="DQ43" s="485"/>
      <c r="DR43" s="485"/>
      <c r="DS43" s="485"/>
      <c r="DT43" s="485"/>
      <c r="DU43" s="485"/>
      <c r="DV43" s="485"/>
      <c r="DW43" s="485"/>
      <c r="DX43" s="485"/>
      <c r="DY43" s="485"/>
      <c r="DZ43" s="485"/>
      <c r="EA43" s="485"/>
      <c r="EB43" s="485"/>
      <c r="EC43" s="485"/>
      <c r="ED43" s="485"/>
      <c r="EE43" s="485"/>
      <c r="EF43" s="485"/>
      <c r="EG43" s="485"/>
      <c r="EH43" s="485"/>
      <c r="EI43" s="485"/>
      <c r="EJ43" s="485"/>
      <c r="EK43" s="485"/>
      <c r="EL43" s="485"/>
      <c r="EM43" s="485"/>
      <c r="EN43" s="485"/>
      <c r="EO43" s="485"/>
      <c r="EP43" s="485"/>
    </row>
    <row r="44" spans="1:146" ht="15.75">
      <c r="A44" s="614">
        <v>377</v>
      </c>
      <c r="B44" s="630" t="s">
        <v>343</v>
      </c>
      <c r="C44" s="614"/>
      <c r="D44" s="609">
        <v>183</v>
      </c>
      <c r="E44" s="610">
        <v>37.090000000000003</v>
      </c>
      <c r="F44" s="678">
        <f t="shared" si="5"/>
        <v>36.670930000000006</v>
      </c>
      <c r="G44" s="683">
        <v>1</v>
      </c>
      <c r="H44" s="664">
        <f t="shared" si="9"/>
        <v>2196</v>
      </c>
      <c r="I44" s="444">
        <f t="shared" si="10"/>
        <v>445.08000000000004</v>
      </c>
      <c r="J44" s="444"/>
      <c r="K44" s="616">
        <v>0.25</v>
      </c>
      <c r="L44" s="616">
        <f t="shared" si="8"/>
        <v>0.25</v>
      </c>
      <c r="M44" s="616"/>
      <c r="N44" s="609">
        <v>183</v>
      </c>
      <c r="O44" s="610">
        <v>37.087433257716846</v>
      </c>
      <c r="P44" s="617" t="str">
        <f t="shared" si="1"/>
        <v>---</v>
      </c>
      <c r="Q44" s="618">
        <f t="shared" si="2"/>
        <v>-2.5667422831574527E-3</v>
      </c>
      <c r="R44" s="615"/>
      <c r="S44" s="614" t="str">
        <f t="shared" si="3"/>
        <v>OK</v>
      </c>
      <c r="T44" s="619">
        <f>IF(+'2012 Rates'!G157&lt;'2012 Rates'!$B$11,'2012 Rates'!$B$11,+'2012 Rates'!G157)</f>
        <v>37.119999999999997</v>
      </c>
      <c r="U44" s="447">
        <f t="shared" si="4"/>
        <v>1.224593976754873E-2</v>
      </c>
      <c r="V44" s="485" t="s">
        <v>342</v>
      </c>
      <c r="W44" s="623">
        <f t="shared" si="7"/>
        <v>445.43999999999994</v>
      </c>
      <c r="X44" s="485"/>
      <c r="Y44" s="485"/>
      <c r="Z44" s="485"/>
      <c r="AA44" s="485"/>
      <c r="AB44" s="485"/>
      <c r="AC44" s="485"/>
      <c r="AD44" s="485"/>
      <c r="AE44" s="485"/>
      <c r="AF44" s="485"/>
      <c r="AG44" s="485"/>
      <c r="AH44" s="485"/>
      <c r="AI44" s="485"/>
      <c r="AJ44" s="485"/>
      <c r="AK44" s="485"/>
      <c r="AL44" s="485"/>
      <c r="AM44" s="485"/>
      <c r="AN44" s="485"/>
      <c r="AO44" s="485"/>
      <c r="AP44" s="485"/>
      <c r="AQ44" s="485"/>
      <c r="AR44" s="485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5"/>
      <c r="BE44" s="485"/>
      <c r="BF44" s="485"/>
      <c r="BG44" s="485"/>
      <c r="BH44" s="485"/>
      <c r="BI44" s="485"/>
      <c r="BJ44" s="485"/>
      <c r="BK44" s="485"/>
      <c r="BL44" s="485"/>
      <c r="BM44" s="485"/>
      <c r="BN44" s="485"/>
      <c r="BO44" s="485"/>
      <c r="BP44" s="485"/>
      <c r="BQ44" s="485"/>
      <c r="BR44" s="485"/>
      <c r="BS44" s="485"/>
      <c r="BT44" s="485"/>
      <c r="BU44" s="485"/>
      <c r="BV44" s="485"/>
      <c r="BW44" s="485"/>
      <c r="BX44" s="485"/>
      <c r="BY44" s="485"/>
      <c r="BZ44" s="485"/>
      <c r="CA44" s="485"/>
      <c r="CB44" s="485"/>
      <c r="CC44" s="485"/>
      <c r="CD44" s="485"/>
      <c r="CE44" s="485"/>
      <c r="CF44" s="485"/>
      <c r="CG44" s="485"/>
      <c r="CH44" s="485"/>
      <c r="CI44" s="485"/>
      <c r="CJ44" s="485"/>
      <c r="CK44" s="485"/>
      <c r="CL44" s="485"/>
      <c r="CM44" s="485"/>
      <c r="CN44" s="485"/>
      <c r="CO44" s="485"/>
      <c r="CP44" s="485"/>
      <c r="CQ44" s="485"/>
      <c r="CR44" s="485"/>
      <c r="CS44" s="485"/>
      <c r="CT44" s="485"/>
      <c r="CU44" s="485"/>
      <c r="CV44" s="485"/>
      <c r="CW44" s="485"/>
      <c r="CX44" s="485"/>
      <c r="CY44" s="485"/>
      <c r="CZ44" s="485"/>
      <c r="DA44" s="485"/>
      <c r="DB44" s="485"/>
      <c r="DC44" s="485"/>
      <c r="DD44" s="485"/>
      <c r="DE44" s="485"/>
      <c r="DF44" s="485"/>
      <c r="DG44" s="485"/>
      <c r="DH44" s="485"/>
      <c r="DI44" s="485"/>
      <c r="DJ44" s="485"/>
      <c r="DK44" s="485"/>
      <c r="DL44" s="485"/>
      <c r="DM44" s="485"/>
      <c r="DN44" s="485"/>
      <c r="DO44" s="485"/>
      <c r="DP44" s="485"/>
      <c r="DQ44" s="485"/>
      <c r="DR44" s="485"/>
      <c r="DS44" s="485"/>
      <c r="DT44" s="485"/>
      <c r="DU44" s="485"/>
      <c r="DV44" s="485"/>
      <c r="DW44" s="485"/>
      <c r="DX44" s="485"/>
      <c r="DY44" s="485"/>
      <c r="DZ44" s="485"/>
      <c r="EA44" s="485"/>
      <c r="EB44" s="485"/>
      <c r="EC44" s="485"/>
      <c r="ED44" s="485"/>
      <c r="EE44" s="485"/>
      <c r="EF44" s="485"/>
      <c r="EG44" s="485"/>
      <c r="EH44" s="485"/>
      <c r="EI44" s="485"/>
      <c r="EJ44" s="485"/>
      <c r="EK44" s="485"/>
      <c r="EL44" s="485"/>
      <c r="EM44" s="485"/>
      <c r="EN44" s="485"/>
      <c r="EO44" s="485"/>
      <c r="EP44" s="485"/>
    </row>
    <row r="45" spans="1:146" ht="15.75">
      <c r="A45" s="624">
        <v>378</v>
      </c>
      <c r="B45" s="629" t="s">
        <v>344</v>
      </c>
      <c r="C45" s="624"/>
      <c r="D45" s="626">
        <v>700</v>
      </c>
      <c r="E45" s="611">
        <v>62.31</v>
      </c>
      <c r="F45" s="678">
        <f t="shared" si="5"/>
        <v>60.707000000000001</v>
      </c>
      <c r="G45" s="683">
        <v>78</v>
      </c>
      <c r="H45" s="681">
        <f t="shared" si="9"/>
        <v>655200</v>
      </c>
      <c r="I45" s="623">
        <f t="shared" si="10"/>
        <v>58322.16</v>
      </c>
      <c r="J45" s="623"/>
      <c r="K45" s="627">
        <v>2.5</v>
      </c>
      <c r="L45" s="627">
        <f t="shared" si="8"/>
        <v>195</v>
      </c>
      <c r="M45" s="627">
        <f>+L45</f>
        <v>195</v>
      </c>
      <c r="N45" s="609">
        <v>700</v>
      </c>
      <c r="O45" s="610">
        <v>62.307558909299445</v>
      </c>
      <c r="P45" s="617" t="str">
        <f t="shared" si="1"/>
        <v>---</v>
      </c>
      <c r="Q45" s="618">
        <f t="shared" si="2"/>
        <v>-2.4410907005574245E-3</v>
      </c>
      <c r="R45" s="485"/>
      <c r="S45" s="624" t="str">
        <f t="shared" si="3"/>
        <v>OK</v>
      </c>
      <c r="T45" s="613">
        <f>IF(+'2012 Rates'!P612&lt;'2012 Rates'!$B$11,'2012 Rates'!$B$11,+'2012 Rates'!P612)</f>
        <v>66.650000000000006</v>
      </c>
      <c r="U45" s="447">
        <f t="shared" si="4"/>
        <v>9.7896453456767896E-2</v>
      </c>
      <c r="V45" s="485"/>
      <c r="W45" s="623">
        <f t="shared" si="7"/>
        <v>62384.400000000009</v>
      </c>
      <c r="X45" s="485"/>
      <c r="Y45" s="485"/>
      <c r="Z45" s="485"/>
      <c r="AA45" s="485"/>
      <c r="AB45" s="485"/>
      <c r="AC45" s="485"/>
      <c r="AD45" s="485"/>
      <c r="AE45" s="485"/>
      <c r="AF45" s="485"/>
      <c r="AG45" s="485"/>
      <c r="AH45" s="485"/>
      <c r="AI45" s="485"/>
      <c r="AJ45" s="485"/>
      <c r="AK45" s="485"/>
      <c r="AL45" s="485"/>
      <c r="AM45" s="485"/>
      <c r="AN45" s="485"/>
      <c r="AO45" s="485"/>
      <c r="AP45" s="485"/>
      <c r="AQ45" s="485"/>
      <c r="AR45" s="485"/>
      <c r="AS45" s="485"/>
      <c r="AT45" s="485"/>
      <c r="AU45" s="485"/>
      <c r="AV45" s="485"/>
      <c r="AW45" s="485"/>
      <c r="AX45" s="485"/>
      <c r="AY45" s="485"/>
      <c r="AZ45" s="485"/>
      <c r="BA45" s="485"/>
      <c r="BB45" s="485"/>
      <c r="BC45" s="485"/>
      <c r="BD45" s="485"/>
      <c r="BE45" s="485"/>
      <c r="BF45" s="485"/>
      <c r="BG45" s="485"/>
      <c r="BH45" s="485"/>
      <c r="BI45" s="485"/>
      <c r="BJ45" s="485"/>
      <c r="BK45" s="485"/>
      <c r="BL45" s="485"/>
      <c r="BM45" s="485"/>
      <c r="BN45" s="485"/>
      <c r="BO45" s="485"/>
      <c r="BP45" s="485"/>
      <c r="BQ45" s="485"/>
      <c r="BR45" s="485"/>
      <c r="BS45" s="485"/>
      <c r="BT45" s="485"/>
      <c r="BU45" s="485"/>
      <c r="BV45" s="485"/>
      <c r="BW45" s="485"/>
      <c r="BX45" s="485"/>
      <c r="BY45" s="485"/>
      <c r="BZ45" s="485"/>
      <c r="CA45" s="485"/>
      <c r="CB45" s="485"/>
      <c r="CC45" s="485"/>
      <c r="CD45" s="485"/>
      <c r="CE45" s="485"/>
      <c r="CF45" s="485"/>
      <c r="CG45" s="485"/>
      <c r="CH45" s="485"/>
      <c r="CI45" s="485"/>
      <c r="CJ45" s="485"/>
      <c r="CK45" s="485"/>
      <c r="CL45" s="485"/>
      <c r="CM45" s="485"/>
      <c r="CN45" s="485"/>
      <c r="CO45" s="485"/>
      <c r="CP45" s="485"/>
      <c r="CQ45" s="485"/>
      <c r="CR45" s="485"/>
      <c r="CS45" s="485"/>
      <c r="CT45" s="485"/>
      <c r="CU45" s="485"/>
      <c r="CV45" s="485"/>
      <c r="CW45" s="485"/>
      <c r="CX45" s="485"/>
      <c r="CY45" s="485"/>
      <c r="CZ45" s="485"/>
      <c r="DA45" s="485"/>
      <c r="DB45" s="485"/>
      <c r="DC45" s="485"/>
      <c r="DD45" s="485"/>
      <c r="DE45" s="485"/>
      <c r="DF45" s="485"/>
      <c r="DG45" s="485"/>
      <c r="DH45" s="485"/>
      <c r="DI45" s="485"/>
      <c r="DJ45" s="485"/>
      <c r="DK45" s="485"/>
      <c r="DL45" s="485"/>
      <c r="DM45" s="485"/>
      <c r="DN45" s="485"/>
      <c r="DO45" s="485"/>
      <c r="DP45" s="485"/>
      <c r="DQ45" s="485"/>
      <c r="DR45" s="485"/>
      <c r="DS45" s="485"/>
      <c r="DT45" s="485"/>
      <c r="DU45" s="485"/>
      <c r="DV45" s="485"/>
      <c r="DW45" s="485"/>
      <c r="DX45" s="485"/>
      <c r="DY45" s="485"/>
      <c r="DZ45" s="485"/>
      <c r="EA45" s="485"/>
      <c r="EB45" s="485"/>
      <c r="EC45" s="485"/>
      <c r="ED45" s="485"/>
      <c r="EE45" s="485"/>
      <c r="EF45" s="485"/>
      <c r="EG45" s="485"/>
      <c r="EH45" s="485"/>
      <c r="EI45" s="485"/>
      <c r="EJ45" s="485"/>
      <c r="EK45" s="485"/>
      <c r="EL45" s="485"/>
      <c r="EM45" s="485"/>
      <c r="EN45" s="485"/>
      <c r="EO45" s="485"/>
      <c r="EP45" s="485"/>
    </row>
    <row r="46" spans="1:146" ht="15.75">
      <c r="A46" s="614">
        <v>379</v>
      </c>
      <c r="B46" s="630" t="s">
        <v>345</v>
      </c>
      <c r="C46" s="614"/>
      <c r="D46" s="609">
        <v>395</v>
      </c>
      <c r="E46" s="610">
        <v>62.34</v>
      </c>
      <c r="F46" s="678">
        <f t="shared" si="5"/>
        <v>61.435450000000003</v>
      </c>
      <c r="G46" s="683">
        <v>1</v>
      </c>
      <c r="H46" s="664">
        <f t="shared" si="9"/>
        <v>4740</v>
      </c>
      <c r="I46" s="444">
        <f t="shared" si="10"/>
        <v>748.08</v>
      </c>
      <c r="J46" s="444"/>
      <c r="K46" s="616">
        <v>0.54200000000000004</v>
      </c>
      <c r="L46" s="616">
        <f t="shared" si="8"/>
        <v>0.54200000000000004</v>
      </c>
      <c r="M46" s="616"/>
      <c r="N46" s="609">
        <v>395</v>
      </c>
      <c r="O46" s="610">
        <v>62.341836813104678</v>
      </c>
      <c r="P46" s="617" t="str">
        <f t="shared" si="1"/>
        <v>---</v>
      </c>
      <c r="Q46" s="618">
        <f t="shared" si="2"/>
        <v>1.8368131046742064E-3</v>
      </c>
      <c r="R46" s="615"/>
      <c r="S46" s="614" t="str">
        <f t="shared" si="3"/>
        <v>OK</v>
      </c>
      <c r="T46" s="619">
        <f>IF(+'2012 Rates'!G165&lt;'2012 Rates'!$B$11,'2012 Rates'!$B$11,+'2012 Rates'!G165)</f>
        <v>62.33</v>
      </c>
      <c r="U46" s="447">
        <f t="shared" si="4"/>
        <v>1.4560811388213191E-2</v>
      </c>
      <c r="V46" s="485" t="s">
        <v>342</v>
      </c>
      <c r="W46" s="623">
        <f t="shared" si="7"/>
        <v>747.96</v>
      </c>
      <c r="X46" s="485"/>
      <c r="Y46" s="485"/>
      <c r="Z46" s="485"/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  <c r="CU46" s="485"/>
      <c r="CV46" s="485"/>
      <c r="CW46" s="485"/>
      <c r="CX46" s="485"/>
      <c r="CY46" s="485"/>
      <c r="CZ46" s="485"/>
      <c r="DA46" s="485"/>
      <c r="DB46" s="485"/>
      <c r="DC46" s="485"/>
      <c r="DD46" s="485"/>
      <c r="DE46" s="485"/>
      <c r="DF46" s="485"/>
      <c r="DG46" s="485"/>
      <c r="DH46" s="485"/>
      <c r="DI46" s="485"/>
      <c r="DJ46" s="485"/>
      <c r="DK46" s="485"/>
      <c r="DL46" s="485"/>
      <c r="DM46" s="485"/>
      <c r="DN46" s="485"/>
      <c r="DO46" s="485"/>
      <c r="DP46" s="485"/>
      <c r="DQ46" s="485"/>
      <c r="DR46" s="485"/>
      <c r="DS46" s="485"/>
      <c r="DT46" s="485"/>
      <c r="DU46" s="485"/>
      <c r="DV46" s="485"/>
      <c r="DW46" s="485"/>
      <c r="DX46" s="485"/>
      <c r="DY46" s="485"/>
      <c r="DZ46" s="485"/>
      <c r="EA46" s="485"/>
      <c r="EB46" s="485"/>
      <c r="EC46" s="485"/>
      <c r="ED46" s="485"/>
      <c r="EE46" s="485"/>
      <c r="EF46" s="485"/>
      <c r="EG46" s="485"/>
      <c r="EH46" s="485"/>
      <c r="EI46" s="485"/>
      <c r="EJ46" s="485"/>
      <c r="EK46" s="485"/>
      <c r="EL46" s="485"/>
      <c r="EM46" s="485"/>
      <c r="EN46" s="485"/>
      <c r="EO46" s="485"/>
      <c r="EP46" s="485"/>
    </row>
    <row r="47" spans="1:146" ht="15.75">
      <c r="A47" s="614">
        <v>380</v>
      </c>
      <c r="B47" s="630" t="s">
        <v>346</v>
      </c>
      <c r="C47" s="614"/>
      <c r="D47" s="609">
        <v>274</v>
      </c>
      <c r="E47" s="610">
        <v>48.09</v>
      </c>
      <c r="F47" s="678">
        <f t="shared" si="5"/>
        <v>47.462540000000004</v>
      </c>
      <c r="G47" s="683">
        <v>1</v>
      </c>
      <c r="H47" s="664">
        <f t="shared" si="9"/>
        <v>3288</v>
      </c>
      <c r="I47" s="444">
        <f t="shared" si="10"/>
        <v>577.08000000000004</v>
      </c>
      <c r="J47" s="444"/>
      <c r="K47" s="616">
        <v>0.375</v>
      </c>
      <c r="L47" s="616">
        <f t="shared" si="8"/>
        <v>0.375</v>
      </c>
      <c r="M47" s="616"/>
      <c r="N47" s="609">
        <v>274</v>
      </c>
      <c r="O47" s="610">
        <v>48.088615915925786</v>
      </c>
      <c r="P47" s="617" t="str">
        <f t="shared" si="1"/>
        <v>---</v>
      </c>
      <c r="Q47" s="618">
        <f t="shared" si="2"/>
        <v>-1.3840840742176397E-3</v>
      </c>
      <c r="R47" s="615"/>
      <c r="S47" s="614" t="str">
        <f t="shared" si="3"/>
        <v>OK</v>
      </c>
      <c r="T47" s="619">
        <f>IF(+'2012 Rates'!G171&lt;'2012 Rates'!$B$11,'2012 Rates'!$B$11,+'2012 Rates'!G171)</f>
        <v>48.09</v>
      </c>
      <c r="U47" s="447">
        <f t="shared" si="4"/>
        <v>1.3220110006754826E-2</v>
      </c>
      <c r="V47" s="485"/>
      <c r="W47" s="623">
        <f t="shared" si="7"/>
        <v>577.08000000000004</v>
      </c>
      <c r="X47" s="485"/>
      <c r="Y47" s="485"/>
      <c r="Z47" s="485"/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  <c r="CU47" s="485"/>
      <c r="CV47" s="485"/>
      <c r="CW47" s="485"/>
      <c r="CX47" s="485"/>
      <c r="CY47" s="485"/>
      <c r="CZ47" s="485"/>
      <c r="DA47" s="485"/>
      <c r="DB47" s="485"/>
      <c r="DC47" s="485"/>
      <c r="DD47" s="485"/>
      <c r="DE47" s="485"/>
      <c r="DF47" s="485"/>
      <c r="DG47" s="485"/>
      <c r="DH47" s="485"/>
      <c r="DI47" s="485"/>
      <c r="DJ47" s="485"/>
      <c r="DK47" s="485"/>
      <c r="DL47" s="485"/>
      <c r="DM47" s="485"/>
      <c r="DN47" s="485"/>
      <c r="DO47" s="485"/>
      <c r="DP47" s="485"/>
      <c r="DQ47" s="485"/>
      <c r="DR47" s="485"/>
      <c r="DS47" s="485"/>
      <c r="DT47" s="485"/>
      <c r="DU47" s="485"/>
      <c r="DV47" s="485"/>
      <c r="DW47" s="485"/>
      <c r="DX47" s="485"/>
      <c r="DY47" s="485"/>
      <c r="DZ47" s="485"/>
      <c r="EA47" s="485"/>
      <c r="EB47" s="485"/>
      <c r="EC47" s="485"/>
      <c r="ED47" s="485"/>
      <c r="EE47" s="485"/>
      <c r="EF47" s="485"/>
      <c r="EG47" s="485"/>
      <c r="EH47" s="485"/>
      <c r="EI47" s="485"/>
      <c r="EJ47" s="485"/>
      <c r="EK47" s="485"/>
      <c r="EL47" s="485"/>
      <c r="EM47" s="485"/>
      <c r="EN47" s="485"/>
      <c r="EO47" s="485"/>
      <c r="EP47" s="485"/>
    </row>
    <row r="48" spans="1:146" ht="15.75">
      <c r="A48" s="624">
        <v>381</v>
      </c>
      <c r="B48" s="629" t="s">
        <v>330</v>
      </c>
      <c r="C48" s="624">
        <v>563</v>
      </c>
      <c r="D48" s="626">
        <v>219</v>
      </c>
      <c r="E48" s="611">
        <v>24.71</v>
      </c>
      <c r="F48" s="678">
        <f t="shared" si="5"/>
        <v>24.208490000000001</v>
      </c>
      <c r="G48" s="683">
        <v>5</v>
      </c>
      <c r="H48" s="681">
        <f t="shared" si="9"/>
        <v>13140</v>
      </c>
      <c r="I48" s="623">
        <f t="shared" si="10"/>
        <v>1482.6000000000001</v>
      </c>
      <c r="J48" s="623"/>
      <c r="K48" s="627">
        <v>0.67100000000000004</v>
      </c>
      <c r="L48" s="627">
        <f t="shared" si="8"/>
        <v>3.3550000000000004</v>
      </c>
      <c r="M48" s="627"/>
      <c r="N48" s="609">
        <v>219</v>
      </c>
      <c r="O48" s="610">
        <v>24.709879144480826</v>
      </c>
      <c r="P48" s="617" t="str">
        <f t="shared" si="1"/>
        <v>---</v>
      </c>
      <c r="Q48" s="618">
        <f t="shared" si="2"/>
        <v>-1.2085551917451198E-4</v>
      </c>
      <c r="R48" s="485"/>
      <c r="S48" s="624" t="str">
        <f t="shared" si="3"/>
        <v>OK</v>
      </c>
      <c r="T48" s="613">
        <f>IF(+'2012 Rates'!O176&lt;'2012 Rates'!$B$11,'2012 Rates'!$B$11,+'2012 Rates'!O176)</f>
        <v>26.6</v>
      </c>
      <c r="U48" s="447">
        <f t="shared" si="4"/>
        <v>9.8788069805262557E-2</v>
      </c>
      <c r="V48" s="485"/>
      <c r="W48" s="623">
        <f t="shared" si="7"/>
        <v>1596</v>
      </c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  <c r="CU48" s="485"/>
      <c r="CV48" s="485"/>
      <c r="CW48" s="485"/>
      <c r="CX48" s="485"/>
      <c r="CY48" s="485"/>
      <c r="CZ48" s="485"/>
      <c r="DA48" s="485"/>
      <c r="DB48" s="485"/>
      <c r="DC48" s="485"/>
      <c r="DD48" s="485"/>
      <c r="DE48" s="485"/>
      <c r="DF48" s="485"/>
      <c r="DG48" s="485"/>
      <c r="DH48" s="485"/>
      <c r="DI48" s="485"/>
      <c r="DJ48" s="485"/>
      <c r="DK48" s="485"/>
      <c r="DL48" s="485"/>
      <c r="DM48" s="485"/>
      <c r="DN48" s="485"/>
      <c r="DO48" s="485"/>
      <c r="DP48" s="485"/>
      <c r="DQ48" s="485"/>
      <c r="DR48" s="485"/>
      <c r="DS48" s="485"/>
      <c r="DT48" s="485"/>
      <c r="DU48" s="485"/>
      <c r="DV48" s="485"/>
      <c r="DW48" s="485"/>
      <c r="DX48" s="485"/>
      <c r="DY48" s="485"/>
      <c r="DZ48" s="485"/>
      <c r="EA48" s="485"/>
      <c r="EB48" s="485"/>
      <c r="EC48" s="485"/>
      <c r="ED48" s="485"/>
      <c r="EE48" s="485"/>
      <c r="EF48" s="485"/>
      <c r="EG48" s="485"/>
      <c r="EH48" s="485"/>
      <c r="EI48" s="485"/>
      <c r="EJ48" s="485"/>
      <c r="EK48" s="485"/>
      <c r="EL48" s="485"/>
      <c r="EM48" s="485"/>
      <c r="EN48" s="485"/>
      <c r="EO48" s="485"/>
      <c r="EP48" s="485"/>
    </row>
    <row r="49" spans="1:146" ht="15.75">
      <c r="A49" s="614">
        <v>382</v>
      </c>
      <c r="B49" s="630" t="s">
        <v>347</v>
      </c>
      <c r="C49" s="614"/>
      <c r="D49" s="609">
        <v>608</v>
      </c>
      <c r="E49" s="610">
        <v>87.44</v>
      </c>
      <c r="F49" s="678">
        <f t="shared" si="5"/>
        <v>86.04768</v>
      </c>
      <c r="G49" s="683">
        <v>1</v>
      </c>
      <c r="H49" s="664">
        <f t="shared" si="9"/>
        <v>7296</v>
      </c>
      <c r="I49" s="444">
        <f t="shared" si="10"/>
        <v>1049.28</v>
      </c>
      <c r="J49" s="444"/>
      <c r="K49" s="616">
        <v>0.83299999999999996</v>
      </c>
      <c r="L49" s="616">
        <f t="shared" si="8"/>
        <v>0.83299999999999996</v>
      </c>
      <c r="M49" s="616"/>
      <c r="N49" s="609">
        <v>608</v>
      </c>
      <c r="O49" s="610">
        <v>87.441308309791509</v>
      </c>
      <c r="P49" s="617" t="str">
        <f t="shared" si="1"/>
        <v>---</v>
      </c>
      <c r="Q49" s="618">
        <f t="shared" si="2"/>
        <v>1.3083097915114195E-3</v>
      </c>
      <c r="R49" s="615"/>
      <c r="S49" s="614" t="str">
        <f t="shared" si="3"/>
        <v>OK</v>
      </c>
      <c r="T49" s="619">
        <f>IF(+'2012 Rates'!G182&lt;'2012 Rates'!$B$11,'2012 Rates'!$B$11,+'2012 Rates'!G182)</f>
        <v>87.38</v>
      </c>
      <c r="U49" s="447">
        <f t="shared" si="4"/>
        <v>1.548350867797943E-2</v>
      </c>
      <c r="V49" s="485" t="s">
        <v>342</v>
      </c>
      <c r="W49" s="623">
        <f t="shared" si="7"/>
        <v>1048.56</v>
      </c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  <c r="CU49" s="485"/>
      <c r="CV49" s="485"/>
      <c r="CW49" s="485"/>
      <c r="CX49" s="485"/>
      <c r="CY49" s="485"/>
      <c r="CZ49" s="485"/>
      <c r="DA49" s="485"/>
      <c r="DB49" s="485"/>
      <c r="DC49" s="485"/>
      <c r="DD49" s="485"/>
      <c r="DE49" s="485"/>
      <c r="DF49" s="485"/>
      <c r="DG49" s="485"/>
      <c r="DH49" s="485"/>
      <c r="DI49" s="485"/>
      <c r="DJ49" s="485"/>
      <c r="DK49" s="485"/>
      <c r="DL49" s="485"/>
      <c r="DM49" s="485"/>
      <c r="DN49" s="485"/>
      <c r="DO49" s="485"/>
      <c r="DP49" s="485"/>
      <c r="DQ49" s="485"/>
      <c r="DR49" s="485"/>
      <c r="DS49" s="485"/>
      <c r="DT49" s="485"/>
      <c r="DU49" s="485"/>
      <c r="DV49" s="485"/>
      <c r="DW49" s="485"/>
      <c r="DX49" s="485"/>
      <c r="DY49" s="485"/>
      <c r="DZ49" s="485"/>
      <c r="EA49" s="485"/>
      <c r="EB49" s="485"/>
      <c r="EC49" s="485"/>
      <c r="ED49" s="485"/>
      <c r="EE49" s="485"/>
      <c r="EF49" s="485"/>
      <c r="EG49" s="485"/>
      <c r="EH49" s="485"/>
      <c r="EI49" s="485"/>
      <c r="EJ49" s="485"/>
      <c r="EK49" s="485"/>
      <c r="EL49" s="485"/>
      <c r="EM49" s="485"/>
      <c r="EN49" s="485"/>
      <c r="EO49" s="485"/>
      <c r="EP49" s="485"/>
    </row>
    <row r="50" spans="1:146" ht="15.75">
      <c r="A50" s="614">
        <v>383</v>
      </c>
      <c r="B50" s="630" t="s">
        <v>348</v>
      </c>
      <c r="C50" s="614"/>
      <c r="D50" s="609">
        <v>913</v>
      </c>
      <c r="E50" s="610">
        <v>123.39</v>
      </c>
      <c r="F50" s="678">
        <f t="shared" si="5"/>
        <v>121.29922999999999</v>
      </c>
      <c r="G50" s="683">
        <v>1</v>
      </c>
      <c r="H50" s="664">
        <f t="shared" si="9"/>
        <v>10956</v>
      </c>
      <c r="I50" s="444">
        <f t="shared" si="10"/>
        <v>1480.68</v>
      </c>
      <c r="J50" s="444"/>
      <c r="K50" s="616">
        <v>1.25</v>
      </c>
      <c r="L50" s="616">
        <f t="shared" si="8"/>
        <v>1.25</v>
      </c>
      <c r="M50" s="616"/>
      <c r="N50" s="609">
        <v>913</v>
      </c>
      <c r="O50" s="610">
        <v>123.38703040598627</v>
      </c>
      <c r="P50" s="617" t="str">
        <f t="shared" si="1"/>
        <v>---</v>
      </c>
      <c r="Q50" s="618">
        <f t="shared" si="2"/>
        <v>-2.9695940137344223E-3</v>
      </c>
      <c r="R50" s="615"/>
      <c r="S50" s="614" t="str">
        <f t="shared" si="3"/>
        <v>OK</v>
      </c>
      <c r="T50" s="619">
        <f>IF(+'2012 Rates'!G188&lt;'2012 Rates'!$B$11,'2012 Rates'!$B$11,+'2012 Rates'!G188)</f>
        <v>123.25</v>
      </c>
      <c r="U50" s="447">
        <f t="shared" si="4"/>
        <v>1.6082294998904789E-2</v>
      </c>
      <c r="V50" s="485" t="s">
        <v>342</v>
      </c>
      <c r="W50" s="623">
        <f t="shared" si="7"/>
        <v>1479</v>
      </c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  <c r="CU50" s="485"/>
      <c r="CV50" s="485"/>
      <c r="CW50" s="485"/>
      <c r="CX50" s="485"/>
      <c r="CY50" s="485"/>
      <c r="CZ50" s="485"/>
      <c r="DA50" s="485"/>
      <c r="DB50" s="485"/>
      <c r="DC50" s="485"/>
      <c r="DD50" s="485"/>
      <c r="DE50" s="485"/>
      <c r="DF50" s="485"/>
      <c r="DG50" s="485"/>
      <c r="DH50" s="485"/>
      <c r="DI50" s="485"/>
      <c r="DJ50" s="485"/>
      <c r="DK50" s="485"/>
      <c r="DL50" s="485"/>
      <c r="DM50" s="485"/>
      <c r="DN50" s="485"/>
      <c r="DO50" s="485"/>
      <c r="DP50" s="485"/>
      <c r="DQ50" s="485"/>
      <c r="DR50" s="485"/>
      <c r="DS50" s="485"/>
      <c r="DT50" s="485"/>
      <c r="DU50" s="485"/>
      <c r="DV50" s="485"/>
      <c r="DW50" s="485"/>
      <c r="DX50" s="485"/>
      <c r="DY50" s="485"/>
      <c r="DZ50" s="485"/>
      <c r="EA50" s="485"/>
      <c r="EB50" s="485"/>
      <c r="EC50" s="485"/>
      <c r="ED50" s="485"/>
      <c r="EE50" s="485"/>
      <c r="EF50" s="485"/>
      <c r="EG50" s="485"/>
      <c r="EH50" s="485"/>
      <c r="EI50" s="485"/>
      <c r="EJ50" s="485"/>
      <c r="EK50" s="485"/>
      <c r="EL50" s="485"/>
      <c r="EM50" s="485"/>
      <c r="EN50" s="485"/>
      <c r="EO50" s="485"/>
      <c r="EP50" s="485"/>
    </row>
    <row r="51" spans="1:146" ht="15.75">
      <c r="A51" s="614">
        <v>384</v>
      </c>
      <c r="B51" s="630" t="s">
        <v>349</v>
      </c>
      <c r="C51" s="614"/>
      <c r="D51" s="609">
        <v>1369</v>
      </c>
      <c r="E51" s="610">
        <v>177.13</v>
      </c>
      <c r="F51" s="678">
        <f t="shared" si="5"/>
        <v>173.99499</v>
      </c>
      <c r="G51" s="683">
        <v>1</v>
      </c>
      <c r="H51" s="664">
        <f t="shared" si="9"/>
        <v>16428</v>
      </c>
      <c r="I51" s="444">
        <f t="shared" si="10"/>
        <v>2125.56</v>
      </c>
      <c r="J51" s="444"/>
      <c r="K51" s="616">
        <v>1.875</v>
      </c>
      <c r="L51" s="616">
        <f t="shared" si="8"/>
        <v>1.875</v>
      </c>
      <c r="M51" s="616"/>
      <c r="N51" s="609">
        <v>1369</v>
      </c>
      <c r="O51" s="610">
        <v>177.12801163832987</v>
      </c>
      <c r="P51" s="617" t="str">
        <f t="shared" si="1"/>
        <v>---</v>
      </c>
      <c r="Q51" s="618">
        <f t="shared" si="2"/>
        <v>-1.9883616701292794E-3</v>
      </c>
      <c r="R51" s="615"/>
      <c r="S51" s="614" t="str">
        <f t="shared" si="3"/>
        <v>OK</v>
      </c>
      <c r="T51" s="619">
        <f>IF(+'2012 Rates'!G194&lt;'2012 Rates'!$B$11,'2012 Rates'!$B$11,+'2012 Rates'!G194)</f>
        <v>176.89</v>
      </c>
      <c r="U51" s="447">
        <f t="shared" si="4"/>
        <v>1.6638467578865335E-2</v>
      </c>
      <c r="V51" s="485" t="s">
        <v>342</v>
      </c>
      <c r="W51" s="623">
        <f t="shared" si="7"/>
        <v>2122.6799999999998</v>
      </c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  <c r="CU51" s="485"/>
      <c r="CV51" s="485"/>
      <c r="CW51" s="485"/>
      <c r="CX51" s="485"/>
      <c r="CY51" s="485"/>
      <c r="CZ51" s="485"/>
      <c r="DA51" s="485"/>
      <c r="DB51" s="485"/>
      <c r="DC51" s="485"/>
      <c r="DD51" s="485"/>
      <c r="DE51" s="485"/>
      <c r="DF51" s="485"/>
      <c r="DG51" s="485"/>
      <c r="DH51" s="485"/>
      <c r="DI51" s="485"/>
      <c r="DJ51" s="485"/>
      <c r="DK51" s="485"/>
      <c r="DL51" s="485"/>
      <c r="DM51" s="485"/>
      <c r="DN51" s="485"/>
      <c r="DO51" s="485"/>
      <c r="DP51" s="485"/>
      <c r="DQ51" s="485"/>
      <c r="DR51" s="485"/>
      <c r="DS51" s="485"/>
      <c r="DT51" s="485"/>
      <c r="DU51" s="485"/>
      <c r="DV51" s="485"/>
      <c r="DW51" s="485"/>
      <c r="DX51" s="485"/>
      <c r="DY51" s="485"/>
      <c r="DZ51" s="485"/>
      <c r="EA51" s="485"/>
      <c r="EB51" s="485"/>
      <c r="EC51" s="485"/>
      <c r="ED51" s="485"/>
      <c r="EE51" s="485"/>
      <c r="EF51" s="485"/>
      <c r="EG51" s="485"/>
      <c r="EH51" s="485"/>
      <c r="EI51" s="485"/>
      <c r="EJ51" s="485"/>
      <c r="EK51" s="485"/>
      <c r="EL51" s="485"/>
      <c r="EM51" s="485"/>
      <c r="EN51" s="485"/>
      <c r="EO51" s="485"/>
      <c r="EP51" s="485"/>
    </row>
    <row r="52" spans="1:146" ht="15.75">
      <c r="A52" s="614">
        <v>385</v>
      </c>
      <c r="B52" s="630" t="s">
        <v>350</v>
      </c>
      <c r="C52" s="614"/>
      <c r="D52" s="609">
        <v>943</v>
      </c>
      <c r="E52" s="610">
        <v>126.92</v>
      </c>
      <c r="F52" s="678">
        <f t="shared" si="5"/>
        <v>124.76053</v>
      </c>
      <c r="G52" s="683"/>
      <c r="H52" s="664">
        <f>+D52*G52*12</f>
        <v>0</v>
      </c>
      <c r="I52" s="444">
        <f>+E52*G52*12</f>
        <v>0</v>
      </c>
      <c r="J52" s="444"/>
      <c r="K52" s="616">
        <v>1.292</v>
      </c>
      <c r="L52" s="616">
        <f t="shared" si="8"/>
        <v>0</v>
      </c>
      <c r="M52" s="616"/>
      <c r="N52" s="609">
        <v>943</v>
      </c>
      <c r="O52" s="610">
        <v>126.91906864495627</v>
      </c>
      <c r="P52" s="617" t="str">
        <f t="shared" si="1"/>
        <v>---</v>
      </c>
      <c r="Q52" s="618">
        <f t="shared" si="2"/>
        <v>-9.3135504373265121E-4</v>
      </c>
      <c r="R52" s="615"/>
      <c r="S52" s="614" t="str">
        <f t="shared" si="3"/>
        <v>OK</v>
      </c>
      <c r="T52" s="619">
        <f>IF(+'2012 Rates'!G200&lt;'2012 Rates'!$B$11,'2012 Rates'!$B$11,+'2012 Rates'!G200)</f>
        <v>126.78</v>
      </c>
      <c r="U52" s="447">
        <f t="shared" si="4"/>
        <v>1.618676996643087E-2</v>
      </c>
      <c r="V52" s="485" t="s">
        <v>342</v>
      </c>
      <c r="W52" s="623">
        <f t="shared" si="7"/>
        <v>0</v>
      </c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  <c r="CU52" s="485"/>
      <c r="CV52" s="485"/>
      <c r="CW52" s="485"/>
      <c r="CX52" s="485"/>
      <c r="CY52" s="485"/>
      <c r="CZ52" s="485"/>
      <c r="DA52" s="485"/>
      <c r="DB52" s="485"/>
      <c r="DC52" s="485"/>
      <c r="DD52" s="485"/>
      <c r="DE52" s="485"/>
      <c r="DF52" s="485"/>
      <c r="DG52" s="485"/>
      <c r="DH52" s="485"/>
      <c r="DI52" s="485"/>
      <c r="DJ52" s="485"/>
      <c r="DK52" s="485"/>
      <c r="DL52" s="485"/>
      <c r="DM52" s="485"/>
      <c r="DN52" s="485"/>
      <c r="DO52" s="485"/>
      <c r="DP52" s="485"/>
      <c r="DQ52" s="485"/>
      <c r="DR52" s="485"/>
      <c r="DS52" s="485"/>
      <c r="DT52" s="485"/>
      <c r="DU52" s="485"/>
      <c r="DV52" s="485"/>
      <c r="DW52" s="485"/>
      <c r="DX52" s="485"/>
      <c r="DY52" s="485"/>
      <c r="DZ52" s="485"/>
      <c r="EA52" s="485"/>
      <c r="EB52" s="485"/>
      <c r="EC52" s="485"/>
      <c r="ED52" s="485"/>
      <c r="EE52" s="485"/>
      <c r="EF52" s="485"/>
      <c r="EG52" s="485"/>
      <c r="EH52" s="485"/>
      <c r="EI52" s="485"/>
      <c r="EJ52" s="485"/>
      <c r="EK52" s="485"/>
      <c r="EL52" s="485"/>
      <c r="EM52" s="485"/>
      <c r="EN52" s="485"/>
      <c r="EO52" s="485"/>
      <c r="EP52" s="485"/>
    </row>
    <row r="53" spans="1:146" ht="15.75">
      <c r="A53" s="624">
        <v>386</v>
      </c>
      <c r="B53" s="629" t="s">
        <v>351</v>
      </c>
      <c r="C53" s="624">
        <v>2920</v>
      </c>
      <c r="D53" s="626">
        <v>1995</v>
      </c>
      <c r="E53" s="611">
        <v>177.31</v>
      </c>
      <c r="F53" s="678">
        <f t="shared" si="5"/>
        <v>172.74145000000001</v>
      </c>
      <c r="G53" s="683">
        <v>67</v>
      </c>
      <c r="H53" s="681">
        <f t="shared" si="9"/>
        <v>1603980</v>
      </c>
      <c r="I53" s="623">
        <f t="shared" si="10"/>
        <v>142557.24</v>
      </c>
      <c r="J53" s="623"/>
      <c r="K53" s="627">
        <v>2.92</v>
      </c>
      <c r="L53" s="627">
        <f t="shared" si="8"/>
        <v>195.64</v>
      </c>
      <c r="M53" s="627"/>
      <c r="N53" s="609">
        <v>1995</v>
      </c>
      <c r="O53" s="610">
        <v>177.31054289150336</v>
      </c>
      <c r="P53" s="448" t="str">
        <f t="shared" si="1"/>
        <v>---</v>
      </c>
      <c r="Q53" s="449">
        <f t="shared" si="2"/>
        <v>5.4289150335762315E-4</v>
      </c>
      <c r="R53" s="445"/>
      <c r="S53" s="450" t="str">
        <f t="shared" si="3"/>
        <v>OK</v>
      </c>
      <c r="T53" s="451">
        <f>IF(+'2012 Rates'!P204&lt;'2012 Rates'!$B$11,'2012 Rates'!$B$11,+'2012 Rates'!P204)</f>
        <v>189.69999999999996</v>
      </c>
      <c r="U53" s="447">
        <f t="shared" si="4"/>
        <v>9.8173021009143602E-2</v>
      </c>
      <c r="V53" s="485"/>
      <c r="W53" s="623">
        <f t="shared" si="7"/>
        <v>152518.79999999999</v>
      </c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  <c r="CU53" s="485"/>
      <c r="CV53" s="485"/>
      <c r="CW53" s="485"/>
      <c r="CX53" s="485"/>
      <c r="CY53" s="485"/>
      <c r="CZ53" s="485"/>
      <c r="DA53" s="485"/>
      <c r="DB53" s="485"/>
      <c r="DC53" s="485"/>
      <c r="DD53" s="485"/>
      <c r="DE53" s="485"/>
      <c r="DF53" s="485"/>
      <c r="DG53" s="485"/>
      <c r="DH53" s="485"/>
      <c r="DI53" s="485"/>
      <c r="DJ53" s="485"/>
      <c r="DK53" s="485"/>
      <c r="DL53" s="485"/>
      <c r="DM53" s="485"/>
      <c r="DN53" s="485"/>
      <c r="DO53" s="485"/>
      <c r="DP53" s="485"/>
      <c r="DQ53" s="485"/>
      <c r="DR53" s="485"/>
      <c r="DS53" s="485"/>
      <c r="DT53" s="485"/>
      <c r="DU53" s="485"/>
      <c r="DV53" s="485"/>
      <c r="DW53" s="485"/>
      <c r="DX53" s="485"/>
      <c r="DY53" s="485"/>
      <c r="DZ53" s="485"/>
      <c r="EA53" s="485"/>
      <c r="EB53" s="485"/>
      <c r="EC53" s="485"/>
      <c r="ED53" s="485"/>
      <c r="EE53" s="485"/>
      <c r="EF53" s="485"/>
      <c r="EG53" s="485"/>
      <c r="EH53" s="485"/>
      <c r="EI53" s="485"/>
      <c r="EJ53" s="485"/>
      <c r="EK53" s="485"/>
      <c r="EL53" s="485"/>
      <c r="EM53" s="485"/>
      <c r="EN53" s="485"/>
      <c r="EO53" s="485"/>
      <c r="EP53" s="485"/>
    </row>
    <row r="54" spans="1:146" ht="15.75">
      <c r="A54" s="452">
        <v>387</v>
      </c>
      <c r="B54" s="456" t="s">
        <v>352</v>
      </c>
      <c r="C54" s="452">
        <v>1460</v>
      </c>
      <c r="D54" s="454">
        <v>540</v>
      </c>
      <c r="E54" s="455">
        <v>48.29</v>
      </c>
      <c r="F54" s="678">
        <f t="shared" si="5"/>
        <v>47.053399999999996</v>
      </c>
      <c r="G54" s="683">
        <v>55</v>
      </c>
      <c r="H54" s="681">
        <f t="shared" si="9"/>
        <v>356400</v>
      </c>
      <c r="I54" s="623">
        <f t="shared" si="10"/>
        <v>31871.399999999998</v>
      </c>
      <c r="J54" s="623"/>
      <c r="K54" s="627">
        <v>1.46</v>
      </c>
      <c r="L54" s="627">
        <f t="shared" si="8"/>
        <v>80.3</v>
      </c>
      <c r="M54" s="627">
        <f>1.3*G54</f>
        <v>71.5</v>
      </c>
      <c r="N54" s="609">
        <v>540</v>
      </c>
      <c r="O54" s="610">
        <v>48.286688301459563</v>
      </c>
      <c r="P54" s="448" t="str">
        <f t="shared" si="1"/>
        <v>---</v>
      </c>
      <c r="Q54" s="449">
        <f t="shared" si="2"/>
        <v>-3.3116985404362254E-3</v>
      </c>
      <c r="R54" s="445"/>
      <c r="S54" s="450" t="str">
        <f t="shared" si="3"/>
        <v>OK</v>
      </c>
      <c r="T54" s="451">
        <f>IF(+'2012 Rates'!P608&lt;'2012 Rates'!$B$11,'2012 Rates'!$B$11,+'2012 Rates'!P608)</f>
        <v>51.660000000000004</v>
      </c>
      <c r="U54" s="447">
        <f t="shared" si="4"/>
        <v>9.7901533151695919E-2</v>
      </c>
      <c r="V54" s="485"/>
      <c r="W54" s="623">
        <f t="shared" si="7"/>
        <v>34095.600000000006</v>
      </c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  <c r="CU54" s="485"/>
      <c r="CV54" s="485"/>
      <c r="CW54" s="485"/>
      <c r="CX54" s="485"/>
      <c r="CY54" s="485"/>
      <c r="CZ54" s="485"/>
      <c r="DA54" s="485"/>
      <c r="DB54" s="485"/>
      <c r="DC54" s="485"/>
      <c r="DD54" s="485"/>
      <c r="DE54" s="485"/>
      <c r="DF54" s="485"/>
      <c r="DG54" s="485"/>
      <c r="DH54" s="485"/>
      <c r="DI54" s="485"/>
      <c r="DJ54" s="485"/>
      <c r="DK54" s="485"/>
      <c r="DL54" s="485"/>
      <c r="DM54" s="485"/>
      <c r="DN54" s="485"/>
      <c r="DO54" s="485"/>
      <c r="DP54" s="485"/>
      <c r="DQ54" s="485"/>
      <c r="DR54" s="485"/>
      <c r="DS54" s="485"/>
      <c r="DT54" s="485"/>
      <c r="DU54" s="485"/>
      <c r="DV54" s="485"/>
      <c r="DW54" s="485"/>
      <c r="DX54" s="485"/>
      <c r="DY54" s="485"/>
      <c r="DZ54" s="485"/>
      <c r="EA54" s="485"/>
      <c r="EB54" s="485"/>
      <c r="EC54" s="485"/>
      <c r="ED54" s="485"/>
      <c r="EE54" s="485"/>
      <c r="EF54" s="485"/>
      <c r="EG54" s="485"/>
      <c r="EH54" s="485"/>
      <c r="EI54" s="485"/>
      <c r="EJ54" s="485"/>
      <c r="EK54" s="485"/>
      <c r="EL54" s="485"/>
      <c r="EM54" s="485"/>
      <c r="EN54" s="485"/>
      <c r="EO54" s="485"/>
      <c r="EP54" s="485"/>
    </row>
    <row r="55" spans="1:146" ht="15.75">
      <c r="A55" s="452">
        <v>388</v>
      </c>
      <c r="B55" s="453" t="s">
        <v>353</v>
      </c>
      <c r="C55" s="452">
        <v>150</v>
      </c>
      <c r="D55" s="454">
        <v>110</v>
      </c>
      <c r="E55" s="455">
        <v>9.6199999999999992</v>
      </c>
      <c r="F55" s="678">
        <f t="shared" si="5"/>
        <v>9.3680999999999983</v>
      </c>
      <c r="G55" s="683"/>
      <c r="H55" s="681">
        <f t="shared" si="9"/>
        <v>0</v>
      </c>
      <c r="I55" s="623">
        <f t="shared" si="10"/>
        <v>0</v>
      </c>
      <c r="J55" s="623"/>
      <c r="K55" s="627">
        <v>0.15</v>
      </c>
      <c r="L55" s="627">
        <f t="shared" si="8"/>
        <v>0</v>
      </c>
      <c r="M55" s="627"/>
      <c r="N55" s="609">
        <v>110</v>
      </c>
      <c r="O55" s="610">
        <v>9.6174735428899112</v>
      </c>
      <c r="P55" s="448" t="str">
        <f t="shared" si="1"/>
        <v>---</v>
      </c>
      <c r="Q55" s="449">
        <f t="shared" si="2"/>
        <v>-2.5264571100880318E-3</v>
      </c>
      <c r="R55" s="445"/>
      <c r="S55" s="450" t="str">
        <f t="shared" si="3"/>
        <v>OK</v>
      </c>
      <c r="T55" s="451">
        <f>IF(+'2012 Rates'!P210&lt;'2012 Rates'!$B$11,'2012 Rates'!$B$11,+'2012 Rates'!P210)</f>
        <v>10.27</v>
      </c>
      <c r="U55" s="447">
        <f t="shared" si="4"/>
        <v>9.62735239803163E-2</v>
      </c>
      <c r="V55" s="485"/>
      <c r="W55" s="623">
        <f t="shared" si="7"/>
        <v>0</v>
      </c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  <c r="CU55" s="485"/>
      <c r="CV55" s="485"/>
      <c r="CW55" s="485"/>
      <c r="CX55" s="485"/>
      <c r="CY55" s="485"/>
      <c r="CZ55" s="485"/>
      <c r="DA55" s="485"/>
      <c r="DB55" s="485"/>
      <c r="DC55" s="485"/>
      <c r="DD55" s="485"/>
      <c r="DE55" s="485"/>
      <c r="DF55" s="485"/>
      <c r="DG55" s="485"/>
      <c r="DH55" s="485"/>
      <c r="DI55" s="485"/>
      <c r="DJ55" s="485"/>
      <c r="DK55" s="485"/>
      <c r="DL55" s="485"/>
      <c r="DM55" s="485"/>
      <c r="DN55" s="485"/>
      <c r="DO55" s="485"/>
      <c r="DP55" s="485"/>
      <c r="DQ55" s="485"/>
      <c r="DR55" s="485"/>
      <c r="DS55" s="485"/>
      <c r="DT55" s="485"/>
      <c r="DU55" s="485"/>
      <c r="DV55" s="485"/>
      <c r="DW55" s="485"/>
      <c r="DX55" s="485"/>
      <c r="DY55" s="485"/>
      <c r="DZ55" s="485"/>
      <c r="EA55" s="485"/>
      <c r="EB55" s="485"/>
      <c r="EC55" s="485"/>
      <c r="ED55" s="485"/>
      <c r="EE55" s="485"/>
      <c r="EF55" s="485"/>
      <c r="EG55" s="485"/>
      <c r="EH55" s="485"/>
      <c r="EI55" s="485"/>
      <c r="EJ55" s="485"/>
      <c r="EK55" s="485"/>
      <c r="EL55" s="485"/>
      <c r="EM55" s="485"/>
      <c r="EN55" s="485"/>
      <c r="EO55" s="485"/>
      <c r="EP55" s="485"/>
    </row>
    <row r="56" spans="1:146" ht="15.75">
      <c r="A56" s="452">
        <v>389</v>
      </c>
      <c r="B56" s="456" t="s">
        <v>354</v>
      </c>
      <c r="C56" s="452">
        <v>1500</v>
      </c>
      <c r="D56" s="454">
        <v>151</v>
      </c>
      <c r="E56" s="455">
        <v>27.79</v>
      </c>
      <c r="F56" s="678">
        <f t="shared" si="5"/>
        <v>27.444209999999998</v>
      </c>
      <c r="G56" s="683">
        <v>2</v>
      </c>
      <c r="H56" s="681">
        <f t="shared" si="9"/>
        <v>3624</v>
      </c>
      <c r="I56" s="623">
        <f t="shared" si="10"/>
        <v>666.96</v>
      </c>
      <c r="J56" s="623"/>
      <c r="K56" s="627">
        <v>1.5</v>
      </c>
      <c r="L56" s="627">
        <f t="shared" si="8"/>
        <v>3</v>
      </c>
      <c r="M56" s="627"/>
      <c r="N56" s="609">
        <v>151</v>
      </c>
      <c r="O56" s="610">
        <v>27.785259136148884</v>
      </c>
      <c r="P56" s="448" t="str">
        <f t="shared" si="1"/>
        <v>---</v>
      </c>
      <c r="Q56" s="449">
        <f t="shared" si="2"/>
        <v>-4.7408638511150514E-3</v>
      </c>
      <c r="R56" s="445"/>
      <c r="S56" s="450" t="str">
        <f t="shared" si="3"/>
        <v>OK</v>
      </c>
      <c r="T56" s="451">
        <f>IF(+'2012 Rates'!O211&lt;'2012 Rates'!$B$11,'2012 Rates'!$B$11,+'2012 Rates'!O211)</f>
        <v>30.14</v>
      </c>
      <c r="U56" s="447">
        <f t="shared" si="4"/>
        <v>9.8228005105630789E-2</v>
      </c>
      <c r="V56" s="485"/>
      <c r="W56" s="623">
        <f t="shared" si="7"/>
        <v>723.36</v>
      </c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  <c r="CU56" s="485"/>
      <c r="CV56" s="485"/>
      <c r="CW56" s="485"/>
      <c r="CX56" s="485"/>
      <c r="CY56" s="485"/>
      <c r="CZ56" s="485"/>
      <c r="DA56" s="485"/>
      <c r="DB56" s="485"/>
      <c r="DC56" s="485"/>
      <c r="DD56" s="485"/>
      <c r="DE56" s="485"/>
      <c r="DF56" s="485"/>
      <c r="DG56" s="485"/>
      <c r="DH56" s="485"/>
      <c r="DI56" s="485"/>
      <c r="DJ56" s="485"/>
      <c r="DK56" s="485"/>
      <c r="DL56" s="485"/>
      <c r="DM56" s="485"/>
      <c r="DN56" s="485"/>
      <c r="DO56" s="485"/>
      <c r="DP56" s="485"/>
      <c r="DQ56" s="485"/>
      <c r="DR56" s="485"/>
      <c r="DS56" s="485"/>
      <c r="DT56" s="485"/>
      <c r="DU56" s="485"/>
      <c r="DV56" s="485"/>
      <c r="DW56" s="485"/>
      <c r="DX56" s="485"/>
      <c r="DY56" s="485"/>
      <c r="DZ56" s="485"/>
      <c r="EA56" s="485"/>
      <c r="EB56" s="485"/>
      <c r="EC56" s="485"/>
      <c r="ED56" s="485"/>
      <c r="EE56" s="485"/>
      <c r="EF56" s="485"/>
      <c r="EG56" s="485"/>
      <c r="EH56" s="485"/>
      <c r="EI56" s="485"/>
      <c r="EJ56" s="485"/>
      <c r="EK56" s="485"/>
      <c r="EL56" s="485"/>
      <c r="EM56" s="485"/>
      <c r="EN56" s="485"/>
      <c r="EO56" s="485"/>
      <c r="EP56" s="485"/>
    </row>
    <row r="57" spans="1:146" ht="15.75">
      <c r="A57" s="452">
        <v>390</v>
      </c>
      <c r="B57" s="456" t="s">
        <v>355</v>
      </c>
      <c r="C57" s="452">
        <v>325</v>
      </c>
      <c r="D57" s="454">
        <v>261</v>
      </c>
      <c r="E57" s="455">
        <v>22.84</v>
      </c>
      <c r="F57" s="678">
        <f t="shared" si="5"/>
        <v>22.24231</v>
      </c>
      <c r="G57" s="683">
        <v>1</v>
      </c>
      <c r="H57" s="681">
        <f t="shared" si="9"/>
        <v>3132</v>
      </c>
      <c r="I57" s="623">
        <f t="shared" si="10"/>
        <v>274.08</v>
      </c>
      <c r="J57" s="623"/>
      <c r="K57" s="627">
        <v>0.35799999999999998</v>
      </c>
      <c r="L57" s="627">
        <f t="shared" si="8"/>
        <v>0.35799999999999998</v>
      </c>
      <c r="M57" s="627"/>
      <c r="N57" s="609">
        <v>261</v>
      </c>
      <c r="O57" s="610">
        <v>22.842732679038789</v>
      </c>
      <c r="P57" s="448" t="str">
        <f t="shared" si="1"/>
        <v>---</v>
      </c>
      <c r="Q57" s="449">
        <f t="shared" si="2"/>
        <v>2.7326790387895983E-3</v>
      </c>
      <c r="R57" s="445"/>
      <c r="S57" s="450" t="str">
        <f t="shared" si="3"/>
        <v>OK</v>
      </c>
      <c r="T57" s="451">
        <f>IF(+'2012 Rates'!P212&lt;'2012 Rates'!$B$11,'2012 Rates'!$B$11,+'2012 Rates'!P212)</f>
        <v>24.43</v>
      </c>
      <c r="U57" s="447">
        <f t="shared" si="4"/>
        <v>9.8357140063239923E-2</v>
      </c>
      <c r="V57" s="485"/>
      <c r="W57" s="623">
        <f t="shared" si="7"/>
        <v>293.15999999999997</v>
      </c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  <c r="CU57" s="485"/>
      <c r="CV57" s="485"/>
      <c r="CW57" s="485"/>
      <c r="CX57" s="485"/>
      <c r="CY57" s="485"/>
      <c r="CZ57" s="485"/>
      <c r="DA57" s="485"/>
      <c r="DB57" s="485"/>
      <c r="DC57" s="485"/>
      <c r="DD57" s="485"/>
      <c r="DE57" s="485"/>
      <c r="DF57" s="485"/>
      <c r="DG57" s="485"/>
      <c r="DH57" s="485"/>
      <c r="DI57" s="485"/>
      <c r="DJ57" s="485"/>
      <c r="DK57" s="485"/>
      <c r="DL57" s="485"/>
      <c r="DM57" s="485"/>
      <c r="DN57" s="485"/>
      <c r="DO57" s="485"/>
      <c r="DP57" s="485"/>
      <c r="DQ57" s="485"/>
      <c r="DR57" s="485"/>
      <c r="DS57" s="485"/>
      <c r="DT57" s="485"/>
      <c r="DU57" s="485"/>
      <c r="DV57" s="485"/>
      <c r="DW57" s="485"/>
      <c r="DX57" s="485"/>
      <c r="DY57" s="485"/>
      <c r="DZ57" s="485"/>
      <c r="EA57" s="485"/>
      <c r="EB57" s="485"/>
      <c r="EC57" s="485"/>
      <c r="ED57" s="485"/>
      <c r="EE57" s="485"/>
      <c r="EF57" s="485"/>
      <c r="EG57" s="485"/>
      <c r="EH57" s="485"/>
      <c r="EI57" s="485"/>
      <c r="EJ57" s="485"/>
      <c r="EK57" s="485"/>
      <c r="EL57" s="485"/>
      <c r="EM57" s="485"/>
      <c r="EN57" s="485"/>
      <c r="EO57" s="485"/>
      <c r="EP57" s="485"/>
    </row>
    <row r="58" spans="1:146" ht="15.75">
      <c r="A58" s="452">
        <v>391</v>
      </c>
      <c r="B58" s="456" t="s">
        <v>357</v>
      </c>
      <c r="C58" s="452">
        <v>348</v>
      </c>
      <c r="D58" s="454">
        <v>254</v>
      </c>
      <c r="E58" s="455">
        <v>22.24</v>
      </c>
      <c r="F58" s="678">
        <f t="shared" si="5"/>
        <v>21.658339999999999</v>
      </c>
      <c r="G58" s="683">
        <v>1</v>
      </c>
      <c r="H58" s="681">
        <f t="shared" si="9"/>
        <v>3048</v>
      </c>
      <c r="I58" s="623">
        <f t="shared" si="10"/>
        <v>266.88</v>
      </c>
      <c r="J58" s="623"/>
      <c r="K58" s="627">
        <f>+C58/1000</f>
        <v>0.34799999999999998</v>
      </c>
      <c r="L58" s="627">
        <f t="shared" si="8"/>
        <v>0.34799999999999998</v>
      </c>
      <c r="M58" s="627"/>
      <c r="N58" s="609">
        <v>254</v>
      </c>
      <c r="O58" s="610">
        <v>22.237257089945793</v>
      </c>
      <c r="P58" s="448" t="str">
        <f t="shared" si="1"/>
        <v>---</v>
      </c>
      <c r="Q58" s="449">
        <f t="shared" si="2"/>
        <v>-2.7429100542057938E-3</v>
      </c>
      <c r="R58" s="445"/>
      <c r="S58" s="450" t="str">
        <f t="shared" si="3"/>
        <v>OK</v>
      </c>
      <c r="T58" s="451">
        <f>IF(+'2012 Rates'!P213&lt;'2012 Rates'!$B$11,'2012 Rates'!$B$11,+'2012 Rates'!P213)</f>
        <v>23.78</v>
      </c>
      <c r="U58" s="447">
        <f t="shared" si="4"/>
        <v>9.7960416172246045E-2</v>
      </c>
      <c r="V58" s="485"/>
      <c r="W58" s="623">
        <f t="shared" si="7"/>
        <v>285.36</v>
      </c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  <c r="CU58" s="485"/>
      <c r="CV58" s="485"/>
      <c r="CW58" s="485"/>
      <c r="CX58" s="485"/>
      <c r="CY58" s="485"/>
      <c r="CZ58" s="485"/>
      <c r="DA58" s="485"/>
      <c r="DB58" s="485"/>
      <c r="DC58" s="485"/>
      <c r="DD58" s="485"/>
      <c r="DE58" s="485"/>
      <c r="DF58" s="485"/>
      <c r="DG58" s="485"/>
      <c r="DH58" s="485"/>
      <c r="DI58" s="485"/>
      <c r="DJ58" s="485"/>
      <c r="DK58" s="485"/>
      <c r="DL58" s="485"/>
      <c r="DM58" s="485"/>
      <c r="DN58" s="485"/>
      <c r="DO58" s="485"/>
      <c r="DP58" s="485"/>
      <c r="DQ58" s="485"/>
      <c r="DR58" s="485"/>
      <c r="DS58" s="485"/>
      <c r="DT58" s="485"/>
      <c r="DU58" s="485"/>
      <c r="DV58" s="485"/>
      <c r="DW58" s="485"/>
      <c r="DX58" s="485"/>
      <c r="DY58" s="485"/>
      <c r="DZ58" s="485"/>
      <c r="EA58" s="485"/>
      <c r="EB58" s="485"/>
      <c r="EC58" s="485"/>
      <c r="ED58" s="485"/>
      <c r="EE58" s="485"/>
      <c r="EF58" s="485"/>
      <c r="EG58" s="485"/>
      <c r="EH58" s="485"/>
      <c r="EI58" s="485"/>
      <c r="EJ58" s="485"/>
      <c r="EK58" s="485"/>
      <c r="EL58" s="485"/>
      <c r="EM58" s="485"/>
      <c r="EN58" s="485"/>
      <c r="EO58" s="485"/>
      <c r="EP58" s="485"/>
    </row>
    <row r="59" spans="1:146" ht="15.75">
      <c r="A59" s="452">
        <v>392</v>
      </c>
      <c r="B59" s="456" t="s">
        <v>358</v>
      </c>
      <c r="C59" s="452">
        <v>0</v>
      </c>
      <c r="D59" s="454">
        <v>0</v>
      </c>
      <c r="E59" s="455">
        <v>12.65</v>
      </c>
      <c r="F59" s="678">
        <f>E59</f>
        <v>12.65</v>
      </c>
      <c r="G59" s="683"/>
      <c r="H59" s="681">
        <f t="shared" si="9"/>
        <v>0</v>
      </c>
      <c r="I59" s="623">
        <f t="shared" si="10"/>
        <v>0</v>
      </c>
      <c r="J59" s="623"/>
      <c r="K59" s="627">
        <v>0</v>
      </c>
      <c r="L59" s="627">
        <f t="shared" si="8"/>
        <v>0</v>
      </c>
      <c r="M59" s="627"/>
      <c r="N59" s="609">
        <v>0</v>
      </c>
      <c r="O59" s="610">
        <v>12.65</v>
      </c>
      <c r="P59" s="448" t="str">
        <f t="shared" si="1"/>
        <v>---</v>
      </c>
      <c r="Q59" s="449" t="str">
        <f t="shared" si="2"/>
        <v>---</v>
      </c>
      <c r="R59" s="445"/>
      <c r="S59" s="450" t="str">
        <f t="shared" si="3"/>
        <v>OK</v>
      </c>
      <c r="T59" s="451">
        <f>IF(+'2012 Rates'!P214&lt;'2012 Rates'!$B$11,'2012 Rates'!$B$11,+'2012 Rates'!P214)</f>
        <v>13.891133302485763</v>
      </c>
      <c r="U59" s="447">
        <f t="shared" si="4"/>
        <v>9.8113304544328983E-2</v>
      </c>
      <c r="V59" s="445" t="s">
        <v>359</v>
      </c>
      <c r="W59" s="623">
        <f t="shared" si="7"/>
        <v>0</v>
      </c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  <c r="CU59" s="485"/>
      <c r="CV59" s="485"/>
      <c r="CW59" s="485"/>
      <c r="CX59" s="485"/>
      <c r="CY59" s="485"/>
      <c r="CZ59" s="485"/>
      <c r="DA59" s="485"/>
      <c r="DB59" s="485"/>
      <c r="DC59" s="485"/>
      <c r="DD59" s="485"/>
      <c r="DE59" s="485"/>
      <c r="DF59" s="485"/>
      <c r="DG59" s="485"/>
      <c r="DH59" s="485"/>
      <c r="DI59" s="485"/>
      <c r="DJ59" s="485"/>
      <c r="DK59" s="485"/>
      <c r="DL59" s="485"/>
      <c r="DM59" s="485"/>
      <c r="DN59" s="485"/>
      <c r="DO59" s="485"/>
      <c r="DP59" s="485"/>
      <c r="DQ59" s="485"/>
      <c r="DR59" s="485"/>
      <c r="DS59" s="485"/>
      <c r="DT59" s="485"/>
      <c r="DU59" s="485"/>
      <c r="DV59" s="485"/>
      <c r="DW59" s="485"/>
      <c r="DX59" s="485"/>
      <c r="DY59" s="485"/>
      <c r="DZ59" s="485"/>
      <c r="EA59" s="485"/>
      <c r="EB59" s="485"/>
      <c r="EC59" s="485"/>
      <c r="ED59" s="485"/>
      <c r="EE59" s="485"/>
      <c r="EF59" s="485"/>
      <c r="EG59" s="485"/>
      <c r="EH59" s="485"/>
      <c r="EI59" s="485"/>
      <c r="EJ59" s="485"/>
      <c r="EK59" s="485"/>
      <c r="EL59" s="485"/>
      <c r="EM59" s="485"/>
      <c r="EN59" s="485"/>
      <c r="EO59" s="485"/>
      <c r="EP59" s="485"/>
    </row>
    <row r="60" spans="1:146" ht="15.75">
      <c r="A60" s="624">
        <v>399</v>
      </c>
      <c r="B60" s="629" t="s">
        <v>360</v>
      </c>
      <c r="C60" s="624">
        <v>2400</v>
      </c>
      <c r="D60" s="626">
        <v>314</v>
      </c>
      <c r="E60" s="611">
        <v>53.2</v>
      </c>
      <c r="F60" s="678">
        <f t="shared" si="5"/>
        <v>52.480940000000004</v>
      </c>
      <c r="G60" s="683"/>
      <c r="H60" s="681">
        <f t="shared" si="9"/>
        <v>0</v>
      </c>
      <c r="I60" s="623">
        <f t="shared" si="10"/>
        <v>0</v>
      </c>
      <c r="J60" s="623"/>
      <c r="K60" s="627">
        <v>2.58</v>
      </c>
      <c r="L60" s="627">
        <f>G60*K60</f>
        <v>0</v>
      </c>
      <c r="M60" s="627"/>
      <c r="N60" s="609">
        <v>314</v>
      </c>
      <c r="O60" s="610">
        <v>53.201333567885747</v>
      </c>
      <c r="P60" s="448" t="str">
        <f t="shared" si="1"/>
        <v>---</v>
      </c>
      <c r="Q60" s="449">
        <f t="shared" si="2"/>
        <v>1.3335678857444577E-3</v>
      </c>
      <c r="R60" s="445"/>
      <c r="S60" s="450" t="str">
        <f t="shared" si="3"/>
        <v>OK</v>
      </c>
      <c r="T60" s="451">
        <f>IF(+'2012 Rates'!O216&lt;'2012 Rates'!$B$11,'2012 Rates'!$B$11,+'2012 Rates'!O216)</f>
        <v>57.64</v>
      </c>
      <c r="U60" s="447">
        <f t="shared" si="4"/>
        <v>9.8303498374838538E-2</v>
      </c>
      <c r="V60" s="485"/>
      <c r="W60" s="623">
        <f t="shared" si="7"/>
        <v>0</v>
      </c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  <c r="CU60" s="485"/>
      <c r="CV60" s="485"/>
      <c r="CW60" s="485"/>
      <c r="CX60" s="485"/>
      <c r="CY60" s="485"/>
      <c r="CZ60" s="485"/>
      <c r="DA60" s="485"/>
      <c r="DB60" s="485"/>
      <c r="DC60" s="485"/>
      <c r="DD60" s="485"/>
      <c r="DE60" s="485"/>
      <c r="DF60" s="485"/>
      <c r="DG60" s="485"/>
      <c r="DH60" s="485"/>
      <c r="DI60" s="485"/>
      <c r="DJ60" s="485"/>
      <c r="DK60" s="485"/>
      <c r="DL60" s="485"/>
      <c r="DM60" s="485"/>
      <c r="DN60" s="485"/>
      <c r="DO60" s="485"/>
      <c r="DP60" s="485"/>
      <c r="DQ60" s="485"/>
      <c r="DR60" s="485"/>
      <c r="DS60" s="485"/>
      <c r="DT60" s="485"/>
      <c r="DU60" s="485"/>
      <c r="DV60" s="485"/>
      <c r="DW60" s="485"/>
      <c r="DX60" s="485"/>
      <c r="DY60" s="485"/>
      <c r="DZ60" s="485"/>
      <c r="EA60" s="485"/>
      <c r="EB60" s="485"/>
      <c r="EC60" s="485"/>
      <c r="ED60" s="485"/>
      <c r="EE60" s="485"/>
      <c r="EF60" s="485"/>
      <c r="EG60" s="485"/>
      <c r="EH60" s="485"/>
      <c r="EI60" s="485"/>
      <c r="EJ60" s="485"/>
      <c r="EK60" s="485"/>
      <c r="EL60" s="485"/>
      <c r="EM60" s="485"/>
      <c r="EN60" s="485"/>
      <c r="EO60" s="485"/>
      <c r="EP60" s="485"/>
    </row>
    <row r="61" spans="1:146" ht="15.75">
      <c r="A61" s="624"/>
      <c r="B61" s="629"/>
      <c r="C61" s="624"/>
      <c r="D61" s="626"/>
      <c r="E61" s="611"/>
      <c r="F61" s="678"/>
      <c r="G61" s="683"/>
      <c r="H61" s="681"/>
      <c r="I61" s="623"/>
      <c r="J61" s="623"/>
      <c r="K61" s="627"/>
      <c r="L61" s="627"/>
      <c r="M61" s="627"/>
      <c r="N61" s="609"/>
      <c r="O61" s="610"/>
      <c r="P61" s="617"/>
      <c r="Q61" s="618"/>
      <c r="R61" s="485"/>
      <c r="S61" s="624"/>
      <c r="T61" s="631"/>
      <c r="U61" s="447"/>
      <c r="V61" s="485"/>
      <c r="W61" s="623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  <c r="CU61" s="485"/>
      <c r="CV61" s="485"/>
      <c r="CW61" s="485"/>
      <c r="CX61" s="485"/>
      <c r="CY61" s="485"/>
      <c r="CZ61" s="485"/>
      <c r="DA61" s="485"/>
      <c r="DB61" s="485"/>
      <c r="DC61" s="485"/>
      <c r="DD61" s="485"/>
      <c r="DE61" s="485"/>
      <c r="DF61" s="485"/>
      <c r="DG61" s="485"/>
      <c r="DH61" s="485"/>
      <c r="DI61" s="485"/>
      <c r="DJ61" s="485"/>
      <c r="DK61" s="485"/>
      <c r="DL61" s="485"/>
      <c r="DM61" s="485"/>
      <c r="DN61" s="485"/>
      <c r="DO61" s="485"/>
      <c r="DP61" s="485"/>
      <c r="DQ61" s="485"/>
      <c r="DR61" s="485"/>
      <c r="DS61" s="485"/>
      <c r="DT61" s="485"/>
      <c r="DU61" s="485"/>
      <c r="DV61" s="485"/>
      <c r="DW61" s="485"/>
      <c r="DX61" s="485"/>
      <c r="DY61" s="485"/>
      <c r="DZ61" s="485"/>
      <c r="EA61" s="485"/>
      <c r="EB61" s="485"/>
      <c r="EC61" s="485"/>
      <c r="ED61" s="485"/>
      <c r="EE61" s="485"/>
      <c r="EF61" s="485"/>
      <c r="EG61" s="485"/>
      <c r="EH61" s="485"/>
      <c r="EI61" s="485"/>
      <c r="EJ61" s="485"/>
      <c r="EK61" s="485"/>
      <c r="EL61" s="485"/>
      <c r="EM61" s="485"/>
      <c r="EN61" s="485"/>
      <c r="EO61" s="485"/>
      <c r="EP61" s="485"/>
    </row>
    <row r="62" spans="1:146" ht="15.75">
      <c r="A62" s="474">
        <v>400</v>
      </c>
      <c r="B62" s="632" t="s">
        <v>361</v>
      </c>
      <c r="C62" s="614"/>
      <c r="D62" s="609">
        <v>34</v>
      </c>
      <c r="E62" s="610">
        <v>2.96</v>
      </c>
      <c r="F62" s="678">
        <f>E62</f>
        <v>2.96</v>
      </c>
      <c r="G62" s="683">
        <v>239</v>
      </c>
      <c r="H62" s="664">
        <f>+D62*G62*12</f>
        <v>97512</v>
      </c>
      <c r="I62" s="444">
        <f>+E62*G62*12</f>
        <v>8489.2799999999988</v>
      </c>
      <c r="J62" s="444"/>
      <c r="K62" s="616">
        <v>0.1</v>
      </c>
      <c r="L62" s="616">
        <f>G62*K62</f>
        <v>23.900000000000002</v>
      </c>
      <c r="M62" s="616"/>
      <c r="N62" s="609">
        <v>34</v>
      </c>
      <c r="O62" s="610">
        <v>2.9637800000000003</v>
      </c>
      <c r="P62" s="617" t="str">
        <f t="shared" ref="P62:Q64" si="11">IF(N62=D62,"---",N62-D62)</f>
        <v>---</v>
      </c>
      <c r="Q62" s="618">
        <f t="shared" si="11"/>
        <v>3.7800000000003386E-3</v>
      </c>
      <c r="R62" s="615"/>
      <c r="S62" s="260" t="str">
        <f>IF(N62=D62,"OK",N62)</f>
        <v>OK</v>
      </c>
      <c r="T62" s="633">
        <f>IF(+'2012 Rates'!O231&lt;'2012 Rates'!$B$11,'2012 Rates'!$B$11,+'2012 Rates'!O231)</f>
        <v>3.2504153814512136</v>
      </c>
      <c r="U62" s="447">
        <f t="shared" si="4"/>
        <v>9.8113304544328983E-2</v>
      </c>
      <c r="V62" s="485" t="s">
        <v>340</v>
      </c>
      <c r="W62" s="623">
        <f>+G62*T62*12</f>
        <v>9322.1913140020806</v>
      </c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  <c r="CU62" s="485"/>
      <c r="CV62" s="485"/>
      <c r="CW62" s="485"/>
      <c r="CX62" s="485"/>
      <c r="CY62" s="485"/>
      <c r="CZ62" s="485"/>
      <c r="DA62" s="485"/>
      <c r="DB62" s="485"/>
      <c r="DC62" s="485"/>
      <c r="DD62" s="485"/>
      <c r="DE62" s="485"/>
      <c r="DF62" s="485"/>
      <c r="DG62" s="485"/>
      <c r="DH62" s="485"/>
      <c r="DI62" s="485"/>
      <c r="DJ62" s="485"/>
      <c r="DK62" s="485"/>
      <c r="DL62" s="485"/>
      <c r="DM62" s="485"/>
      <c r="DN62" s="485"/>
      <c r="DO62" s="485"/>
      <c r="DP62" s="485"/>
      <c r="DQ62" s="485"/>
      <c r="DR62" s="485"/>
      <c r="DS62" s="485"/>
      <c r="DT62" s="485"/>
      <c r="DU62" s="485"/>
      <c r="DV62" s="485"/>
      <c r="DW62" s="485"/>
      <c r="DX62" s="485"/>
      <c r="DY62" s="485"/>
      <c r="DZ62" s="485"/>
      <c r="EA62" s="485"/>
      <c r="EB62" s="485"/>
      <c r="EC62" s="485"/>
      <c r="ED62" s="485"/>
      <c r="EE62" s="485"/>
      <c r="EF62" s="485"/>
      <c r="EG62" s="485"/>
      <c r="EH62" s="485"/>
      <c r="EI62" s="485"/>
      <c r="EJ62" s="485"/>
      <c r="EK62" s="485"/>
      <c r="EL62" s="485"/>
      <c r="EM62" s="485"/>
      <c r="EN62" s="485"/>
      <c r="EO62" s="485"/>
      <c r="EP62" s="485"/>
    </row>
    <row r="63" spans="1:146" ht="15.75">
      <c r="A63" s="474">
        <v>401</v>
      </c>
      <c r="B63" s="632" t="s">
        <v>362</v>
      </c>
      <c r="C63" s="614"/>
      <c r="D63" s="609">
        <v>34</v>
      </c>
      <c r="E63" s="610">
        <v>3.52</v>
      </c>
      <c r="F63" s="678">
        <f t="shared" si="5"/>
        <v>3.4421400000000002</v>
      </c>
      <c r="G63" s="683">
        <v>27</v>
      </c>
      <c r="H63" s="664">
        <f>+D63*G63*12</f>
        <v>11016</v>
      </c>
      <c r="I63" s="444">
        <f>+E63*G63*12</f>
        <v>1140.48</v>
      </c>
      <c r="J63" s="444"/>
      <c r="K63" s="616">
        <v>0.1</v>
      </c>
      <c r="L63" s="616">
        <f>G63*K63</f>
        <v>2.7</v>
      </c>
      <c r="M63" s="616"/>
      <c r="N63" s="609">
        <v>34</v>
      </c>
      <c r="O63" s="610">
        <v>3.522310004165973</v>
      </c>
      <c r="P63" s="617" t="str">
        <f t="shared" si="11"/>
        <v>---</v>
      </c>
      <c r="Q63" s="618">
        <f t="shared" si="11"/>
        <v>2.3100041659729342E-3</v>
      </c>
      <c r="R63" s="615"/>
      <c r="S63" s="614" t="str">
        <f>IF(N63=D63,"OK",N63)</f>
        <v>OK</v>
      </c>
      <c r="T63" s="633">
        <f>IF(+'2012 Rates'!O232&lt;'2012 Rates'!$B$11,'2012 Rates'!$B$11,+'2012 Rates'!O232)</f>
        <v>3.7800000000000002</v>
      </c>
      <c r="U63" s="447">
        <f t="shared" si="4"/>
        <v>9.8154055326047152E-2</v>
      </c>
      <c r="V63" s="445" t="s">
        <v>363</v>
      </c>
      <c r="W63" s="623">
        <f>+G63*T63*12</f>
        <v>1224.72</v>
      </c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  <c r="CU63" s="485"/>
      <c r="CV63" s="485"/>
      <c r="CW63" s="485"/>
      <c r="CX63" s="485"/>
      <c r="CY63" s="485"/>
      <c r="CZ63" s="485"/>
      <c r="DA63" s="485"/>
      <c r="DB63" s="485"/>
      <c r="DC63" s="485"/>
      <c r="DD63" s="485"/>
      <c r="DE63" s="485"/>
      <c r="DF63" s="485"/>
      <c r="DG63" s="485"/>
      <c r="DH63" s="485"/>
      <c r="DI63" s="485"/>
      <c r="DJ63" s="485"/>
      <c r="DK63" s="485"/>
      <c r="DL63" s="485"/>
      <c r="DM63" s="485"/>
      <c r="DN63" s="485"/>
      <c r="DO63" s="485"/>
      <c r="DP63" s="485"/>
      <c r="DQ63" s="485"/>
      <c r="DR63" s="485"/>
      <c r="DS63" s="485"/>
      <c r="DT63" s="485"/>
      <c r="DU63" s="485"/>
      <c r="DV63" s="485"/>
      <c r="DW63" s="485"/>
      <c r="DX63" s="485"/>
      <c r="DY63" s="485"/>
      <c r="DZ63" s="485"/>
      <c r="EA63" s="485"/>
      <c r="EB63" s="485"/>
      <c r="EC63" s="485"/>
      <c r="ED63" s="485"/>
      <c r="EE63" s="485"/>
      <c r="EF63" s="485"/>
      <c r="EG63" s="485"/>
      <c r="EH63" s="485"/>
      <c r="EI63" s="485"/>
      <c r="EJ63" s="485"/>
      <c r="EK63" s="485"/>
      <c r="EL63" s="485"/>
      <c r="EM63" s="485"/>
      <c r="EN63" s="485"/>
      <c r="EO63" s="485"/>
      <c r="EP63" s="485"/>
    </row>
    <row r="64" spans="1:146" ht="15.75">
      <c r="A64" s="474">
        <v>402</v>
      </c>
      <c r="B64" s="632" t="s">
        <v>364</v>
      </c>
      <c r="C64" s="614"/>
      <c r="D64" s="609">
        <v>90</v>
      </c>
      <c r="E64" s="610">
        <v>7.89</v>
      </c>
      <c r="F64" s="678">
        <f t="shared" si="5"/>
        <v>7.6838999999999995</v>
      </c>
      <c r="G64" s="683">
        <v>4</v>
      </c>
      <c r="H64" s="664">
        <f>+D64*G64*12</f>
        <v>4320</v>
      </c>
      <c r="I64" s="444">
        <f>+E64*G64*12</f>
        <v>378.71999999999997</v>
      </c>
      <c r="J64" s="444"/>
      <c r="K64" s="616">
        <v>0.123</v>
      </c>
      <c r="L64" s="616">
        <f>G64*K64</f>
        <v>0.49199999999999999</v>
      </c>
      <c r="M64" s="616"/>
      <c r="N64" s="609">
        <v>90</v>
      </c>
      <c r="O64" s="610">
        <v>7.886114716909927</v>
      </c>
      <c r="P64" s="617" t="str">
        <f t="shared" si="11"/>
        <v>---</v>
      </c>
      <c r="Q64" s="618">
        <f t="shared" si="11"/>
        <v>-3.8852830900726332E-3</v>
      </c>
      <c r="R64" s="615"/>
      <c r="S64" s="614" t="str">
        <f>IF(N64=D64,"OK",N64)</f>
        <v>OK</v>
      </c>
      <c r="T64" s="633">
        <f>IF(+'2012 Rates'!P233&lt;'2012 Rates'!$B$11,'2012 Rates'!$B$11,+'2012 Rates'!P233)</f>
        <v>8.43</v>
      </c>
      <c r="U64" s="447">
        <f t="shared" si="4"/>
        <v>9.7099129348377833E-2</v>
      </c>
      <c r="V64" s="445" t="s">
        <v>363</v>
      </c>
      <c r="W64" s="623">
        <f>+G64*T64*12</f>
        <v>404.64</v>
      </c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  <c r="CU64" s="485"/>
      <c r="CV64" s="485"/>
      <c r="CW64" s="485"/>
      <c r="CX64" s="485"/>
      <c r="CY64" s="485"/>
      <c r="CZ64" s="485"/>
      <c r="DA64" s="485"/>
      <c r="DB64" s="485"/>
      <c r="DC64" s="485"/>
      <c r="DD64" s="485"/>
      <c r="DE64" s="485"/>
      <c r="DF64" s="485"/>
      <c r="DG64" s="485"/>
      <c r="DH64" s="485"/>
      <c r="DI64" s="485"/>
      <c r="DJ64" s="485"/>
      <c r="DK64" s="485"/>
      <c r="DL64" s="485"/>
      <c r="DM64" s="485"/>
      <c r="DN64" s="485"/>
      <c r="DO64" s="485"/>
      <c r="DP64" s="485"/>
      <c r="DQ64" s="485"/>
      <c r="DR64" s="485"/>
      <c r="DS64" s="485"/>
      <c r="DT64" s="485"/>
      <c r="DU64" s="485"/>
      <c r="DV64" s="485"/>
      <c r="DW64" s="485"/>
      <c r="DX64" s="485"/>
      <c r="DY64" s="485"/>
      <c r="DZ64" s="485"/>
      <c r="EA64" s="485"/>
      <c r="EB64" s="485"/>
      <c r="EC64" s="485"/>
      <c r="ED64" s="485"/>
      <c r="EE64" s="485"/>
      <c r="EF64" s="485"/>
      <c r="EG64" s="485"/>
      <c r="EH64" s="485"/>
      <c r="EI64" s="485"/>
      <c r="EJ64" s="485"/>
      <c r="EK64" s="485"/>
      <c r="EL64" s="485"/>
      <c r="EM64" s="485"/>
      <c r="EN64" s="485"/>
      <c r="EO64" s="485"/>
      <c r="EP64" s="485"/>
    </row>
    <row r="65" spans="1:146" ht="15.75">
      <c r="A65" s="473"/>
      <c r="B65" s="634"/>
      <c r="C65" s="624"/>
      <c r="D65" s="626"/>
      <c r="E65" s="611"/>
      <c r="F65" s="678"/>
      <c r="G65" s="683"/>
      <c r="H65" s="681"/>
      <c r="I65" s="623"/>
      <c r="J65" s="623"/>
      <c r="K65" s="627"/>
      <c r="L65" s="627"/>
      <c r="M65" s="627"/>
      <c r="N65" s="609"/>
      <c r="O65" s="610"/>
      <c r="P65" s="617"/>
      <c r="Q65" s="618"/>
      <c r="R65" s="485"/>
      <c r="S65" s="624"/>
      <c r="T65" s="613"/>
      <c r="U65" s="447"/>
      <c r="V65" s="485"/>
      <c r="W65" s="623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  <c r="CU65" s="485"/>
      <c r="CV65" s="485"/>
      <c r="CW65" s="485"/>
      <c r="CX65" s="485"/>
      <c r="CY65" s="485"/>
      <c r="CZ65" s="485"/>
      <c r="DA65" s="485"/>
      <c r="DB65" s="485"/>
      <c r="DC65" s="485"/>
      <c r="DD65" s="485"/>
      <c r="DE65" s="485"/>
      <c r="DF65" s="485"/>
      <c r="DG65" s="485"/>
      <c r="DH65" s="485"/>
      <c r="DI65" s="485"/>
      <c r="DJ65" s="485"/>
      <c r="DK65" s="485"/>
      <c r="DL65" s="485"/>
      <c r="DM65" s="485"/>
      <c r="DN65" s="485"/>
      <c r="DO65" s="485"/>
      <c r="DP65" s="485"/>
      <c r="DQ65" s="485"/>
      <c r="DR65" s="485"/>
      <c r="DS65" s="485"/>
      <c r="DT65" s="485"/>
      <c r="DU65" s="485"/>
      <c r="DV65" s="485"/>
      <c r="DW65" s="485"/>
      <c r="DX65" s="485"/>
      <c r="DY65" s="485"/>
      <c r="DZ65" s="485"/>
      <c r="EA65" s="485"/>
      <c r="EB65" s="485"/>
      <c r="EC65" s="485"/>
      <c r="ED65" s="485"/>
      <c r="EE65" s="485"/>
      <c r="EF65" s="485"/>
      <c r="EG65" s="485"/>
      <c r="EH65" s="485"/>
      <c r="EI65" s="485"/>
      <c r="EJ65" s="485"/>
      <c r="EK65" s="485"/>
      <c r="EL65" s="485"/>
      <c r="EM65" s="485"/>
      <c r="EN65" s="485"/>
      <c r="EO65" s="485"/>
      <c r="EP65" s="485"/>
    </row>
    <row r="66" spans="1:146" ht="15.75">
      <c r="A66" s="457">
        <v>441</v>
      </c>
      <c r="B66" s="458" t="s">
        <v>365</v>
      </c>
      <c r="C66" s="450">
        <v>1000</v>
      </c>
      <c r="D66" s="440">
        <v>0</v>
      </c>
      <c r="E66" s="459">
        <v>17.079999999999998</v>
      </c>
      <c r="F66" s="678">
        <f t="shared" si="5"/>
        <v>17.079999999999998</v>
      </c>
      <c r="G66" s="683">
        <v>2</v>
      </c>
      <c r="H66" s="682">
        <f>+D66*G66*12</f>
        <v>0</v>
      </c>
      <c r="I66" s="442">
        <f>+E66*G66*12</f>
        <v>409.91999999999996</v>
      </c>
      <c r="J66" s="442"/>
      <c r="K66" s="443">
        <v>1</v>
      </c>
      <c r="L66" s="443">
        <f>G66*K66</f>
        <v>2</v>
      </c>
      <c r="M66" s="443"/>
      <c r="N66" s="609">
        <v>0</v>
      </c>
      <c r="O66" s="610">
        <v>17.079999999999998</v>
      </c>
      <c r="P66" s="448" t="str">
        <f>IF(N66=D66,"---",N66-D66)</f>
        <v>---</v>
      </c>
      <c r="Q66" s="449" t="str">
        <f>IF(O66=E66,"---",O66-E66)</f>
        <v>---</v>
      </c>
      <c r="R66" s="445"/>
      <c r="S66" s="450" t="str">
        <f>IF(N66=D66,"OK",N66)</f>
        <v>OK</v>
      </c>
      <c r="T66" s="633">
        <f>IF(+'2012 Rates'!O235&lt;'2012 Rates'!$B$11,'2012 Rates'!$B$11,+'2012 Rates'!O235)</f>
        <v>16.490580094871877</v>
      </c>
      <c r="U66" s="447">
        <f t="shared" si="4"/>
        <v>-3.4509362126939225E-2</v>
      </c>
      <c r="V66" s="485" t="s">
        <v>366</v>
      </c>
      <c r="W66" s="485"/>
      <c r="X66" s="444">
        <f>+G66*T66*12</f>
        <v>395.77392227692508</v>
      </c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  <c r="CU66" s="485"/>
      <c r="CV66" s="485"/>
      <c r="CW66" s="485"/>
      <c r="CX66" s="485"/>
      <c r="CY66" s="485"/>
      <c r="CZ66" s="485"/>
      <c r="DA66" s="485"/>
      <c r="DB66" s="485"/>
      <c r="DC66" s="485"/>
      <c r="DD66" s="485"/>
      <c r="DE66" s="485"/>
      <c r="DF66" s="485"/>
      <c r="DG66" s="485"/>
      <c r="DH66" s="485"/>
      <c r="DI66" s="485"/>
      <c r="DJ66" s="485"/>
      <c r="DK66" s="485"/>
      <c r="DL66" s="485"/>
      <c r="DM66" s="485"/>
      <c r="DN66" s="485"/>
      <c r="DO66" s="485"/>
      <c r="DP66" s="485"/>
      <c r="DQ66" s="485"/>
      <c r="DR66" s="485"/>
      <c r="DS66" s="485"/>
      <c r="DT66" s="485"/>
      <c r="DU66" s="485"/>
      <c r="DV66" s="485"/>
      <c r="DW66" s="485"/>
      <c r="DX66" s="485"/>
      <c r="DY66" s="485"/>
      <c r="DZ66" s="485"/>
      <c r="EA66" s="485"/>
      <c r="EB66" s="485"/>
      <c r="EC66" s="485"/>
      <c r="ED66" s="485"/>
      <c r="EE66" s="485"/>
      <c r="EF66" s="485"/>
      <c r="EG66" s="485"/>
      <c r="EH66" s="485"/>
      <c r="EI66" s="485"/>
      <c r="EJ66" s="485"/>
      <c r="EK66" s="485"/>
      <c r="EL66" s="485"/>
      <c r="EM66" s="485"/>
      <c r="EN66" s="485"/>
      <c r="EO66" s="485"/>
      <c r="EP66" s="485"/>
    </row>
    <row r="67" spans="1:146" ht="15.75">
      <c r="A67" s="473"/>
      <c r="B67" s="634"/>
      <c r="C67" s="624"/>
      <c r="D67" s="626"/>
      <c r="E67" s="611"/>
      <c r="F67" s="678"/>
      <c r="G67" s="683"/>
      <c r="H67" s="681"/>
      <c r="I67" s="623"/>
      <c r="J67" s="623"/>
      <c r="K67" s="627"/>
      <c r="L67" s="627"/>
      <c r="M67" s="627"/>
      <c r="N67" s="609"/>
      <c r="O67" s="610"/>
      <c r="P67" s="617"/>
      <c r="Q67" s="618"/>
      <c r="R67" s="485"/>
      <c r="S67" s="624"/>
      <c r="T67" s="613"/>
      <c r="U67" s="447"/>
      <c r="V67" s="485"/>
      <c r="W67" s="623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  <c r="CU67" s="485"/>
      <c r="CV67" s="485"/>
      <c r="CW67" s="485"/>
      <c r="CX67" s="485"/>
      <c r="CY67" s="485"/>
      <c r="CZ67" s="485"/>
      <c r="DA67" s="485"/>
      <c r="DB67" s="485"/>
      <c r="DC67" s="485"/>
      <c r="DD67" s="485"/>
      <c r="DE67" s="485"/>
      <c r="DF67" s="485"/>
      <c r="DG67" s="485"/>
      <c r="DH67" s="485"/>
      <c r="DI67" s="485"/>
      <c r="DJ67" s="485"/>
      <c r="DK67" s="485"/>
      <c r="DL67" s="485"/>
      <c r="DM67" s="485"/>
      <c r="DN67" s="485"/>
      <c r="DO67" s="485"/>
      <c r="DP67" s="485"/>
      <c r="DQ67" s="485"/>
      <c r="DR67" s="485"/>
      <c r="DS67" s="485"/>
      <c r="DT67" s="485"/>
      <c r="DU67" s="485"/>
      <c r="DV67" s="485"/>
      <c r="DW67" s="485"/>
      <c r="DX67" s="485"/>
      <c r="DY67" s="485"/>
      <c r="DZ67" s="485"/>
      <c r="EA67" s="485"/>
      <c r="EB67" s="485"/>
      <c r="EC67" s="485"/>
      <c r="ED67" s="485"/>
      <c r="EE67" s="485"/>
      <c r="EF67" s="485"/>
      <c r="EG67" s="485"/>
      <c r="EH67" s="485"/>
      <c r="EI67" s="485"/>
      <c r="EJ67" s="485"/>
      <c r="EK67" s="485"/>
      <c r="EL67" s="485"/>
      <c r="EM67" s="485"/>
      <c r="EN67" s="485"/>
      <c r="EO67" s="485"/>
      <c r="EP67" s="485"/>
    </row>
    <row r="68" spans="1:146" ht="15.75">
      <c r="A68" s="635" t="s">
        <v>367</v>
      </c>
      <c r="B68" s="634"/>
      <c r="C68" s="624"/>
      <c r="D68" s="626"/>
      <c r="E68" s="611"/>
      <c r="F68" s="678"/>
      <c r="G68" s="683"/>
      <c r="H68" s="681"/>
      <c r="I68" s="623"/>
      <c r="J68" s="623"/>
      <c r="K68" s="627"/>
      <c r="L68" s="627"/>
      <c r="M68" s="627"/>
      <c r="N68" s="609"/>
      <c r="O68" s="610"/>
      <c r="P68" s="617"/>
      <c r="Q68" s="618"/>
      <c r="R68" s="485"/>
      <c r="S68" s="624"/>
      <c r="T68" s="613"/>
      <c r="U68" s="447"/>
      <c r="V68" s="485"/>
      <c r="W68" s="623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  <c r="CU68" s="485"/>
      <c r="CV68" s="485"/>
      <c r="CW68" s="485"/>
      <c r="CX68" s="485"/>
      <c r="CY68" s="485"/>
      <c r="CZ68" s="485"/>
      <c r="DA68" s="485"/>
      <c r="DB68" s="485"/>
      <c r="DC68" s="485"/>
      <c r="DD68" s="485"/>
      <c r="DE68" s="485"/>
      <c r="DF68" s="485"/>
      <c r="DG68" s="485"/>
      <c r="DH68" s="485"/>
      <c r="DI68" s="485"/>
      <c r="DJ68" s="485"/>
      <c r="DK68" s="485"/>
      <c r="DL68" s="485"/>
      <c r="DM68" s="485"/>
      <c r="DN68" s="485"/>
      <c r="DO68" s="485"/>
      <c r="DP68" s="485"/>
      <c r="DQ68" s="485"/>
      <c r="DR68" s="485"/>
      <c r="DS68" s="485"/>
      <c r="DT68" s="485"/>
      <c r="DU68" s="485"/>
      <c r="DV68" s="485"/>
      <c r="DW68" s="485"/>
      <c r="DX68" s="485"/>
      <c r="DY68" s="485"/>
      <c r="DZ68" s="485"/>
      <c r="EA68" s="485"/>
      <c r="EB68" s="485"/>
      <c r="EC68" s="485"/>
      <c r="ED68" s="485"/>
      <c r="EE68" s="485"/>
      <c r="EF68" s="485"/>
      <c r="EG68" s="485"/>
      <c r="EH68" s="485"/>
      <c r="EI68" s="485"/>
      <c r="EJ68" s="485"/>
      <c r="EK68" s="485"/>
      <c r="EL68" s="485"/>
      <c r="EM68" s="485"/>
      <c r="EN68" s="485"/>
      <c r="EO68" s="485"/>
      <c r="EP68" s="485"/>
    </row>
    <row r="69" spans="1:146" ht="15.75">
      <c r="A69" s="473">
        <v>449</v>
      </c>
      <c r="B69" s="634" t="s">
        <v>368</v>
      </c>
      <c r="C69" s="624"/>
      <c r="D69" s="626">
        <v>0</v>
      </c>
      <c r="E69" s="611">
        <v>483.94</v>
      </c>
      <c r="F69" s="678">
        <f t="shared" si="5"/>
        <v>483.94</v>
      </c>
      <c r="G69" s="683"/>
      <c r="H69" s="681">
        <f t="shared" ref="H69:H94" si="12">+D69*G69*12</f>
        <v>0</v>
      </c>
      <c r="I69" s="623">
        <f t="shared" ref="I69:I94" si="13">+E69*G69*12</f>
        <v>0</v>
      </c>
      <c r="J69" s="623"/>
      <c r="K69" s="627"/>
      <c r="L69" s="627"/>
      <c r="M69" s="627"/>
      <c r="N69" s="609">
        <v>0</v>
      </c>
      <c r="O69" s="610">
        <v>483.94</v>
      </c>
      <c r="P69" s="617" t="str">
        <f t="shared" ref="P69:P94" si="14">IF(N69=D69,"---",N69-D69)</f>
        <v>---</v>
      </c>
      <c r="Q69" s="618" t="str">
        <f t="shared" ref="Q69:Q94" si="15">IF(O69=E69,"---",O69-E69)</f>
        <v>---</v>
      </c>
      <c r="R69" s="485"/>
      <c r="S69" s="624" t="str">
        <f t="shared" ref="S69:S94" si="16">IF(N69=D69,"OK",N69)</f>
        <v>OK</v>
      </c>
      <c r="T69" s="434">
        <f>IF(+'2012 Rates'!O241&lt;'2012 Rates'!$B$11,'2012 Rates'!$B$11,+'2012 Rates'!O241)</f>
        <v>531.41999999999996</v>
      </c>
      <c r="U69" s="447">
        <f t="shared" si="4"/>
        <v>9.8111336116047276E-2</v>
      </c>
      <c r="V69" s="485"/>
      <c r="W69" s="623">
        <f>+G69*T69*12</f>
        <v>0</v>
      </c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  <c r="CU69" s="485"/>
      <c r="CV69" s="485"/>
      <c r="CW69" s="485"/>
      <c r="CX69" s="485"/>
      <c r="CY69" s="485"/>
      <c r="CZ69" s="485"/>
      <c r="DA69" s="485"/>
      <c r="DB69" s="485"/>
      <c r="DC69" s="485"/>
      <c r="DD69" s="485"/>
      <c r="DE69" s="485"/>
      <c r="DF69" s="485"/>
      <c r="DG69" s="485"/>
      <c r="DH69" s="485"/>
      <c r="DI69" s="485"/>
      <c r="DJ69" s="485"/>
      <c r="DK69" s="485"/>
      <c r="DL69" s="485"/>
      <c r="DM69" s="485"/>
      <c r="DN69" s="485"/>
      <c r="DO69" s="485"/>
      <c r="DP69" s="485"/>
      <c r="DQ69" s="485"/>
      <c r="DR69" s="485"/>
      <c r="DS69" s="485"/>
      <c r="DT69" s="485"/>
      <c r="DU69" s="485"/>
      <c r="DV69" s="485"/>
      <c r="DW69" s="485"/>
      <c r="DX69" s="485"/>
      <c r="DY69" s="485"/>
      <c r="DZ69" s="485"/>
      <c r="EA69" s="485"/>
      <c r="EB69" s="485"/>
      <c r="EC69" s="485"/>
      <c r="ED69" s="485"/>
      <c r="EE69" s="485"/>
      <c r="EF69" s="485"/>
      <c r="EG69" s="485"/>
      <c r="EH69" s="485"/>
      <c r="EI69" s="485"/>
      <c r="EJ69" s="485"/>
      <c r="EK69" s="485"/>
      <c r="EL69" s="485"/>
      <c r="EM69" s="485"/>
      <c r="EN69" s="485"/>
      <c r="EO69" s="485"/>
      <c r="EP69" s="485"/>
    </row>
    <row r="70" spans="1:146" ht="15.75">
      <c r="A70" s="473">
        <v>450</v>
      </c>
      <c r="B70" s="634" t="s">
        <v>369</v>
      </c>
      <c r="C70" s="624"/>
      <c r="D70" s="626">
        <v>0</v>
      </c>
      <c r="E70" s="611">
        <v>41.82</v>
      </c>
      <c r="F70" s="678">
        <f t="shared" si="5"/>
        <v>41.82</v>
      </c>
      <c r="G70" s="683"/>
      <c r="H70" s="681">
        <f t="shared" si="12"/>
        <v>0</v>
      </c>
      <c r="I70" s="623">
        <f t="shared" si="13"/>
        <v>0</v>
      </c>
      <c r="J70" s="623"/>
      <c r="K70" s="627"/>
      <c r="L70" s="627"/>
      <c r="M70" s="627"/>
      <c r="N70" s="609">
        <v>0</v>
      </c>
      <c r="O70" s="610">
        <v>41.82</v>
      </c>
      <c r="P70" s="617" t="str">
        <f t="shared" si="14"/>
        <v>---</v>
      </c>
      <c r="Q70" s="618" t="str">
        <f t="shared" si="15"/>
        <v>---</v>
      </c>
      <c r="R70" s="485"/>
      <c r="S70" s="624" t="str">
        <f t="shared" si="16"/>
        <v>OK</v>
      </c>
      <c r="T70" s="434">
        <f>IF(+'2012 Rates'!O242&lt;'2012 Rates'!$B$11,'2012 Rates'!$B$11,+'2012 Rates'!O242)</f>
        <v>45.92</v>
      </c>
      <c r="U70" s="447">
        <f t="shared" si="4"/>
        <v>9.8039215686274606E-2</v>
      </c>
      <c r="V70" s="485"/>
      <c r="W70" s="623">
        <f>+G70*T70*12</f>
        <v>0</v>
      </c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  <c r="CU70" s="485"/>
      <c r="CV70" s="485"/>
      <c r="CW70" s="485"/>
      <c r="CX70" s="485"/>
      <c r="CY70" s="485"/>
      <c r="CZ70" s="485"/>
      <c r="DA70" s="485"/>
      <c r="DB70" s="485"/>
      <c r="DC70" s="485"/>
      <c r="DD70" s="485"/>
      <c r="DE70" s="485"/>
      <c r="DF70" s="485"/>
      <c r="DG70" s="485"/>
      <c r="DH70" s="485"/>
      <c r="DI70" s="485"/>
      <c r="DJ70" s="485"/>
      <c r="DK70" s="485"/>
      <c r="DL70" s="485"/>
      <c r="DM70" s="485"/>
      <c r="DN70" s="485"/>
      <c r="DO70" s="485"/>
      <c r="DP70" s="485"/>
      <c r="DQ70" s="485"/>
      <c r="DR70" s="485"/>
      <c r="DS70" s="485"/>
      <c r="DT70" s="485"/>
      <c r="DU70" s="485"/>
      <c r="DV70" s="485"/>
      <c r="DW70" s="485"/>
      <c r="DX70" s="485"/>
      <c r="DY70" s="485"/>
      <c r="DZ70" s="485"/>
      <c r="EA70" s="485"/>
      <c r="EB70" s="485"/>
      <c r="EC70" s="485"/>
      <c r="ED70" s="485"/>
      <c r="EE70" s="485"/>
      <c r="EF70" s="485"/>
      <c r="EG70" s="485"/>
      <c r="EH70" s="485"/>
      <c r="EI70" s="485"/>
      <c r="EJ70" s="485"/>
      <c r="EK70" s="485"/>
      <c r="EL70" s="485"/>
      <c r="EM70" s="485"/>
      <c r="EN70" s="485"/>
      <c r="EO70" s="485"/>
      <c r="EP70" s="485"/>
    </row>
    <row r="71" spans="1:146" ht="15.75">
      <c r="A71" s="473">
        <v>451</v>
      </c>
      <c r="B71" s="634" t="s">
        <v>370</v>
      </c>
      <c r="C71" s="624"/>
      <c r="D71" s="626">
        <v>0</v>
      </c>
      <c r="E71" s="611">
        <v>21.01</v>
      </c>
      <c r="F71" s="678">
        <f t="shared" si="5"/>
        <v>21.01</v>
      </c>
      <c r="G71" s="683"/>
      <c r="H71" s="681">
        <f t="shared" si="12"/>
        <v>0</v>
      </c>
      <c r="I71" s="623">
        <f t="shared" si="13"/>
        <v>0</v>
      </c>
      <c r="J71" s="623"/>
      <c r="K71" s="627"/>
      <c r="L71" s="627"/>
      <c r="M71" s="627"/>
      <c r="N71" s="609">
        <v>0</v>
      </c>
      <c r="O71" s="610">
        <v>21.01</v>
      </c>
      <c r="P71" s="617" t="str">
        <f t="shared" si="14"/>
        <v>---</v>
      </c>
      <c r="Q71" s="618" t="str">
        <f t="shared" si="15"/>
        <v>---</v>
      </c>
      <c r="R71" s="485"/>
      <c r="S71" s="624" t="str">
        <f t="shared" si="16"/>
        <v>OK</v>
      </c>
      <c r="T71" s="434">
        <f>IF(+'2012 Rates'!O243&lt;'2012 Rates'!$B$11,'2012 Rates'!$B$11,+'2012 Rates'!O243)</f>
        <v>23.07</v>
      </c>
      <c r="U71" s="447">
        <f t="shared" si="4"/>
        <v>9.8048548310328387E-2</v>
      </c>
      <c r="V71" s="485"/>
      <c r="W71" s="623">
        <f>+G71*T71*12</f>
        <v>0</v>
      </c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  <c r="CU71" s="485"/>
      <c r="CV71" s="485"/>
      <c r="CW71" s="485"/>
      <c r="CX71" s="485"/>
      <c r="CY71" s="485"/>
      <c r="CZ71" s="485"/>
      <c r="DA71" s="485"/>
      <c r="DB71" s="485"/>
      <c r="DC71" s="485"/>
      <c r="DD71" s="485"/>
      <c r="DE71" s="485"/>
      <c r="DF71" s="485"/>
      <c r="DG71" s="485"/>
      <c r="DH71" s="485"/>
      <c r="DI71" s="485"/>
      <c r="DJ71" s="485"/>
      <c r="DK71" s="485"/>
      <c r="DL71" s="485"/>
      <c r="DM71" s="485"/>
      <c r="DN71" s="485"/>
      <c r="DO71" s="485"/>
      <c r="DP71" s="485"/>
      <c r="DQ71" s="485"/>
      <c r="DR71" s="485"/>
      <c r="DS71" s="485"/>
      <c r="DT71" s="485"/>
      <c r="DU71" s="485"/>
      <c r="DV71" s="485"/>
      <c r="DW71" s="485"/>
      <c r="DX71" s="485"/>
      <c r="DY71" s="485"/>
      <c r="DZ71" s="485"/>
      <c r="EA71" s="485"/>
      <c r="EB71" s="485"/>
      <c r="EC71" s="485"/>
      <c r="ED71" s="485"/>
      <c r="EE71" s="485"/>
      <c r="EF71" s="485"/>
      <c r="EG71" s="485"/>
      <c r="EH71" s="485"/>
      <c r="EI71" s="485"/>
      <c r="EJ71" s="485"/>
      <c r="EK71" s="485"/>
      <c r="EL71" s="485"/>
      <c r="EM71" s="485"/>
      <c r="EN71" s="485"/>
      <c r="EO71" s="485"/>
      <c r="EP71" s="485"/>
    </row>
    <row r="72" spans="1:146" ht="15.75">
      <c r="A72" s="474">
        <v>452</v>
      </c>
      <c r="B72" s="632" t="s">
        <v>371</v>
      </c>
      <c r="C72" s="614">
        <v>1000</v>
      </c>
      <c r="D72" s="609">
        <v>363</v>
      </c>
      <c r="E72" s="610">
        <v>54.63</v>
      </c>
      <c r="F72" s="678">
        <f t="shared" si="5"/>
        <v>53.798730000000006</v>
      </c>
      <c r="G72" s="683">
        <v>9</v>
      </c>
      <c r="H72" s="664">
        <f t="shared" si="12"/>
        <v>39204</v>
      </c>
      <c r="I72" s="444">
        <f t="shared" si="13"/>
        <v>5900.04</v>
      </c>
      <c r="J72" s="444"/>
      <c r="K72" s="616">
        <v>1.0900000000000001</v>
      </c>
      <c r="L72" s="616">
        <f>G72*K72</f>
        <v>9.81</v>
      </c>
      <c r="M72" s="616"/>
      <c r="N72" s="609">
        <v>363</v>
      </c>
      <c r="O72" s="610">
        <v>54.629662691536709</v>
      </c>
      <c r="P72" s="617" t="str">
        <f t="shared" si="14"/>
        <v>---</v>
      </c>
      <c r="Q72" s="618">
        <f t="shared" si="15"/>
        <v>-3.373084632940504E-4</v>
      </c>
      <c r="R72" s="615"/>
      <c r="S72" s="614" t="str">
        <f t="shared" si="16"/>
        <v>OK</v>
      </c>
      <c r="T72" s="434">
        <f>IF(+'2012 Rates'!O244&lt;'2012 Rates'!$B$11,'2012 Rates'!$B$11,+'2012 Rates'!O244)</f>
        <v>60.230580094871883</v>
      </c>
      <c r="U72" s="447">
        <f t="shared" si="4"/>
        <v>0.11955393918911983</v>
      </c>
      <c r="V72" s="636" t="s">
        <v>372</v>
      </c>
      <c r="W72" s="623">
        <f>(+G72*T72*12)-X72</f>
        <v>5275.6228097809199</v>
      </c>
      <c r="X72" s="444">
        <f>(G72*('Schedule 2'!H15+'Schedule 4'!K43))*12</f>
        <v>1229.2798404652444</v>
      </c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  <c r="CU72" s="485"/>
      <c r="CV72" s="485"/>
      <c r="CW72" s="485"/>
      <c r="CX72" s="485"/>
      <c r="CY72" s="485"/>
      <c r="CZ72" s="485"/>
      <c r="DA72" s="485"/>
      <c r="DB72" s="485"/>
      <c r="DC72" s="485"/>
      <c r="DD72" s="485"/>
      <c r="DE72" s="485"/>
      <c r="DF72" s="485"/>
      <c r="DG72" s="485"/>
      <c r="DH72" s="485"/>
      <c r="DI72" s="485"/>
      <c r="DJ72" s="485"/>
      <c r="DK72" s="485"/>
      <c r="DL72" s="485"/>
      <c r="DM72" s="485"/>
      <c r="DN72" s="485"/>
      <c r="DO72" s="485"/>
      <c r="DP72" s="485"/>
      <c r="DQ72" s="485"/>
      <c r="DR72" s="485"/>
      <c r="DS72" s="485"/>
      <c r="DT72" s="485"/>
      <c r="DU72" s="485"/>
      <c r="DV72" s="485"/>
      <c r="DW72" s="485"/>
      <c r="DX72" s="485"/>
      <c r="DY72" s="485"/>
      <c r="DZ72" s="485"/>
      <c r="EA72" s="485"/>
      <c r="EB72" s="485"/>
      <c r="EC72" s="485"/>
      <c r="ED72" s="485"/>
      <c r="EE72" s="485"/>
      <c r="EF72" s="485"/>
      <c r="EG72" s="485"/>
      <c r="EH72" s="485"/>
      <c r="EI72" s="485"/>
      <c r="EJ72" s="485"/>
      <c r="EK72" s="485"/>
      <c r="EL72" s="485"/>
      <c r="EM72" s="485"/>
      <c r="EN72" s="485"/>
      <c r="EO72" s="485"/>
      <c r="EP72" s="485"/>
    </row>
    <row r="73" spans="1:146" ht="15.75">
      <c r="A73" s="473">
        <v>453</v>
      </c>
      <c r="B73" s="634" t="s">
        <v>373</v>
      </c>
      <c r="C73" s="624"/>
      <c r="D73" s="626">
        <v>0</v>
      </c>
      <c r="E73" s="611">
        <v>24.38</v>
      </c>
      <c r="F73" s="678">
        <f t="shared" si="5"/>
        <v>24.38</v>
      </c>
      <c r="G73" s="683">
        <v>3</v>
      </c>
      <c r="H73" s="681">
        <f t="shared" si="12"/>
        <v>0</v>
      </c>
      <c r="I73" s="623">
        <f t="shared" si="13"/>
        <v>877.68000000000006</v>
      </c>
      <c r="J73" s="623"/>
      <c r="K73" s="627"/>
      <c r="L73" s="627"/>
      <c r="M73" s="627"/>
      <c r="N73" s="609">
        <v>0</v>
      </c>
      <c r="O73" s="610">
        <v>24.38</v>
      </c>
      <c r="P73" s="617" t="str">
        <f t="shared" si="14"/>
        <v>---</v>
      </c>
      <c r="Q73" s="618" t="str">
        <f t="shared" si="15"/>
        <v>---</v>
      </c>
      <c r="R73" s="485"/>
      <c r="S73" s="624" t="str">
        <f t="shared" si="16"/>
        <v>OK</v>
      </c>
      <c r="T73" s="434">
        <f>IF(+'2012 Rates'!O246&lt;'2012 Rates'!$B$11,'2012 Rates'!$B$11,+'2012 Rates'!O246)</f>
        <v>26.77</v>
      </c>
      <c r="U73" s="447">
        <f t="shared" si="4"/>
        <v>9.8031173092699042E-2</v>
      </c>
      <c r="V73" s="485"/>
      <c r="W73" s="623">
        <f t="shared" ref="W73:W94" si="17">+G73*T73*12</f>
        <v>963.72</v>
      </c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  <c r="CU73" s="485"/>
      <c r="CV73" s="485"/>
      <c r="CW73" s="485"/>
      <c r="CX73" s="485"/>
      <c r="CY73" s="485"/>
      <c r="CZ73" s="485"/>
      <c r="DA73" s="485"/>
      <c r="DB73" s="485"/>
      <c r="DC73" s="485"/>
      <c r="DD73" s="485"/>
      <c r="DE73" s="485"/>
      <c r="DF73" s="485"/>
      <c r="DG73" s="485"/>
      <c r="DH73" s="485"/>
      <c r="DI73" s="485"/>
      <c r="DJ73" s="485"/>
      <c r="DK73" s="485"/>
      <c r="DL73" s="485"/>
      <c r="DM73" s="485"/>
      <c r="DN73" s="485"/>
      <c r="DO73" s="485"/>
      <c r="DP73" s="485"/>
      <c r="DQ73" s="485"/>
      <c r="DR73" s="485"/>
      <c r="DS73" s="485"/>
      <c r="DT73" s="485"/>
      <c r="DU73" s="485"/>
      <c r="DV73" s="485"/>
      <c r="DW73" s="485"/>
      <c r="DX73" s="485"/>
      <c r="DY73" s="485"/>
      <c r="DZ73" s="485"/>
      <c r="EA73" s="485"/>
      <c r="EB73" s="485"/>
      <c r="EC73" s="485"/>
      <c r="ED73" s="485"/>
      <c r="EE73" s="485"/>
      <c r="EF73" s="485"/>
      <c r="EG73" s="485"/>
      <c r="EH73" s="485"/>
      <c r="EI73" s="485"/>
      <c r="EJ73" s="485"/>
      <c r="EK73" s="485"/>
      <c r="EL73" s="485"/>
      <c r="EM73" s="485"/>
      <c r="EN73" s="485"/>
      <c r="EO73" s="485"/>
      <c r="EP73" s="485"/>
    </row>
    <row r="74" spans="1:146" ht="15.75">
      <c r="A74" s="473">
        <v>454</v>
      </c>
      <c r="B74" s="634" t="s">
        <v>373</v>
      </c>
      <c r="C74" s="624"/>
      <c r="D74" s="626">
        <v>0</v>
      </c>
      <c r="E74" s="611">
        <v>31.12</v>
      </c>
      <c r="F74" s="678">
        <f t="shared" si="5"/>
        <v>31.12</v>
      </c>
      <c r="G74" s="683">
        <v>1</v>
      </c>
      <c r="H74" s="681">
        <f t="shared" si="12"/>
        <v>0</v>
      </c>
      <c r="I74" s="623">
        <f t="shared" si="13"/>
        <v>373.44</v>
      </c>
      <c r="J74" s="623"/>
      <c r="K74" s="627"/>
      <c r="L74" s="627"/>
      <c r="M74" s="627"/>
      <c r="N74" s="609">
        <v>0</v>
      </c>
      <c r="O74" s="610">
        <v>31.12</v>
      </c>
      <c r="P74" s="617" t="str">
        <f t="shared" si="14"/>
        <v>---</v>
      </c>
      <c r="Q74" s="618" t="str">
        <f t="shared" si="15"/>
        <v>---</v>
      </c>
      <c r="R74" s="485"/>
      <c r="S74" s="624" t="str">
        <f t="shared" si="16"/>
        <v>OK</v>
      </c>
      <c r="T74" s="434">
        <f>IF(+'2012 Rates'!O247&lt;'2012 Rates'!$B$11,'2012 Rates'!$B$11,+'2012 Rates'!O247)</f>
        <v>34.17</v>
      </c>
      <c r="U74" s="447">
        <f t="shared" si="4"/>
        <v>9.8007712082262222E-2</v>
      </c>
      <c r="V74" s="485"/>
      <c r="W74" s="623">
        <f t="shared" si="17"/>
        <v>410.04</v>
      </c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  <c r="CU74" s="485"/>
      <c r="CV74" s="485"/>
      <c r="CW74" s="485"/>
      <c r="CX74" s="485"/>
      <c r="CY74" s="485"/>
      <c r="CZ74" s="485"/>
      <c r="DA74" s="485"/>
      <c r="DB74" s="485"/>
      <c r="DC74" s="485"/>
      <c r="DD74" s="485"/>
      <c r="DE74" s="485"/>
      <c r="DF74" s="485"/>
      <c r="DG74" s="485"/>
      <c r="DH74" s="485"/>
      <c r="DI74" s="485"/>
      <c r="DJ74" s="485"/>
      <c r="DK74" s="485"/>
      <c r="DL74" s="485"/>
      <c r="DM74" s="485"/>
      <c r="DN74" s="485"/>
      <c r="DO74" s="485"/>
      <c r="DP74" s="485"/>
      <c r="DQ74" s="485"/>
      <c r="DR74" s="485"/>
      <c r="DS74" s="485"/>
      <c r="DT74" s="485"/>
      <c r="DU74" s="485"/>
      <c r="DV74" s="485"/>
      <c r="DW74" s="485"/>
      <c r="DX74" s="485"/>
      <c r="DY74" s="485"/>
      <c r="DZ74" s="485"/>
      <c r="EA74" s="485"/>
      <c r="EB74" s="485"/>
      <c r="EC74" s="485"/>
      <c r="ED74" s="485"/>
      <c r="EE74" s="485"/>
      <c r="EF74" s="485"/>
      <c r="EG74" s="485"/>
      <c r="EH74" s="485"/>
      <c r="EI74" s="485"/>
      <c r="EJ74" s="485"/>
      <c r="EK74" s="485"/>
      <c r="EL74" s="485"/>
      <c r="EM74" s="485"/>
      <c r="EN74" s="485"/>
      <c r="EO74" s="485"/>
      <c r="EP74" s="485"/>
    </row>
    <row r="75" spans="1:146" ht="15.75">
      <c r="A75" s="473">
        <v>455</v>
      </c>
      <c r="B75" s="634" t="s">
        <v>373</v>
      </c>
      <c r="C75" s="624"/>
      <c r="D75" s="626">
        <v>0</v>
      </c>
      <c r="E75" s="611">
        <v>38.01</v>
      </c>
      <c r="F75" s="678">
        <f t="shared" si="5"/>
        <v>38.01</v>
      </c>
      <c r="G75" s="683"/>
      <c r="H75" s="681">
        <f t="shared" si="12"/>
        <v>0</v>
      </c>
      <c r="I75" s="623">
        <f t="shared" si="13"/>
        <v>0</v>
      </c>
      <c r="J75" s="623"/>
      <c r="K75" s="627"/>
      <c r="L75" s="627"/>
      <c r="M75" s="627"/>
      <c r="N75" s="609">
        <v>0</v>
      </c>
      <c r="O75" s="610">
        <v>38.01</v>
      </c>
      <c r="P75" s="617" t="str">
        <f t="shared" si="14"/>
        <v>---</v>
      </c>
      <c r="Q75" s="618" t="str">
        <f t="shared" si="15"/>
        <v>---</v>
      </c>
      <c r="R75" s="485"/>
      <c r="S75" s="624" t="str">
        <f t="shared" si="16"/>
        <v>OK</v>
      </c>
      <c r="T75" s="434">
        <f>IF(+'2012 Rates'!O248&lt;'2012 Rates'!$B$11,'2012 Rates'!$B$11,+'2012 Rates'!O248)</f>
        <v>41.74</v>
      </c>
      <c r="U75" s="447">
        <f t="shared" si="4"/>
        <v>9.8132070507761293E-2</v>
      </c>
      <c r="V75" s="485"/>
      <c r="W75" s="623">
        <f t="shared" si="17"/>
        <v>0</v>
      </c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  <c r="CU75" s="485"/>
      <c r="CV75" s="485"/>
      <c r="CW75" s="485"/>
      <c r="CX75" s="485"/>
      <c r="CY75" s="485"/>
      <c r="CZ75" s="485"/>
      <c r="DA75" s="485"/>
      <c r="DB75" s="485"/>
      <c r="DC75" s="485"/>
      <c r="DD75" s="485"/>
      <c r="DE75" s="485"/>
      <c r="DF75" s="485"/>
      <c r="DG75" s="485"/>
      <c r="DH75" s="485"/>
      <c r="DI75" s="485"/>
      <c r="DJ75" s="485"/>
      <c r="DK75" s="485"/>
      <c r="DL75" s="485"/>
      <c r="DM75" s="485"/>
      <c r="DN75" s="485"/>
      <c r="DO75" s="485"/>
      <c r="DP75" s="485"/>
      <c r="DQ75" s="485"/>
      <c r="DR75" s="485"/>
      <c r="DS75" s="485"/>
      <c r="DT75" s="485"/>
      <c r="DU75" s="485"/>
      <c r="DV75" s="485"/>
      <c r="DW75" s="485"/>
      <c r="DX75" s="485"/>
      <c r="DY75" s="485"/>
      <c r="DZ75" s="485"/>
      <c r="EA75" s="485"/>
      <c r="EB75" s="485"/>
      <c r="EC75" s="485"/>
      <c r="ED75" s="485"/>
      <c r="EE75" s="485"/>
      <c r="EF75" s="485"/>
      <c r="EG75" s="485"/>
      <c r="EH75" s="485"/>
      <c r="EI75" s="485"/>
      <c r="EJ75" s="485"/>
      <c r="EK75" s="485"/>
      <c r="EL75" s="485"/>
      <c r="EM75" s="485"/>
      <c r="EN75" s="485"/>
      <c r="EO75" s="485"/>
      <c r="EP75" s="485"/>
    </row>
    <row r="76" spans="1:146" ht="15.75">
      <c r="A76" s="473">
        <v>456</v>
      </c>
      <c r="B76" s="634" t="s">
        <v>373</v>
      </c>
      <c r="C76" s="624"/>
      <c r="D76" s="626">
        <v>0</v>
      </c>
      <c r="E76" s="611">
        <v>7.97</v>
      </c>
      <c r="F76" s="678">
        <f t="shared" si="5"/>
        <v>7.97</v>
      </c>
      <c r="G76" s="683">
        <v>1</v>
      </c>
      <c r="H76" s="681">
        <f t="shared" si="12"/>
        <v>0</v>
      </c>
      <c r="I76" s="623">
        <f t="shared" si="13"/>
        <v>95.64</v>
      </c>
      <c r="J76" s="623"/>
      <c r="K76" s="627"/>
      <c r="L76" s="627"/>
      <c r="M76" s="627"/>
      <c r="N76" s="609">
        <v>0</v>
      </c>
      <c r="O76" s="610">
        <v>7.97</v>
      </c>
      <c r="P76" s="617" t="str">
        <f t="shared" si="14"/>
        <v>---</v>
      </c>
      <c r="Q76" s="618" t="str">
        <f t="shared" si="15"/>
        <v>---</v>
      </c>
      <c r="R76" s="485"/>
      <c r="S76" s="624" t="str">
        <f t="shared" si="16"/>
        <v>OK</v>
      </c>
      <c r="T76" s="434">
        <f>IF(+'2012 Rates'!O249&lt;'2012 Rates'!$B$11,'2012 Rates'!$B$11,+'2012 Rates'!O249)</f>
        <v>8.75</v>
      </c>
      <c r="U76" s="447">
        <f t="shared" si="4"/>
        <v>9.7867001254705155E-2</v>
      </c>
      <c r="V76" s="485"/>
      <c r="W76" s="623">
        <f t="shared" si="17"/>
        <v>105</v>
      </c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  <c r="CU76" s="485"/>
      <c r="CV76" s="485"/>
      <c r="CW76" s="485"/>
      <c r="CX76" s="485"/>
      <c r="CY76" s="485"/>
      <c r="CZ76" s="485"/>
      <c r="DA76" s="485"/>
      <c r="DB76" s="485"/>
      <c r="DC76" s="485"/>
      <c r="DD76" s="485"/>
      <c r="DE76" s="485"/>
      <c r="DF76" s="485"/>
      <c r="DG76" s="485"/>
      <c r="DH76" s="485"/>
      <c r="DI76" s="485"/>
      <c r="DJ76" s="485"/>
      <c r="DK76" s="485"/>
      <c r="DL76" s="485"/>
      <c r="DM76" s="485"/>
      <c r="DN76" s="485"/>
      <c r="DO76" s="485"/>
      <c r="DP76" s="485"/>
      <c r="DQ76" s="485"/>
      <c r="DR76" s="485"/>
      <c r="DS76" s="485"/>
      <c r="DT76" s="485"/>
      <c r="DU76" s="485"/>
      <c r="DV76" s="485"/>
      <c r="DW76" s="485"/>
      <c r="DX76" s="485"/>
      <c r="DY76" s="485"/>
      <c r="DZ76" s="485"/>
      <c r="EA76" s="485"/>
      <c r="EB76" s="485"/>
      <c r="EC76" s="485"/>
      <c r="ED76" s="485"/>
      <c r="EE76" s="485"/>
      <c r="EF76" s="485"/>
      <c r="EG76" s="485"/>
      <c r="EH76" s="485"/>
      <c r="EI76" s="485"/>
      <c r="EJ76" s="485"/>
      <c r="EK76" s="485"/>
      <c r="EL76" s="485"/>
      <c r="EM76" s="485"/>
      <c r="EN76" s="485"/>
      <c r="EO76" s="485"/>
      <c r="EP76" s="485"/>
    </row>
    <row r="77" spans="1:146" ht="15.75">
      <c r="A77" s="473">
        <v>457</v>
      </c>
      <c r="B77" s="634" t="s">
        <v>373</v>
      </c>
      <c r="C77" s="624"/>
      <c r="D77" s="626">
        <v>0</v>
      </c>
      <c r="E77" s="611">
        <v>42.15</v>
      </c>
      <c r="F77" s="678">
        <f t="shared" si="5"/>
        <v>42.15</v>
      </c>
      <c r="G77" s="683">
        <v>1</v>
      </c>
      <c r="H77" s="681">
        <f t="shared" si="12"/>
        <v>0</v>
      </c>
      <c r="I77" s="623">
        <f t="shared" si="13"/>
        <v>505.79999999999995</v>
      </c>
      <c r="J77" s="623"/>
      <c r="K77" s="627"/>
      <c r="L77" s="627"/>
      <c r="M77" s="627"/>
      <c r="N77" s="609">
        <v>0</v>
      </c>
      <c r="O77" s="610">
        <v>42.15</v>
      </c>
      <c r="P77" s="617" t="str">
        <f t="shared" si="14"/>
        <v>---</v>
      </c>
      <c r="Q77" s="618" t="str">
        <f t="shared" si="15"/>
        <v>---</v>
      </c>
      <c r="R77" s="485"/>
      <c r="S77" s="624" t="str">
        <f t="shared" si="16"/>
        <v>OK</v>
      </c>
      <c r="T77" s="434">
        <f>IF(+'2012 Rates'!O250&lt;'2012 Rates'!$B$11,'2012 Rates'!$B$11,+'2012 Rates'!O250)</f>
        <v>46.29</v>
      </c>
      <c r="U77" s="447">
        <f t="shared" si="4"/>
        <v>9.8220640569395057E-2</v>
      </c>
      <c r="V77" s="485"/>
      <c r="W77" s="623">
        <f t="shared" si="17"/>
        <v>555.48</v>
      </c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  <c r="CU77" s="485"/>
      <c r="CV77" s="485"/>
      <c r="CW77" s="485"/>
      <c r="CX77" s="485"/>
      <c r="CY77" s="485"/>
      <c r="CZ77" s="485"/>
      <c r="DA77" s="485"/>
      <c r="DB77" s="485"/>
      <c r="DC77" s="485"/>
      <c r="DD77" s="485"/>
      <c r="DE77" s="485"/>
      <c r="DF77" s="485"/>
      <c r="DG77" s="485"/>
      <c r="DH77" s="485"/>
      <c r="DI77" s="485"/>
      <c r="DJ77" s="485"/>
      <c r="DK77" s="485"/>
      <c r="DL77" s="485"/>
      <c r="DM77" s="485"/>
      <c r="DN77" s="485"/>
      <c r="DO77" s="485"/>
      <c r="DP77" s="485"/>
      <c r="DQ77" s="485"/>
      <c r="DR77" s="485"/>
      <c r="DS77" s="485"/>
      <c r="DT77" s="485"/>
      <c r="DU77" s="485"/>
      <c r="DV77" s="485"/>
      <c r="DW77" s="485"/>
      <c r="DX77" s="485"/>
      <c r="DY77" s="485"/>
      <c r="DZ77" s="485"/>
      <c r="EA77" s="485"/>
      <c r="EB77" s="485"/>
      <c r="EC77" s="485"/>
      <c r="ED77" s="485"/>
      <c r="EE77" s="485"/>
      <c r="EF77" s="485"/>
      <c r="EG77" s="485"/>
      <c r="EH77" s="485"/>
      <c r="EI77" s="485"/>
      <c r="EJ77" s="485"/>
      <c r="EK77" s="485"/>
      <c r="EL77" s="485"/>
      <c r="EM77" s="485"/>
      <c r="EN77" s="485"/>
      <c r="EO77" s="485"/>
      <c r="EP77" s="485"/>
    </row>
    <row r="78" spans="1:146" ht="15.75">
      <c r="A78" s="473">
        <v>458</v>
      </c>
      <c r="B78" s="634" t="s">
        <v>373</v>
      </c>
      <c r="C78" s="624"/>
      <c r="D78" s="626">
        <v>0</v>
      </c>
      <c r="E78" s="611">
        <v>16.399999999999999</v>
      </c>
      <c r="F78" s="678">
        <f>E78-(D78*$C$10)</f>
        <v>16.399999999999999</v>
      </c>
      <c r="G78" s="683"/>
      <c r="H78" s="681">
        <f t="shared" si="12"/>
        <v>0</v>
      </c>
      <c r="I78" s="623">
        <f t="shared" si="13"/>
        <v>0</v>
      </c>
      <c r="J78" s="623"/>
      <c r="K78" s="627"/>
      <c r="L78" s="627"/>
      <c r="M78" s="627"/>
      <c r="N78" s="609">
        <v>0</v>
      </c>
      <c r="O78" s="610">
        <v>16.399999999999999</v>
      </c>
      <c r="P78" s="617" t="str">
        <f t="shared" si="14"/>
        <v>---</v>
      </c>
      <c r="Q78" s="618" t="str">
        <f t="shared" si="15"/>
        <v>---</v>
      </c>
      <c r="R78" s="485"/>
      <c r="S78" s="624" t="str">
        <f t="shared" si="16"/>
        <v>OK</v>
      </c>
      <c r="T78" s="434">
        <f>IF(+'2012 Rates'!O251&lt;'2012 Rates'!$B$11,'2012 Rates'!$B$11,+'2012 Rates'!O251)</f>
        <v>18.010000000000002</v>
      </c>
      <c r="U78" s="447">
        <f t="shared" si="4"/>
        <v>9.8170731707317271E-2</v>
      </c>
      <c r="V78" s="485"/>
      <c r="W78" s="623">
        <f t="shared" si="17"/>
        <v>0</v>
      </c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  <c r="CU78" s="485"/>
      <c r="CV78" s="485"/>
      <c r="CW78" s="485"/>
      <c r="CX78" s="485"/>
      <c r="CY78" s="485"/>
      <c r="CZ78" s="485"/>
      <c r="DA78" s="485"/>
      <c r="DB78" s="485"/>
      <c r="DC78" s="485"/>
      <c r="DD78" s="485"/>
      <c r="DE78" s="485"/>
      <c r="DF78" s="485"/>
      <c r="DG78" s="485"/>
      <c r="DH78" s="485"/>
      <c r="DI78" s="485"/>
      <c r="DJ78" s="485"/>
      <c r="DK78" s="485"/>
      <c r="DL78" s="485"/>
      <c r="DM78" s="485"/>
      <c r="DN78" s="485"/>
      <c r="DO78" s="485"/>
      <c r="DP78" s="485"/>
      <c r="DQ78" s="485"/>
      <c r="DR78" s="485"/>
      <c r="DS78" s="485"/>
      <c r="DT78" s="485"/>
      <c r="DU78" s="485"/>
      <c r="DV78" s="485"/>
      <c r="DW78" s="485"/>
      <c r="DX78" s="485"/>
      <c r="DY78" s="485"/>
      <c r="DZ78" s="485"/>
      <c r="EA78" s="485"/>
      <c r="EB78" s="485"/>
      <c r="EC78" s="485"/>
      <c r="ED78" s="485"/>
      <c r="EE78" s="485"/>
      <c r="EF78" s="485"/>
      <c r="EG78" s="485"/>
      <c r="EH78" s="485"/>
      <c r="EI78" s="485"/>
      <c r="EJ78" s="485"/>
      <c r="EK78" s="485"/>
      <c r="EL78" s="485"/>
      <c r="EM78" s="485"/>
      <c r="EN78" s="485"/>
      <c r="EO78" s="485"/>
      <c r="EP78" s="485"/>
    </row>
    <row r="79" spans="1:146" ht="15.75">
      <c r="A79" s="473">
        <v>459</v>
      </c>
      <c r="B79" s="634" t="s">
        <v>373</v>
      </c>
      <c r="C79" s="624"/>
      <c r="D79" s="626">
        <v>0</v>
      </c>
      <c r="E79" s="611">
        <v>14.05</v>
      </c>
      <c r="F79" s="678">
        <f t="shared" ref="F79:F141" si="18">E79-(D79*$C$10)</f>
        <v>14.05</v>
      </c>
      <c r="G79" s="683">
        <v>1</v>
      </c>
      <c r="H79" s="681">
        <f t="shared" si="12"/>
        <v>0</v>
      </c>
      <c r="I79" s="623">
        <f t="shared" si="13"/>
        <v>168.60000000000002</v>
      </c>
      <c r="J79" s="623"/>
      <c r="K79" s="627"/>
      <c r="L79" s="627"/>
      <c r="M79" s="627"/>
      <c r="N79" s="609">
        <v>0</v>
      </c>
      <c r="O79" s="610">
        <v>14.05</v>
      </c>
      <c r="P79" s="617" t="str">
        <f t="shared" si="14"/>
        <v>---</v>
      </c>
      <c r="Q79" s="618" t="str">
        <f t="shared" si="15"/>
        <v>---</v>
      </c>
      <c r="R79" s="485"/>
      <c r="S79" s="624" t="str">
        <f t="shared" si="16"/>
        <v>OK</v>
      </c>
      <c r="T79" s="434">
        <f>IF(+'2012 Rates'!O252&lt;'2012 Rates'!$B$11,'2012 Rates'!$B$11,+'2012 Rates'!O252)</f>
        <v>15.43</v>
      </c>
      <c r="U79" s="447">
        <f t="shared" ref="U79:U141" si="19">+T79/F79-1</f>
        <v>9.8220640569394835E-2</v>
      </c>
      <c r="V79" s="485"/>
      <c r="W79" s="623">
        <f t="shared" si="17"/>
        <v>185.16</v>
      </c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  <c r="CU79" s="485"/>
      <c r="CV79" s="485"/>
      <c r="CW79" s="485"/>
      <c r="CX79" s="485"/>
      <c r="CY79" s="485"/>
      <c r="CZ79" s="485"/>
      <c r="DA79" s="485"/>
      <c r="DB79" s="485"/>
      <c r="DC79" s="485"/>
      <c r="DD79" s="485"/>
      <c r="DE79" s="485"/>
      <c r="DF79" s="485"/>
      <c r="DG79" s="485"/>
      <c r="DH79" s="485"/>
      <c r="DI79" s="485"/>
      <c r="DJ79" s="485"/>
      <c r="DK79" s="485"/>
      <c r="DL79" s="485"/>
      <c r="DM79" s="485"/>
      <c r="DN79" s="485"/>
      <c r="DO79" s="485"/>
      <c r="DP79" s="485"/>
      <c r="DQ79" s="485"/>
      <c r="DR79" s="485"/>
      <c r="DS79" s="485"/>
      <c r="DT79" s="485"/>
      <c r="DU79" s="485"/>
      <c r="DV79" s="485"/>
      <c r="DW79" s="485"/>
      <c r="DX79" s="485"/>
      <c r="DY79" s="485"/>
      <c r="DZ79" s="485"/>
      <c r="EA79" s="485"/>
      <c r="EB79" s="485"/>
      <c r="EC79" s="485"/>
      <c r="ED79" s="485"/>
      <c r="EE79" s="485"/>
      <c r="EF79" s="485"/>
      <c r="EG79" s="485"/>
      <c r="EH79" s="485"/>
      <c r="EI79" s="485"/>
      <c r="EJ79" s="485"/>
      <c r="EK79" s="485"/>
      <c r="EL79" s="485"/>
      <c r="EM79" s="485"/>
      <c r="EN79" s="485"/>
      <c r="EO79" s="485"/>
      <c r="EP79" s="485"/>
    </row>
    <row r="80" spans="1:146" ht="15.75">
      <c r="A80" s="473">
        <v>460</v>
      </c>
      <c r="B80" s="634" t="s">
        <v>373</v>
      </c>
      <c r="C80" s="624"/>
      <c r="D80" s="626">
        <v>0</v>
      </c>
      <c r="E80" s="611">
        <v>9.8000000000000007</v>
      </c>
      <c r="F80" s="678">
        <f t="shared" si="18"/>
        <v>9.8000000000000007</v>
      </c>
      <c r="G80" s="683"/>
      <c r="H80" s="681">
        <f t="shared" si="12"/>
        <v>0</v>
      </c>
      <c r="I80" s="623">
        <f t="shared" si="13"/>
        <v>0</v>
      </c>
      <c r="J80" s="623"/>
      <c r="K80" s="627"/>
      <c r="L80" s="627"/>
      <c r="M80" s="627"/>
      <c r="N80" s="609">
        <v>0</v>
      </c>
      <c r="O80" s="610">
        <v>9.8000000000000007</v>
      </c>
      <c r="P80" s="617" t="str">
        <f t="shared" si="14"/>
        <v>---</v>
      </c>
      <c r="Q80" s="618" t="str">
        <f t="shared" si="15"/>
        <v>---</v>
      </c>
      <c r="R80" s="485"/>
      <c r="S80" s="624" t="str">
        <f t="shared" si="16"/>
        <v>OK</v>
      </c>
      <c r="T80" s="434">
        <f>IF(+'2012 Rates'!O253&lt;'2012 Rates'!$B$11,'2012 Rates'!$B$11,+'2012 Rates'!O253)</f>
        <v>10.76</v>
      </c>
      <c r="U80" s="447">
        <f t="shared" si="19"/>
        <v>9.795918367346923E-2</v>
      </c>
      <c r="V80" s="485"/>
      <c r="W80" s="623">
        <f t="shared" si="17"/>
        <v>0</v>
      </c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  <c r="CU80" s="485"/>
      <c r="CV80" s="485"/>
      <c r="CW80" s="485"/>
      <c r="CX80" s="485"/>
      <c r="CY80" s="485"/>
      <c r="CZ80" s="485"/>
      <c r="DA80" s="485"/>
      <c r="DB80" s="485"/>
      <c r="DC80" s="485"/>
      <c r="DD80" s="485"/>
      <c r="DE80" s="485"/>
      <c r="DF80" s="485"/>
      <c r="DG80" s="485"/>
      <c r="DH80" s="485"/>
      <c r="DI80" s="485"/>
      <c r="DJ80" s="485"/>
      <c r="DK80" s="485"/>
      <c r="DL80" s="485"/>
      <c r="DM80" s="485"/>
      <c r="DN80" s="485"/>
      <c r="DO80" s="485"/>
      <c r="DP80" s="485"/>
      <c r="DQ80" s="485"/>
      <c r="DR80" s="485"/>
      <c r="DS80" s="485"/>
      <c r="DT80" s="485"/>
      <c r="DU80" s="485"/>
      <c r="DV80" s="485"/>
      <c r="DW80" s="485"/>
      <c r="DX80" s="485"/>
      <c r="DY80" s="485"/>
      <c r="DZ80" s="485"/>
      <c r="EA80" s="485"/>
      <c r="EB80" s="485"/>
      <c r="EC80" s="485"/>
      <c r="ED80" s="485"/>
      <c r="EE80" s="485"/>
      <c r="EF80" s="485"/>
      <c r="EG80" s="485"/>
      <c r="EH80" s="485"/>
      <c r="EI80" s="485"/>
      <c r="EJ80" s="485"/>
      <c r="EK80" s="485"/>
      <c r="EL80" s="485"/>
      <c r="EM80" s="485"/>
      <c r="EN80" s="485"/>
      <c r="EO80" s="485"/>
      <c r="EP80" s="485"/>
    </row>
    <row r="81" spans="1:146" ht="15.75">
      <c r="A81" s="473">
        <v>461</v>
      </c>
      <c r="B81" s="634" t="s">
        <v>374</v>
      </c>
      <c r="C81" s="624"/>
      <c r="D81" s="626">
        <v>0</v>
      </c>
      <c r="E81" s="611">
        <v>22.58</v>
      </c>
      <c r="F81" s="678">
        <f t="shared" si="18"/>
        <v>22.58</v>
      </c>
      <c r="G81" s="683"/>
      <c r="H81" s="681">
        <f t="shared" si="12"/>
        <v>0</v>
      </c>
      <c r="I81" s="623">
        <f t="shared" si="13"/>
        <v>0</v>
      </c>
      <c r="J81" s="623"/>
      <c r="K81" s="627"/>
      <c r="L81" s="627"/>
      <c r="M81" s="627"/>
      <c r="N81" s="609">
        <v>0</v>
      </c>
      <c r="O81" s="610">
        <v>22.58</v>
      </c>
      <c r="P81" s="617" t="str">
        <f t="shared" si="14"/>
        <v>---</v>
      </c>
      <c r="Q81" s="618" t="str">
        <f t="shared" si="15"/>
        <v>---</v>
      </c>
      <c r="R81" s="485"/>
      <c r="S81" s="624" t="str">
        <f t="shared" si="16"/>
        <v>OK</v>
      </c>
      <c r="T81" s="434">
        <f>IF(+'2012 Rates'!O254&lt;'2012 Rates'!$B$11,'2012 Rates'!$B$11,+'2012 Rates'!O254)</f>
        <v>24.8</v>
      </c>
      <c r="U81" s="447">
        <f t="shared" si="19"/>
        <v>9.8317094774136526E-2</v>
      </c>
      <c r="V81" s="485"/>
      <c r="W81" s="623">
        <f t="shared" si="17"/>
        <v>0</v>
      </c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  <c r="CU81" s="485"/>
      <c r="CV81" s="485"/>
      <c r="CW81" s="485"/>
      <c r="CX81" s="485"/>
      <c r="CY81" s="485"/>
      <c r="CZ81" s="485"/>
      <c r="DA81" s="485"/>
      <c r="DB81" s="485"/>
      <c r="DC81" s="485"/>
      <c r="DD81" s="485"/>
      <c r="DE81" s="485"/>
      <c r="DF81" s="485"/>
      <c r="DG81" s="485"/>
      <c r="DH81" s="485"/>
      <c r="DI81" s="485"/>
      <c r="DJ81" s="485"/>
      <c r="DK81" s="485"/>
      <c r="DL81" s="485"/>
      <c r="DM81" s="485"/>
      <c r="DN81" s="485"/>
      <c r="DO81" s="485"/>
      <c r="DP81" s="485"/>
      <c r="DQ81" s="485"/>
      <c r="DR81" s="485"/>
      <c r="DS81" s="485"/>
      <c r="DT81" s="485"/>
      <c r="DU81" s="485"/>
      <c r="DV81" s="485"/>
      <c r="DW81" s="485"/>
      <c r="DX81" s="485"/>
      <c r="DY81" s="485"/>
      <c r="DZ81" s="485"/>
      <c r="EA81" s="485"/>
      <c r="EB81" s="485"/>
      <c r="EC81" s="485"/>
      <c r="ED81" s="485"/>
      <c r="EE81" s="485"/>
      <c r="EF81" s="485"/>
      <c r="EG81" s="485"/>
      <c r="EH81" s="485"/>
      <c r="EI81" s="485"/>
      <c r="EJ81" s="485"/>
      <c r="EK81" s="485"/>
      <c r="EL81" s="485"/>
      <c r="EM81" s="485"/>
      <c r="EN81" s="485"/>
      <c r="EO81" s="485"/>
      <c r="EP81" s="485"/>
    </row>
    <row r="82" spans="1:146" ht="15.75">
      <c r="A82" s="473">
        <v>462</v>
      </c>
      <c r="B82" s="634" t="s">
        <v>374</v>
      </c>
      <c r="C82" s="624"/>
      <c r="D82" s="626">
        <v>0</v>
      </c>
      <c r="E82" s="611">
        <v>4.8</v>
      </c>
      <c r="F82" s="678">
        <f t="shared" si="18"/>
        <v>4.8</v>
      </c>
      <c r="G82" s="683">
        <v>2</v>
      </c>
      <c r="H82" s="681">
        <f t="shared" si="12"/>
        <v>0</v>
      </c>
      <c r="I82" s="623">
        <f t="shared" si="13"/>
        <v>115.19999999999999</v>
      </c>
      <c r="J82" s="623"/>
      <c r="K82" s="627"/>
      <c r="L82" s="627"/>
      <c r="M82" s="627"/>
      <c r="N82" s="609">
        <v>0</v>
      </c>
      <c r="O82" s="610">
        <v>4.8</v>
      </c>
      <c r="P82" s="617" t="str">
        <f t="shared" si="14"/>
        <v>---</v>
      </c>
      <c r="Q82" s="618" t="str">
        <f t="shared" si="15"/>
        <v>---</v>
      </c>
      <c r="R82" s="485"/>
      <c r="S82" s="624" t="str">
        <f t="shared" si="16"/>
        <v>OK</v>
      </c>
      <c r="T82" s="434">
        <f>IF(+'2012 Rates'!O255&lt;'2012 Rates'!$B$11,'2012 Rates'!$B$11,+'2012 Rates'!O255)</f>
        <v>5.27</v>
      </c>
      <c r="U82" s="447">
        <f t="shared" si="19"/>
        <v>9.7916666666666652E-2</v>
      </c>
      <c r="V82" s="485"/>
      <c r="W82" s="623">
        <f t="shared" si="17"/>
        <v>126.47999999999999</v>
      </c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  <c r="CU82" s="485"/>
      <c r="CV82" s="485"/>
      <c r="CW82" s="485"/>
      <c r="CX82" s="485"/>
      <c r="CY82" s="485"/>
      <c r="CZ82" s="485"/>
      <c r="DA82" s="485"/>
      <c r="DB82" s="485"/>
      <c r="DC82" s="485"/>
      <c r="DD82" s="485"/>
      <c r="DE82" s="485"/>
      <c r="DF82" s="485"/>
      <c r="DG82" s="485"/>
      <c r="DH82" s="485"/>
      <c r="DI82" s="485"/>
      <c r="DJ82" s="485"/>
      <c r="DK82" s="485"/>
      <c r="DL82" s="485"/>
      <c r="DM82" s="485"/>
      <c r="DN82" s="485"/>
      <c r="DO82" s="485"/>
      <c r="DP82" s="485"/>
      <c r="DQ82" s="485"/>
      <c r="DR82" s="485"/>
      <c r="DS82" s="485"/>
      <c r="DT82" s="485"/>
      <c r="DU82" s="485"/>
      <c r="DV82" s="485"/>
      <c r="DW82" s="485"/>
      <c r="DX82" s="485"/>
      <c r="DY82" s="485"/>
      <c r="DZ82" s="485"/>
      <c r="EA82" s="485"/>
      <c r="EB82" s="485"/>
      <c r="EC82" s="485"/>
      <c r="ED82" s="485"/>
      <c r="EE82" s="485"/>
      <c r="EF82" s="485"/>
      <c r="EG82" s="485"/>
      <c r="EH82" s="485"/>
      <c r="EI82" s="485"/>
      <c r="EJ82" s="485"/>
      <c r="EK82" s="485"/>
      <c r="EL82" s="485"/>
      <c r="EM82" s="485"/>
      <c r="EN82" s="485"/>
      <c r="EO82" s="485"/>
      <c r="EP82" s="485"/>
    </row>
    <row r="83" spans="1:146" ht="15.75">
      <c r="A83" s="473">
        <v>463</v>
      </c>
      <c r="B83" s="634" t="s">
        <v>374</v>
      </c>
      <c r="C83" s="624"/>
      <c r="D83" s="626">
        <v>0</v>
      </c>
      <c r="E83" s="611">
        <v>39.630000000000003</v>
      </c>
      <c r="F83" s="678">
        <f t="shared" si="18"/>
        <v>39.630000000000003</v>
      </c>
      <c r="G83" s="683">
        <v>1</v>
      </c>
      <c r="H83" s="681">
        <f t="shared" si="12"/>
        <v>0</v>
      </c>
      <c r="I83" s="623">
        <f t="shared" si="13"/>
        <v>475.56000000000006</v>
      </c>
      <c r="J83" s="623"/>
      <c r="K83" s="627"/>
      <c r="L83" s="627"/>
      <c r="M83" s="627"/>
      <c r="N83" s="609">
        <v>0</v>
      </c>
      <c r="O83" s="610">
        <v>39.630000000000003</v>
      </c>
      <c r="P83" s="617" t="str">
        <f t="shared" si="14"/>
        <v>---</v>
      </c>
      <c r="Q83" s="618" t="str">
        <f t="shared" si="15"/>
        <v>---</v>
      </c>
      <c r="R83" s="485"/>
      <c r="S83" s="624" t="str">
        <f t="shared" si="16"/>
        <v>OK</v>
      </c>
      <c r="T83" s="434">
        <f>IF(+'2012 Rates'!O256&lt;'2012 Rates'!$B$11,'2012 Rates'!$B$11,+'2012 Rates'!O256)</f>
        <v>43.52</v>
      </c>
      <c r="U83" s="447">
        <f t="shared" si="19"/>
        <v>9.8157961140550087E-2</v>
      </c>
      <c r="V83" s="485"/>
      <c r="W83" s="623">
        <f t="shared" si="17"/>
        <v>522.24</v>
      </c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  <c r="CU83" s="485"/>
      <c r="CV83" s="485"/>
      <c r="CW83" s="485"/>
      <c r="CX83" s="485"/>
      <c r="CY83" s="485"/>
      <c r="CZ83" s="485"/>
      <c r="DA83" s="485"/>
      <c r="DB83" s="485"/>
      <c r="DC83" s="485"/>
      <c r="DD83" s="485"/>
      <c r="DE83" s="485"/>
      <c r="DF83" s="485"/>
      <c r="DG83" s="485"/>
      <c r="DH83" s="485"/>
      <c r="DI83" s="485"/>
      <c r="DJ83" s="485"/>
      <c r="DK83" s="485"/>
      <c r="DL83" s="485"/>
      <c r="DM83" s="485"/>
      <c r="DN83" s="485"/>
      <c r="DO83" s="485"/>
      <c r="DP83" s="485"/>
      <c r="DQ83" s="485"/>
      <c r="DR83" s="485"/>
      <c r="DS83" s="485"/>
      <c r="DT83" s="485"/>
      <c r="DU83" s="485"/>
      <c r="DV83" s="485"/>
      <c r="DW83" s="485"/>
      <c r="DX83" s="485"/>
      <c r="DY83" s="485"/>
      <c r="DZ83" s="485"/>
      <c r="EA83" s="485"/>
      <c r="EB83" s="485"/>
      <c r="EC83" s="485"/>
      <c r="ED83" s="485"/>
      <c r="EE83" s="485"/>
      <c r="EF83" s="485"/>
      <c r="EG83" s="485"/>
      <c r="EH83" s="485"/>
      <c r="EI83" s="485"/>
      <c r="EJ83" s="485"/>
      <c r="EK83" s="485"/>
      <c r="EL83" s="485"/>
      <c r="EM83" s="485"/>
      <c r="EN83" s="485"/>
      <c r="EO83" s="485"/>
      <c r="EP83" s="485"/>
    </row>
    <row r="84" spans="1:146" ht="15.75">
      <c r="A84" s="473">
        <v>464</v>
      </c>
      <c r="B84" s="634" t="s">
        <v>374</v>
      </c>
      <c r="C84" s="624"/>
      <c r="D84" s="626">
        <v>0</v>
      </c>
      <c r="E84" s="611">
        <v>12.21</v>
      </c>
      <c r="F84" s="678">
        <f t="shared" si="18"/>
        <v>12.21</v>
      </c>
      <c r="G84" s="683">
        <v>2</v>
      </c>
      <c r="H84" s="681">
        <f t="shared" si="12"/>
        <v>0</v>
      </c>
      <c r="I84" s="623">
        <f t="shared" si="13"/>
        <v>293.04000000000002</v>
      </c>
      <c r="J84" s="623"/>
      <c r="K84" s="627"/>
      <c r="L84" s="627"/>
      <c r="M84" s="627"/>
      <c r="N84" s="609">
        <v>0</v>
      </c>
      <c r="O84" s="610">
        <v>12.21</v>
      </c>
      <c r="P84" s="617" t="str">
        <f t="shared" si="14"/>
        <v>---</v>
      </c>
      <c r="Q84" s="618" t="str">
        <f t="shared" si="15"/>
        <v>---</v>
      </c>
      <c r="R84" s="485"/>
      <c r="S84" s="624" t="str">
        <f t="shared" si="16"/>
        <v>OK</v>
      </c>
      <c r="T84" s="434">
        <f>IF(+'2012 Rates'!O257&lt;'2012 Rates'!$B$11,'2012 Rates'!$B$11,+'2012 Rates'!O257)</f>
        <v>13.41</v>
      </c>
      <c r="U84" s="447">
        <f t="shared" si="19"/>
        <v>9.8280098280098205E-2</v>
      </c>
      <c r="V84" s="485"/>
      <c r="W84" s="623">
        <f t="shared" si="17"/>
        <v>321.84000000000003</v>
      </c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  <c r="CU84" s="485"/>
      <c r="CV84" s="485"/>
      <c r="CW84" s="485"/>
      <c r="CX84" s="485"/>
      <c r="CY84" s="485"/>
      <c r="CZ84" s="485"/>
      <c r="DA84" s="485"/>
      <c r="DB84" s="485"/>
      <c r="DC84" s="485"/>
      <c r="DD84" s="485"/>
      <c r="DE84" s="485"/>
      <c r="DF84" s="485"/>
      <c r="DG84" s="485"/>
      <c r="DH84" s="485"/>
      <c r="DI84" s="485"/>
      <c r="DJ84" s="485"/>
      <c r="DK84" s="485"/>
      <c r="DL84" s="485"/>
      <c r="DM84" s="485"/>
      <c r="DN84" s="485"/>
      <c r="DO84" s="485"/>
      <c r="DP84" s="485"/>
      <c r="DQ84" s="485"/>
      <c r="DR84" s="485"/>
      <c r="DS84" s="485"/>
      <c r="DT84" s="485"/>
      <c r="DU84" s="485"/>
      <c r="DV84" s="485"/>
      <c r="DW84" s="485"/>
      <c r="DX84" s="485"/>
      <c r="DY84" s="485"/>
      <c r="DZ84" s="485"/>
      <c r="EA84" s="485"/>
      <c r="EB84" s="485"/>
      <c r="EC84" s="485"/>
      <c r="ED84" s="485"/>
      <c r="EE84" s="485"/>
      <c r="EF84" s="485"/>
      <c r="EG84" s="485"/>
      <c r="EH84" s="485"/>
      <c r="EI84" s="485"/>
      <c r="EJ84" s="485"/>
      <c r="EK84" s="485"/>
      <c r="EL84" s="485"/>
      <c r="EM84" s="485"/>
      <c r="EN84" s="485"/>
      <c r="EO84" s="485"/>
      <c r="EP84" s="485"/>
    </row>
    <row r="85" spans="1:146" ht="15.75">
      <c r="A85" s="473">
        <v>465</v>
      </c>
      <c r="B85" s="634" t="s">
        <v>374</v>
      </c>
      <c r="C85" s="624"/>
      <c r="D85" s="626">
        <v>0</v>
      </c>
      <c r="E85" s="611">
        <v>6</v>
      </c>
      <c r="F85" s="678">
        <f t="shared" si="18"/>
        <v>6</v>
      </c>
      <c r="G85" s="683">
        <v>1</v>
      </c>
      <c r="H85" s="681">
        <f t="shared" si="12"/>
        <v>0</v>
      </c>
      <c r="I85" s="623">
        <f t="shared" si="13"/>
        <v>72</v>
      </c>
      <c r="J85" s="623"/>
      <c r="K85" s="627"/>
      <c r="L85" s="627"/>
      <c r="M85" s="627"/>
      <c r="N85" s="609">
        <v>0</v>
      </c>
      <c r="O85" s="610">
        <v>6</v>
      </c>
      <c r="P85" s="617" t="str">
        <f t="shared" si="14"/>
        <v>---</v>
      </c>
      <c r="Q85" s="618" t="str">
        <f t="shared" si="15"/>
        <v>---</v>
      </c>
      <c r="R85" s="485"/>
      <c r="S85" s="624" t="str">
        <f t="shared" si="16"/>
        <v>OK</v>
      </c>
      <c r="T85" s="434">
        <f>IF(+'2012 Rates'!O258&lt;'2012 Rates'!$B$11,'2012 Rates'!$B$11,+'2012 Rates'!O258)</f>
        <v>6.59</v>
      </c>
      <c r="U85" s="447">
        <f t="shared" si="19"/>
        <v>9.8333333333333384E-2</v>
      </c>
      <c r="V85" s="485"/>
      <c r="W85" s="623">
        <f t="shared" si="17"/>
        <v>79.08</v>
      </c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  <c r="CU85" s="485"/>
      <c r="CV85" s="485"/>
      <c r="CW85" s="485"/>
      <c r="CX85" s="485"/>
      <c r="CY85" s="485"/>
      <c r="CZ85" s="485"/>
      <c r="DA85" s="485"/>
      <c r="DB85" s="485"/>
      <c r="DC85" s="485"/>
      <c r="DD85" s="485"/>
      <c r="DE85" s="485"/>
      <c r="DF85" s="485"/>
      <c r="DG85" s="485"/>
      <c r="DH85" s="485"/>
      <c r="DI85" s="485"/>
      <c r="DJ85" s="485"/>
      <c r="DK85" s="485"/>
      <c r="DL85" s="485"/>
      <c r="DM85" s="485"/>
      <c r="DN85" s="485"/>
      <c r="DO85" s="485"/>
      <c r="DP85" s="485"/>
      <c r="DQ85" s="485"/>
      <c r="DR85" s="485"/>
      <c r="DS85" s="485"/>
      <c r="DT85" s="485"/>
      <c r="DU85" s="485"/>
      <c r="DV85" s="485"/>
      <c r="DW85" s="485"/>
      <c r="DX85" s="485"/>
      <c r="DY85" s="485"/>
      <c r="DZ85" s="485"/>
      <c r="EA85" s="485"/>
      <c r="EB85" s="485"/>
      <c r="EC85" s="485"/>
      <c r="ED85" s="485"/>
      <c r="EE85" s="485"/>
      <c r="EF85" s="485"/>
      <c r="EG85" s="485"/>
      <c r="EH85" s="485"/>
      <c r="EI85" s="485"/>
      <c r="EJ85" s="485"/>
      <c r="EK85" s="485"/>
      <c r="EL85" s="485"/>
      <c r="EM85" s="485"/>
      <c r="EN85" s="485"/>
      <c r="EO85" s="485"/>
      <c r="EP85" s="485"/>
    </row>
    <row r="86" spans="1:146" ht="15.75">
      <c r="A86" s="473">
        <v>470</v>
      </c>
      <c r="B86" s="634" t="s">
        <v>375</v>
      </c>
      <c r="C86" s="624"/>
      <c r="D86" s="626">
        <v>0</v>
      </c>
      <c r="E86" s="611">
        <v>6.75</v>
      </c>
      <c r="F86" s="678">
        <f t="shared" si="18"/>
        <v>6.75</v>
      </c>
      <c r="G86" s="683"/>
      <c r="H86" s="681">
        <f t="shared" si="12"/>
        <v>0</v>
      </c>
      <c r="I86" s="623">
        <f t="shared" si="13"/>
        <v>0</v>
      </c>
      <c r="J86" s="623"/>
      <c r="K86" s="627"/>
      <c r="L86" s="627"/>
      <c r="M86" s="627"/>
      <c r="N86" s="609">
        <v>0</v>
      </c>
      <c r="O86" s="610">
        <v>6.75</v>
      </c>
      <c r="P86" s="617" t="str">
        <f t="shared" si="14"/>
        <v>---</v>
      </c>
      <c r="Q86" s="618" t="str">
        <f t="shared" si="15"/>
        <v>---</v>
      </c>
      <c r="R86" s="485"/>
      <c r="S86" s="624" t="str">
        <f t="shared" si="16"/>
        <v>OK</v>
      </c>
      <c r="T86" s="434">
        <f>IF(+'2012 Rates'!O260&lt;'2012 Rates'!$B$11,'2012 Rates'!$B$11,+'2012 Rates'!O260)</f>
        <v>7.41</v>
      </c>
      <c r="U86" s="447">
        <f t="shared" si="19"/>
        <v>9.7777777777777741E-2</v>
      </c>
      <c r="V86" s="485"/>
      <c r="W86" s="623">
        <f t="shared" si="17"/>
        <v>0</v>
      </c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  <c r="CU86" s="485"/>
      <c r="CV86" s="485"/>
      <c r="CW86" s="485"/>
      <c r="CX86" s="485"/>
      <c r="CY86" s="485"/>
      <c r="CZ86" s="485"/>
      <c r="DA86" s="485"/>
      <c r="DB86" s="485"/>
      <c r="DC86" s="485"/>
      <c r="DD86" s="485"/>
      <c r="DE86" s="485"/>
      <c r="DF86" s="485"/>
      <c r="DG86" s="485"/>
      <c r="DH86" s="485"/>
      <c r="DI86" s="485"/>
      <c r="DJ86" s="485"/>
      <c r="DK86" s="485"/>
      <c r="DL86" s="485"/>
      <c r="DM86" s="485"/>
      <c r="DN86" s="485"/>
      <c r="DO86" s="485"/>
      <c r="DP86" s="485"/>
      <c r="DQ86" s="485"/>
      <c r="DR86" s="485"/>
      <c r="DS86" s="485"/>
      <c r="DT86" s="485"/>
      <c r="DU86" s="485"/>
      <c r="DV86" s="485"/>
      <c r="DW86" s="485"/>
      <c r="DX86" s="485"/>
      <c r="DY86" s="485"/>
      <c r="DZ86" s="485"/>
      <c r="EA86" s="485"/>
      <c r="EB86" s="485"/>
      <c r="EC86" s="485"/>
      <c r="ED86" s="485"/>
      <c r="EE86" s="485"/>
      <c r="EF86" s="485"/>
      <c r="EG86" s="485"/>
      <c r="EH86" s="485"/>
      <c r="EI86" s="485"/>
      <c r="EJ86" s="485"/>
      <c r="EK86" s="485"/>
      <c r="EL86" s="485"/>
      <c r="EM86" s="485"/>
      <c r="EN86" s="485"/>
      <c r="EO86" s="485"/>
      <c r="EP86" s="485"/>
    </row>
    <row r="87" spans="1:146" ht="15.75">
      <c r="A87" s="473">
        <v>471</v>
      </c>
      <c r="B87" s="634" t="s">
        <v>375</v>
      </c>
      <c r="C87" s="624"/>
      <c r="D87" s="626">
        <v>0</v>
      </c>
      <c r="E87" s="611">
        <v>12.54</v>
      </c>
      <c r="F87" s="678">
        <f t="shared" si="18"/>
        <v>12.54</v>
      </c>
      <c r="G87" s="683">
        <v>1</v>
      </c>
      <c r="H87" s="681">
        <f t="shared" si="12"/>
        <v>0</v>
      </c>
      <c r="I87" s="623">
        <f t="shared" si="13"/>
        <v>150.47999999999999</v>
      </c>
      <c r="J87" s="623"/>
      <c r="K87" s="627"/>
      <c r="L87" s="627"/>
      <c r="M87" s="627"/>
      <c r="N87" s="609">
        <v>0</v>
      </c>
      <c r="O87" s="610">
        <v>12.54</v>
      </c>
      <c r="P87" s="617" t="str">
        <f t="shared" si="14"/>
        <v>---</v>
      </c>
      <c r="Q87" s="618" t="str">
        <f t="shared" si="15"/>
        <v>---</v>
      </c>
      <c r="R87" s="485"/>
      <c r="S87" s="624" t="str">
        <f t="shared" si="16"/>
        <v>OK</v>
      </c>
      <c r="T87" s="434">
        <f>IF(+'2012 Rates'!O261&lt;'2012 Rates'!$B$11,'2012 Rates'!$B$11,+'2012 Rates'!O261)</f>
        <v>13.77</v>
      </c>
      <c r="U87" s="447">
        <f t="shared" si="19"/>
        <v>9.8086124401913999E-2</v>
      </c>
      <c r="V87" s="485"/>
      <c r="W87" s="623">
        <f t="shared" si="17"/>
        <v>165.24</v>
      </c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  <c r="CU87" s="485"/>
      <c r="CV87" s="485"/>
      <c r="CW87" s="485"/>
      <c r="CX87" s="485"/>
      <c r="CY87" s="485"/>
      <c r="CZ87" s="485"/>
      <c r="DA87" s="485"/>
      <c r="DB87" s="485"/>
      <c r="DC87" s="485"/>
      <c r="DD87" s="485"/>
      <c r="DE87" s="485"/>
      <c r="DF87" s="485"/>
      <c r="DG87" s="485"/>
      <c r="DH87" s="485"/>
      <c r="DI87" s="485"/>
      <c r="DJ87" s="485"/>
      <c r="DK87" s="485"/>
      <c r="DL87" s="485"/>
      <c r="DM87" s="485"/>
      <c r="DN87" s="485"/>
      <c r="DO87" s="485"/>
      <c r="DP87" s="485"/>
      <c r="DQ87" s="485"/>
      <c r="DR87" s="485"/>
      <c r="DS87" s="485"/>
      <c r="DT87" s="485"/>
      <c r="DU87" s="485"/>
      <c r="DV87" s="485"/>
      <c r="DW87" s="485"/>
      <c r="DX87" s="485"/>
      <c r="DY87" s="485"/>
      <c r="DZ87" s="485"/>
      <c r="EA87" s="485"/>
      <c r="EB87" s="485"/>
      <c r="EC87" s="485"/>
      <c r="ED87" s="485"/>
      <c r="EE87" s="485"/>
      <c r="EF87" s="485"/>
      <c r="EG87" s="485"/>
      <c r="EH87" s="485"/>
      <c r="EI87" s="485"/>
      <c r="EJ87" s="485"/>
      <c r="EK87" s="485"/>
      <c r="EL87" s="485"/>
      <c r="EM87" s="485"/>
      <c r="EN87" s="485"/>
      <c r="EO87" s="485"/>
      <c r="EP87" s="485"/>
    </row>
    <row r="88" spans="1:146" ht="15.75">
      <c r="A88" s="473">
        <v>472</v>
      </c>
      <c r="B88" s="634" t="s">
        <v>373</v>
      </c>
      <c r="C88" s="624"/>
      <c r="D88" s="626">
        <v>0</v>
      </c>
      <c r="E88" s="611">
        <v>58.7</v>
      </c>
      <c r="F88" s="678">
        <f t="shared" si="18"/>
        <v>58.7</v>
      </c>
      <c r="G88" s="683">
        <v>1</v>
      </c>
      <c r="H88" s="681">
        <f t="shared" si="12"/>
        <v>0</v>
      </c>
      <c r="I88" s="623">
        <f t="shared" si="13"/>
        <v>704.40000000000009</v>
      </c>
      <c r="J88" s="623"/>
      <c r="K88" s="627"/>
      <c r="L88" s="627"/>
      <c r="M88" s="627"/>
      <c r="N88" s="609">
        <v>0</v>
      </c>
      <c r="O88" s="610">
        <v>58.7</v>
      </c>
      <c r="P88" s="617" t="str">
        <f t="shared" si="14"/>
        <v>---</v>
      </c>
      <c r="Q88" s="618" t="str">
        <f t="shared" si="15"/>
        <v>---</v>
      </c>
      <c r="R88" s="485"/>
      <c r="S88" s="624" t="str">
        <f t="shared" si="16"/>
        <v>OK</v>
      </c>
      <c r="T88" s="434">
        <f>IF(+'2012 Rates'!O262&lt;'2012 Rates'!$B$11,'2012 Rates'!$B$11,+'2012 Rates'!O262)</f>
        <v>64.459999999999994</v>
      </c>
      <c r="U88" s="447">
        <f t="shared" si="19"/>
        <v>9.8126064735945429E-2</v>
      </c>
      <c r="V88" s="485"/>
      <c r="W88" s="623">
        <f t="shared" si="17"/>
        <v>773.52</v>
      </c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  <c r="CU88" s="485"/>
      <c r="CV88" s="485"/>
      <c r="CW88" s="485"/>
      <c r="CX88" s="485"/>
      <c r="CY88" s="485"/>
      <c r="CZ88" s="485"/>
      <c r="DA88" s="485"/>
      <c r="DB88" s="485"/>
      <c r="DC88" s="485"/>
      <c r="DD88" s="485"/>
      <c r="DE88" s="485"/>
      <c r="DF88" s="485"/>
      <c r="DG88" s="485"/>
      <c r="DH88" s="485"/>
      <c r="DI88" s="485"/>
      <c r="DJ88" s="485"/>
      <c r="DK88" s="485"/>
      <c r="DL88" s="485"/>
      <c r="DM88" s="485"/>
      <c r="DN88" s="485"/>
      <c r="DO88" s="485"/>
      <c r="DP88" s="485"/>
      <c r="DQ88" s="485"/>
      <c r="DR88" s="485"/>
      <c r="DS88" s="485"/>
      <c r="DT88" s="485"/>
      <c r="DU88" s="485"/>
      <c r="DV88" s="485"/>
      <c r="DW88" s="485"/>
      <c r="DX88" s="485"/>
      <c r="DY88" s="485"/>
      <c r="DZ88" s="485"/>
      <c r="EA88" s="485"/>
      <c r="EB88" s="485"/>
      <c r="EC88" s="485"/>
      <c r="ED88" s="485"/>
      <c r="EE88" s="485"/>
      <c r="EF88" s="485"/>
      <c r="EG88" s="485"/>
      <c r="EH88" s="485"/>
      <c r="EI88" s="485"/>
      <c r="EJ88" s="485"/>
      <c r="EK88" s="485"/>
      <c r="EL88" s="485"/>
      <c r="EM88" s="485"/>
      <c r="EN88" s="485"/>
      <c r="EO88" s="485"/>
      <c r="EP88" s="485"/>
    </row>
    <row r="89" spans="1:146" ht="15.75">
      <c r="A89" s="457">
        <v>473</v>
      </c>
      <c r="B89" s="461" t="s">
        <v>376</v>
      </c>
      <c r="C89" s="450">
        <v>175</v>
      </c>
      <c r="D89" s="440">
        <v>69</v>
      </c>
      <c r="E89" s="459">
        <v>7.71</v>
      </c>
      <c r="F89" s="678">
        <f t="shared" si="18"/>
        <v>7.55199</v>
      </c>
      <c r="G89" s="683">
        <v>1</v>
      </c>
      <c r="H89" s="682">
        <f t="shared" si="12"/>
        <v>828</v>
      </c>
      <c r="I89" s="442">
        <f t="shared" si="13"/>
        <v>92.52</v>
      </c>
      <c r="J89" s="442"/>
      <c r="K89" s="443">
        <v>0.20699999999999999</v>
      </c>
      <c r="L89" s="627">
        <f>G89*K89</f>
        <v>0.20699999999999999</v>
      </c>
      <c r="M89" s="627"/>
      <c r="N89" s="609">
        <v>69</v>
      </c>
      <c r="O89" s="610">
        <v>7.7096879496309434</v>
      </c>
      <c r="P89" s="448" t="str">
        <f t="shared" si="14"/>
        <v>---</v>
      </c>
      <c r="Q89" s="449">
        <f t="shared" si="15"/>
        <v>-3.1205036905657124E-4</v>
      </c>
      <c r="R89" s="445"/>
      <c r="S89" s="450" t="str">
        <f t="shared" si="16"/>
        <v>OK</v>
      </c>
      <c r="T89" s="434">
        <f>IF(+'2012 Rates'!O263&lt;'2012 Rates'!$B$11,'2012 Rates'!$B$11,+'2012 Rates'!O263)</f>
        <v>8.2999999999999989</v>
      </c>
      <c r="U89" s="447">
        <f t="shared" si="19"/>
        <v>9.9048065476781577E-2</v>
      </c>
      <c r="V89" s="445"/>
      <c r="W89" s="623">
        <f t="shared" si="17"/>
        <v>99.6</v>
      </c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  <c r="CU89" s="485"/>
      <c r="CV89" s="485"/>
      <c r="CW89" s="485"/>
      <c r="CX89" s="485"/>
      <c r="CY89" s="485"/>
      <c r="CZ89" s="485"/>
      <c r="DA89" s="485"/>
      <c r="DB89" s="485"/>
      <c r="DC89" s="485"/>
      <c r="DD89" s="485"/>
      <c r="DE89" s="485"/>
      <c r="DF89" s="485"/>
      <c r="DG89" s="485"/>
      <c r="DH89" s="485"/>
      <c r="DI89" s="485"/>
      <c r="DJ89" s="485"/>
      <c r="DK89" s="485"/>
      <c r="DL89" s="485"/>
      <c r="DM89" s="485"/>
      <c r="DN89" s="485"/>
      <c r="DO89" s="485"/>
      <c r="DP89" s="485"/>
      <c r="DQ89" s="485"/>
      <c r="DR89" s="485"/>
      <c r="DS89" s="485"/>
      <c r="DT89" s="485"/>
      <c r="DU89" s="485"/>
      <c r="DV89" s="485"/>
      <c r="DW89" s="485"/>
      <c r="DX89" s="485"/>
      <c r="DY89" s="485"/>
      <c r="DZ89" s="485"/>
      <c r="EA89" s="485"/>
      <c r="EB89" s="485"/>
      <c r="EC89" s="485"/>
      <c r="ED89" s="485"/>
      <c r="EE89" s="485"/>
      <c r="EF89" s="485"/>
      <c r="EG89" s="485"/>
      <c r="EH89" s="485"/>
      <c r="EI89" s="485"/>
      <c r="EJ89" s="485"/>
      <c r="EK89" s="485"/>
      <c r="EL89" s="485"/>
      <c r="EM89" s="485"/>
      <c r="EN89" s="485"/>
      <c r="EO89" s="485"/>
      <c r="EP89" s="485"/>
    </row>
    <row r="90" spans="1:146" ht="15.75">
      <c r="A90" s="457">
        <v>474</v>
      </c>
      <c r="B90" s="461" t="s">
        <v>376</v>
      </c>
      <c r="C90" s="450">
        <v>125</v>
      </c>
      <c r="D90" s="440">
        <v>52</v>
      </c>
      <c r="E90" s="459">
        <v>5.82</v>
      </c>
      <c r="F90" s="678">
        <f t="shared" si="18"/>
        <v>5.70092</v>
      </c>
      <c r="G90" s="683"/>
      <c r="H90" s="682">
        <f t="shared" si="12"/>
        <v>0</v>
      </c>
      <c r="I90" s="442">
        <f t="shared" si="13"/>
        <v>0</v>
      </c>
      <c r="J90" s="442"/>
      <c r="K90" s="443">
        <v>0.156</v>
      </c>
      <c r="L90" s="627">
        <f>G90*K90</f>
        <v>0</v>
      </c>
      <c r="M90" s="627"/>
      <c r="N90" s="609">
        <v>52</v>
      </c>
      <c r="O90" s="610">
        <v>5.8235329475479585</v>
      </c>
      <c r="P90" s="448" t="str">
        <f t="shared" si="14"/>
        <v>---</v>
      </c>
      <c r="Q90" s="449">
        <f t="shared" si="15"/>
        <v>3.5329475479581873E-3</v>
      </c>
      <c r="R90" s="445"/>
      <c r="S90" s="450" t="str">
        <f t="shared" si="16"/>
        <v>OK</v>
      </c>
      <c r="T90" s="434">
        <f>IF(+'2012 Rates'!O264&lt;'2012 Rates'!$B$11,'2012 Rates'!$B$11,+'2012 Rates'!O264)</f>
        <v>6.26</v>
      </c>
      <c r="U90" s="447">
        <f t="shared" si="19"/>
        <v>9.8068381945370264E-2</v>
      </c>
      <c r="V90" s="445"/>
      <c r="W90" s="623">
        <f t="shared" si="17"/>
        <v>0</v>
      </c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  <c r="CU90" s="485"/>
      <c r="CV90" s="485"/>
      <c r="CW90" s="485"/>
      <c r="CX90" s="485"/>
      <c r="CY90" s="485"/>
      <c r="CZ90" s="485"/>
      <c r="DA90" s="485"/>
      <c r="DB90" s="485"/>
      <c r="DC90" s="485"/>
      <c r="DD90" s="485"/>
      <c r="DE90" s="485"/>
      <c r="DF90" s="485"/>
      <c r="DG90" s="485"/>
      <c r="DH90" s="485"/>
      <c r="DI90" s="485"/>
      <c r="DJ90" s="485"/>
      <c r="DK90" s="485"/>
      <c r="DL90" s="485"/>
      <c r="DM90" s="485"/>
      <c r="DN90" s="485"/>
      <c r="DO90" s="485"/>
      <c r="DP90" s="485"/>
      <c r="DQ90" s="485"/>
      <c r="DR90" s="485"/>
      <c r="DS90" s="485"/>
      <c r="DT90" s="485"/>
      <c r="DU90" s="485"/>
      <c r="DV90" s="485"/>
      <c r="DW90" s="485"/>
      <c r="DX90" s="485"/>
      <c r="DY90" s="485"/>
      <c r="DZ90" s="485"/>
      <c r="EA90" s="485"/>
      <c r="EB90" s="485"/>
      <c r="EC90" s="485"/>
      <c r="ED90" s="485"/>
      <c r="EE90" s="485"/>
      <c r="EF90" s="485"/>
      <c r="EG90" s="485"/>
      <c r="EH90" s="485"/>
      <c r="EI90" s="485"/>
      <c r="EJ90" s="485"/>
      <c r="EK90" s="485"/>
      <c r="EL90" s="485"/>
      <c r="EM90" s="485"/>
      <c r="EN90" s="485"/>
      <c r="EO90" s="485"/>
      <c r="EP90" s="485"/>
    </row>
    <row r="91" spans="1:146" ht="15.75">
      <c r="A91" s="457">
        <v>475</v>
      </c>
      <c r="B91" s="461" t="s">
        <v>377</v>
      </c>
      <c r="C91" s="450">
        <v>70</v>
      </c>
      <c r="D91" s="440">
        <v>32</v>
      </c>
      <c r="E91" s="459">
        <v>3.58</v>
      </c>
      <c r="F91" s="678">
        <f t="shared" si="18"/>
        <v>3.5067200000000001</v>
      </c>
      <c r="G91" s="683">
        <v>2</v>
      </c>
      <c r="H91" s="682">
        <f t="shared" si="12"/>
        <v>768</v>
      </c>
      <c r="I91" s="442">
        <f t="shared" si="13"/>
        <v>85.92</v>
      </c>
      <c r="J91" s="442"/>
      <c r="K91" s="443">
        <v>9.6000000000000002E-2</v>
      </c>
      <c r="L91" s="627">
        <f>G91*K91</f>
        <v>0.192</v>
      </c>
      <c r="M91" s="627"/>
      <c r="N91" s="609">
        <v>32</v>
      </c>
      <c r="O91" s="610">
        <v>3.5821741215679741</v>
      </c>
      <c r="P91" s="448" t="str">
        <f t="shared" si="14"/>
        <v>---</v>
      </c>
      <c r="Q91" s="449">
        <f t="shared" si="15"/>
        <v>2.17412156797403E-3</v>
      </c>
      <c r="R91" s="445"/>
      <c r="S91" s="450" t="str">
        <f t="shared" si="16"/>
        <v>OK</v>
      </c>
      <c r="T91" s="434">
        <f>IF(+'2012 Rates'!O265&lt;'2012 Rates'!$B$11,'2012 Rates'!$B$11,+'2012 Rates'!O265)</f>
        <v>3.8499999999999996</v>
      </c>
      <c r="U91" s="447">
        <f t="shared" si="19"/>
        <v>9.7892047269242832E-2</v>
      </c>
      <c r="V91" s="445"/>
      <c r="W91" s="623">
        <f t="shared" si="17"/>
        <v>92.399999999999991</v>
      </c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  <c r="CU91" s="485"/>
      <c r="CV91" s="485"/>
      <c r="CW91" s="485"/>
      <c r="CX91" s="485"/>
      <c r="CY91" s="485"/>
      <c r="CZ91" s="485"/>
      <c r="DA91" s="485"/>
      <c r="DB91" s="485"/>
      <c r="DC91" s="485"/>
      <c r="DD91" s="485"/>
      <c r="DE91" s="485"/>
      <c r="DF91" s="485"/>
      <c r="DG91" s="485"/>
      <c r="DH91" s="485"/>
      <c r="DI91" s="485"/>
      <c r="DJ91" s="485"/>
      <c r="DK91" s="485"/>
      <c r="DL91" s="485"/>
      <c r="DM91" s="485"/>
      <c r="DN91" s="485"/>
      <c r="DO91" s="485"/>
      <c r="DP91" s="485"/>
      <c r="DQ91" s="485"/>
      <c r="DR91" s="485"/>
      <c r="DS91" s="485"/>
      <c r="DT91" s="485"/>
      <c r="DU91" s="485"/>
      <c r="DV91" s="485"/>
      <c r="DW91" s="485"/>
      <c r="DX91" s="485"/>
      <c r="DY91" s="485"/>
      <c r="DZ91" s="485"/>
      <c r="EA91" s="485"/>
      <c r="EB91" s="485"/>
      <c r="EC91" s="485"/>
      <c r="ED91" s="485"/>
      <c r="EE91" s="485"/>
      <c r="EF91" s="485"/>
      <c r="EG91" s="485"/>
      <c r="EH91" s="485"/>
      <c r="EI91" s="485"/>
      <c r="EJ91" s="485"/>
      <c r="EK91" s="485"/>
      <c r="EL91" s="485"/>
      <c r="EM91" s="485"/>
      <c r="EN91" s="485"/>
      <c r="EO91" s="485"/>
      <c r="EP91" s="485"/>
    </row>
    <row r="92" spans="1:146" ht="15.75">
      <c r="A92" s="473">
        <v>476</v>
      </c>
      <c r="B92" s="634" t="s">
        <v>378</v>
      </c>
      <c r="C92" s="624"/>
      <c r="D92" s="626">
        <v>0</v>
      </c>
      <c r="E92" s="611">
        <v>290.47000000000003</v>
      </c>
      <c r="F92" s="678">
        <f t="shared" si="18"/>
        <v>290.47000000000003</v>
      </c>
      <c r="G92" s="683">
        <v>1</v>
      </c>
      <c r="H92" s="681">
        <f t="shared" si="12"/>
        <v>0</v>
      </c>
      <c r="I92" s="623">
        <f t="shared" si="13"/>
        <v>3485.6400000000003</v>
      </c>
      <c r="J92" s="623"/>
      <c r="K92" s="627"/>
      <c r="L92" s="627"/>
      <c r="M92" s="627"/>
      <c r="N92" s="609">
        <v>0</v>
      </c>
      <c r="O92" s="610">
        <v>290.47000000000003</v>
      </c>
      <c r="P92" s="617" t="str">
        <f t="shared" si="14"/>
        <v>---</v>
      </c>
      <c r="Q92" s="618" t="str">
        <f t="shared" si="15"/>
        <v>---</v>
      </c>
      <c r="R92" s="485"/>
      <c r="S92" s="624" t="str">
        <f t="shared" si="16"/>
        <v>OK</v>
      </c>
      <c r="T92" s="434">
        <f>IF(+'2012 Rates'!O266&lt;'2012 Rates'!$B$11,'2012 Rates'!$B$11,+'2012 Rates'!O266)</f>
        <v>318.97000000000003</v>
      </c>
      <c r="U92" s="447">
        <f t="shared" si="19"/>
        <v>9.8116845113092488E-2</v>
      </c>
      <c r="V92" s="485"/>
      <c r="W92" s="623">
        <f t="shared" si="17"/>
        <v>3827.6400000000003</v>
      </c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  <c r="CU92" s="485"/>
      <c r="CV92" s="485"/>
      <c r="CW92" s="485"/>
      <c r="CX92" s="485"/>
      <c r="CY92" s="485"/>
      <c r="CZ92" s="485"/>
      <c r="DA92" s="485"/>
      <c r="DB92" s="485"/>
      <c r="DC92" s="485"/>
      <c r="DD92" s="485"/>
      <c r="DE92" s="485"/>
      <c r="DF92" s="485"/>
      <c r="DG92" s="485"/>
      <c r="DH92" s="485"/>
      <c r="DI92" s="485"/>
      <c r="DJ92" s="485"/>
      <c r="DK92" s="485"/>
      <c r="DL92" s="485"/>
      <c r="DM92" s="485"/>
      <c r="DN92" s="485"/>
      <c r="DO92" s="485"/>
      <c r="DP92" s="485"/>
      <c r="DQ92" s="485"/>
      <c r="DR92" s="485"/>
      <c r="DS92" s="485"/>
      <c r="DT92" s="485"/>
      <c r="DU92" s="485"/>
      <c r="DV92" s="485"/>
      <c r="DW92" s="485"/>
      <c r="DX92" s="485"/>
      <c r="DY92" s="485"/>
      <c r="DZ92" s="485"/>
      <c r="EA92" s="485"/>
      <c r="EB92" s="485"/>
      <c r="EC92" s="485"/>
      <c r="ED92" s="485"/>
      <c r="EE92" s="485"/>
      <c r="EF92" s="485"/>
      <c r="EG92" s="485"/>
      <c r="EH92" s="485"/>
      <c r="EI92" s="485"/>
      <c r="EJ92" s="485"/>
      <c r="EK92" s="485"/>
      <c r="EL92" s="485"/>
      <c r="EM92" s="485"/>
      <c r="EN92" s="485"/>
      <c r="EO92" s="485"/>
      <c r="EP92" s="485"/>
    </row>
    <row r="93" spans="1:146" ht="15.75">
      <c r="A93" s="473">
        <v>477</v>
      </c>
      <c r="B93" s="630" t="s">
        <v>379</v>
      </c>
      <c r="C93" s="624"/>
      <c r="D93" s="626">
        <v>0</v>
      </c>
      <c r="E93" s="611">
        <v>790.55</v>
      </c>
      <c r="F93" s="678">
        <f t="shared" si="18"/>
        <v>790.55</v>
      </c>
      <c r="G93" s="683"/>
      <c r="H93" s="681">
        <f t="shared" si="12"/>
        <v>0</v>
      </c>
      <c r="I93" s="623">
        <f t="shared" si="13"/>
        <v>0</v>
      </c>
      <c r="J93" s="623"/>
      <c r="K93" s="627"/>
      <c r="L93" s="627"/>
      <c r="M93" s="627"/>
      <c r="N93" s="609">
        <v>0</v>
      </c>
      <c r="O93" s="610">
        <v>790.55</v>
      </c>
      <c r="P93" s="617" t="str">
        <f t="shared" si="14"/>
        <v>---</v>
      </c>
      <c r="Q93" s="618" t="str">
        <f t="shared" si="15"/>
        <v>---</v>
      </c>
      <c r="R93" s="485"/>
      <c r="S93" s="624" t="str">
        <f t="shared" si="16"/>
        <v>OK</v>
      </c>
      <c r="T93" s="434">
        <f>IF(+'2012 Rates'!O267&lt;'2012 Rates'!$B$11,'2012 Rates'!$B$11,+'2012 Rates'!O267)</f>
        <v>868.11</v>
      </c>
      <c r="U93" s="447">
        <f t="shared" si="19"/>
        <v>9.810891151729817E-2</v>
      </c>
      <c r="V93" s="485"/>
      <c r="W93" s="623">
        <f t="shared" si="17"/>
        <v>0</v>
      </c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  <c r="CU93" s="485"/>
      <c r="CV93" s="485"/>
      <c r="CW93" s="485"/>
      <c r="CX93" s="485"/>
      <c r="CY93" s="485"/>
      <c r="CZ93" s="485"/>
      <c r="DA93" s="485"/>
      <c r="DB93" s="485"/>
      <c r="DC93" s="485"/>
      <c r="DD93" s="485"/>
      <c r="DE93" s="485"/>
      <c r="DF93" s="485"/>
      <c r="DG93" s="485"/>
      <c r="DH93" s="485"/>
      <c r="DI93" s="485"/>
      <c r="DJ93" s="485"/>
      <c r="DK93" s="485"/>
      <c r="DL93" s="485"/>
      <c r="DM93" s="485"/>
      <c r="DN93" s="485"/>
      <c r="DO93" s="485"/>
      <c r="DP93" s="485"/>
      <c r="DQ93" s="485"/>
      <c r="DR93" s="485"/>
      <c r="DS93" s="485"/>
      <c r="DT93" s="485"/>
      <c r="DU93" s="485"/>
      <c r="DV93" s="485"/>
      <c r="DW93" s="485"/>
      <c r="DX93" s="485"/>
      <c r="DY93" s="485"/>
      <c r="DZ93" s="485"/>
      <c r="EA93" s="485"/>
      <c r="EB93" s="485"/>
      <c r="EC93" s="485"/>
      <c r="ED93" s="485"/>
      <c r="EE93" s="485"/>
      <c r="EF93" s="485"/>
      <c r="EG93" s="485"/>
      <c r="EH93" s="485"/>
      <c r="EI93" s="485"/>
      <c r="EJ93" s="485"/>
      <c r="EK93" s="485"/>
      <c r="EL93" s="485"/>
      <c r="EM93" s="485"/>
      <c r="EN93" s="485"/>
      <c r="EO93" s="485"/>
      <c r="EP93" s="485"/>
    </row>
    <row r="94" spans="1:146" ht="15.75">
      <c r="A94" s="473">
        <v>478</v>
      </c>
      <c r="B94" s="630" t="s">
        <v>379</v>
      </c>
      <c r="C94" s="614"/>
      <c r="D94" s="626">
        <v>1938</v>
      </c>
      <c r="E94" s="611">
        <v>474.34</v>
      </c>
      <c r="F94" s="678">
        <f t="shared" si="18"/>
        <v>469.90197999999998</v>
      </c>
      <c r="G94" s="683"/>
      <c r="H94" s="681">
        <f t="shared" si="12"/>
        <v>0</v>
      </c>
      <c r="I94" s="623">
        <f t="shared" si="13"/>
        <v>0</v>
      </c>
      <c r="J94" s="623"/>
      <c r="K94" s="627"/>
      <c r="L94" s="627"/>
      <c r="M94" s="627"/>
      <c r="N94" s="609">
        <v>1938</v>
      </c>
      <c r="O94" s="610">
        <v>474.34167023746039</v>
      </c>
      <c r="P94" s="617" t="str">
        <f t="shared" si="14"/>
        <v>---</v>
      </c>
      <c r="Q94" s="618">
        <f t="shared" si="15"/>
        <v>1.6702374604165016E-3</v>
      </c>
      <c r="R94" s="485"/>
      <c r="S94" s="624" t="str">
        <f t="shared" si="16"/>
        <v>OK</v>
      </c>
      <c r="T94" s="434">
        <f>IF(+'2012 Rates'!O268&lt;'2012 Rates'!$B$11,'2012 Rates'!$B$11,+'2012 Rates'!O268)</f>
        <v>520.88</v>
      </c>
      <c r="U94" s="447">
        <f t="shared" si="19"/>
        <v>0.10848649754572226</v>
      </c>
      <c r="V94" s="485"/>
      <c r="W94" s="623">
        <f t="shared" si="17"/>
        <v>0</v>
      </c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  <c r="CU94" s="485"/>
      <c r="CV94" s="485"/>
      <c r="CW94" s="485"/>
      <c r="CX94" s="485"/>
      <c r="CY94" s="485"/>
      <c r="CZ94" s="485"/>
      <c r="DA94" s="485"/>
      <c r="DB94" s="485"/>
      <c r="DC94" s="485"/>
      <c r="DD94" s="485"/>
      <c r="DE94" s="485"/>
      <c r="DF94" s="485"/>
      <c r="DG94" s="485"/>
      <c r="DH94" s="485"/>
      <c r="DI94" s="485"/>
      <c r="DJ94" s="485"/>
      <c r="DK94" s="485"/>
      <c r="DL94" s="485"/>
      <c r="DM94" s="485"/>
      <c r="DN94" s="485"/>
      <c r="DO94" s="485"/>
      <c r="DP94" s="485"/>
      <c r="DQ94" s="485"/>
      <c r="DR94" s="485"/>
      <c r="DS94" s="485"/>
      <c r="DT94" s="485"/>
      <c r="DU94" s="485"/>
      <c r="DV94" s="485"/>
      <c r="DW94" s="485"/>
      <c r="DX94" s="485"/>
      <c r="DY94" s="485"/>
      <c r="DZ94" s="485"/>
      <c r="EA94" s="485"/>
      <c r="EB94" s="485"/>
      <c r="EC94" s="485"/>
      <c r="ED94" s="485"/>
      <c r="EE94" s="485"/>
      <c r="EF94" s="485"/>
      <c r="EG94" s="485"/>
      <c r="EH94" s="485"/>
      <c r="EI94" s="485"/>
      <c r="EJ94" s="485"/>
      <c r="EK94" s="485"/>
      <c r="EL94" s="485"/>
      <c r="EM94" s="485"/>
      <c r="EN94" s="485"/>
      <c r="EO94" s="485"/>
      <c r="EP94" s="485"/>
    </row>
    <row r="95" spans="1:146" ht="15.75">
      <c r="A95" s="473"/>
      <c r="B95" s="630"/>
      <c r="C95" s="614"/>
      <c r="D95" s="626"/>
      <c r="E95" s="611"/>
      <c r="F95" s="678"/>
      <c r="G95" s="683"/>
      <c r="H95" s="681"/>
      <c r="I95" s="623"/>
      <c r="J95" s="623"/>
      <c r="K95" s="627"/>
      <c r="L95" s="627"/>
      <c r="M95" s="627"/>
      <c r="N95" s="609"/>
      <c r="O95" s="610"/>
      <c r="P95" s="617"/>
      <c r="Q95" s="618"/>
      <c r="R95" s="485"/>
      <c r="S95" s="624"/>
      <c r="T95" s="613"/>
      <c r="U95" s="447"/>
      <c r="V95" s="485"/>
      <c r="W95" s="623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  <c r="CU95" s="485"/>
      <c r="CV95" s="485"/>
      <c r="CW95" s="485"/>
      <c r="CX95" s="485"/>
      <c r="CY95" s="485"/>
      <c r="CZ95" s="485"/>
      <c r="DA95" s="485"/>
      <c r="DB95" s="485"/>
      <c r="DC95" s="485"/>
      <c r="DD95" s="485"/>
      <c r="DE95" s="485"/>
      <c r="DF95" s="485"/>
      <c r="DG95" s="485"/>
      <c r="DH95" s="485"/>
      <c r="DI95" s="485"/>
      <c r="DJ95" s="485"/>
      <c r="DK95" s="485"/>
      <c r="DL95" s="485"/>
      <c r="DM95" s="485"/>
      <c r="DN95" s="485"/>
      <c r="DO95" s="485"/>
      <c r="DP95" s="485"/>
      <c r="DQ95" s="485"/>
      <c r="DR95" s="485"/>
      <c r="DS95" s="485"/>
      <c r="DT95" s="485"/>
      <c r="DU95" s="485"/>
      <c r="DV95" s="485"/>
      <c r="DW95" s="485"/>
      <c r="DX95" s="485"/>
      <c r="DY95" s="485"/>
      <c r="DZ95" s="485"/>
      <c r="EA95" s="485"/>
      <c r="EB95" s="485"/>
      <c r="EC95" s="485"/>
      <c r="ED95" s="485"/>
      <c r="EE95" s="485"/>
      <c r="EF95" s="485"/>
      <c r="EG95" s="485"/>
      <c r="EH95" s="485"/>
      <c r="EI95" s="485"/>
      <c r="EJ95" s="485"/>
      <c r="EK95" s="485"/>
      <c r="EL95" s="485"/>
      <c r="EM95" s="485"/>
      <c r="EN95" s="485"/>
      <c r="EO95" s="485"/>
      <c r="EP95" s="485"/>
    </row>
    <row r="96" spans="1:146" ht="15.75">
      <c r="A96" s="462">
        <v>500</v>
      </c>
      <c r="B96" s="629" t="s">
        <v>380</v>
      </c>
      <c r="C96" s="624">
        <v>210</v>
      </c>
      <c r="D96" s="626">
        <v>51</v>
      </c>
      <c r="E96" s="611">
        <v>6.58</v>
      </c>
      <c r="F96" s="678">
        <f t="shared" si="18"/>
        <v>6.4632100000000001</v>
      </c>
      <c r="G96" s="683">
        <v>27</v>
      </c>
      <c r="H96" s="681">
        <f t="shared" ref="H96:H109" si="20">+D96*G96*12</f>
        <v>16524</v>
      </c>
      <c r="I96" s="623">
        <f t="shared" ref="I96:I109" si="21">+E96*G96*12</f>
        <v>2131.92</v>
      </c>
      <c r="J96" s="623"/>
      <c r="K96" s="627">
        <v>0.21</v>
      </c>
      <c r="L96" s="627">
        <f t="shared" ref="L96:L109" si="22">G96*K96*0.5</f>
        <v>2.835</v>
      </c>
      <c r="M96" s="627"/>
      <c r="N96" s="609">
        <v>51</v>
      </c>
      <c r="O96" s="610">
        <v>6.5784650062489591</v>
      </c>
      <c r="P96" s="617" t="str">
        <f t="shared" ref="P96:P109" si="23">IF(N96=D96,"---",N96-D96)</f>
        <v>---</v>
      </c>
      <c r="Q96" s="618">
        <f t="shared" ref="Q96:Q109" si="24">IF(O96=E96,"---",O96-E96)</f>
        <v>-1.5349937510409362E-3</v>
      </c>
      <c r="R96" s="485"/>
      <c r="S96" s="624" t="str">
        <f t="shared" ref="S96:S109" si="25">IF(N96=D96,"OK",N96)</f>
        <v>OK</v>
      </c>
      <c r="T96" s="434">
        <f>IF(+'2012 Rates'!O272&lt;'2012 Rates'!$B$11,'2012 Rates'!$B$11,+'2012 Rates'!O272)</f>
        <v>7.09</v>
      </c>
      <c r="U96" s="447">
        <f t="shared" si="19"/>
        <v>9.6978126967868894E-2</v>
      </c>
      <c r="V96" s="485"/>
      <c r="W96" s="623">
        <f t="shared" ref="W96:W109" si="26">+G96*T96*12</f>
        <v>2297.16</v>
      </c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  <c r="CU96" s="485"/>
      <c r="CV96" s="485"/>
      <c r="CW96" s="485"/>
      <c r="CX96" s="485"/>
      <c r="CY96" s="485"/>
      <c r="CZ96" s="485"/>
      <c r="DA96" s="485"/>
      <c r="DB96" s="485"/>
      <c r="DC96" s="485"/>
      <c r="DD96" s="485"/>
      <c r="DE96" s="485"/>
      <c r="DF96" s="485"/>
      <c r="DG96" s="485"/>
      <c r="DH96" s="485"/>
      <c r="DI96" s="485"/>
      <c r="DJ96" s="485"/>
      <c r="DK96" s="485"/>
      <c r="DL96" s="485"/>
      <c r="DM96" s="485"/>
      <c r="DN96" s="485"/>
      <c r="DO96" s="485"/>
      <c r="DP96" s="485"/>
      <c r="DQ96" s="485"/>
      <c r="DR96" s="485"/>
      <c r="DS96" s="485"/>
      <c r="DT96" s="485"/>
      <c r="DU96" s="485"/>
      <c r="DV96" s="485"/>
      <c r="DW96" s="485"/>
      <c r="DX96" s="485"/>
      <c r="DY96" s="485"/>
      <c r="DZ96" s="485"/>
      <c r="EA96" s="485"/>
      <c r="EB96" s="485"/>
      <c r="EC96" s="485"/>
      <c r="ED96" s="485"/>
      <c r="EE96" s="485"/>
      <c r="EF96" s="485"/>
      <c r="EG96" s="485"/>
      <c r="EH96" s="485"/>
      <c r="EI96" s="485"/>
      <c r="EJ96" s="485"/>
      <c r="EK96" s="485"/>
      <c r="EL96" s="485"/>
      <c r="EM96" s="485"/>
      <c r="EN96" s="485"/>
      <c r="EO96" s="485"/>
      <c r="EP96" s="485"/>
    </row>
    <row r="97" spans="1:146" ht="15.75">
      <c r="A97" s="462">
        <v>501</v>
      </c>
      <c r="B97" s="629" t="s">
        <v>380</v>
      </c>
      <c r="C97" s="624">
        <v>69</v>
      </c>
      <c r="D97" s="626">
        <v>17</v>
      </c>
      <c r="E97" s="611">
        <v>1.5</v>
      </c>
      <c r="F97" s="678">
        <f t="shared" si="18"/>
        <v>1.4610700000000001</v>
      </c>
      <c r="G97" s="683">
        <v>1845</v>
      </c>
      <c r="H97" s="681">
        <f t="shared" si="20"/>
        <v>376380</v>
      </c>
      <c r="I97" s="623">
        <f t="shared" si="21"/>
        <v>33210</v>
      </c>
      <c r="J97" s="623"/>
      <c r="K97" s="627">
        <v>2.3E-2</v>
      </c>
      <c r="L97" s="627">
        <f t="shared" si="22"/>
        <v>21.217500000000001</v>
      </c>
      <c r="M97" s="627"/>
      <c r="N97" s="609">
        <v>17</v>
      </c>
      <c r="O97" s="610">
        <v>1.4961550020829864</v>
      </c>
      <c r="P97" s="617" t="str">
        <f t="shared" si="23"/>
        <v>---</v>
      </c>
      <c r="Q97" s="618">
        <f t="shared" si="24"/>
        <v>-3.8449979170136483E-3</v>
      </c>
      <c r="R97" s="485"/>
      <c r="S97" s="637" t="str">
        <f t="shared" si="25"/>
        <v>OK</v>
      </c>
      <c r="T97" s="451">
        <f>+'2012 Rates'!P273</f>
        <v>1.5899999999999999</v>
      </c>
      <c r="U97" s="447">
        <f t="shared" si="19"/>
        <v>8.8243547537078859E-2</v>
      </c>
      <c r="V97" s="445"/>
      <c r="W97" s="623">
        <f t="shared" si="26"/>
        <v>35202.6</v>
      </c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  <c r="CU97" s="485"/>
      <c r="CV97" s="485"/>
      <c r="CW97" s="485"/>
      <c r="CX97" s="485"/>
      <c r="CY97" s="485"/>
      <c r="CZ97" s="485"/>
      <c r="DA97" s="485"/>
      <c r="DB97" s="485"/>
      <c r="DC97" s="485"/>
      <c r="DD97" s="485"/>
      <c r="DE97" s="485"/>
      <c r="DF97" s="485"/>
      <c r="DG97" s="485"/>
      <c r="DH97" s="485"/>
      <c r="DI97" s="485"/>
      <c r="DJ97" s="485"/>
      <c r="DK97" s="485"/>
      <c r="DL97" s="485"/>
      <c r="DM97" s="485"/>
      <c r="DN97" s="485"/>
      <c r="DO97" s="485"/>
      <c r="DP97" s="485"/>
      <c r="DQ97" s="485"/>
      <c r="DR97" s="485"/>
      <c r="DS97" s="485"/>
      <c r="DT97" s="485"/>
      <c r="DU97" s="485"/>
      <c r="DV97" s="485"/>
      <c r="DW97" s="485"/>
      <c r="DX97" s="485"/>
      <c r="DY97" s="485"/>
      <c r="DZ97" s="485"/>
      <c r="EA97" s="485"/>
      <c r="EB97" s="485"/>
      <c r="EC97" s="485"/>
      <c r="ED97" s="485"/>
      <c r="EE97" s="485"/>
      <c r="EF97" s="485"/>
      <c r="EG97" s="485"/>
      <c r="EH97" s="485"/>
      <c r="EI97" s="485"/>
      <c r="EJ97" s="485"/>
      <c r="EK97" s="485"/>
      <c r="EL97" s="485"/>
      <c r="EM97" s="485"/>
      <c r="EN97" s="485"/>
      <c r="EO97" s="485"/>
      <c r="EP97" s="485"/>
    </row>
    <row r="98" spans="1:146" ht="15.75">
      <c r="A98" s="462">
        <v>502</v>
      </c>
      <c r="B98" s="629" t="s">
        <v>380</v>
      </c>
      <c r="C98" s="624">
        <v>80</v>
      </c>
      <c r="D98" s="626">
        <v>20</v>
      </c>
      <c r="E98" s="611">
        <v>1.73</v>
      </c>
      <c r="F98" s="678">
        <f t="shared" si="18"/>
        <v>1.6841999999999999</v>
      </c>
      <c r="G98" s="683">
        <v>57</v>
      </c>
      <c r="H98" s="681">
        <f t="shared" si="20"/>
        <v>13680</v>
      </c>
      <c r="I98" s="623">
        <f t="shared" si="21"/>
        <v>1183.32</v>
      </c>
      <c r="J98" s="623"/>
      <c r="K98" s="627">
        <v>2.7E-2</v>
      </c>
      <c r="L98" s="627">
        <f t="shared" si="22"/>
        <v>0.76949999999999996</v>
      </c>
      <c r="M98" s="627"/>
      <c r="N98" s="609">
        <v>20</v>
      </c>
      <c r="O98" s="610">
        <v>1.7313588259799837</v>
      </c>
      <c r="P98" s="617" t="str">
        <f t="shared" si="23"/>
        <v>---</v>
      </c>
      <c r="Q98" s="618">
        <f t="shared" si="24"/>
        <v>1.3588259799837132E-3</v>
      </c>
      <c r="R98" s="603"/>
      <c r="S98" s="463" t="str">
        <f t="shared" si="25"/>
        <v>OK</v>
      </c>
      <c r="T98" s="451">
        <f>+'2012 Rates'!P274</f>
        <v>1.84</v>
      </c>
      <c r="U98" s="447">
        <f t="shared" si="19"/>
        <v>9.2506828167676192E-2</v>
      </c>
      <c r="V98" s="445"/>
      <c r="W98" s="623">
        <f t="shared" si="26"/>
        <v>1258.5600000000002</v>
      </c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  <c r="CU98" s="485"/>
      <c r="CV98" s="485"/>
      <c r="CW98" s="485"/>
      <c r="CX98" s="485"/>
      <c r="CY98" s="485"/>
      <c r="CZ98" s="485"/>
      <c r="DA98" s="485"/>
      <c r="DB98" s="485"/>
      <c r="DC98" s="485"/>
      <c r="DD98" s="485"/>
      <c r="DE98" s="485"/>
      <c r="DF98" s="485"/>
      <c r="DG98" s="485"/>
      <c r="DH98" s="485"/>
      <c r="DI98" s="485"/>
      <c r="DJ98" s="485"/>
      <c r="DK98" s="485"/>
      <c r="DL98" s="485"/>
      <c r="DM98" s="485"/>
      <c r="DN98" s="485"/>
      <c r="DO98" s="485"/>
      <c r="DP98" s="485"/>
      <c r="DQ98" s="485"/>
      <c r="DR98" s="485"/>
      <c r="DS98" s="485"/>
      <c r="DT98" s="485"/>
      <c r="DU98" s="485"/>
      <c r="DV98" s="485"/>
      <c r="DW98" s="485"/>
      <c r="DX98" s="485"/>
      <c r="DY98" s="485"/>
      <c r="DZ98" s="485"/>
      <c r="EA98" s="485"/>
      <c r="EB98" s="485"/>
      <c r="EC98" s="485"/>
      <c r="ED98" s="485"/>
      <c r="EE98" s="485"/>
      <c r="EF98" s="485"/>
      <c r="EG98" s="485"/>
      <c r="EH98" s="485"/>
      <c r="EI98" s="485"/>
      <c r="EJ98" s="485"/>
      <c r="EK98" s="485"/>
      <c r="EL98" s="485"/>
      <c r="EM98" s="485"/>
      <c r="EN98" s="485"/>
      <c r="EO98" s="485"/>
      <c r="EP98" s="485"/>
    </row>
    <row r="99" spans="1:146" ht="15.75">
      <c r="A99" s="462">
        <v>503</v>
      </c>
      <c r="B99" s="629" t="s">
        <v>380</v>
      </c>
      <c r="C99" s="624">
        <v>100</v>
      </c>
      <c r="D99" s="626">
        <v>24</v>
      </c>
      <c r="E99" s="611">
        <v>2.12</v>
      </c>
      <c r="F99" s="678">
        <f t="shared" si="18"/>
        <v>2.0650400000000002</v>
      </c>
      <c r="G99" s="683">
        <v>550</v>
      </c>
      <c r="H99" s="681">
        <f t="shared" si="20"/>
        <v>158400</v>
      </c>
      <c r="I99" s="623">
        <f t="shared" si="21"/>
        <v>13992</v>
      </c>
      <c r="J99" s="623"/>
      <c r="K99" s="627">
        <v>3.3000000000000002E-2</v>
      </c>
      <c r="L99" s="627">
        <f t="shared" si="22"/>
        <v>9.0750000000000011</v>
      </c>
      <c r="M99" s="627"/>
      <c r="N99" s="609">
        <v>24</v>
      </c>
      <c r="O99" s="610">
        <v>2.1216305911759807</v>
      </c>
      <c r="P99" s="617" t="str">
        <f t="shared" si="23"/>
        <v>---</v>
      </c>
      <c r="Q99" s="618">
        <f t="shared" si="24"/>
        <v>1.6305911759806335E-3</v>
      </c>
      <c r="R99" s="485"/>
      <c r="S99" s="463" t="str">
        <f t="shared" si="25"/>
        <v>OK</v>
      </c>
      <c r="T99" s="451">
        <f>+'2012 Rates'!P275</f>
        <v>2.27</v>
      </c>
      <c r="U99" s="447">
        <f t="shared" si="19"/>
        <v>9.9252314725138291E-2</v>
      </c>
      <c r="V99" s="445"/>
      <c r="W99" s="623">
        <f t="shared" si="26"/>
        <v>14982</v>
      </c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  <c r="CU99" s="485"/>
      <c r="CV99" s="485"/>
      <c r="CW99" s="485"/>
      <c r="CX99" s="485"/>
      <c r="CY99" s="485"/>
      <c r="CZ99" s="485"/>
      <c r="DA99" s="485"/>
      <c r="DB99" s="485"/>
      <c r="DC99" s="485"/>
      <c r="DD99" s="485"/>
      <c r="DE99" s="485"/>
      <c r="DF99" s="485"/>
      <c r="DG99" s="485"/>
      <c r="DH99" s="485"/>
      <c r="DI99" s="485"/>
      <c r="DJ99" s="485"/>
      <c r="DK99" s="485"/>
      <c r="DL99" s="485"/>
      <c r="DM99" s="485"/>
      <c r="DN99" s="485"/>
      <c r="DO99" s="485"/>
      <c r="DP99" s="485"/>
      <c r="DQ99" s="485"/>
      <c r="DR99" s="485"/>
      <c r="DS99" s="485"/>
      <c r="DT99" s="485"/>
      <c r="DU99" s="485"/>
      <c r="DV99" s="485"/>
      <c r="DW99" s="485"/>
      <c r="DX99" s="485"/>
      <c r="DY99" s="485"/>
      <c r="DZ99" s="485"/>
      <c r="EA99" s="485"/>
      <c r="EB99" s="485"/>
      <c r="EC99" s="485"/>
      <c r="ED99" s="485"/>
      <c r="EE99" s="485"/>
      <c r="EF99" s="485"/>
      <c r="EG99" s="485"/>
      <c r="EH99" s="485"/>
      <c r="EI99" s="485"/>
      <c r="EJ99" s="485"/>
      <c r="EK99" s="485"/>
      <c r="EL99" s="485"/>
      <c r="EM99" s="485"/>
      <c r="EN99" s="485"/>
      <c r="EO99" s="485"/>
      <c r="EP99" s="485"/>
    </row>
    <row r="100" spans="1:146" ht="15.75">
      <c r="A100" s="462">
        <v>504</v>
      </c>
      <c r="B100" s="629" t="s">
        <v>380</v>
      </c>
      <c r="C100" s="624">
        <v>116</v>
      </c>
      <c r="D100" s="626">
        <v>28</v>
      </c>
      <c r="E100" s="611">
        <v>2.46</v>
      </c>
      <c r="F100" s="678">
        <f t="shared" si="18"/>
        <v>2.39588</v>
      </c>
      <c r="G100" s="683">
        <v>158</v>
      </c>
      <c r="H100" s="681">
        <f t="shared" si="20"/>
        <v>53088</v>
      </c>
      <c r="I100" s="623">
        <f t="shared" si="21"/>
        <v>4664.16</v>
      </c>
      <c r="J100" s="623"/>
      <c r="K100" s="627">
        <v>3.9E-2</v>
      </c>
      <c r="L100" s="627">
        <f t="shared" si="22"/>
        <v>3.081</v>
      </c>
      <c r="M100" s="627"/>
      <c r="N100" s="609">
        <v>28</v>
      </c>
      <c r="O100" s="610">
        <v>2.4619023563719771</v>
      </c>
      <c r="P100" s="617" t="str">
        <f t="shared" si="23"/>
        <v>---</v>
      </c>
      <c r="Q100" s="618">
        <f t="shared" si="24"/>
        <v>1.9023563719771097E-3</v>
      </c>
      <c r="R100" s="485"/>
      <c r="S100" s="450" t="str">
        <f t="shared" si="25"/>
        <v>OK</v>
      </c>
      <c r="T100" s="451">
        <f>+'2012 Rates'!P276</f>
        <v>2.63</v>
      </c>
      <c r="U100" s="447">
        <f t="shared" si="19"/>
        <v>9.7717748802110149E-2</v>
      </c>
      <c r="V100" s="445"/>
      <c r="W100" s="623">
        <f t="shared" si="26"/>
        <v>4986.4799999999996</v>
      </c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  <c r="CU100" s="485"/>
      <c r="CV100" s="485"/>
      <c r="CW100" s="485"/>
      <c r="CX100" s="485"/>
      <c r="CY100" s="485"/>
      <c r="CZ100" s="485"/>
      <c r="DA100" s="485"/>
      <c r="DB100" s="485"/>
      <c r="DC100" s="485"/>
      <c r="DD100" s="485"/>
      <c r="DE100" s="485"/>
      <c r="DF100" s="485"/>
      <c r="DG100" s="485"/>
      <c r="DH100" s="485"/>
      <c r="DI100" s="485"/>
      <c r="DJ100" s="485"/>
      <c r="DK100" s="485"/>
      <c r="DL100" s="485"/>
      <c r="DM100" s="485"/>
      <c r="DN100" s="485"/>
      <c r="DO100" s="485"/>
      <c r="DP100" s="485"/>
      <c r="DQ100" s="485"/>
      <c r="DR100" s="485"/>
      <c r="DS100" s="485"/>
      <c r="DT100" s="485"/>
      <c r="DU100" s="485"/>
      <c r="DV100" s="485"/>
      <c r="DW100" s="485"/>
      <c r="DX100" s="485"/>
      <c r="DY100" s="485"/>
      <c r="DZ100" s="485"/>
      <c r="EA100" s="485"/>
      <c r="EB100" s="485"/>
      <c r="EC100" s="485"/>
      <c r="ED100" s="485"/>
      <c r="EE100" s="485"/>
      <c r="EF100" s="485"/>
      <c r="EG100" s="485"/>
      <c r="EH100" s="485"/>
      <c r="EI100" s="485"/>
      <c r="EJ100" s="485"/>
      <c r="EK100" s="485"/>
      <c r="EL100" s="485"/>
      <c r="EM100" s="485"/>
      <c r="EN100" s="485"/>
      <c r="EO100" s="485"/>
      <c r="EP100" s="485"/>
    </row>
    <row r="101" spans="1:146" ht="15.75">
      <c r="A101" s="462">
        <v>505</v>
      </c>
      <c r="B101" s="629" t="s">
        <v>380</v>
      </c>
      <c r="C101" s="624">
        <v>150</v>
      </c>
      <c r="D101" s="626">
        <v>37</v>
      </c>
      <c r="E101" s="611">
        <v>3.24</v>
      </c>
      <c r="F101" s="678">
        <f t="shared" si="18"/>
        <v>3.1552700000000002</v>
      </c>
      <c r="G101" s="683">
        <v>476</v>
      </c>
      <c r="H101" s="681">
        <f t="shared" si="20"/>
        <v>211344</v>
      </c>
      <c r="I101" s="623">
        <f t="shared" si="21"/>
        <v>18506.88</v>
      </c>
      <c r="J101" s="623"/>
      <c r="K101" s="627">
        <v>0.05</v>
      </c>
      <c r="L101" s="627">
        <f t="shared" si="22"/>
        <v>11.9</v>
      </c>
      <c r="M101" s="627"/>
      <c r="N101" s="609">
        <v>37</v>
      </c>
      <c r="O101" s="610">
        <v>3.2375138280629696</v>
      </c>
      <c r="P101" s="617" t="str">
        <f t="shared" si="23"/>
        <v>---</v>
      </c>
      <c r="Q101" s="618">
        <f t="shared" si="24"/>
        <v>-2.4861719370306012E-3</v>
      </c>
      <c r="R101" s="485"/>
      <c r="S101" s="624" t="str">
        <f t="shared" si="25"/>
        <v>OK</v>
      </c>
      <c r="T101" s="451">
        <f>+'2012 Rates'!P277</f>
        <v>3.45</v>
      </c>
      <c r="U101" s="447">
        <f t="shared" si="19"/>
        <v>9.3408804951715663E-2</v>
      </c>
      <c r="V101" s="445"/>
      <c r="W101" s="623">
        <f t="shared" si="26"/>
        <v>19706.400000000001</v>
      </c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  <c r="CU101" s="485"/>
      <c r="CV101" s="485"/>
      <c r="CW101" s="485"/>
      <c r="CX101" s="485"/>
      <c r="CY101" s="485"/>
      <c r="CZ101" s="485"/>
      <c r="DA101" s="485"/>
      <c r="DB101" s="485"/>
      <c r="DC101" s="485"/>
      <c r="DD101" s="485"/>
      <c r="DE101" s="485"/>
      <c r="DF101" s="485"/>
      <c r="DG101" s="485"/>
      <c r="DH101" s="485"/>
      <c r="DI101" s="485"/>
      <c r="DJ101" s="485"/>
      <c r="DK101" s="485"/>
      <c r="DL101" s="485"/>
      <c r="DM101" s="485"/>
      <c r="DN101" s="485"/>
      <c r="DO101" s="485"/>
      <c r="DP101" s="485"/>
      <c r="DQ101" s="485"/>
      <c r="DR101" s="485"/>
      <c r="DS101" s="485"/>
      <c r="DT101" s="485"/>
      <c r="DU101" s="485"/>
      <c r="DV101" s="485"/>
      <c r="DW101" s="485"/>
      <c r="DX101" s="485"/>
      <c r="DY101" s="485"/>
      <c r="DZ101" s="485"/>
      <c r="EA101" s="485"/>
      <c r="EB101" s="485"/>
      <c r="EC101" s="485"/>
      <c r="ED101" s="485"/>
      <c r="EE101" s="485"/>
      <c r="EF101" s="485"/>
      <c r="EG101" s="485"/>
      <c r="EH101" s="485"/>
      <c r="EI101" s="485"/>
      <c r="EJ101" s="485"/>
      <c r="EK101" s="485"/>
      <c r="EL101" s="485"/>
      <c r="EM101" s="485"/>
      <c r="EN101" s="485"/>
      <c r="EO101" s="485"/>
      <c r="EP101" s="485"/>
    </row>
    <row r="102" spans="1:146" ht="15.75">
      <c r="A102" s="462">
        <v>506</v>
      </c>
      <c r="B102" s="629" t="s">
        <v>380</v>
      </c>
      <c r="C102" s="624">
        <v>200</v>
      </c>
      <c r="D102" s="626">
        <v>49</v>
      </c>
      <c r="E102" s="611">
        <v>6.29</v>
      </c>
      <c r="F102" s="678">
        <f t="shared" si="18"/>
        <v>6.1777899999999999</v>
      </c>
      <c r="G102" s="683">
        <v>12</v>
      </c>
      <c r="H102" s="681">
        <f t="shared" si="20"/>
        <v>7056</v>
      </c>
      <c r="I102" s="623">
        <f t="shared" si="21"/>
        <v>905.76</v>
      </c>
      <c r="J102" s="623"/>
      <c r="K102" s="627">
        <v>0.2</v>
      </c>
      <c r="L102" s="627">
        <f t="shared" si="22"/>
        <v>1.2000000000000002</v>
      </c>
      <c r="M102" s="627"/>
      <c r="N102" s="609">
        <v>49</v>
      </c>
      <c r="O102" s="610">
        <v>6.2883291236509606</v>
      </c>
      <c r="P102" s="617" t="str">
        <f t="shared" si="23"/>
        <v>---</v>
      </c>
      <c r="Q102" s="618">
        <f t="shared" si="24"/>
        <v>-1.6708763490393963E-3</v>
      </c>
      <c r="R102" s="485"/>
      <c r="S102" s="624" t="str">
        <f t="shared" si="25"/>
        <v>OK</v>
      </c>
      <c r="T102" s="613">
        <f>+'2012 Rates'!O278</f>
        <v>6.7799999999999994</v>
      </c>
      <c r="U102" s="447">
        <f t="shared" si="19"/>
        <v>9.7479843115418241E-2</v>
      </c>
      <c r="V102" s="445"/>
      <c r="W102" s="623">
        <f t="shared" si="26"/>
        <v>976.31999999999982</v>
      </c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  <c r="CU102" s="485"/>
      <c r="CV102" s="485"/>
      <c r="CW102" s="485"/>
      <c r="CX102" s="485"/>
      <c r="CY102" s="485"/>
      <c r="CZ102" s="485"/>
      <c r="DA102" s="485"/>
      <c r="DB102" s="485"/>
      <c r="DC102" s="485"/>
      <c r="DD102" s="485"/>
      <c r="DE102" s="485"/>
      <c r="DF102" s="485"/>
      <c r="DG102" s="485"/>
      <c r="DH102" s="485"/>
      <c r="DI102" s="485"/>
      <c r="DJ102" s="485"/>
      <c r="DK102" s="485"/>
      <c r="DL102" s="485"/>
      <c r="DM102" s="485"/>
      <c r="DN102" s="485"/>
      <c r="DO102" s="485"/>
      <c r="DP102" s="485"/>
      <c r="DQ102" s="485"/>
      <c r="DR102" s="485"/>
      <c r="DS102" s="485"/>
      <c r="DT102" s="485"/>
      <c r="DU102" s="485"/>
      <c r="DV102" s="485"/>
      <c r="DW102" s="485"/>
      <c r="DX102" s="485"/>
      <c r="DY102" s="485"/>
      <c r="DZ102" s="485"/>
      <c r="EA102" s="485"/>
      <c r="EB102" s="485"/>
      <c r="EC102" s="485"/>
      <c r="ED102" s="485"/>
      <c r="EE102" s="485"/>
      <c r="EF102" s="485"/>
      <c r="EG102" s="485"/>
      <c r="EH102" s="485"/>
      <c r="EI102" s="485"/>
      <c r="EJ102" s="485"/>
      <c r="EK102" s="485"/>
      <c r="EL102" s="485"/>
      <c r="EM102" s="485"/>
      <c r="EN102" s="485"/>
      <c r="EO102" s="485"/>
      <c r="EP102" s="485"/>
    </row>
    <row r="103" spans="1:146" ht="15.75">
      <c r="A103" s="462">
        <v>507</v>
      </c>
      <c r="B103" s="629" t="s">
        <v>380</v>
      </c>
      <c r="C103" s="624">
        <v>860</v>
      </c>
      <c r="D103" s="626">
        <v>209</v>
      </c>
      <c r="E103" s="611">
        <v>26.91</v>
      </c>
      <c r="F103" s="678">
        <f t="shared" si="18"/>
        <v>26.43139</v>
      </c>
      <c r="G103" s="683">
        <v>6</v>
      </c>
      <c r="H103" s="681">
        <f t="shared" si="20"/>
        <v>15048</v>
      </c>
      <c r="I103" s="623">
        <f t="shared" si="21"/>
        <v>1937.52</v>
      </c>
      <c r="J103" s="623"/>
      <c r="K103" s="627">
        <v>0.86</v>
      </c>
      <c r="L103" s="627">
        <f t="shared" si="22"/>
        <v>2.58</v>
      </c>
      <c r="M103" s="627"/>
      <c r="N103" s="609">
        <v>209</v>
      </c>
      <c r="O103" s="610">
        <v>26.909199731490837</v>
      </c>
      <c r="P103" s="617" t="str">
        <f t="shared" si="23"/>
        <v>---</v>
      </c>
      <c r="Q103" s="618">
        <f t="shared" si="24"/>
        <v>-8.0026850916325998E-4</v>
      </c>
      <c r="R103" s="485"/>
      <c r="S103" s="624" t="str">
        <f t="shared" si="25"/>
        <v>OK</v>
      </c>
      <c r="T103" s="613">
        <f>+'2012 Rates'!O279</f>
        <v>29.02</v>
      </c>
      <c r="U103" s="447">
        <f t="shared" si="19"/>
        <v>9.7936960560908837E-2</v>
      </c>
      <c r="V103" s="445"/>
      <c r="W103" s="623">
        <f t="shared" si="26"/>
        <v>2089.44</v>
      </c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  <c r="CU103" s="485"/>
      <c r="CV103" s="485"/>
      <c r="CW103" s="485"/>
      <c r="CX103" s="485"/>
      <c r="CY103" s="485"/>
      <c r="CZ103" s="485"/>
      <c r="DA103" s="485"/>
      <c r="DB103" s="485"/>
      <c r="DC103" s="485"/>
      <c r="DD103" s="485"/>
      <c r="DE103" s="485"/>
      <c r="DF103" s="485"/>
      <c r="DG103" s="485"/>
      <c r="DH103" s="485"/>
      <c r="DI103" s="485"/>
      <c r="DJ103" s="485"/>
      <c r="DK103" s="485"/>
      <c r="DL103" s="485"/>
      <c r="DM103" s="485"/>
      <c r="DN103" s="485"/>
      <c r="DO103" s="485"/>
      <c r="DP103" s="485"/>
      <c r="DQ103" s="485"/>
      <c r="DR103" s="485"/>
      <c r="DS103" s="485"/>
      <c r="DT103" s="485"/>
      <c r="DU103" s="485"/>
      <c r="DV103" s="485"/>
      <c r="DW103" s="485"/>
      <c r="DX103" s="485"/>
      <c r="DY103" s="485"/>
      <c r="DZ103" s="485"/>
      <c r="EA103" s="485"/>
      <c r="EB103" s="485"/>
      <c r="EC103" s="485"/>
      <c r="ED103" s="485"/>
      <c r="EE103" s="485"/>
      <c r="EF103" s="485"/>
      <c r="EG103" s="485"/>
      <c r="EH103" s="485"/>
      <c r="EI103" s="485"/>
      <c r="EJ103" s="485"/>
      <c r="EK103" s="485"/>
      <c r="EL103" s="485"/>
      <c r="EM103" s="485"/>
      <c r="EN103" s="485"/>
      <c r="EO103" s="485"/>
      <c r="EP103" s="485"/>
    </row>
    <row r="104" spans="1:146" ht="15.75">
      <c r="A104" s="462">
        <v>508</v>
      </c>
      <c r="B104" s="629" t="s">
        <v>380</v>
      </c>
      <c r="C104" s="624">
        <v>60</v>
      </c>
      <c r="D104" s="626">
        <v>15</v>
      </c>
      <c r="E104" s="611">
        <v>1.31</v>
      </c>
      <c r="F104" s="678">
        <f t="shared" si="18"/>
        <v>1.27565</v>
      </c>
      <c r="G104" s="683">
        <v>972</v>
      </c>
      <c r="H104" s="681">
        <f t="shared" si="20"/>
        <v>174960</v>
      </c>
      <c r="I104" s="623">
        <f t="shared" si="21"/>
        <v>15279.840000000002</v>
      </c>
      <c r="J104" s="623"/>
      <c r="K104" s="627">
        <v>0.02</v>
      </c>
      <c r="L104" s="627">
        <f t="shared" si="22"/>
        <v>9.7200000000000006</v>
      </c>
      <c r="M104" s="627"/>
      <c r="N104" s="609">
        <v>15</v>
      </c>
      <c r="O104" s="610">
        <v>1.3060191194849882</v>
      </c>
      <c r="P104" s="617" t="str">
        <f t="shared" si="23"/>
        <v>---</v>
      </c>
      <c r="Q104" s="618">
        <f t="shared" si="24"/>
        <v>-3.9808805150118864E-3</v>
      </c>
      <c r="R104" s="485"/>
      <c r="S104" s="624" t="str">
        <f t="shared" si="25"/>
        <v>OK</v>
      </c>
      <c r="T104" s="451">
        <f>+'2012 Rates'!P280</f>
        <v>1.4</v>
      </c>
      <c r="U104" s="447">
        <f t="shared" si="19"/>
        <v>9.7479716223102031E-2</v>
      </c>
      <c r="V104" s="445"/>
      <c r="W104" s="623">
        <f t="shared" si="26"/>
        <v>16329.599999999999</v>
      </c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  <c r="CU104" s="485"/>
      <c r="CV104" s="485"/>
      <c r="CW104" s="485"/>
      <c r="CX104" s="485"/>
      <c r="CY104" s="485"/>
      <c r="CZ104" s="485"/>
      <c r="DA104" s="485"/>
      <c r="DB104" s="485"/>
      <c r="DC104" s="485"/>
      <c r="DD104" s="485"/>
      <c r="DE104" s="485"/>
      <c r="DF104" s="485"/>
      <c r="DG104" s="485"/>
      <c r="DH104" s="485"/>
      <c r="DI104" s="485"/>
      <c r="DJ104" s="485"/>
      <c r="DK104" s="485"/>
      <c r="DL104" s="485"/>
      <c r="DM104" s="485"/>
      <c r="DN104" s="485"/>
      <c r="DO104" s="485"/>
      <c r="DP104" s="485"/>
      <c r="DQ104" s="485"/>
      <c r="DR104" s="485"/>
      <c r="DS104" s="485"/>
      <c r="DT104" s="485"/>
      <c r="DU104" s="485"/>
      <c r="DV104" s="485"/>
      <c r="DW104" s="485"/>
      <c r="DX104" s="485"/>
      <c r="DY104" s="485"/>
      <c r="DZ104" s="485"/>
      <c r="EA104" s="485"/>
      <c r="EB104" s="485"/>
      <c r="EC104" s="485"/>
      <c r="ED104" s="485"/>
      <c r="EE104" s="485"/>
      <c r="EF104" s="485"/>
      <c r="EG104" s="485"/>
      <c r="EH104" s="485"/>
      <c r="EI104" s="485"/>
      <c r="EJ104" s="485"/>
      <c r="EK104" s="485"/>
      <c r="EL104" s="485"/>
      <c r="EM104" s="485"/>
      <c r="EN104" s="485"/>
      <c r="EO104" s="485"/>
      <c r="EP104" s="485"/>
    </row>
    <row r="105" spans="1:146" ht="15.75">
      <c r="A105" s="462">
        <v>509</v>
      </c>
      <c r="B105" s="629" t="s">
        <v>380</v>
      </c>
      <c r="C105" s="624">
        <v>135</v>
      </c>
      <c r="D105" s="626">
        <v>33</v>
      </c>
      <c r="E105" s="611">
        <v>2.89</v>
      </c>
      <c r="F105" s="678">
        <f t="shared" si="18"/>
        <v>2.8144300000000002</v>
      </c>
      <c r="G105" s="683">
        <v>66</v>
      </c>
      <c r="H105" s="681">
        <f t="shared" si="20"/>
        <v>26136</v>
      </c>
      <c r="I105" s="623">
        <f t="shared" si="21"/>
        <v>2288.88</v>
      </c>
      <c r="J105" s="623"/>
      <c r="K105" s="627">
        <v>4.4999999999999998E-2</v>
      </c>
      <c r="L105" s="627">
        <f t="shared" si="22"/>
        <v>1.4849999999999999</v>
      </c>
      <c r="M105" s="627"/>
      <c r="N105" s="609">
        <v>33</v>
      </c>
      <c r="O105" s="610">
        <v>2.8872420628669735</v>
      </c>
      <c r="P105" s="617" t="str">
        <f t="shared" si="23"/>
        <v>---</v>
      </c>
      <c r="Q105" s="618">
        <f t="shared" si="24"/>
        <v>-2.7579371330266333E-3</v>
      </c>
      <c r="R105" s="485"/>
      <c r="S105" s="624" t="str">
        <f t="shared" si="25"/>
        <v>OK</v>
      </c>
      <c r="T105" s="451">
        <f>+'2012 Rates'!P281</f>
        <v>3.08</v>
      </c>
      <c r="U105" s="447">
        <f t="shared" si="19"/>
        <v>9.4360136866079358E-2</v>
      </c>
      <c r="V105" s="445"/>
      <c r="W105" s="623">
        <f t="shared" si="26"/>
        <v>2439.36</v>
      </c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  <c r="CU105" s="485"/>
      <c r="CV105" s="485"/>
      <c r="CW105" s="485"/>
      <c r="CX105" s="485"/>
      <c r="CY105" s="485"/>
      <c r="CZ105" s="485"/>
      <c r="DA105" s="485"/>
      <c r="DB105" s="485"/>
      <c r="DC105" s="485"/>
      <c r="DD105" s="485"/>
      <c r="DE105" s="485"/>
      <c r="DF105" s="485"/>
      <c r="DG105" s="485"/>
      <c r="DH105" s="485"/>
      <c r="DI105" s="485"/>
      <c r="DJ105" s="485"/>
      <c r="DK105" s="485"/>
      <c r="DL105" s="485"/>
      <c r="DM105" s="485"/>
      <c r="DN105" s="485"/>
      <c r="DO105" s="485"/>
      <c r="DP105" s="485"/>
      <c r="DQ105" s="485"/>
      <c r="DR105" s="485"/>
      <c r="DS105" s="485"/>
      <c r="DT105" s="485"/>
      <c r="DU105" s="485"/>
      <c r="DV105" s="485"/>
      <c r="DW105" s="485"/>
      <c r="DX105" s="485"/>
      <c r="DY105" s="485"/>
      <c r="DZ105" s="485"/>
      <c r="EA105" s="485"/>
      <c r="EB105" s="485"/>
      <c r="EC105" s="485"/>
      <c r="ED105" s="485"/>
      <c r="EE105" s="485"/>
      <c r="EF105" s="485"/>
      <c r="EG105" s="485"/>
      <c r="EH105" s="485"/>
      <c r="EI105" s="485"/>
      <c r="EJ105" s="485"/>
      <c r="EK105" s="485"/>
      <c r="EL105" s="485"/>
      <c r="EM105" s="485"/>
      <c r="EN105" s="485"/>
      <c r="EO105" s="485"/>
      <c r="EP105" s="485"/>
    </row>
    <row r="106" spans="1:146" ht="15.75">
      <c r="A106" s="462">
        <v>510</v>
      </c>
      <c r="B106" s="629" t="s">
        <v>380</v>
      </c>
      <c r="C106" s="624">
        <v>20</v>
      </c>
      <c r="D106" s="626">
        <v>5</v>
      </c>
      <c r="E106" s="611">
        <v>0.44</v>
      </c>
      <c r="F106" s="678">
        <f t="shared" si="18"/>
        <v>0.42854999999999999</v>
      </c>
      <c r="G106" s="683">
        <v>179</v>
      </c>
      <c r="H106" s="681">
        <f t="shared" si="20"/>
        <v>10740</v>
      </c>
      <c r="I106" s="623">
        <f t="shared" si="21"/>
        <v>945.12000000000012</v>
      </c>
      <c r="J106" s="623"/>
      <c r="K106" s="627">
        <v>7.0000000000000001E-3</v>
      </c>
      <c r="L106" s="627">
        <f t="shared" si="22"/>
        <v>0.62650000000000006</v>
      </c>
      <c r="M106" s="627"/>
      <c r="N106" s="609">
        <v>5</v>
      </c>
      <c r="O106" s="610">
        <v>0.43533970649499593</v>
      </c>
      <c r="P106" s="617" t="str">
        <f t="shared" si="23"/>
        <v>---</v>
      </c>
      <c r="Q106" s="618">
        <f t="shared" si="24"/>
        <v>-4.6602935050040761E-3</v>
      </c>
      <c r="R106" s="485"/>
      <c r="S106" s="624" t="str">
        <f t="shared" si="25"/>
        <v>OK</v>
      </c>
      <c r="T106" s="451">
        <f>+'2012 Rates'!P282</f>
        <v>0.46</v>
      </c>
      <c r="U106" s="447">
        <f t="shared" si="19"/>
        <v>7.3387002683467539E-2</v>
      </c>
      <c r="V106" s="445"/>
      <c r="W106" s="623">
        <f t="shared" si="26"/>
        <v>988.08</v>
      </c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  <c r="CU106" s="485"/>
      <c r="CV106" s="485"/>
      <c r="CW106" s="485"/>
      <c r="CX106" s="485"/>
      <c r="CY106" s="485"/>
      <c r="CZ106" s="485"/>
      <c r="DA106" s="485"/>
      <c r="DB106" s="485"/>
      <c r="DC106" s="485"/>
      <c r="DD106" s="485"/>
      <c r="DE106" s="485"/>
      <c r="DF106" s="485"/>
      <c r="DG106" s="485"/>
      <c r="DH106" s="485"/>
      <c r="DI106" s="485"/>
      <c r="DJ106" s="485"/>
      <c r="DK106" s="485"/>
      <c r="DL106" s="485"/>
      <c r="DM106" s="485"/>
      <c r="DN106" s="485"/>
      <c r="DO106" s="485"/>
      <c r="DP106" s="485"/>
      <c r="DQ106" s="485"/>
      <c r="DR106" s="485"/>
      <c r="DS106" s="485"/>
      <c r="DT106" s="485"/>
      <c r="DU106" s="485"/>
      <c r="DV106" s="485"/>
      <c r="DW106" s="485"/>
      <c r="DX106" s="485"/>
      <c r="DY106" s="485"/>
      <c r="DZ106" s="485"/>
      <c r="EA106" s="485"/>
      <c r="EB106" s="485"/>
      <c r="EC106" s="485"/>
      <c r="ED106" s="485"/>
      <c r="EE106" s="485"/>
      <c r="EF106" s="485"/>
      <c r="EG106" s="485"/>
      <c r="EH106" s="485"/>
      <c r="EI106" s="485"/>
      <c r="EJ106" s="485"/>
      <c r="EK106" s="485"/>
      <c r="EL106" s="485"/>
      <c r="EM106" s="485"/>
      <c r="EN106" s="485"/>
      <c r="EO106" s="485"/>
      <c r="EP106" s="485"/>
    </row>
    <row r="107" spans="1:146" ht="15.75">
      <c r="A107" s="462">
        <v>511</v>
      </c>
      <c r="B107" s="629" t="s">
        <v>380</v>
      </c>
      <c r="C107" s="624">
        <v>50</v>
      </c>
      <c r="D107" s="626">
        <v>12</v>
      </c>
      <c r="E107" s="611">
        <v>1.04</v>
      </c>
      <c r="F107" s="678">
        <f t="shared" si="18"/>
        <v>1.0125200000000001</v>
      </c>
      <c r="G107" s="683"/>
      <c r="H107" s="681">
        <f t="shared" si="20"/>
        <v>0</v>
      </c>
      <c r="I107" s="623">
        <f t="shared" si="21"/>
        <v>0</v>
      </c>
      <c r="J107" s="623"/>
      <c r="K107" s="627">
        <v>1.7000000000000001E-2</v>
      </c>
      <c r="L107" s="627">
        <f t="shared" si="22"/>
        <v>0</v>
      </c>
      <c r="M107" s="627"/>
      <c r="N107" s="609">
        <v>12</v>
      </c>
      <c r="O107" s="610">
        <v>1.0408152955879901</v>
      </c>
      <c r="P107" s="617" t="str">
        <f t="shared" si="23"/>
        <v>---</v>
      </c>
      <c r="Q107" s="618">
        <f t="shared" si="24"/>
        <v>8.1529558799009472E-4</v>
      </c>
      <c r="R107" s="485"/>
      <c r="S107" s="624" t="str">
        <f t="shared" si="25"/>
        <v>OK</v>
      </c>
      <c r="T107" s="613">
        <f>+'2012 Rates'!P283</f>
        <v>1.1200000000000001</v>
      </c>
      <c r="U107" s="447">
        <f t="shared" si="19"/>
        <v>0.10615098961008185</v>
      </c>
      <c r="V107" s="485"/>
      <c r="W107" s="623">
        <f t="shared" si="26"/>
        <v>0</v>
      </c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  <c r="CU107" s="485"/>
      <c r="CV107" s="485"/>
      <c r="CW107" s="485"/>
      <c r="CX107" s="485"/>
      <c r="CY107" s="485"/>
      <c r="CZ107" s="485"/>
      <c r="DA107" s="485"/>
      <c r="DB107" s="485"/>
      <c r="DC107" s="485"/>
      <c r="DD107" s="485"/>
      <c r="DE107" s="485"/>
      <c r="DF107" s="485"/>
      <c r="DG107" s="485"/>
      <c r="DH107" s="485"/>
      <c r="DI107" s="485"/>
      <c r="DJ107" s="485"/>
      <c r="DK107" s="485"/>
      <c r="DL107" s="485"/>
      <c r="DM107" s="485"/>
      <c r="DN107" s="485"/>
      <c r="DO107" s="485"/>
      <c r="DP107" s="485"/>
      <c r="DQ107" s="485"/>
      <c r="DR107" s="485"/>
      <c r="DS107" s="485"/>
      <c r="DT107" s="485"/>
      <c r="DU107" s="485"/>
      <c r="DV107" s="485"/>
      <c r="DW107" s="485"/>
      <c r="DX107" s="485"/>
      <c r="DY107" s="485"/>
      <c r="DZ107" s="485"/>
      <c r="EA107" s="485"/>
      <c r="EB107" s="485"/>
      <c r="EC107" s="485"/>
      <c r="ED107" s="485"/>
      <c r="EE107" s="485"/>
      <c r="EF107" s="485"/>
      <c r="EG107" s="485"/>
      <c r="EH107" s="485"/>
      <c r="EI107" s="485"/>
      <c r="EJ107" s="485"/>
      <c r="EK107" s="485"/>
      <c r="EL107" s="485"/>
      <c r="EM107" s="485"/>
      <c r="EN107" s="485"/>
      <c r="EO107" s="485"/>
      <c r="EP107" s="485"/>
    </row>
    <row r="108" spans="1:146" ht="15.75">
      <c r="A108" s="462">
        <v>512</v>
      </c>
      <c r="B108" s="629" t="s">
        <v>380</v>
      </c>
      <c r="C108" s="624">
        <v>75</v>
      </c>
      <c r="D108" s="626">
        <v>18</v>
      </c>
      <c r="E108" s="611">
        <v>1.57</v>
      </c>
      <c r="F108" s="678">
        <f t="shared" si="18"/>
        <v>1.52878</v>
      </c>
      <c r="G108" s="683"/>
      <c r="H108" s="681">
        <f t="shared" si="20"/>
        <v>0</v>
      </c>
      <c r="I108" s="623">
        <f t="shared" si="21"/>
        <v>0</v>
      </c>
      <c r="J108" s="623"/>
      <c r="K108" s="627">
        <v>2.5000000000000001E-2</v>
      </c>
      <c r="L108" s="627">
        <f t="shared" si="22"/>
        <v>0</v>
      </c>
      <c r="M108" s="627"/>
      <c r="N108" s="609">
        <v>18</v>
      </c>
      <c r="O108" s="610">
        <v>1.5712229433819855</v>
      </c>
      <c r="P108" s="617" t="str">
        <f t="shared" si="23"/>
        <v>---</v>
      </c>
      <c r="Q108" s="618">
        <f t="shared" si="24"/>
        <v>1.2229433819854751E-3</v>
      </c>
      <c r="R108" s="485"/>
      <c r="S108" s="624" t="str">
        <f t="shared" si="25"/>
        <v>OK</v>
      </c>
      <c r="T108" s="613">
        <f>+'2012 Rates'!P284</f>
        <v>1.6800000000000002</v>
      </c>
      <c r="U108" s="447">
        <f t="shared" si="19"/>
        <v>9.8915475084708104E-2</v>
      </c>
      <c r="V108" s="485"/>
      <c r="W108" s="623">
        <f t="shared" si="26"/>
        <v>0</v>
      </c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  <c r="CU108" s="485"/>
      <c r="CV108" s="485"/>
      <c r="CW108" s="485"/>
      <c r="CX108" s="485"/>
      <c r="CY108" s="485"/>
      <c r="CZ108" s="485"/>
      <c r="DA108" s="485"/>
      <c r="DB108" s="485"/>
      <c r="DC108" s="485"/>
      <c r="DD108" s="485"/>
      <c r="DE108" s="485"/>
      <c r="DF108" s="485"/>
      <c r="DG108" s="485"/>
      <c r="DH108" s="485"/>
      <c r="DI108" s="485"/>
      <c r="DJ108" s="485"/>
      <c r="DK108" s="485"/>
      <c r="DL108" s="485"/>
      <c r="DM108" s="485"/>
      <c r="DN108" s="485"/>
      <c r="DO108" s="485"/>
      <c r="DP108" s="485"/>
      <c r="DQ108" s="485"/>
      <c r="DR108" s="485"/>
      <c r="DS108" s="485"/>
      <c r="DT108" s="485"/>
      <c r="DU108" s="485"/>
      <c r="DV108" s="485"/>
      <c r="DW108" s="485"/>
      <c r="DX108" s="485"/>
      <c r="DY108" s="485"/>
      <c r="DZ108" s="485"/>
      <c r="EA108" s="485"/>
      <c r="EB108" s="485"/>
      <c r="EC108" s="485"/>
      <c r="ED108" s="485"/>
      <c r="EE108" s="485"/>
      <c r="EF108" s="485"/>
      <c r="EG108" s="485"/>
      <c r="EH108" s="485"/>
      <c r="EI108" s="485"/>
      <c r="EJ108" s="485"/>
      <c r="EK108" s="485"/>
      <c r="EL108" s="485"/>
      <c r="EM108" s="485"/>
      <c r="EN108" s="485"/>
      <c r="EO108" s="485"/>
      <c r="EP108" s="485"/>
    </row>
    <row r="109" spans="1:146" ht="15.75">
      <c r="A109" s="462">
        <v>513</v>
      </c>
      <c r="B109" s="629" t="s">
        <v>380</v>
      </c>
      <c r="C109" s="624">
        <v>60</v>
      </c>
      <c r="D109" s="626">
        <v>22</v>
      </c>
      <c r="E109" s="611">
        <v>2.37</v>
      </c>
      <c r="F109" s="678">
        <f t="shared" si="18"/>
        <v>2.31962</v>
      </c>
      <c r="G109" s="683">
        <v>4</v>
      </c>
      <c r="H109" s="681">
        <f t="shared" si="20"/>
        <v>1056</v>
      </c>
      <c r="I109" s="623">
        <f t="shared" si="21"/>
        <v>113.76</v>
      </c>
      <c r="J109" s="623"/>
      <c r="K109" s="627">
        <v>0.06</v>
      </c>
      <c r="L109" s="627">
        <f t="shared" si="22"/>
        <v>0.12</v>
      </c>
      <c r="M109" s="627"/>
      <c r="N109" s="609">
        <v>22</v>
      </c>
      <c r="O109" s="610">
        <v>2.3714947085779823</v>
      </c>
      <c r="P109" s="617" t="str">
        <f t="shared" si="23"/>
        <v>---</v>
      </c>
      <c r="Q109" s="618">
        <f t="shared" si="24"/>
        <v>1.4947085779821734E-3</v>
      </c>
      <c r="R109" s="485"/>
      <c r="S109" s="624" t="str">
        <f t="shared" si="25"/>
        <v>OK</v>
      </c>
      <c r="T109" s="613">
        <f>'2012 Rates'!O285</f>
        <v>2.5499999999999998</v>
      </c>
      <c r="U109" s="447">
        <f t="shared" si="19"/>
        <v>9.9317991740026201E-2</v>
      </c>
      <c r="V109" s="485"/>
      <c r="W109" s="623">
        <f t="shared" si="26"/>
        <v>122.39999999999999</v>
      </c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  <c r="CU109" s="485"/>
      <c r="CV109" s="485"/>
      <c r="CW109" s="485"/>
      <c r="CX109" s="485"/>
      <c r="CY109" s="485"/>
      <c r="CZ109" s="485"/>
      <c r="DA109" s="485"/>
      <c r="DB109" s="485"/>
      <c r="DC109" s="485"/>
      <c r="DD109" s="485"/>
      <c r="DE109" s="485"/>
      <c r="DF109" s="485"/>
      <c r="DG109" s="485"/>
      <c r="DH109" s="485"/>
      <c r="DI109" s="485"/>
      <c r="DJ109" s="485"/>
      <c r="DK109" s="485"/>
      <c r="DL109" s="485"/>
      <c r="DM109" s="485"/>
      <c r="DN109" s="485"/>
      <c r="DO109" s="485"/>
      <c r="DP109" s="485"/>
      <c r="DQ109" s="485"/>
      <c r="DR109" s="485"/>
      <c r="DS109" s="485"/>
      <c r="DT109" s="485"/>
      <c r="DU109" s="485"/>
      <c r="DV109" s="485"/>
      <c r="DW109" s="485"/>
      <c r="DX109" s="485"/>
      <c r="DY109" s="485"/>
      <c r="DZ109" s="485"/>
      <c r="EA109" s="485"/>
      <c r="EB109" s="485"/>
      <c r="EC109" s="485"/>
      <c r="ED109" s="485"/>
      <c r="EE109" s="485"/>
      <c r="EF109" s="485"/>
      <c r="EG109" s="485"/>
      <c r="EH109" s="485"/>
      <c r="EI109" s="485"/>
      <c r="EJ109" s="485"/>
      <c r="EK109" s="485"/>
      <c r="EL109" s="485"/>
      <c r="EM109" s="485"/>
      <c r="EN109" s="485"/>
      <c r="EO109" s="485"/>
      <c r="EP109" s="485"/>
    </row>
    <row r="110" spans="1:146" ht="15.75">
      <c r="A110" s="462"/>
      <c r="B110" s="629"/>
      <c r="C110" s="624"/>
      <c r="D110" s="626"/>
      <c r="E110" s="611"/>
      <c r="F110" s="678"/>
      <c r="G110" s="683"/>
      <c r="H110" s="681"/>
      <c r="I110" s="623"/>
      <c r="J110" s="623"/>
      <c r="K110" s="627"/>
      <c r="L110" s="627"/>
      <c r="M110" s="627"/>
      <c r="N110" s="609"/>
      <c r="O110" s="610"/>
      <c r="P110" s="617"/>
      <c r="Q110" s="618"/>
      <c r="R110" s="485"/>
      <c r="S110" s="624"/>
      <c r="T110" s="613"/>
      <c r="U110" s="447"/>
      <c r="V110" s="485"/>
      <c r="W110" s="623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  <c r="CU110" s="485"/>
      <c r="CV110" s="485"/>
      <c r="CW110" s="485"/>
      <c r="CX110" s="485"/>
      <c r="CY110" s="485"/>
      <c r="CZ110" s="485"/>
      <c r="DA110" s="485"/>
      <c r="DB110" s="485"/>
      <c r="DC110" s="485"/>
      <c r="DD110" s="485"/>
      <c r="DE110" s="485"/>
      <c r="DF110" s="485"/>
      <c r="DG110" s="485"/>
      <c r="DH110" s="485"/>
      <c r="DI110" s="485"/>
      <c r="DJ110" s="485"/>
      <c r="DK110" s="485"/>
      <c r="DL110" s="485"/>
      <c r="DM110" s="485"/>
      <c r="DN110" s="485"/>
      <c r="DO110" s="485"/>
      <c r="DP110" s="485"/>
      <c r="DQ110" s="485"/>
      <c r="DR110" s="485"/>
      <c r="DS110" s="485"/>
      <c r="DT110" s="485"/>
      <c r="DU110" s="485"/>
      <c r="DV110" s="485"/>
      <c r="DW110" s="485"/>
      <c r="DX110" s="485"/>
      <c r="DY110" s="485"/>
      <c r="DZ110" s="485"/>
      <c r="EA110" s="485"/>
      <c r="EB110" s="485"/>
      <c r="EC110" s="485"/>
      <c r="ED110" s="485"/>
      <c r="EE110" s="485"/>
      <c r="EF110" s="485"/>
      <c r="EG110" s="485"/>
      <c r="EH110" s="485"/>
      <c r="EI110" s="485"/>
      <c r="EJ110" s="485"/>
      <c r="EK110" s="485"/>
      <c r="EL110" s="485"/>
      <c r="EM110" s="485"/>
      <c r="EN110" s="485"/>
      <c r="EO110" s="485"/>
      <c r="EP110" s="485"/>
    </row>
    <row r="111" spans="1:146" ht="15.75">
      <c r="A111" s="464">
        <v>520</v>
      </c>
      <c r="B111" s="465" t="s">
        <v>381</v>
      </c>
      <c r="C111" s="450">
        <v>7</v>
      </c>
      <c r="D111" s="440">
        <v>3</v>
      </c>
      <c r="E111" s="459">
        <v>0.3</v>
      </c>
      <c r="F111" s="678">
        <f t="shared" si="18"/>
        <v>0.29313</v>
      </c>
      <c r="G111" s="683"/>
      <c r="H111" s="682">
        <f t="shared" ref="H111:H119" si="27">+D111*G111*12</f>
        <v>0</v>
      </c>
      <c r="I111" s="442">
        <f t="shared" ref="I111:I119" si="28">+E111*G111*12</f>
        <v>0</v>
      </c>
      <c r="J111" s="442"/>
      <c r="K111" s="443">
        <v>7.0000000000000001E-3</v>
      </c>
      <c r="L111" s="627">
        <f t="shared" ref="L111:L119" si="29">G111*K111*0.5</f>
        <v>0</v>
      </c>
      <c r="M111" s="627"/>
      <c r="N111" s="609">
        <v>3</v>
      </c>
      <c r="O111" s="610">
        <v>0.29520382389699762</v>
      </c>
      <c r="P111" s="448" t="str">
        <f t="shared" ref="P111:P119" si="30">IF(N111=D111,"---",N111-D111)</f>
        <v>---</v>
      </c>
      <c r="Q111" s="449">
        <f t="shared" ref="Q111:Q119" si="31">IF(O111=E111,"---",O111-E111)</f>
        <v>-4.7961761030023697E-3</v>
      </c>
      <c r="R111" s="445"/>
      <c r="S111" s="450" t="str">
        <f t="shared" ref="S111:S119" si="32">IF(N111=D111,"OK",N111)</f>
        <v>OK</v>
      </c>
      <c r="T111" s="451">
        <f>+'2012 Rates'!O289</f>
        <v>0.32</v>
      </c>
      <c r="U111" s="447">
        <f t="shared" si="19"/>
        <v>9.166581380274974E-2</v>
      </c>
      <c r="V111" s="485"/>
      <c r="W111" s="623">
        <f>+G111*T111*12</f>
        <v>0</v>
      </c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  <c r="CU111" s="485"/>
      <c r="CV111" s="485"/>
      <c r="CW111" s="485"/>
      <c r="CX111" s="485"/>
      <c r="CY111" s="485"/>
      <c r="CZ111" s="485"/>
      <c r="DA111" s="485"/>
      <c r="DB111" s="485"/>
      <c r="DC111" s="485"/>
      <c r="DD111" s="485"/>
      <c r="DE111" s="485"/>
      <c r="DF111" s="485"/>
      <c r="DG111" s="485"/>
      <c r="DH111" s="485"/>
      <c r="DI111" s="485"/>
      <c r="DJ111" s="485"/>
      <c r="DK111" s="485"/>
      <c r="DL111" s="485"/>
      <c r="DM111" s="485"/>
      <c r="DN111" s="485"/>
      <c r="DO111" s="485"/>
      <c r="DP111" s="485"/>
      <c r="DQ111" s="485"/>
      <c r="DR111" s="485"/>
      <c r="DS111" s="485"/>
      <c r="DT111" s="485"/>
      <c r="DU111" s="485"/>
      <c r="DV111" s="485"/>
      <c r="DW111" s="485"/>
      <c r="DX111" s="485"/>
      <c r="DY111" s="485"/>
      <c r="DZ111" s="485"/>
      <c r="EA111" s="485"/>
      <c r="EB111" s="485"/>
      <c r="EC111" s="485"/>
      <c r="ED111" s="485"/>
      <c r="EE111" s="485"/>
      <c r="EF111" s="485"/>
      <c r="EG111" s="485"/>
      <c r="EH111" s="485"/>
      <c r="EI111" s="485"/>
      <c r="EJ111" s="485"/>
      <c r="EK111" s="485"/>
      <c r="EL111" s="485"/>
      <c r="EM111" s="485"/>
      <c r="EN111" s="485"/>
      <c r="EO111" s="485"/>
      <c r="EP111" s="485"/>
    </row>
    <row r="112" spans="1:146" ht="15.75">
      <c r="A112" s="464">
        <v>521</v>
      </c>
      <c r="B112" s="465" t="s">
        <v>382</v>
      </c>
      <c r="C112" s="450">
        <v>7</v>
      </c>
      <c r="D112" s="440">
        <v>2</v>
      </c>
      <c r="E112" s="459">
        <v>0.23</v>
      </c>
      <c r="F112" s="678">
        <f t="shared" si="18"/>
        <v>0.22542000000000001</v>
      </c>
      <c r="G112" s="683"/>
      <c r="H112" s="682">
        <f t="shared" si="27"/>
        <v>0</v>
      </c>
      <c r="I112" s="442">
        <f t="shared" si="28"/>
        <v>0</v>
      </c>
      <c r="J112" s="442"/>
      <c r="K112" s="443">
        <v>7.0000000000000001E-3</v>
      </c>
      <c r="L112" s="627">
        <f t="shared" si="29"/>
        <v>0</v>
      </c>
      <c r="M112" s="627"/>
      <c r="N112" s="609">
        <v>2</v>
      </c>
      <c r="O112" s="610">
        <v>0.23013588259799839</v>
      </c>
      <c r="P112" s="448" t="str">
        <f t="shared" si="30"/>
        <v>---</v>
      </c>
      <c r="Q112" s="449">
        <f t="shared" si="31"/>
        <v>1.3588259799837688E-4</v>
      </c>
      <c r="R112" s="445"/>
      <c r="S112" s="450" t="str">
        <f t="shared" si="32"/>
        <v>OK</v>
      </c>
      <c r="T112" s="451">
        <f>+'2012 Rates'!O290</f>
        <v>0.25</v>
      </c>
      <c r="U112" s="447">
        <f t="shared" si="19"/>
        <v>0.10904090142844458</v>
      </c>
      <c r="V112" s="485"/>
      <c r="W112" s="623">
        <v>0</v>
      </c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  <c r="CU112" s="485"/>
      <c r="CV112" s="485"/>
      <c r="CW112" s="485"/>
      <c r="CX112" s="485"/>
      <c r="CY112" s="485"/>
      <c r="CZ112" s="485"/>
      <c r="DA112" s="485"/>
      <c r="DB112" s="485"/>
      <c r="DC112" s="485"/>
      <c r="DD112" s="485"/>
      <c r="DE112" s="485"/>
      <c r="DF112" s="485"/>
      <c r="DG112" s="485"/>
      <c r="DH112" s="485"/>
      <c r="DI112" s="485"/>
      <c r="DJ112" s="485"/>
      <c r="DK112" s="485"/>
      <c r="DL112" s="485"/>
      <c r="DM112" s="485"/>
      <c r="DN112" s="485"/>
      <c r="DO112" s="485"/>
      <c r="DP112" s="485"/>
      <c r="DQ112" s="485"/>
      <c r="DR112" s="485"/>
      <c r="DS112" s="485"/>
      <c r="DT112" s="485"/>
      <c r="DU112" s="485"/>
      <c r="DV112" s="485"/>
      <c r="DW112" s="485"/>
      <c r="DX112" s="485"/>
      <c r="DY112" s="485"/>
      <c r="DZ112" s="485"/>
      <c r="EA112" s="485"/>
      <c r="EB112" s="485"/>
      <c r="EC112" s="485"/>
      <c r="ED112" s="485"/>
      <c r="EE112" s="485"/>
      <c r="EF112" s="485"/>
      <c r="EG112" s="485"/>
      <c r="EH112" s="485"/>
      <c r="EI112" s="485"/>
      <c r="EJ112" s="485"/>
      <c r="EK112" s="485"/>
      <c r="EL112" s="485"/>
      <c r="EM112" s="485"/>
      <c r="EN112" s="485"/>
      <c r="EO112" s="485"/>
      <c r="EP112" s="485"/>
    </row>
    <row r="113" spans="1:146" ht="15.75">
      <c r="A113" s="464">
        <v>522</v>
      </c>
      <c r="B113" s="465" t="s">
        <v>383</v>
      </c>
      <c r="C113" s="450">
        <v>10</v>
      </c>
      <c r="D113" s="440">
        <v>4</v>
      </c>
      <c r="E113" s="459">
        <v>0.42</v>
      </c>
      <c r="F113" s="678">
        <f t="shared" si="18"/>
        <v>0.41083999999999998</v>
      </c>
      <c r="G113" s="683"/>
      <c r="H113" s="682">
        <f t="shared" si="27"/>
        <v>0</v>
      </c>
      <c r="I113" s="442">
        <f t="shared" si="28"/>
        <v>0</v>
      </c>
      <c r="J113" s="442"/>
      <c r="K113" s="443">
        <v>0.01</v>
      </c>
      <c r="L113" s="627">
        <f t="shared" si="29"/>
        <v>0</v>
      </c>
      <c r="M113" s="627"/>
      <c r="N113" s="609">
        <v>4</v>
      </c>
      <c r="O113" s="610">
        <v>0.42027176519599679</v>
      </c>
      <c r="P113" s="448" t="str">
        <f t="shared" si="30"/>
        <v>---</v>
      </c>
      <c r="Q113" s="449">
        <f t="shared" si="31"/>
        <v>2.7176519599680926E-4</v>
      </c>
      <c r="R113" s="445"/>
      <c r="S113" s="450" t="str">
        <f t="shared" si="32"/>
        <v>OK</v>
      </c>
      <c r="T113" s="451">
        <f>+'2012 Rates'!O291</f>
        <v>0.44</v>
      </c>
      <c r="U113" s="447">
        <f t="shared" si="19"/>
        <v>7.0976535877713909E-2</v>
      </c>
      <c r="V113" s="485"/>
      <c r="W113" s="623">
        <f>+G113*T113*12</f>
        <v>0</v>
      </c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  <c r="CU113" s="485"/>
      <c r="CV113" s="485"/>
      <c r="CW113" s="485"/>
      <c r="CX113" s="485"/>
      <c r="CY113" s="485"/>
      <c r="CZ113" s="485"/>
      <c r="DA113" s="485"/>
      <c r="DB113" s="485"/>
      <c r="DC113" s="485"/>
      <c r="DD113" s="485"/>
      <c r="DE113" s="485"/>
      <c r="DF113" s="485"/>
      <c r="DG113" s="485"/>
      <c r="DH113" s="485"/>
      <c r="DI113" s="485"/>
      <c r="DJ113" s="485"/>
      <c r="DK113" s="485"/>
      <c r="DL113" s="485"/>
      <c r="DM113" s="485"/>
      <c r="DN113" s="485"/>
      <c r="DO113" s="485"/>
      <c r="DP113" s="485"/>
      <c r="DQ113" s="485"/>
      <c r="DR113" s="485"/>
      <c r="DS113" s="485"/>
      <c r="DT113" s="485"/>
      <c r="DU113" s="485"/>
      <c r="DV113" s="485"/>
      <c r="DW113" s="485"/>
      <c r="DX113" s="485"/>
      <c r="DY113" s="485"/>
      <c r="DZ113" s="485"/>
      <c r="EA113" s="485"/>
      <c r="EB113" s="485"/>
      <c r="EC113" s="485"/>
      <c r="ED113" s="485"/>
      <c r="EE113" s="485"/>
      <c r="EF113" s="485"/>
      <c r="EG113" s="485"/>
      <c r="EH113" s="485"/>
      <c r="EI113" s="485"/>
      <c r="EJ113" s="485"/>
      <c r="EK113" s="485"/>
      <c r="EL113" s="485"/>
      <c r="EM113" s="485"/>
      <c r="EN113" s="485"/>
      <c r="EO113" s="485"/>
      <c r="EP113" s="485"/>
    </row>
    <row r="114" spans="1:146" ht="15.75">
      <c r="A114" s="464">
        <v>523</v>
      </c>
      <c r="B114" s="465" t="s">
        <v>384</v>
      </c>
      <c r="C114" s="450">
        <v>10</v>
      </c>
      <c r="D114" s="440">
        <v>2</v>
      </c>
      <c r="E114" s="459">
        <v>0.28999999999999998</v>
      </c>
      <c r="F114" s="678">
        <f t="shared" si="18"/>
        <v>0.28542000000000001</v>
      </c>
      <c r="G114" s="683"/>
      <c r="H114" s="682">
        <f t="shared" si="27"/>
        <v>0</v>
      </c>
      <c r="I114" s="442">
        <f t="shared" si="28"/>
        <v>0</v>
      </c>
      <c r="J114" s="442"/>
      <c r="K114" s="443">
        <v>0.01</v>
      </c>
      <c r="L114" s="627">
        <f t="shared" si="29"/>
        <v>0</v>
      </c>
      <c r="M114" s="627"/>
      <c r="N114" s="609">
        <v>2</v>
      </c>
      <c r="O114" s="610">
        <v>0.29013588259799844</v>
      </c>
      <c r="P114" s="448" t="str">
        <f t="shared" si="30"/>
        <v>---</v>
      </c>
      <c r="Q114" s="449">
        <f t="shared" si="31"/>
        <v>1.3588259799846014E-4</v>
      </c>
      <c r="R114" s="445"/>
      <c r="S114" s="450" t="str">
        <f t="shared" si="32"/>
        <v>OK</v>
      </c>
      <c r="T114" s="451">
        <f>+'2012 Rates'!O292</f>
        <v>0.3</v>
      </c>
      <c r="U114" s="447">
        <f t="shared" si="19"/>
        <v>5.1082615093546391E-2</v>
      </c>
      <c r="V114" s="485"/>
      <c r="W114" s="623">
        <v>0</v>
      </c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  <c r="CU114" s="485"/>
      <c r="CV114" s="485"/>
      <c r="CW114" s="485"/>
      <c r="CX114" s="485"/>
      <c r="CY114" s="485"/>
      <c r="CZ114" s="485"/>
      <c r="DA114" s="485"/>
      <c r="DB114" s="485"/>
      <c r="DC114" s="485"/>
      <c r="DD114" s="485"/>
      <c r="DE114" s="485"/>
      <c r="DF114" s="485"/>
      <c r="DG114" s="485"/>
      <c r="DH114" s="485"/>
      <c r="DI114" s="485"/>
      <c r="DJ114" s="485"/>
      <c r="DK114" s="485"/>
      <c r="DL114" s="485"/>
      <c r="DM114" s="485"/>
      <c r="DN114" s="485"/>
      <c r="DO114" s="485"/>
      <c r="DP114" s="485"/>
      <c r="DQ114" s="485"/>
      <c r="DR114" s="485"/>
      <c r="DS114" s="485"/>
      <c r="DT114" s="485"/>
      <c r="DU114" s="485"/>
      <c r="DV114" s="485"/>
      <c r="DW114" s="485"/>
      <c r="DX114" s="485"/>
      <c r="DY114" s="485"/>
      <c r="DZ114" s="485"/>
      <c r="EA114" s="485"/>
      <c r="EB114" s="485"/>
      <c r="EC114" s="485"/>
      <c r="ED114" s="485"/>
      <c r="EE114" s="485"/>
      <c r="EF114" s="485"/>
      <c r="EG114" s="485"/>
      <c r="EH114" s="485"/>
      <c r="EI114" s="485"/>
      <c r="EJ114" s="485"/>
      <c r="EK114" s="485"/>
      <c r="EL114" s="485"/>
      <c r="EM114" s="485"/>
      <c r="EN114" s="485"/>
      <c r="EO114" s="485"/>
      <c r="EP114" s="485"/>
    </row>
    <row r="115" spans="1:146" ht="15.75">
      <c r="A115" s="464">
        <v>524</v>
      </c>
      <c r="B115" s="465" t="s">
        <v>385</v>
      </c>
      <c r="C115" s="450">
        <v>12</v>
      </c>
      <c r="D115" s="440">
        <v>3</v>
      </c>
      <c r="E115" s="459">
        <v>0.36</v>
      </c>
      <c r="F115" s="678">
        <f t="shared" si="18"/>
        <v>0.35313</v>
      </c>
      <c r="G115" s="683"/>
      <c r="H115" s="682">
        <f t="shared" si="27"/>
        <v>0</v>
      </c>
      <c r="I115" s="442">
        <f t="shared" si="28"/>
        <v>0</v>
      </c>
      <c r="J115" s="442"/>
      <c r="K115" s="443">
        <v>1.2E-2</v>
      </c>
      <c r="L115" s="627">
        <f t="shared" si="29"/>
        <v>0</v>
      </c>
      <c r="M115" s="627"/>
      <c r="N115" s="609">
        <v>3</v>
      </c>
      <c r="O115" s="610">
        <v>0.35520382389699762</v>
      </c>
      <c r="P115" s="448" t="str">
        <f t="shared" si="30"/>
        <v>---</v>
      </c>
      <c r="Q115" s="449">
        <f t="shared" si="31"/>
        <v>-4.7961761030023697E-3</v>
      </c>
      <c r="R115" s="445"/>
      <c r="S115" s="450" t="str">
        <f t="shared" si="32"/>
        <v>OK</v>
      </c>
      <c r="T115" s="451">
        <f>+'2012 Rates'!O293</f>
        <v>0.39</v>
      </c>
      <c r="U115" s="447">
        <f t="shared" si="19"/>
        <v>0.1044091411095065</v>
      </c>
      <c r="V115" s="485"/>
      <c r="W115" s="623">
        <v>0</v>
      </c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  <c r="CU115" s="485"/>
      <c r="CV115" s="485"/>
      <c r="CW115" s="485"/>
      <c r="CX115" s="485"/>
      <c r="CY115" s="485"/>
      <c r="CZ115" s="485"/>
      <c r="DA115" s="485"/>
      <c r="DB115" s="485"/>
      <c r="DC115" s="485"/>
      <c r="DD115" s="485"/>
      <c r="DE115" s="485"/>
      <c r="DF115" s="485"/>
      <c r="DG115" s="485"/>
      <c r="DH115" s="485"/>
      <c r="DI115" s="485"/>
      <c r="DJ115" s="485"/>
      <c r="DK115" s="485"/>
      <c r="DL115" s="485"/>
      <c r="DM115" s="485"/>
      <c r="DN115" s="485"/>
      <c r="DO115" s="485"/>
      <c r="DP115" s="485"/>
      <c r="DQ115" s="485"/>
      <c r="DR115" s="485"/>
      <c r="DS115" s="485"/>
      <c r="DT115" s="485"/>
      <c r="DU115" s="485"/>
      <c r="DV115" s="485"/>
      <c r="DW115" s="485"/>
      <c r="DX115" s="485"/>
      <c r="DY115" s="485"/>
      <c r="DZ115" s="485"/>
      <c r="EA115" s="485"/>
      <c r="EB115" s="485"/>
      <c r="EC115" s="485"/>
      <c r="ED115" s="485"/>
      <c r="EE115" s="485"/>
      <c r="EF115" s="485"/>
      <c r="EG115" s="485"/>
      <c r="EH115" s="485"/>
      <c r="EI115" s="485"/>
      <c r="EJ115" s="485"/>
      <c r="EK115" s="485"/>
      <c r="EL115" s="485"/>
      <c r="EM115" s="485"/>
      <c r="EN115" s="485"/>
      <c r="EO115" s="485"/>
      <c r="EP115" s="485"/>
    </row>
    <row r="116" spans="1:146" ht="15.75">
      <c r="A116" s="464">
        <v>525</v>
      </c>
      <c r="B116" s="465" t="s">
        <v>386</v>
      </c>
      <c r="C116" s="450">
        <v>14</v>
      </c>
      <c r="D116" s="440">
        <v>1</v>
      </c>
      <c r="E116" s="459">
        <v>0.23</v>
      </c>
      <c r="F116" s="678">
        <f t="shared" si="18"/>
        <v>0.22771000000000002</v>
      </c>
      <c r="G116" s="683"/>
      <c r="H116" s="682">
        <f t="shared" si="27"/>
        <v>0</v>
      </c>
      <c r="I116" s="442">
        <f t="shared" si="28"/>
        <v>0</v>
      </c>
      <c r="J116" s="442"/>
      <c r="K116" s="443">
        <v>1.4999999999999999E-2</v>
      </c>
      <c r="L116" s="627">
        <f t="shared" si="29"/>
        <v>0</v>
      </c>
      <c r="M116" s="627"/>
      <c r="N116" s="609">
        <v>1</v>
      </c>
      <c r="O116" s="610">
        <v>0.22506794129899918</v>
      </c>
      <c r="P116" s="448" t="str">
        <f t="shared" si="30"/>
        <v>---</v>
      </c>
      <c r="Q116" s="449">
        <f t="shared" si="31"/>
        <v>-4.9320587010008299E-3</v>
      </c>
      <c r="R116" s="445"/>
      <c r="S116" s="450" t="str">
        <f t="shared" si="32"/>
        <v>OK</v>
      </c>
      <c r="T116" s="451">
        <f>+'2012 Rates'!O294</f>
        <v>0.25</v>
      </c>
      <c r="U116" s="447">
        <f t="shared" si="19"/>
        <v>9.7887664134205687E-2</v>
      </c>
      <c r="V116" s="485"/>
      <c r="W116" s="623">
        <f>+G116*T116*12</f>
        <v>0</v>
      </c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  <c r="CU116" s="485"/>
      <c r="CV116" s="485"/>
      <c r="CW116" s="485"/>
      <c r="CX116" s="485"/>
      <c r="CY116" s="485"/>
      <c r="CZ116" s="485"/>
      <c r="DA116" s="485"/>
      <c r="DB116" s="485"/>
      <c r="DC116" s="485"/>
      <c r="DD116" s="485"/>
      <c r="DE116" s="485"/>
      <c r="DF116" s="485"/>
      <c r="DG116" s="485"/>
      <c r="DH116" s="485"/>
      <c r="DI116" s="485"/>
      <c r="DJ116" s="485"/>
      <c r="DK116" s="485"/>
      <c r="DL116" s="485"/>
      <c r="DM116" s="485"/>
      <c r="DN116" s="485"/>
      <c r="DO116" s="485"/>
      <c r="DP116" s="485"/>
      <c r="DQ116" s="485"/>
      <c r="DR116" s="485"/>
      <c r="DS116" s="485"/>
      <c r="DT116" s="485"/>
      <c r="DU116" s="485"/>
      <c r="DV116" s="485"/>
      <c r="DW116" s="485"/>
      <c r="DX116" s="485"/>
      <c r="DY116" s="485"/>
      <c r="DZ116" s="485"/>
      <c r="EA116" s="485"/>
      <c r="EB116" s="485"/>
      <c r="EC116" s="485"/>
      <c r="ED116" s="485"/>
      <c r="EE116" s="485"/>
      <c r="EF116" s="485"/>
      <c r="EG116" s="485"/>
      <c r="EH116" s="485"/>
      <c r="EI116" s="485"/>
      <c r="EJ116" s="485"/>
      <c r="EK116" s="485"/>
      <c r="EL116" s="485"/>
      <c r="EM116" s="485"/>
      <c r="EN116" s="485"/>
      <c r="EO116" s="485"/>
      <c r="EP116" s="485"/>
    </row>
    <row r="117" spans="1:146" ht="15.75">
      <c r="A117" s="464">
        <v>526</v>
      </c>
      <c r="B117" s="465" t="s">
        <v>383</v>
      </c>
      <c r="C117" s="450">
        <v>20</v>
      </c>
      <c r="D117" s="440">
        <v>9</v>
      </c>
      <c r="E117" s="459">
        <v>0.91</v>
      </c>
      <c r="F117" s="678">
        <f t="shared" si="18"/>
        <v>0.88939000000000001</v>
      </c>
      <c r="G117" s="683"/>
      <c r="H117" s="682">
        <f t="shared" si="27"/>
        <v>0</v>
      </c>
      <c r="I117" s="442">
        <f t="shared" si="28"/>
        <v>0</v>
      </c>
      <c r="J117" s="442"/>
      <c r="K117" s="443">
        <v>0.02</v>
      </c>
      <c r="L117" s="627">
        <f t="shared" si="29"/>
        <v>0</v>
      </c>
      <c r="M117" s="627"/>
      <c r="N117" s="609">
        <v>9</v>
      </c>
      <c r="O117" s="610">
        <v>0.90561147169099276</v>
      </c>
      <c r="P117" s="448" t="str">
        <f t="shared" si="30"/>
        <v>---</v>
      </c>
      <c r="Q117" s="449">
        <f t="shared" si="31"/>
        <v>-4.3885283090072669E-3</v>
      </c>
      <c r="R117" s="445"/>
      <c r="S117" s="450" t="str">
        <f t="shared" si="32"/>
        <v>OK</v>
      </c>
      <c r="T117" s="451">
        <f>+'2012 Rates'!O295</f>
        <v>0.97</v>
      </c>
      <c r="U117" s="447">
        <f t="shared" si="19"/>
        <v>9.0635154431689013E-2</v>
      </c>
      <c r="V117" s="485"/>
      <c r="W117" s="623">
        <f>+G117*T117*12</f>
        <v>0</v>
      </c>
      <c r="X117" s="485"/>
      <c r="Y117" s="485"/>
      <c r="Z117" s="485"/>
      <c r="AA117" s="485"/>
      <c r="AB117" s="485"/>
      <c r="AC117" s="485"/>
      <c r="AD117" s="485"/>
      <c r="AE117" s="485"/>
      <c r="AF117" s="485"/>
      <c r="AG117" s="485"/>
      <c r="AH117" s="485"/>
      <c r="AI117" s="485"/>
      <c r="AJ117" s="485"/>
      <c r="AK117" s="485"/>
      <c r="AL117" s="485"/>
      <c r="AM117" s="485"/>
      <c r="AN117" s="485"/>
      <c r="AO117" s="485"/>
      <c r="AP117" s="485"/>
      <c r="AQ117" s="485"/>
      <c r="AR117" s="485"/>
      <c r="AS117" s="485"/>
      <c r="AT117" s="485"/>
      <c r="AU117" s="485"/>
      <c r="AV117" s="485"/>
      <c r="AW117" s="485"/>
      <c r="AX117" s="485"/>
      <c r="AY117" s="485"/>
      <c r="AZ117" s="485"/>
      <c r="BA117" s="485"/>
      <c r="BB117" s="485"/>
      <c r="BC117" s="485"/>
      <c r="BD117" s="485"/>
      <c r="BE117" s="485"/>
      <c r="BF117" s="485"/>
      <c r="BG117" s="485"/>
      <c r="BH117" s="485"/>
      <c r="BI117" s="485"/>
      <c r="BJ117" s="485"/>
      <c r="BK117" s="485"/>
      <c r="BL117" s="485"/>
      <c r="BM117" s="485"/>
      <c r="BN117" s="485"/>
      <c r="BO117" s="485"/>
      <c r="BP117" s="485"/>
      <c r="BQ117" s="485"/>
      <c r="BR117" s="485"/>
      <c r="BS117" s="485"/>
      <c r="BT117" s="485"/>
      <c r="BU117" s="485"/>
      <c r="BV117" s="485"/>
      <c r="BW117" s="485"/>
      <c r="BX117" s="485"/>
      <c r="BY117" s="485"/>
      <c r="BZ117" s="485"/>
      <c r="CA117" s="485"/>
      <c r="CB117" s="485"/>
      <c r="CC117" s="485"/>
      <c r="CD117" s="485"/>
      <c r="CE117" s="485"/>
      <c r="CF117" s="485"/>
      <c r="CG117" s="485"/>
      <c r="CH117" s="485"/>
      <c r="CI117" s="485"/>
      <c r="CJ117" s="485"/>
      <c r="CK117" s="485"/>
      <c r="CL117" s="485"/>
      <c r="CM117" s="485"/>
      <c r="CN117" s="485"/>
      <c r="CO117" s="485"/>
      <c r="CP117" s="485"/>
      <c r="CQ117" s="485"/>
      <c r="CR117" s="485"/>
      <c r="CS117" s="485"/>
      <c r="CT117" s="485"/>
      <c r="CU117" s="485"/>
      <c r="CV117" s="485"/>
      <c r="CW117" s="485"/>
      <c r="CX117" s="485"/>
      <c r="CY117" s="485"/>
      <c r="CZ117" s="485"/>
      <c r="DA117" s="485"/>
      <c r="DB117" s="485"/>
      <c r="DC117" s="485"/>
      <c r="DD117" s="485"/>
      <c r="DE117" s="485"/>
      <c r="DF117" s="485"/>
      <c r="DG117" s="485"/>
      <c r="DH117" s="485"/>
      <c r="DI117" s="485"/>
      <c r="DJ117" s="485"/>
      <c r="DK117" s="485"/>
      <c r="DL117" s="485"/>
      <c r="DM117" s="485"/>
      <c r="DN117" s="485"/>
      <c r="DO117" s="485"/>
      <c r="DP117" s="485"/>
      <c r="DQ117" s="485"/>
      <c r="DR117" s="485"/>
      <c r="DS117" s="485"/>
      <c r="DT117" s="485"/>
      <c r="DU117" s="485"/>
      <c r="DV117" s="485"/>
      <c r="DW117" s="485"/>
      <c r="DX117" s="485"/>
      <c r="DY117" s="485"/>
      <c r="DZ117" s="485"/>
      <c r="EA117" s="485"/>
      <c r="EB117" s="485"/>
      <c r="EC117" s="485"/>
      <c r="ED117" s="485"/>
      <c r="EE117" s="485"/>
      <c r="EF117" s="485"/>
      <c r="EG117" s="485"/>
      <c r="EH117" s="485"/>
      <c r="EI117" s="485"/>
      <c r="EJ117" s="485"/>
      <c r="EK117" s="485"/>
      <c r="EL117" s="485"/>
      <c r="EM117" s="485"/>
      <c r="EN117" s="485"/>
      <c r="EO117" s="485"/>
      <c r="EP117" s="485"/>
    </row>
    <row r="118" spans="1:146" ht="15.75">
      <c r="A118" s="464">
        <v>527</v>
      </c>
      <c r="B118" s="465" t="s">
        <v>387</v>
      </c>
      <c r="C118" s="450">
        <v>22</v>
      </c>
      <c r="D118" s="440">
        <v>2</v>
      </c>
      <c r="E118" s="459">
        <v>0.39</v>
      </c>
      <c r="F118" s="678">
        <f t="shared" si="18"/>
        <v>0.38542000000000004</v>
      </c>
      <c r="G118" s="683"/>
      <c r="H118" s="682">
        <f t="shared" si="27"/>
        <v>0</v>
      </c>
      <c r="I118" s="442">
        <f t="shared" si="28"/>
        <v>0</v>
      </c>
      <c r="J118" s="442"/>
      <c r="K118" s="443">
        <v>2.1999999999999999E-2</v>
      </c>
      <c r="L118" s="627">
        <f t="shared" si="29"/>
        <v>0</v>
      </c>
      <c r="M118" s="627"/>
      <c r="N118" s="609">
        <v>2</v>
      </c>
      <c r="O118" s="610">
        <v>0.39013588259799842</v>
      </c>
      <c r="P118" s="448" t="str">
        <f t="shared" si="30"/>
        <v>---</v>
      </c>
      <c r="Q118" s="449">
        <f t="shared" si="31"/>
        <v>1.3588259799840463E-4</v>
      </c>
      <c r="R118" s="445"/>
      <c r="S118" s="450" t="str">
        <f t="shared" si="32"/>
        <v>OK</v>
      </c>
      <c r="T118" s="451">
        <f>+'2012 Rates'!O296</f>
        <v>0.42</v>
      </c>
      <c r="U118" s="447">
        <f t="shared" si="19"/>
        <v>8.9720305121685273E-2</v>
      </c>
      <c r="V118" s="485"/>
      <c r="W118" s="623">
        <f>+G118*T118*12</f>
        <v>0</v>
      </c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  <c r="CY118" s="485"/>
      <c r="CZ118" s="485"/>
      <c r="DA118" s="485"/>
      <c r="DB118" s="485"/>
      <c r="DC118" s="485"/>
      <c r="DD118" s="485"/>
      <c r="DE118" s="485"/>
      <c r="DF118" s="485"/>
      <c r="DG118" s="485"/>
      <c r="DH118" s="485"/>
      <c r="DI118" s="485"/>
      <c r="DJ118" s="485"/>
      <c r="DK118" s="485"/>
      <c r="DL118" s="485"/>
      <c r="DM118" s="485"/>
      <c r="DN118" s="485"/>
      <c r="DO118" s="485"/>
      <c r="DP118" s="485"/>
      <c r="DQ118" s="485"/>
      <c r="DR118" s="485"/>
      <c r="DS118" s="485"/>
      <c r="DT118" s="485"/>
      <c r="DU118" s="485"/>
      <c r="DV118" s="485"/>
      <c r="DW118" s="485"/>
      <c r="DX118" s="485"/>
      <c r="DY118" s="485"/>
      <c r="DZ118" s="485"/>
      <c r="EA118" s="485"/>
      <c r="EB118" s="485"/>
      <c r="EC118" s="485"/>
      <c r="ED118" s="485"/>
      <c r="EE118" s="485"/>
      <c r="EF118" s="485"/>
      <c r="EG118" s="485"/>
      <c r="EH118" s="485"/>
      <c r="EI118" s="485"/>
      <c r="EJ118" s="485"/>
      <c r="EK118" s="485"/>
      <c r="EL118" s="485"/>
      <c r="EM118" s="485"/>
      <c r="EN118" s="485"/>
      <c r="EO118" s="485"/>
      <c r="EP118" s="485"/>
    </row>
    <row r="119" spans="1:146" ht="15.75">
      <c r="A119" s="462">
        <v>528</v>
      </c>
      <c r="B119" s="638" t="s">
        <v>388</v>
      </c>
      <c r="C119" s="624">
        <v>6</v>
      </c>
      <c r="D119" s="626">
        <v>4</v>
      </c>
      <c r="E119" s="611">
        <v>0.32</v>
      </c>
      <c r="F119" s="678">
        <f t="shared" si="18"/>
        <v>0.31084000000000001</v>
      </c>
      <c r="G119" s="683"/>
      <c r="H119" s="681">
        <f t="shared" si="27"/>
        <v>0</v>
      </c>
      <c r="I119" s="623">
        <f t="shared" si="28"/>
        <v>0</v>
      </c>
      <c r="J119" s="623"/>
      <c r="K119" s="627">
        <v>6.0000000000000001E-3</v>
      </c>
      <c r="L119" s="627">
        <f t="shared" si="29"/>
        <v>0</v>
      </c>
      <c r="M119" s="627"/>
      <c r="N119" s="609">
        <v>4</v>
      </c>
      <c r="O119" s="610">
        <v>0.32027176519599682</v>
      </c>
      <c r="P119" s="617" t="str">
        <f t="shared" si="30"/>
        <v>---</v>
      </c>
      <c r="Q119" s="618">
        <f t="shared" si="31"/>
        <v>2.7176519599680926E-4</v>
      </c>
      <c r="R119" s="485"/>
      <c r="S119" s="624" t="str">
        <f t="shared" si="32"/>
        <v>OK</v>
      </c>
      <c r="T119" s="613">
        <f>+'2012 Rates'!P297</f>
        <v>0.34</v>
      </c>
      <c r="U119" s="447">
        <f t="shared" si="19"/>
        <v>9.381032042208215E-2</v>
      </c>
      <c r="V119" s="485"/>
      <c r="W119" s="623">
        <f>+G119*T119*12</f>
        <v>0</v>
      </c>
      <c r="X119" s="485"/>
      <c r="Y119" s="485"/>
      <c r="Z119" s="485"/>
      <c r="AA119" s="485"/>
      <c r="AB119" s="485"/>
      <c r="AC119" s="485"/>
      <c r="AD119" s="485"/>
      <c r="AE119" s="485"/>
      <c r="AF119" s="485"/>
      <c r="AG119" s="485"/>
      <c r="AH119" s="485"/>
      <c r="AI119" s="485"/>
      <c r="AJ119" s="485"/>
      <c r="AK119" s="485"/>
      <c r="AL119" s="485"/>
      <c r="AM119" s="485"/>
      <c r="AN119" s="485"/>
      <c r="AO119" s="485"/>
      <c r="AP119" s="485"/>
      <c r="AQ119" s="485"/>
      <c r="AR119" s="485"/>
      <c r="AS119" s="485"/>
      <c r="AT119" s="485"/>
      <c r="AU119" s="485"/>
      <c r="AV119" s="485"/>
      <c r="AW119" s="485"/>
      <c r="AX119" s="485"/>
      <c r="AY119" s="485"/>
      <c r="AZ119" s="485"/>
      <c r="BA119" s="485"/>
      <c r="BB119" s="485"/>
      <c r="BC119" s="485"/>
      <c r="BD119" s="485"/>
      <c r="BE119" s="485"/>
      <c r="BF119" s="485"/>
      <c r="BG119" s="485"/>
      <c r="BH119" s="485"/>
      <c r="BI119" s="485"/>
      <c r="BJ119" s="485"/>
      <c r="BK119" s="485"/>
      <c r="BL119" s="485"/>
      <c r="BM119" s="485"/>
      <c r="BN119" s="485"/>
      <c r="BO119" s="485"/>
      <c r="BP119" s="485"/>
      <c r="BQ119" s="485"/>
      <c r="BR119" s="485"/>
      <c r="BS119" s="485"/>
      <c r="BT119" s="485"/>
      <c r="BU119" s="485"/>
      <c r="BV119" s="485"/>
      <c r="BW119" s="485"/>
      <c r="BX119" s="485"/>
      <c r="BY119" s="485"/>
      <c r="BZ119" s="485"/>
      <c r="CA119" s="485"/>
      <c r="CB119" s="485"/>
      <c r="CC119" s="485"/>
      <c r="CD119" s="485"/>
      <c r="CE119" s="485"/>
      <c r="CF119" s="485"/>
      <c r="CG119" s="485"/>
      <c r="CH119" s="485"/>
      <c r="CI119" s="485"/>
      <c r="CJ119" s="485"/>
      <c r="CK119" s="485"/>
      <c r="CL119" s="485"/>
      <c r="CM119" s="485"/>
      <c r="CN119" s="485"/>
      <c r="CO119" s="485"/>
      <c r="CP119" s="485"/>
      <c r="CQ119" s="485"/>
      <c r="CR119" s="485"/>
      <c r="CS119" s="485"/>
      <c r="CT119" s="485"/>
      <c r="CU119" s="485"/>
      <c r="CV119" s="485"/>
      <c r="CW119" s="485"/>
      <c r="CX119" s="485"/>
      <c r="CY119" s="485"/>
      <c r="CZ119" s="485"/>
      <c r="DA119" s="485"/>
      <c r="DB119" s="485"/>
      <c r="DC119" s="485"/>
      <c r="DD119" s="485"/>
      <c r="DE119" s="485"/>
      <c r="DF119" s="485"/>
      <c r="DG119" s="485"/>
      <c r="DH119" s="485"/>
      <c r="DI119" s="485"/>
      <c r="DJ119" s="485"/>
      <c r="DK119" s="485"/>
      <c r="DL119" s="485"/>
      <c r="DM119" s="485"/>
      <c r="DN119" s="485"/>
      <c r="DO119" s="485"/>
      <c r="DP119" s="485"/>
      <c r="DQ119" s="485"/>
      <c r="DR119" s="485"/>
      <c r="DS119" s="485"/>
      <c r="DT119" s="485"/>
      <c r="DU119" s="485"/>
      <c r="DV119" s="485"/>
      <c r="DW119" s="485"/>
      <c r="DX119" s="485"/>
      <c r="DY119" s="485"/>
      <c r="DZ119" s="485"/>
      <c r="EA119" s="485"/>
      <c r="EB119" s="485"/>
      <c r="EC119" s="485"/>
      <c r="ED119" s="485"/>
      <c r="EE119" s="485"/>
      <c r="EF119" s="485"/>
      <c r="EG119" s="485"/>
      <c r="EH119" s="485"/>
      <c r="EI119" s="485"/>
      <c r="EJ119" s="485"/>
      <c r="EK119" s="485"/>
      <c r="EL119" s="485"/>
      <c r="EM119" s="485"/>
      <c r="EN119" s="485"/>
      <c r="EO119" s="485"/>
      <c r="EP119" s="485"/>
    </row>
    <row r="120" spans="1:146" ht="15.75">
      <c r="A120" s="462"/>
      <c r="B120" s="629"/>
      <c r="C120" s="624"/>
      <c r="D120" s="626"/>
      <c r="E120" s="611"/>
      <c r="F120" s="678"/>
      <c r="G120" s="683"/>
      <c r="H120" s="681"/>
      <c r="I120" s="623"/>
      <c r="J120" s="623"/>
      <c r="K120" s="627"/>
      <c r="L120" s="627"/>
      <c r="M120" s="627"/>
      <c r="N120" s="609"/>
      <c r="O120" s="610"/>
      <c r="P120" s="617"/>
      <c r="Q120" s="618"/>
      <c r="R120" s="485"/>
      <c r="S120" s="624"/>
      <c r="T120" s="613"/>
      <c r="U120" s="447"/>
      <c r="V120" s="485"/>
      <c r="W120" s="623"/>
      <c r="X120" s="485"/>
      <c r="Y120" s="485"/>
      <c r="Z120" s="485"/>
      <c r="AA120" s="485"/>
      <c r="AB120" s="485"/>
      <c r="AC120" s="485"/>
      <c r="AD120" s="485"/>
      <c r="AE120" s="485"/>
      <c r="AF120" s="485"/>
      <c r="AG120" s="485"/>
      <c r="AH120" s="485"/>
      <c r="AI120" s="485"/>
      <c r="AJ120" s="485"/>
      <c r="AK120" s="485"/>
      <c r="AL120" s="485"/>
      <c r="AM120" s="485"/>
      <c r="AN120" s="485"/>
      <c r="AO120" s="485"/>
      <c r="AP120" s="485"/>
      <c r="AQ120" s="485"/>
      <c r="AR120" s="485"/>
      <c r="AS120" s="485"/>
      <c r="AT120" s="485"/>
      <c r="AU120" s="485"/>
      <c r="AV120" s="485"/>
      <c r="AW120" s="485"/>
      <c r="AX120" s="485"/>
      <c r="AY120" s="485"/>
      <c r="AZ120" s="485"/>
      <c r="BA120" s="485"/>
      <c r="BB120" s="485"/>
      <c r="BC120" s="485"/>
      <c r="BD120" s="485"/>
      <c r="BE120" s="485"/>
      <c r="BF120" s="485"/>
      <c r="BG120" s="485"/>
      <c r="BH120" s="485"/>
      <c r="BI120" s="485"/>
      <c r="BJ120" s="485"/>
      <c r="BK120" s="485"/>
      <c r="BL120" s="485"/>
      <c r="BM120" s="485"/>
      <c r="BN120" s="485"/>
      <c r="BO120" s="485"/>
      <c r="BP120" s="485"/>
      <c r="BQ120" s="485"/>
      <c r="BR120" s="485"/>
      <c r="BS120" s="485"/>
      <c r="BT120" s="485"/>
      <c r="BU120" s="485"/>
      <c r="BV120" s="485"/>
      <c r="BW120" s="485"/>
      <c r="BX120" s="485"/>
      <c r="BY120" s="485"/>
      <c r="BZ120" s="485"/>
      <c r="CA120" s="485"/>
      <c r="CB120" s="485"/>
      <c r="CC120" s="485"/>
      <c r="CD120" s="485"/>
      <c r="CE120" s="485"/>
      <c r="CF120" s="485"/>
      <c r="CG120" s="485"/>
      <c r="CH120" s="485"/>
      <c r="CI120" s="485"/>
      <c r="CJ120" s="485"/>
      <c r="CK120" s="485"/>
      <c r="CL120" s="485"/>
      <c r="CM120" s="485"/>
      <c r="CN120" s="485"/>
      <c r="CO120" s="485"/>
      <c r="CP120" s="485"/>
      <c r="CQ120" s="485"/>
      <c r="CR120" s="485"/>
      <c r="CS120" s="485"/>
      <c r="CT120" s="485"/>
      <c r="CU120" s="485"/>
      <c r="CV120" s="485"/>
      <c r="CW120" s="485"/>
      <c r="CX120" s="485"/>
      <c r="CY120" s="485"/>
      <c r="CZ120" s="485"/>
      <c r="DA120" s="485"/>
      <c r="DB120" s="485"/>
      <c r="DC120" s="485"/>
      <c r="DD120" s="485"/>
      <c r="DE120" s="485"/>
      <c r="DF120" s="485"/>
      <c r="DG120" s="485"/>
      <c r="DH120" s="485"/>
      <c r="DI120" s="485"/>
      <c r="DJ120" s="485"/>
      <c r="DK120" s="485"/>
      <c r="DL120" s="485"/>
      <c r="DM120" s="485"/>
      <c r="DN120" s="485"/>
      <c r="DO120" s="485"/>
      <c r="DP120" s="485"/>
      <c r="DQ120" s="485"/>
      <c r="DR120" s="485"/>
      <c r="DS120" s="485"/>
      <c r="DT120" s="485"/>
      <c r="DU120" s="485"/>
      <c r="DV120" s="485"/>
      <c r="DW120" s="485"/>
      <c r="DX120" s="485"/>
      <c r="DY120" s="485"/>
      <c r="DZ120" s="485"/>
      <c r="EA120" s="485"/>
      <c r="EB120" s="485"/>
      <c r="EC120" s="485"/>
      <c r="ED120" s="485"/>
      <c r="EE120" s="485"/>
      <c r="EF120" s="485"/>
      <c r="EG120" s="485"/>
      <c r="EH120" s="485"/>
      <c r="EI120" s="485"/>
      <c r="EJ120" s="485"/>
      <c r="EK120" s="485"/>
      <c r="EL120" s="485"/>
      <c r="EM120" s="485"/>
      <c r="EN120" s="485"/>
      <c r="EO120" s="485"/>
      <c r="EP120" s="485"/>
    </row>
    <row r="121" spans="1:146" ht="15.75">
      <c r="A121" s="462">
        <v>530</v>
      </c>
      <c r="B121" s="639" t="s">
        <v>389</v>
      </c>
      <c r="C121" s="624">
        <v>4.5999999999999996</v>
      </c>
      <c r="D121" s="626">
        <v>3</v>
      </c>
      <c r="E121" s="611">
        <v>0.27</v>
      </c>
      <c r="F121" s="678">
        <f t="shared" si="18"/>
        <v>0.26313000000000003</v>
      </c>
      <c r="G121" s="683">
        <v>5964</v>
      </c>
      <c r="H121" s="681">
        <f>+D121*G121*12</f>
        <v>214704</v>
      </c>
      <c r="I121" s="623">
        <f>+E121*G121*12</f>
        <v>19323.36</v>
      </c>
      <c r="J121" s="623"/>
      <c r="K121" s="627">
        <v>5.0000000000000001E-3</v>
      </c>
      <c r="L121" s="627">
        <f>G121*K121*0.5</f>
        <v>14.91</v>
      </c>
      <c r="M121" s="627"/>
      <c r="N121" s="609">
        <v>3</v>
      </c>
      <c r="O121" s="610">
        <v>0.27520382389699755</v>
      </c>
      <c r="P121" s="617" t="str">
        <f>IF(N121=D121,"---",N121-D121)</f>
        <v>---</v>
      </c>
      <c r="Q121" s="618">
        <f>IF(O121=E121,"---",O121-E121)</f>
        <v>5.2038238969975281E-3</v>
      </c>
      <c r="R121" s="485"/>
      <c r="S121" s="624" t="str">
        <f>IF(N121=D121,"OK",N121)</f>
        <v>OK</v>
      </c>
      <c r="T121" s="613">
        <f>+'2012 Rates'!P300</f>
        <v>0.29000000000000004</v>
      </c>
      <c r="U121" s="447">
        <f t="shared" si="19"/>
        <v>0.10211682438338454</v>
      </c>
      <c r="V121" s="485"/>
      <c r="W121" s="623">
        <f>+G121*T121*12</f>
        <v>20754.72</v>
      </c>
      <c r="X121" s="485"/>
      <c r="Y121" s="485"/>
      <c r="Z121" s="485"/>
      <c r="AA121" s="485"/>
      <c r="AB121" s="485"/>
      <c r="AC121" s="485"/>
      <c r="AD121" s="485"/>
      <c r="AE121" s="485"/>
      <c r="AF121" s="485"/>
      <c r="AG121" s="485"/>
      <c r="AH121" s="485"/>
      <c r="AI121" s="485"/>
      <c r="AJ121" s="485"/>
      <c r="AK121" s="485"/>
      <c r="AL121" s="485"/>
      <c r="AM121" s="485"/>
      <c r="AN121" s="485"/>
      <c r="AO121" s="485"/>
      <c r="AP121" s="485"/>
      <c r="AQ121" s="485"/>
      <c r="AR121" s="485"/>
      <c r="AS121" s="485"/>
      <c r="AT121" s="485"/>
      <c r="AU121" s="485"/>
      <c r="AV121" s="485"/>
      <c r="AW121" s="485"/>
      <c r="AX121" s="485"/>
      <c r="AY121" s="485"/>
      <c r="AZ121" s="485"/>
      <c r="BA121" s="485"/>
      <c r="BB121" s="485"/>
      <c r="BC121" s="485"/>
      <c r="BD121" s="485"/>
      <c r="BE121" s="485"/>
      <c r="BF121" s="485"/>
      <c r="BG121" s="485"/>
      <c r="BH121" s="485"/>
      <c r="BI121" s="485"/>
      <c r="BJ121" s="485"/>
      <c r="BK121" s="485"/>
      <c r="BL121" s="485"/>
      <c r="BM121" s="485"/>
      <c r="BN121" s="485"/>
      <c r="BO121" s="485"/>
      <c r="BP121" s="485"/>
      <c r="BQ121" s="485"/>
      <c r="BR121" s="485"/>
      <c r="BS121" s="485"/>
      <c r="BT121" s="485"/>
      <c r="BU121" s="485"/>
      <c r="BV121" s="485"/>
      <c r="BW121" s="485"/>
      <c r="BX121" s="485"/>
      <c r="BY121" s="485"/>
      <c r="BZ121" s="485"/>
      <c r="CA121" s="485"/>
      <c r="CB121" s="485"/>
      <c r="CC121" s="485"/>
      <c r="CD121" s="485"/>
      <c r="CE121" s="485"/>
      <c r="CF121" s="485"/>
      <c r="CG121" s="485"/>
      <c r="CH121" s="485"/>
      <c r="CI121" s="485"/>
      <c r="CJ121" s="485"/>
      <c r="CK121" s="485"/>
      <c r="CL121" s="485"/>
      <c r="CM121" s="485"/>
      <c r="CN121" s="485"/>
      <c r="CO121" s="485"/>
      <c r="CP121" s="485"/>
      <c r="CQ121" s="485"/>
      <c r="CR121" s="485"/>
      <c r="CS121" s="485"/>
      <c r="CT121" s="485"/>
      <c r="CU121" s="485"/>
      <c r="CV121" s="485"/>
      <c r="CW121" s="485"/>
      <c r="CX121" s="485"/>
      <c r="CY121" s="485"/>
      <c r="CZ121" s="485"/>
      <c r="DA121" s="485"/>
      <c r="DB121" s="485"/>
      <c r="DC121" s="485"/>
      <c r="DD121" s="485"/>
      <c r="DE121" s="485"/>
      <c r="DF121" s="485"/>
      <c r="DG121" s="485"/>
      <c r="DH121" s="485"/>
      <c r="DI121" s="485"/>
      <c r="DJ121" s="485"/>
      <c r="DK121" s="485"/>
      <c r="DL121" s="485"/>
      <c r="DM121" s="485"/>
      <c r="DN121" s="485"/>
      <c r="DO121" s="485"/>
      <c r="DP121" s="485"/>
      <c r="DQ121" s="485"/>
      <c r="DR121" s="485"/>
      <c r="DS121" s="485"/>
      <c r="DT121" s="485"/>
      <c r="DU121" s="485"/>
      <c r="DV121" s="485"/>
      <c r="DW121" s="485"/>
      <c r="DX121" s="485"/>
      <c r="DY121" s="485"/>
      <c r="DZ121" s="485"/>
      <c r="EA121" s="485"/>
      <c r="EB121" s="485"/>
      <c r="EC121" s="485"/>
      <c r="ED121" s="485"/>
      <c r="EE121" s="485"/>
      <c r="EF121" s="485"/>
      <c r="EG121" s="485"/>
      <c r="EH121" s="485"/>
      <c r="EI121" s="485"/>
      <c r="EJ121" s="485"/>
      <c r="EK121" s="485"/>
      <c r="EL121" s="485"/>
      <c r="EM121" s="485"/>
      <c r="EN121" s="485"/>
      <c r="EO121" s="485"/>
      <c r="EP121" s="485"/>
    </row>
    <row r="122" spans="1:146" ht="15.75">
      <c r="A122" s="462">
        <v>531</v>
      </c>
      <c r="B122" s="639" t="s">
        <v>390</v>
      </c>
      <c r="C122" s="624">
        <v>7.5</v>
      </c>
      <c r="D122" s="626">
        <v>5</v>
      </c>
      <c r="E122" s="611">
        <v>0.44</v>
      </c>
      <c r="F122" s="678">
        <f t="shared" si="18"/>
        <v>0.42854999999999999</v>
      </c>
      <c r="G122" s="683">
        <v>4461</v>
      </c>
      <c r="H122" s="681">
        <f>+D122*G122*12</f>
        <v>267660</v>
      </c>
      <c r="I122" s="623">
        <f>+E122*G122*12</f>
        <v>23554.079999999998</v>
      </c>
      <c r="J122" s="623"/>
      <c r="K122" s="627">
        <v>8.0000000000000002E-3</v>
      </c>
      <c r="L122" s="627">
        <f>G122*K122</f>
        <v>35.688000000000002</v>
      </c>
      <c r="M122" s="627">
        <f>+L122</f>
        <v>35.688000000000002</v>
      </c>
      <c r="N122" s="609">
        <v>5</v>
      </c>
      <c r="O122" s="610">
        <v>0.45533970649499594</v>
      </c>
      <c r="P122" s="617" t="str">
        <f>IF(N122=D122,"---",N122-D122)</f>
        <v>---</v>
      </c>
      <c r="Q122" s="618">
        <f>IF(O122=E122,"---",O122-E122)</f>
        <v>1.5339706494995942E-2</v>
      </c>
      <c r="R122" s="485"/>
      <c r="S122" s="624" t="str">
        <f>IF(N122=D122,"OK",N122)</f>
        <v>OK</v>
      </c>
      <c r="T122" s="613">
        <f>+'2012 Rates'!P301</f>
        <v>0.49</v>
      </c>
      <c r="U122" s="447">
        <f t="shared" si="19"/>
        <v>0.14339050285847632</v>
      </c>
      <c r="V122" s="485"/>
      <c r="W122" s="623">
        <f>+G122*T122*12</f>
        <v>26230.68</v>
      </c>
      <c r="X122" s="485"/>
      <c r="Y122" s="485"/>
      <c r="Z122" s="485"/>
      <c r="AA122" s="485"/>
      <c r="AB122" s="485"/>
      <c r="AC122" s="485"/>
      <c r="AD122" s="485"/>
      <c r="AE122" s="485"/>
      <c r="AF122" s="485"/>
      <c r="AG122" s="485"/>
      <c r="AH122" s="485"/>
      <c r="AI122" s="485"/>
      <c r="AJ122" s="485"/>
      <c r="AK122" s="485"/>
      <c r="AL122" s="485"/>
      <c r="AM122" s="485"/>
      <c r="AN122" s="485"/>
      <c r="AO122" s="485"/>
      <c r="AP122" s="485"/>
      <c r="AQ122" s="485"/>
      <c r="AR122" s="485"/>
      <c r="AS122" s="485"/>
      <c r="AT122" s="485"/>
      <c r="AU122" s="485"/>
      <c r="AV122" s="485"/>
      <c r="AW122" s="485"/>
      <c r="AX122" s="485"/>
      <c r="AY122" s="485"/>
      <c r="AZ122" s="485"/>
      <c r="BA122" s="485"/>
      <c r="BB122" s="485"/>
      <c r="BC122" s="485"/>
      <c r="BD122" s="485"/>
      <c r="BE122" s="485"/>
      <c r="BF122" s="485"/>
      <c r="BG122" s="485"/>
      <c r="BH122" s="485"/>
      <c r="BI122" s="485"/>
      <c r="BJ122" s="485"/>
      <c r="BK122" s="485"/>
      <c r="BL122" s="485"/>
      <c r="BM122" s="485"/>
      <c r="BN122" s="485"/>
      <c r="BO122" s="485"/>
      <c r="BP122" s="485"/>
      <c r="BQ122" s="485"/>
      <c r="BR122" s="485"/>
      <c r="BS122" s="485"/>
      <c r="BT122" s="485"/>
      <c r="BU122" s="485"/>
      <c r="BV122" s="485"/>
      <c r="BW122" s="485"/>
      <c r="BX122" s="485"/>
      <c r="BY122" s="485"/>
      <c r="BZ122" s="485"/>
      <c r="CA122" s="485"/>
      <c r="CB122" s="485"/>
      <c r="CC122" s="485"/>
      <c r="CD122" s="485"/>
      <c r="CE122" s="485"/>
      <c r="CF122" s="485"/>
      <c r="CG122" s="485"/>
      <c r="CH122" s="485"/>
      <c r="CI122" s="485"/>
      <c r="CJ122" s="485"/>
      <c r="CK122" s="485"/>
      <c r="CL122" s="485"/>
      <c r="CM122" s="485"/>
      <c r="CN122" s="485"/>
      <c r="CO122" s="485"/>
      <c r="CP122" s="485"/>
      <c r="CQ122" s="485"/>
      <c r="CR122" s="485"/>
      <c r="CS122" s="485"/>
      <c r="CT122" s="485"/>
      <c r="CU122" s="485"/>
      <c r="CV122" s="485"/>
      <c r="CW122" s="485"/>
      <c r="CX122" s="485"/>
      <c r="CY122" s="485"/>
      <c r="CZ122" s="485"/>
      <c r="DA122" s="485"/>
      <c r="DB122" s="485"/>
      <c r="DC122" s="485"/>
      <c r="DD122" s="485"/>
      <c r="DE122" s="485"/>
      <c r="DF122" s="485"/>
      <c r="DG122" s="485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  <c r="EO122" s="485"/>
      <c r="EP122" s="485"/>
    </row>
    <row r="123" spans="1:146" ht="15.75">
      <c r="A123" s="462"/>
      <c r="B123" s="629"/>
      <c r="C123" s="624"/>
      <c r="D123" s="626"/>
      <c r="E123" s="611"/>
      <c r="F123" s="678"/>
      <c r="G123" s="683"/>
      <c r="H123" s="681"/>
      <c r="I123" s="623"/>
      <c r="J123" s="623"/>
      <c r="K123" s="627"/>
      <c r="L123" s="627"/>
      <c r="M123" s="627"/>
      <c r="N123" s="609"/>
      <c r="O123" s="610"/>
      <c r="P123" s="617"/>
      <c r="Q123" s="618"/>
      <c r="R123" s="485"/>
      <c r="S123" s="624"/>
      <c r="T123" s="613"/>
      <c r="U123" s="447"/>
      <c r="V123" s="485"/>
      <c r="W123" s="623"/>
      <c r="X123" s="485"/>
      <c r="Y123" s="485"/>
      <c r="Z123" s="485"/>
      <c r="AA123" s="485"/>
      <c r="AB123" s="485"/>
      <c r="AC123" s="485"/>
      <c r="AD123" s="485"/>
      <c r="AE123" s="485"/>
      <c r="AF123" s="485"/>
      <c r="AG123" s="485"/>
      <c r="AH123" s="485"/>
      <c r="AI123" s="485"/>
      <c r="AJ123" s="485"/>
      <c r="AK123" s="485"/>
      <c r="AL123" s="485"/>
      <c r="AM123" s="485"/>
      <c r="AN123" s="485"/>
      <c r="AO123" s="485"/>
      <c r="AP123" s="485"/>
      <c r="AQ123" s="485"/>
      <c r="AR123" s="485"/>
      <c r="AS123" s="485"/>
      <c r="AT123" s="485"/>
      <c r="AU123" s="485"/>
      <c r="AV123" s="485"/>
      <c r="AW123" s="485"/>
      <c r="AX123" s="485"/>
      <c r="AY123" s="485"/>
      <c r="AZ123" s="485"/>
      <c r="BA123" s="485"/>
      <c r="BB123" s="485"/>
      <c r="BC123" s="485"/>
      <c r="BD123" s="485"/>
      <c r="BE123" s="485"/>
      <c r="BF123" s="485"/>
      <c r="BG123" s="485"/>
      <c r="BH123" s="485"/>
      <c r="BI123" s="485"/>
      <c r="BJ123" s="485"/>
      <c r="BK123" s="485"/>
      <c r="BL123" s="485"/>
      <c r="BM123" s="485"/>
      <c r="BN123" s="485"/>
      <c r="BO123" s="485"/>
      <c r="BP123" s="485"/>
      <c r="BQ123" s="485"/>
      <c r="BR123" s="485"/>
      <c r="BS123" s="485"/>
      <c r="BT123" s="485"/>
      <c r="BU123" s="485"/>
      <c r="BV123" s="485"/>
      <c r="BW123" s="485"/>
      <c r="BX123" s="485"/>
      <c r="BY123" s="485"/>
      <c r="BZ123" s="485"/>
      <c r="CA123" s="485"/>
      <c r="CB123" s="485"/>
      <c r="CC123" s="485"/>
      <c r="CD123" s="485"/>
      <c r="CE123" s="485"/>
      <c r="CF123" s="485"/>
      <c r="CG123" s="485"/>
      <c r="CH123" s="485"/>
      <c r="CI123" s="485"/>
      <c r="CJ123" s="485"/>
      <c r="CK123" s="485"/>
      <c r="CL123" s="485"/>
      <c r="CM123" s="485"/>
      <c r="CN123" s="485"/>
      <c r="CO123" s="485"/>
      <c r="CP123" s="485"/>
      <c r="CQ123" s="485"/>
      <c r="CR123" s="485"/>
      <c r="CS123" s="485"/>
      <c r="CT123" s="485"/>
      <c r="CU123" s="485"/>
      <c r="CV123" s="485"/>
      <c r="CW123" s="485"/>
      <c r="CX123" s="485"/>
      <c r="CY123" s="485"/>
      <c r="CZ123" s="485"/>
      <c r="DA123" s="485"/>
      <c r="DB123" s="485"/>
      <c r="DC123" s="485"/>
      <c r="DD123" s="485"/>
      <c r="DE123" s="485"/>
      <c r="DF123" s="485"/>
      <c r="DG123" s="485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  <c r="EO123" s="485"/>
      <c r="EP123" s="485"/>
    </row>
    <row r="124" spans="1:146" ht="15.75">
      <c r="A124" s="462">
        <v>600</v>
      </c>
      <c r="B124" s="629" t="s">
        <v>391</v>
      </c>
      <c r="C124" s="624">
        <v>116</v>
      </c>
      <c r="D124" s="626">
        <v>85</v>
      </c>
      <c r="E124" s="611">
        <v>7.43</v>
      </c>
      <c r="F124" s="678">
        <f t="shared" si="18"/>
        <v>7.2353499999999995</v>
      </c>
      <c r="G124" s="683">
        <v>53</v>
      </c>
      <c r="H124" s="681">
        <f t="shared" ref="H124:H134" si="33">+D124*G124*12</f>
        <v>54060</v>
      </c>
      <c r="I124" s="623">
        <f t="shared" ref="I124:I134" si="34">+E124*G124*12</f>
        <v>4725.4799999999996</v>
      </c>
      <c r="J124" s="623"/>
      <c r="K124" s="627">
        <v>0.11600000000000001</v>
      </c>
      <c r="L124" s="627">
        <f t="shared" ref="L124:L134" si="35">G124*K124</f>
        <v>6.1480000000000006</v>
      </c>
      <c r="M124" s="627">
        <f>+L124</f>
        <v>6.1480000000000006</v>
      </c>
      <c r="N124" s="609">
        <v>85</v>
      </c>
      <c r="O124" s="610">
        <v>7.4307750104149326</v>
      </c>
      <c r="P124" s="617" t="str">
        <f t="shared" ref="P124:P134" si="36">IF(N124=D124,"---",N124-D124)</f>
        <v>---</v>
      </c>
      <c r="Q124" s="618">
        <f t="shared" ref="Q124:Q134" si="37">IF(O124=E124,"---",O124-E124)</f>
        <v>7.7501041493288625E-4</v>
      </c>
      <c r="R124" s="485"/>
      <c r="S124" s="624" t="str">
        <f t="shared" ref="S124:S134" si="38">IF(N124=D124,"OK",N124)</f>
        <v>OK</v>
      </c>
      <c r="T124" s="434">
        <f>IF(+'2012 Rates'!P305&lt;'2012 Rates'!$B$11,'2012 Rates'!$B$11,+'2012 Rates'!P305)</f>
        <v>7.94</v>
      </c>
      <c r="U124" s="447">
        <f t="shared" si="19"/>
        <v>9.7389898208103398E-2</v>
      </c>
      <c r="V124" s="485"/>
      <c r="W124" s="623">
        <f t="shared" ref="W124:W134" si="39">+G124*T124*12</f>
        <v>5049.84</v>
      </c>
      <c r="X124" s="485"/>
      <c r="Y124" s="485"/>
      <c r="Z124" s="485"/>
      <c r="AA124" s="485"/>
      <c r="AB124" s="485"/>
      <c r="AC124" s="485"/>
      <c r="AD124" s="485"/>
      <c r="AE124" s="485"/>
      <c r="AF124" s="485"/>
      <c r="AG124" s="485"/>
      <c r="AH124" s="485"/>
      <c r="AI124" s="485"/>
      <c r="AJ124" s="485"/>
      <c r="AK124" s="485"/>
      <c r="AL124" s="485"/>
      <c r="AM124" s="485"/>
      <c r="AN124" s="485"/>
      <c r="AO124" s="485"/>
      <c r="AP124" s="485"/>
      <c r="AQ124" s="485"/>
      <c r="AR124" s="485"/>
      <c r="AS124" s="485"/>
      <c r="AT124" s="485"/>
      <c r="AU124" s="485"/>
      <c r="AV124" s="485"/>
      <c r="AW124" s="485"/>
      <c r="AX124" s="485"/>
      <c r="AY124" s="485"/>
      <c r="AZ124" s="485"/>
      <c r="BA124" s="485"/>
      <c r="BB124" s="485"/>
      <c r="BC124" s="485"/>
      <c r="BD124" s="485"/>
      <c r="BE124" s="485"/>
      <c r="BF124" s="485"/>
      <c r="BG124" s="485"/>
      <c r="BH124" s="485"/>
      <c r="BI124" s="485"/>
      <c r="BJ124" s="485"/>
      <c r="BK124" s="485"/>
      <c r="BL124" s="485"/>
      <c r="BM124" s="485"/>
      <c r="BN124" s="485"/>
      <c r="BO124" s="485"/>
      <c r="BP124" s="485"/>
      <c r="BQ124" s="485"/>
      <c r="BR124" s="485"/>
      <c r="BS124" s="485"/>
      <c r="BT124" s="485"/>
      <c r="BU124" s="485"/>
      <c r="BV124" s="485"/>
      <c r="BW124" s="485"/>
      <c r="BX124" s="485"/>
      <c r="BY124" s="485"/>
      <c r="BZ124" s="485"/>
      <c r="CA124" s="485"/>
      <c r="CB124" s="485"/>
      <c r="CC124" s="485"/>
      <c r="CD124" s="485"/>
      <c r="CE124" s="485"/>
      <c r="CF124" s="485"/>
      <c r="CG124" s="485"/>
      <c r="CH124" s="485"/>
      <c r="CI124" s="485"/>
      <c r="CJ124" s="485"/>
      <c r="CK124" s="485"/>
      <c r="CL124" s="485"/>
      <c r="CM124" s="485"/>
      <c r="CN124" s="485"/>
      <c r="CO124" s="485"/>
      <c r="CP124" s="485"/>
      <c r="CQ124" s="485"/>
      <c r="CR124" s="485"/>
      <c r="CS124" s="485"/>
      <c r="CT124" s="485"/>
      <c r="CU124" s="485"/>
      <c r="CV124" s="485"/>
      <c r="CW124" s="485"/>
      <c r="CX124" s="485"/>
      <c r="CY124" s="485"/>
      <c r="CZ124" s="485"/>
      <c r="DA124" s="485"/>
      <c r="DB124" s="485"/>
      <c r="DC124" s="485"/>
      <c r="DD124" s="485"/>
      <c r="DE124" s="485"/>
      <c r="DF124" s="485"/>
      <c r="DG124" s="485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  <c r="EO124" s="485"/>
      <c r="EP124" s="485"/>
    </row>
    <row r="125" spans="1:146" ht="15.75">
      <c r="A125" s="462">
        <v>601</v>
      </c>
      <c r="B125" s="640" t="s">
        <v>392</v>
      </c>
      <c r="C125" s="624">
        <v>500</v>
      </c>
      <c r="D125" s="626">
        <v>167</v>
      </c>
      <c r="E125" s="611">
        <v>18.7</v>
      </c>
      <c r="F125" s="678">
        <f t="shared" si="18"/>
        <v>18.31757</v>
      </c>
      <c r="G125" s="683">
        <v>5</v>
      </c>
      <c r="H125" s="681">
        <f t="shared" si="33"/>
        <v>10020</v>
      </c>
      <c r="I125" s="623">
        <f t="shared" si="34"/>
        <v>1122</v>
      </c>
      <c r="J125" s="623"/>
      <c r="K125" s="627">
        <v>0.5</v>
      </c>
      <c r="L125" s="627">
        <f t="shared" si="35"/>
        <v>2.5</v>
      </c>
      <c r="M125" s="627"/>
      <c r="N125" s="609">
        <v>167</v>
      </c>
      <c r="O125" s="610">
        <v>18.696346196932868</v>
      </c>
      <c r="P125" s="617" t="str">
        <f t="shared" si="36"/>
        <v>---</v>
      </c>
      <c r="Q125" s="618">
        <f t="shared" si="37"/>
        <v>-3.653803067130923E-3</v>
      </c>
      <c r="R125" s="485"/>
      <c r="S125" s="624" t="str">
        <f t="shared" si="38"/>
        <v>OK</v>
      </c>
      <c r="T125" s="434">
        <f>IF(+'2012 Rates'!O306&lt;'2012 Rates'!$B$11,'2012 Rates'!$B$11,+'2012 Rates'!O306)</f>
        <v>20.100000000000001</v>
      </c>
      <c r="U125" s="447">
        <f t="shared" si="19"/>
        <v>9.7307120977291328E-2</v>
      </c>
      <c r="V125" s="485"/>
      <c r="W125" s="623">
        <f t="shared" si="39"/>
        <v>1206</v>
      </c>
      <c r="X125" s="485"/>
      <c r="Y125" s="485"/>
      <c r="Z125" s="485"/>
      <c r="AA125" s="485"/>
      <c r="AB125" s="485"/>
      <c r="AC125" s="485"/>
      <c r="AD125" s="485"/>
      <c r="AE125" s="485"/>
      <c r="AF125" s="485"/>
      <c r="AG125" s="485"/>
      <c r="AH125" s="485"/>
      <c r="AI125" s="485"/>
      <c r="AJ125" s="485"/>
      <c r="AK125" s="485"/>
      <c r="AL125" s="485"/>
      <c r="AM125" s="485"/>
      <c r="AN125" s="485"/>
      <c r="AO125" s="485"/>
      <c r="AP125" s="485"/>
      <c r="AQ125" s="485"/>
      <c r="AR125" s="485"/>
      <c r="AS125" s="485"/>
      <c r="AT125" s="485"/>
      <c r="AU125" s="485"/>
      <c r="AV125" s="485"/>
      <c r="AW125" s="485"/>
      <c r="AX125" s="485"/>
      <c r="AY125" s="485"/>
      <c r="AZ125" s="485"/>
      <c r="BA125" s="485"/>
      <c r="BB125" s="485"/>
      <c r="BC125" s="485"/>
      <c r="BD125" s="485"/>
      <c r="BE125" s="485"/>
      <c r="BF125" s="485"/>
      <c r="BG125" s="485"/>
      <c r="BH125" s="485"/>
      <c r="BI125" s="485"/>
      <c r="BJ125" s="485"/>
      <c r="BK125" s="485"/>
      <c r="BL125" s="485"/>
      <c r="BM125" s="485"/>
      <c r="BN125" s="485"/>
      <c r="BO125" s="485"/>
      <c r="BP125" s="485"/>
      <c r="BQ125" s="485"/>
      <c r="BR125" s="485"/>
      <c r="BS125" s="485"/>
      <c r="BT125" s="485"/>
      <c r="BU125" s="485"/>
      <c r="BV125" s="485"/>
      <c r="BW125" s="485"/>
      <c r="BX125" s="485"/>
      <c r="BY125" s="485"/>
      <c r="BZ125" s="485"/>
      <c r="CA125" s="485"/>
      <c r="CB125" s="485"/>
      <c r="CC125" s="485"/>
      <c r="CD125" s="485"/>
      <c r="CE125" s="485"/>
      <c r="CF125" s="485"/>
      <c r="CG125" s="485"/>
      <c r="CH125" s="485"/>
      <c r="CI125" s="485"/>
      <c r="CJ125" s="485"/>
      <c r="CK125" s="485"/>
      <c r="CL125" s="485"/>
      <c r="CM125" s="485"/>
      <c r="CN125" s="485"/>
      <c r="CO125" s="485"/>
      <c r="CP125" s="485"/>
      <c r="CQ125" s="485"/>
      <c r="CR125" s="485"/>
      <c r="CS125" s="485"/>
      <c r="CT125" s="485"/>
      <c r="CU125" s="485"/>
      <c r="CV125" s="485"/>
      <c r="CW125" s="485"/>
      <c r="CX125" s="485"/>
      <c r="CY125" s="485"/>
      <c r="CZ125" s="485"/>
      <c r="DA125" s="485"/>
      <c r="DB125" s="485"/>
      <c r="DC125" s="485"/>
      <c r="DD125" s="485"/>
      <c r="DE125" s="485"/>
      <c r="DF125" s="485"/>
      <c r="DG125" s="485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  <c r="EO125" s="485"/>
      <c r="EP125" s="485"/>
    </row>
    <row r="126" spans="1:146" ht="15.75">
      <c r="A126" s="462">
        <v>602</v>
      </c>
      <c r="B126" s="629" t="s">
        <v>391</v>
      </c>
      <c r="C126" s="624">
        <v>400</v>
      </c>
      <c r="D126" s="626">
        <v>337</v>
      </c>
      <c r="E126" s="611">
        <v>29.47</v>
      </c>
      <c r="F126" s="678">
        <f t="shared" si="18"/>
        <v>28.698269999999997</v>
      </c>
      <c r="G126" s="683">
        <v>6</v>
      </c>
      <c r="H126" s="681">
        <f t="shared" si="33"/>
        <v>24264</v>
      </c>
      <c r="I126" s="623">
        <f t="shared" si="34"/>
        <v>2121.84</v>
      </c>
      <c r="J126" s="623"/>
      <c r="K126" s="627">
        <v>0.46200000000000002</v>
      </c>
      <c r="L126" s="627">
        <f t="shared" si="35"/>
        <v>2.7720000000000002</v>
      </c>
      <c r="M126" s="627">
        <f>+L126</f>
        <v>2.7720000000000002</v>
      </c>
      <c r="N126" s="609">
        <v>337</v>
      </c>
      <c r="O126" s="610">
        <v>29.467896217762735</v>
      </c>
      <c r="P126" s="617" t="str">
        <f t="shared" si="36"/>
        <v>---</v>
      </c>
      <c r="Q126" s="618">
        <f t="shared" si="37"/>
        <v>-2.1037822372633741E-3</v>
      </c>
      <c r="R126" s="485"/>
      <c r="S126" s="624" t="str">
        <f t="shared" si="38"/>
        <v>OK</v>
      </c>
      <c r="T126" s="434">
        <f>IF(+'2012 Rates'!P307&lt;'2012 Rates'!$B$11,'2012 Rates'!$B$11,+'2012 Rates'!P307)</f>
        <v>31.51</v>
      </c>
      <c r="U126" s="447">
        <f t="shared" si="19"/>
        <v>9.7975592256954958E-2</v>
      </c>
      <c r="V126" s="485"/>
      <c r="W126" s="623">
        <f t="shared" si="39"/>
        <v>2268.7200000000003</v>
      </c>
      <c r="X126" s="485"/>
      <c r="Y126" s="485"/>
      <c r="Z126" s="485"/>
      <c r="AA126" s="485"/>
      <c r="AB126" s="485"/>
      <c r="AC126" s="485"/>
      <c r="AD126" s="485"/>
      <c r="AE126" s="485"/>
      <c r="AF126" s="485"/>
      <c r="AG126" s="485"/>
      <c r="AH126" s="485"/>
      <c r="AI126" s="485"/>
      <c r="AJ126" s="485"/>
      <c r="AK126" s="485"/>
      <c r="AL126" s="485"/>
      <c r="AM126" s="485"/>
      <c r="AN126" s="485"/>
      <c r="AO126" s="485"/>
      <c r="AP126" s="485"/>
      <c r="AQ126" s="485"/>
      <c r="AR126" s="485"/>
      <c r="AS126" s="485"/>
      <c r="AT126" s="485"/>
      <c r="AU126" s="485"/>
      <c r="AV126" s="485"/>
      <c r="AW126" s="485"/>
      <c r="AX126" s="485"/>
      <c r="AY126" s="485"/>
      <c r="AZ126" s="485"/>
      <c r="BA126" s="485"/>
      <c r="BB126" s="485"/>
      <c r="BC126" s="485"/>
      <c r="BD126" s="485"/>
      <c r="BE126" s="485"/>
      <c r="BF126" s="485"/>
      <c r="BG126" s="485"/>
      <c r="BH126" s="485"/>
      <c r="BI126" s="485"/>
      <c r="BJ126" s="485"/>
      <c r="BK126" s="485"/>
      <c r="BL126" s="485"/>
      <c r="BM126" s="485"/>
      <c r="BN126" s="485"/>
      <c r="BO126" s="485"/>
      <c r="BP126" s="485"/>
      <c r="BQ126" s="485"/>
      <c r="BR126" s="485"/>
      <c r="BS126" s="485"/>
      <c r="BT126" s="485"/>
      <c r="BU126" s="485"/>
      <c r="BV126" s="485"/>
      <c r="BW126" s="485"/>
      <c r="BX126" s="485"/>
      <c r="BY126" s="485"/>
      <c r="BZ126" s="485"/>
      <c r="CA126" s="485"/>
      <c r="CB126" s="485"/>
      <c r="CC126" s="485"/>
      <c r="CD126" s="485"/>
      <c r="CE126" s="485"/>
      <c r="CF126" s="485"/>
      <c r="CG126" s="485"/>
      <c r="CH126" s="485"/>
      <c r="CI126" s="485"/>
      <c r="CJ126" s="485"/>
      <c r="CK126" s="485"/>
      <c r="CL126" s="485"/>
      <c r="CM126" s="485"/>
      <c r="CN126" s="485"/>
      <c r="CO126" s="485"/>
      <c r="CP126" s="485"/>
      <c r="CQ126" s="485"/>
      <c r="CR126" s="485"/>
      <c r="CS126" s="485"/>
      <c r="CT126" s="485"/>
      <c r="CU126" s="485"/>
      <c r="CV126" s="485"/>
      <c r="CW126" s="485"/>
      <c r="CX126" s="485"/>
      <c r="CY126" s="485"/>
      <c r="CZ126" s="485"/>
      <c r="DA126" s="485"/>
      <c r="DB126" s="485"/>
      <c r="DC126" s="485"/>
      <c r="DD126" s="485"/>
      <c r="DE126" s="485"/>
      <c r="DF126" s="485"/>
      <c r="DG126" s="485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  <c r="EO126" s="485"/>
      <c r="EP126" s="485"/>
    </row>
    <row r="127" spans="1:146" ht="15.75">
      <c r="A127" s="462">
        <v>603</v>
      </c>
      <c r="B127" s="640" t="s">
        <v>393</v>
      </c>
      <c r="C127" s="624">
        <v>100</v>
      </c>
      <c r="D127" s="626">
        <v>33</v>
      </c>
      <c r="E127" s="611">
        <v>3.71</v>
      </c>
      <c r="F127" s="678">
        <f t="shared" si="18"/>
        <v>3.63443</v>
      </c>
      <c r="G127" s="683">
        <v>19</v>
      </c>
      <c r="H127" s="681">
        <f t="shared" si="33"/>
        <v>7524</v>
      </c>
      <c r="I127" s="623">
        <f t="shared" si="34"/>
        <v>845.87999999999988</v>
      </c>
      <c r="J127" s="623"/>
      <c r="K127" s="627">
        <v>0.1</v>
      </c>
      <c r="L127" s="627">
        <f t="shared" si="35"/>
        <v>1.9000000000000001</v>
      </c>
      <c r="M127" s="627"/>
      <c r="N127" s="609">
        <v>33</v>
      </c>
      <c r="O127" s="610">
        <v>3.7072420628669733</v>
      </c>
      <c r="P127" s="617" t="str">
        <f t="shared" si="36"/>
        <v>---</v>
      </c>
      <c r="Q127" s="618">
        <f t="shared" si="37"/>
        <v>-2.7579371330266333E-3</v>
      </c>
      <c r="R127" s="485"/>
      <c r="S127" s="624" t="str">
        <f t="shared" si="38"/>
        <v>OK</v>
      </c>
      <c r="T127" s="434">
        <f>IF(+'2012 Rates'!O308&lt;'2012 Rates'!$B$11,'2012 Rates'!$B$11,+'2012 Rates'!O308)</f>
        <v>3.99</v>
      </c>
      <c r="U127" s="447">
        <f t="shared" si="19"/>
        <v>9.7833773108850774E-2</v>
      </c>
      <c r="V127" s="485"/>
      <c r="W127" s="623">
        <f t="shared" si="39"/>
        <v>909.72</v>
      </c>
      <c r="X127" s="485"/>
      <c r="Y127" s="485"/>
      <c r="Z127" s="485"/>
      <c r="AA127" s="485"/>
      <c r="AB127" s="485"/>
      <c r="AC127" s="485"/>
      <c r="AD127" s="485"/>
      <c r="AE127" s="485"/>
      <c r="AF127" s="485"/>
      <c r="AG127" s="485"/>
      <c r="AH127" s="485"/>
      <c r="AI127" s="485"/>
      <c r="AJ127" s="485"/>
      <c r="AK127" s="485"/>
      <c r="AL127" s="485"/>
      <c r="AM127" s="485"/>
      <c r="AN127" s="485"/>
      <c r="AO127" s="485"/>
      <c r="AP127" s="485"/>
      <c r="AQ127" s="485"/>
      <c r="AR127" s="485"/>
      <c r="AS127" s="485"/>
      <c r="AT127" s="485"/>
      <c r="AU127" s="485"/>
      <c r="AV127" s="485"/>
      <c r="AW127" s="485"/>
      <c r="AX127" s="485"/>
      <c r="AY127" s="485"/>
      <c r="AZ127" s="485"/>
      <c r="BA127" s="485"/>
      <c r="BB127" s="485"/>
      <c r="BC127" s="485"/>
      <c r="BD127" s="485"/>
      <c r="BE127" s="485"/>
      <c r="BF127" s="485"/>
      <c r="BG127" s="485"/>
      <c r="BH127" s="485"/>
      <c r="BI127" s="485"/>
      <c r="BJ127" s="485"/>
      <c r="BK127" s="485"/>
      <c r="BL127" s="485"/>
      <c r="BM127" s="485"/>
      <c r="BN127" s="485"/>
      <c r="BO127" s="485"/>
      <c r="BP127" s="485"/>
      <c r="BQ127" s="485"/>
      <c r="BR127" s="485"/>
      <c r="BS127" s="485"/>
      <c r="BT127" s="485"/>
      <c r="BU127" s="485"/>
      <c r="BV127" s="485"/>
      <c r="BW127" s="485"/>
      <c r="BX127" s="485"/>
      <c r="BY127" s="485"/>
      <c r="BZ127" s="485"/>
      <c r="CA127" s="485"/>
      <c r="CB127" s="485"/>
      <c r="CC127" s="485"/>
      <c r="CD127" s="485"/>
      <c r="CE127" s="485"/>
      <c r="CF127" s="485"/>
      <c r="CG127" s="485"/>
      <c r="CH127" s="485"/>
      <c r="CI127" s="485"/>
      <c r="CJ127" s="485"/>
      <c r="CK127" s="485"/>
      <c r="CL127" s="485"/>
      <c r="CM127" s="485"/>
      <c r="CN127" s="485"/>
      <c r="CO127" s="485"/>
      <c r="CP127" s="485"/>
      <c r="CQ127" s="485"/>
      <c r="CR127" s="485"/>
      <c r="CS127" s="485"/>
      <c r="CT127" s="485"/>
      <c r="CU127" s="485"/>
      <c r="CV127" s="485"/>
      <c r="CW127" s="485"/>
      <c r="CX127" s="485"/>
      <c r="CY127" s="485"/>
      <c r="CZ127" s="485"/>
      <c r="DA127" s="485"/>
      <c r="DB127" s="485"/>
      <c r="DC127" s="485"/>
      <c r="DD127" s="485"/>
      <c r="DE127" s="485"/>
      <c r="DF127" s="485"/>
      <c r="DG127" s="485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  <c r="EO127" s="485"/>
      <c r="EP127" s="485"/>
    </row>
    <row r="128" spans="1:146" ht="15.75">
      <c r="A128" s="462">
        <v>604</v>
      </c>
      <c r="B128" s="629" t="s">
        <v>394</v>
      </c>
      <c r="C128" s="624">
        <v>276</v>
      </c>
      <c r="D128" s="626">
        <v>92</v>
      </c>
      <c r="E128" s="611">
        <v>10.31</v>
      </c>
      <c r="F128" s="678">
        <f t="shared" si="18"/>
        <v>10.099320000000001</v>
      </c>
      <c r="G128" s="683">
        <v>8</v>
      </c>
      <c r="H128" s="681">
        <f t="shared" si="33"/>
        <v>8832</v>
      </c>
      <c r="I128" s="623">
        <f t="shared" si="34"/>
        <v>989.76</v>
      </c>
      <c r="J128" s="623"/>
      <c r="K128" s="627">
        <v>0.27600000000000002</v>
      </c>
      <c r="L128" s="627">
        <f t="shared" si="35"/>
        <v>2.2080000000000002</v>
      </c>
      <c r="M128" s="627"/>
      <c r="N128" s="609">
        <v>92</v>
      </c>
      <c r="O128" s="610">
        <v>10.306250599507926</v>
      </c>
      <c r="P128" s="617" t="str">
        <f t="shared" si="36"/>
        <v>---</v>
      </c>
      <c r="Q128" s="618">
        <f t="shared" si="37"/>
        <v>-3.749400492074173E-3</v>
      </c>
      <c r="R128" s="485"/>
      <c r="S128" s="624" t="str">
        <f t="shared" si="38"/>
        <v>OK</v>
      </c>
      <c r="T128" s="434">
        <f>IF(+'2012 Rates'!O309&lt;'2012 Rates'!$B$11,'2012 Rates'!$B$11,+'2012 Rates'!O309)</f>
        <v>11.07</v>
      </c>
      <c r="U128" s="447">
        <f t="shared" si="19"/>
        <v>9.6113401694371436E-2</v>
      </c>
      <c r="V128" s="485"/>
      <c r="W128" s="623">
        <f t="shared" si="39"/>
        <v>1062.72</v>
      </c>
      <c r="X128" s="485"/>
      <c r="Y128" s="485"/>
      <c r="Z128" s="485"/>
      <c r="AA128" s="485"/>
      <c r="AB128" s="485"/>
      <c r="AC128" s="485"/>
      <c r="AD128" s="485"/>
      <c r="AE128" s="485"/>
      <c r="AF128" s="485"/>
      <c r="AG128" s="485"/>
      <c r="AH128" s="485"/>
      <c r="AI128" s="485"/>
      <c r="AJ128" s="485"/>
      <c r="AK128" s="485"/>
      <c r="AL128" s="485"/>
      <c r="AM128" s="485"/>
      <c r="AN128" s="485"/>
      <c r="AO128" s="485"/>
      <c r="AP128" s="485"/>
      <c r="AQ128" s="485"/>
      <c r="AR128" s="485"/>
      <c r="AS128" s="485"/>
      <c r="AT128" s="485"/>
      <c r="AU128" s="485"/>
      <c r="AV128" s="485"/>
      <c r="AW128" s="485"/>
      <c r="AX128" s="485"/>
      <c r="AY128" s="485"/>
      <c r="AZ128" s="485"/>
      <c r="BA128" s="485"/>
      <c r="BB128" s="485"/>
      <c r="BC128" s="485"/>
      <c r="BD128" s="485"/>
      <c r="BE128" s="485"/>
      <c r="BF128" s="485"/>
      <c r="BG128" s="485"/>
      <c r="BH128" s="485"/>
      <c r="BI128" s="485"/>
      <c r="BJ128" s="485"/>
      <c r="BK128" s="485"/>
      <c r="BL128" s="485"/>
      <c r="BM128" s="485"/>
      <c r="BN128" s="485"/>
      <c r="BO128" s="485"/>
      <c r="BP128" s="485"/>
      <c r="BQ128" s="485"/>
      <c r="BR128" s="485"/>
      <c r="BS128" s="485"/>
      <c r="BT128" s="485"/>
      <c r="BU128" s="485"/>
      <c r="BV128" s="485"/>
      <c r="BW128" s="485"/>
      <c r="BX128" s="485"/>
      <c r="BY128" s="485"/>
      <c r="BZ128" s="485"/>
      <c r="CA128" s="485"/>
      <c r="CB128" s="485"/>
      <c r="CC128" s="485"/>
      <c r="CD128" s="485"/>
      <c r="CE128" s="485"/>
      <c r="CF128" s="485"/>
      <c r="CG128" s="485"/>
      <c r="CH128" s="485"/>
      <c r="CI128" s="485"/>
      <c r="CJ128" s="485"/>
      <c r="CK128" s="485"/>
      <c r="CL128" s="485"/>
      <c r="CM128" s="485"/>
      <c r="CN128" s="485"/>
      <c r="CO128" s="485"/>
      <c r="CP128" s="485"/>
      <c r="CQ128" s="485"/>
      <c r="CR128" s="485"/>
      <c r="CS128" s="485"/>
      <c r="CT128" s="485"/>
      <c r="CU128" s="485"/>
      <c r="CV128" s="485"/>
      <c r="CW128" s="485"/>
      <c r="CX128" s="485"/>
      <c r="CY128" s="485"/>
      <c r="CZ128" s="485"/>
      <c r="DA128" s="485"/>
      <c r="DB128" s="485"/>
      <c r="DC128" s="485"/>
      <c r="DD128" s="485"/>
      <c r="DE128" s="485"/>
      <c r="DF128" s="485"/>
      <c r="DG128" s="485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  <c r="EO128" s="485"/>
      <c r="EP128" s="485"/>
    </row>
    <row r="129" spans="1:146" ht="15.75">
      <c r="A129" s="591">
        <v>605</v>
      </c>
      <c r="B129" s="630" t="s">
        <v>395</v>
      </c>
      <c r="C129" s="614">
        <v>10</v>
      </c>
      <c r="D129" s="609">
        <v>34</v>
      </c>
      <c r="E129" s="610">
        <v>2.96</v>
      </c>
      <c r="F129" s="678">
        <f>E129</f>
        <v>2.96</v>
      </c>
      <c r="G129" s="683">
        <v>1</v>
      </c>
      <c r="H129" s="664">
        <f t="shared" si="33"/>
        <v>408</v>
      </c>
      <c r="I129" s="444">
        <f t="shared" si="34"/>
        <v>35.519999999999996</v>
      </c>
      <c r="J129" s="444"/>
      <c r="K129" s="616">
        <v>0.01</v>
      </c>
      <c r="L129" s="616">
        <f t="shared" si="35"/>
        <v>0.01</v>
      </c>
      <c r="M129" s="616">
        <f>+L129</f>
        <v>0.01</v>
      </c>
      <c r="N129" s="609">
        <v>34</v>
      </c>
      <c r="O129" s="610">
        <v>2.9637800000000003</v>
      </c>
      <c r="P129" s="617" t="str">
        <f t="shared" si="36"/>
        <v>---</v>
      </c>
      <c r="Q129" s="618">
        <f t="shared" si="37"/>
        <v>3.7800000000003386E-3</v>
      </c>
      <c r="R129" s="615"/>
      <c r="S129" s="614" t="str">
        <f t="shared" si="38"/>
        <v>OK</v>
      </c>
      <c r="T129" s="619">
        <f>IF(+'2012 Rates'!P310&lt;'2012 Rates'!$B$11,'2012 Rates'!$B$11,+'2012 Rates'!P310)</f>
        <v>3.2504153814512136</v>
      </c>
      <c r="U129" s="447">
        <f t="shared" si="19"/>
        <v>9.8113304544328983E-2</v>
      </c>
      <c r="V129" s="485" t="s">
        <v>340</v>
      </c>
      <c r="W129" s="623">
        <f t="shared" si="39"/>
        <v>39.004984577414561</v>
      </c>
      <c r="X129" s="485"/>
      <c r="Y129" s="485"/>
      <c r="Z129" s="485"/>
      <c r="AA129" s="485"/>
      <c r="AB129" s="485"/>
      <c r="AC129" s="485"/>
      <c r="AD129" s="485"/>
      <c r="AE129" s="485"/>
      <c r="AF129" s="485"/>
      <c r="AG129" s="485"/>
      <c r="AH129" s="485"/>
      <c r="AI129" s="485"/>
      <c r="AJ129" s="485"/>
      <c r="AK129" s="485"/>
      <c r="AL129" s="485"/>
      <c r="AM129" s="485"/>
      <c r="AN129" s="485"/>
      <c r="AO129" s="485"/>
      <c r="AP129" s="485"/>
      <c r="AQ129" s="485"/>
      <c r="AR129" s="485"/>
      <c r="AS129" s="485"/>
      <c r="AT129" s="485"/>
      <c r="AU129" s="485"/>
      <c r="AV129" s="485"/>
      <c r="AW129" s="485"/>
      <c r="AX129" s="485"/>
      <c r="AY129" s="485"/>
      <c r="AZ129" s="485"/>
      <c r="BA129" s="485"/>
      <c r="BB129" s="485"/>
      <c r="BC129" s="485"/>
      <c r="BD129" s="485"/>
      <c r="BE129" s="485"/>
      <c r="BF129" s="485"/>
      <c r="BG129" s="485"/>
      <c r="BH129" s="485"/>
      <c r="BI129" s="485"/>
      <c r="BJ129" s="485"/>
      <c r="BK129" s="485"/>
      <c r="BL129" s="485"/>
      <c r="BM129" s="485"/>
      <c r="BN129" s="485"/>
      <c r="BO129" s="485"/>
      <c r="BP129" s="485"/>
      <c r="BQ129" s="485"/>
      <c r="BR129" s="485"/>
      <c r="BS129" s="485"/>
      <c r="BT129" s="485"/>
      <c r="BU129" s="485"/>
      <c r="BV129" s="485"/>
      <c r="BW129" s="485"/>
      <c r="BX129" s="485"/>
      <c r="BY129" s="485"/>
      <c r="BZ129" s="485"/>
      <c r="CA129" s="485"/>
      <c r="CB129" s="485"/>
      <c r="CC129" s="485"/>
      <c r="CD129" s="485"/>
      <c r="CE129" s="485"/>
      <c r="CF129" s="485"/>
      <c r="CG129" s="485"/>
      <c r="CH129" s="485"/>
      <c r="CI129" s="485"/>
      <c r="CJ129" s="485"/>
      <c r="CK129" s="485"/>
      <c r="CL129" s="485"/>
      <c r="CM129" s="485"/>
      <c r="CN129" s="485"/>
      <c r="CO129" s="485"/>
      <c r="CP129" s="485"/>
      <c r="CQ129" s="485"/>
      <c r="CR129" s="485"/>
      <c r="CS129" s="485"/>
      <c r="CT129" s="485"/>
      <c r="CU129" s="485"/>
      <c r="CV129" s="485"/>
      <c r="CW129" s="485"/>
      <c r="CX129" s="485"/>
      <c r="CY129" s="485"/>
      <c r="CZ129" s="485"/>
      <c r="DA129" s="485"/>
      <c r="DB129" s="485"/>
      <c r="DC129" s="485"/>
      <c r="DD129" s="485"/>
      <c r="DE129" s="485"/>
      <c r="DF129" s="485"/>
      <c r="DG129" s="485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  <c r="EO129" s="485"/>
      <c r="EP129" s="485"/>
    </row>
    <row r="130" spans="1:146" ht="15.75">
      <c r="A130" s="462">
        <v>606</v>
      </c>
      <c r="B130" s="640" t="s">
        <v>396</v>
      </c>
      <c r="C130" s="624">
        <v>480</v>
      </c>
      <c r="D130" s="626">
        <v>87</v>
      </c>
      <c r="E130" s="611">
        <v>12.74</v>
      </c>
      <c r="F130" s="678">
        <f t="shared" si="18"/>
        <v>12.54077</v>
      </c>
      <c r="G130" s="683"/>
      <c r="H130" s="681">
        <f t="shared" si="33"/>
        <v>0</v>
      </c>
      <c r="I130" s="623">
        <f t="shared" si="34"/>
        <v>0</v>
      </c>
      <c r="J130" s="623"/>
      <c r="K130" s="627">
        <v>0.48</v>
      </c>
      <c r="L130" s="627">
        <f t="shared" si="35"/>
        <v>0</v>
      </c>
      <c r="M130" s="627"/>
      <c r="N130" s="609">
        <v>87</v>
      </c>
      <c r="O130" s="610">
        <v>12.740910893012932</v>
      </c>
      <c r="P130" s="617" t="str">
        <f t="shared" si="36"/>
        <v>---</v>
      </c>
      <c r="Q130" s="618">
        <f t="shared" si="37"/>
        <v>9.1089301293223457E-4</v>
      </c>
      <c r="R130" s="485"/>
      <c r="S130" s="624" t="str">
        <f t="shared" si="38"/>
        <v>OK</v>
      </c>
      <c r="T130" s="434">
        <f>IF(+'2012 Rates'!O311&lt;'2012 Rates'!$B$11,'2012 Rates'!$B$11,+'2012 Rates'!O311)</f>
        <v>13.77</v>
      </c>
      <c r="U130" s="447">
        <f t="shared" si="19"/>
        <v>9.8018702200901586E-2</v>
      </c>
      <c r="V130" s="485"/>
      <c r="W130" s="623">
        <f t="shared" si="39"/>
        <v>0</v>
      </c>
      <c r="X130" s="485"/>
      <c r="Y130" s="485"/>
      <c r="Z130" s="485"/>
      <c r="AA130" s="485"/>
      <c r="AB130" s="485"/>
      <c r="AC130" s="485"/>
      <c r="AD130" s="485"/>
      <c r="AE130" s="485"/>
      <c r="AF130" s="485"/>
      <c r="AG130" s="485"/>
      <c r="AH130" s="485"/>
      <c r="AI130" s="485"/>
      <c r="AJ130" s="485"/>
      <c r="AK130" s="485"/>
      <c r="AL130" s="485"/>
      <c r="AM130" s="485"/>
      <c r="AN130" s="485"/>
      <c r="AO130" s="485"/>
      <c r="AP130" s="485"/>
      <c r="AQ130" s="485"/>
      <c r="AR130" s="485"/>
      <c r="AS130" s="485"/>
      <c r="AT130" s="485"/>
      <c r="AU130" s="485"/>
      <c r="AV130" s="485"/>
      <c r="AW130" s="485"/>
      <c r="AX130" s="485"/>
      <c r="AY130" s="485"/>
      <c r="AZ130" s="485"/>
      <c r="BA130" s="485"/>
      <c r="BB130" s="485"/>
      <c r="BC130" s="485"/>
      <c r="BD130" s="485"/>
      <c r="BE130" s="485"/>
      <c r="BF130" s="485"/>
      <c r="BG130" s="485"/>
      <c r="BH130" s="485"/>
      <c r="BI130" s="485"/>
      <c r="BJ130" s="485"/>
      <c r="BK130" s="485"/>
      <c r="BL130" s="485"/>
      <c r="BM130" s="485"/>
      <c r="BN130" s="485"/>
      <c r="BO130" s="485"/>
      <c r="BP130" s="485"/>
      <c r="BQ130" s="485"/>
      <c r="BR130" s="485"/>
      <c r="BS130" s="485"/>
      <c r="BT130" s="485"/>
      <c r="BU130" s="485"/>
      <c r="BV130" s="485"/>
      <c r="BW130" s="485"/>
      <c r="BX130" s="485"/>
      <c r="BY130" s="485"/>
      <c r="BZ130" s="485"/>
      <c r="CA130" s="485"/>
      <c r="CB130" s="485"/>
      <c r="CC130" s="485"/>
      <c r="CD130" s="485"/>
      <c r="CE130" s="485"/>
      <c r="CF130" s="485"/>
      <c r="CG130" s="485"/>
      <c r="CH130" s="485"/>
      <c r="CI130" s="485"/>
      <c r="CJ130" s="485"/>
      <c r="CK130" s="485"/>
      <c r="CL130" s="485"/>
      <c r="CM130" s="485"/>
      <c r="CN130" s="485"/>
      <c r="CO130" s="485"/>
      <c r="CP130" s="485"/>
      <c r="CQ130" s="485"/>
      <c r="CR130" s="485"/>
      <c r="CS130" s="485"/>
      <c r="CT130" s="485"/>
      <c r="CU130" s="485"/>
      <c r="CV130" s="485"/>
      <c r="CW130" s="485"/>
      <c r="CX130" s="485"/>
      <c r="CY130" s="485"/>
      <c r="CZ130" s="485"/>
      <c r="DA130" s="485"/>
      <c r="DB130" s="485"/>
      <c r="DC130" s="485"/>
      <c r="DD130" s="485"/>
      <c r="DE130" s="485"/>
      <c r="DF130" s="485"/>
      <c r="DG130" s="485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  <c r="EO130" s="485"/>
      <c r="EP130" s="485"/>
    </row>
    <row r="131" spans="1:146" ht="15.75">
      <c r="A131" s="462">
        <v>607</v>
      </c>
      <c r="B131" s="640" t="s">
        <v>397</v>
      </c>
      <c r="C131" s="641">
        <v>4440</v>
      </c>
      <c r="D131" s="626">
        <v>1480</v>
      </c>
      <c r="E131" s="611">
        <v>165.74</v>
      </c>
      <c r="F131" s="678">
        <f t="shared" si="18"/>
        <v>162.35080000000002</v>
      </c>
      <c r="G131" s="683">
        <v>1</v>
      </c>
      <c r="H131" s="681">
        <f t="shared" si="33"/>
        <v>17760</v>
      </c>
      <c r="I131" s="623">
        <f t="shared" si="34"/>
        <v>1988.88</v>
      </c>
      <c r="J131" s="623"/>
      <c r="K131" s="627">
        <v>4.4400000000000004</v>
      </c>
      <c r="L131" s="627">
        <f t="shared" si="35"/>
        <v>4.4400000000000004</v>
      </c>
      <c r="M131" s="627"/>
      <c r="N131" s="609">
        <v>1480</v>
      </c>
      <c r="O131" s="610">
        <v>165.74055312251883</v>
      </c>
      <c r="P131" s="617" t="str">
        <f t="shared" si="36"/>
        <v>---</v>
      </c>
      <c r="Q131" s="618">
        <f t="shared" si="37"/>
        <v>5.5312251882355667E-4</v>
      </c>
      <c r="R131" s="485"/>
      <c r="S131" s="624" t="str">
        <f t="shared" si="38"/>
        <v>OK</v>
      </c>
      <c r="T131" s="434">
        <f>IF(+'2012 Rates'!O312&lt;'2012 Rates'!$B$11,'2012 Rates'!$B$11,+'2012 Rates'!O312)</f>
        <v>178.29</v>
      </c>
      <c r="U131" s="447">
        <f t="shared" si="19"/>
        <v>9.8177526689119832E-2</v>
      </c>
      <c r="V131" s="485"/>
      <c r="W131" s="623">
        <f t="shared" si="39"/>
        <v>2139.48</v>
      </c>
      <c r="X131" s="485"/>
      <c r="Y131" s="485"/>
      <c r="Z131" s="485"/>
      <c r="AA131" s="485"/>
      <c r="AB131" s="485"/>
      <c r="AC131" s="485"/>
      <c r="AD131" s="485"/>
      <c r="AE131" s="485"/>
      <c r="AF131" s="485"/>
      <c r="AG131" s="485"/>
      <c r="AH131" s="485"/>
      <c r="AI131" s="485"/>
      <c r="AJ131" s="485"/>
      <c r="AK131" s="485"/>
      <c r="AL131" s="485"/>
      <c r="AM131" s="485"/>
      <c r="AN131" s="485"/>
      <c r="AO131" s="485"/>
      <c r="AP131" s="485"/>
      <c r="AQ131" s="485"/>
      <c r="AR131" s="485"/>
      <c r="AS131" s="485"/>
      <c r="AT131" s="485"/>
      <c r="AU131" s="485"/>
      <c r="AV131" s="485"/>
      <c r="AW131" s="485"/>
      <c r="AX131" s="485"/>
      <c r="AY131" s="485"/>
      <c r="AZ131" s="485"/>
      <c r="BA131" s="485"/>
      <c r="BB131" s="485"/>
      <c r="BC131" s="485"/>
      <c r="BD131" s="485"/>
      <c r="BE131" s="485"/>
      <c r="BF131" s="485"/>
      <c r="BG131" s="485"/>
      <c r="BH131" s="485"/>
      <c r="BI131" s="485"/>
      <c r="BJ131" s="485"/>
      <c r="BK131" s="485"/>
      <c r="BL131" s="485"/>
      <c r="BM131" s="485"/>
      <c r="BN131" s="485"/>
      <c r="BO131" s="485"/>
      <c r="BP131" s="485"/>
      <c r="BQ131" s="485"/>
      <c r="BR131" s="485"/>
      <c r="BS131" s="485"/>
      <c r="BT131" s="485"/>
      <c r="BU131" s="485"/>
      <c r="BV131" s="485"/>
      <c r="BW131" s="485"/>
      <c r="BX131" s="485"/>
      <c r="BY131" s="485"/>
      <c r="BZ131" s="485"/>
      <c r="CA131" s="485"/>
      <c r="CB131" s="485"/>
      <c r="CC131" s="485"/>
      <c r="CD131" s="485"/>
      <c r="CE131" s="485"/>
      <c r="CF131" s="485"/>
      <c r="CG131" s="485"/>
      <c r="CH131" s="485"/>
      <c r="CI131" s="485"/>
      <c r="CJ131" s="485"/>
      <c r="CK131" s="485"/>
      <c r="CL131" s="485"/>
      <c r="CM131" s="485"/>
      <c r="CN131" s="485"/>
      <c r="CO131" s="485"/>
      <c r="CP131" s="485"/>
      <c r="CQ131" s="485"/>
      <c r="CR131" s="485"/>
      <c r="CS131" s="485"/>
      <c r="CT131" s="485"/>
      <c r="CU131" s="485"/>
      <c r="CV131" s="485"/>
      <c r="CW131" s="485"/>
      <c r="CX131" s="485"/>
      <c r="CY131" s="485"/>
      <c r="CZ131" s="485"/>
      <c r="DA131" s="485"/>
      <c r="DB131" s="485"/>
      <c r="DC131" s="485"/>
      <c r="DD131" s="485"/>
      <c r="DE131" s="485"/>
      <c r="DF131" s="485"/>
      <c r="DG131" s="485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  <c r="EO131" s="485"/>
      <c r="EP131" s="485"/>
    </row>
    <row r="132" spans="1:146" ht="15.75">
      <c r="A132" s="462">
        <v>608</v>
      </c>
      <c r="B132" s="629" t="s">
        <v>394</v>
      </c>
      <c r="C132" s="624">
        <v>138</v>
      </c>
      <c r="D132" s="626">
        <v>46</v>
      </c>
      <c r="E132" s="611">
        <v>5.16</v>
      </c>
      <c r="F132" s="678">
        <f t="shared" si="18"/>
        <v>5.0546600000000002</v>
      </c>
      <c r="G132" s="683"/>
      <c r="H132" s="681">
        <f t="shared" si="33"/>
        <v>0</v>
      </c>
      <c r="I132" s="623">
        <f t="shared" si="34"/>
        <v>0</v>
      </c>
      <c r="J132" s="623"/>
      <c r="K132" s="627">
        <v>0.13800000000000001</v>
      </c>
      <c r="L132" s="627">
        <f t="shared" si="35"/>
        <v>0</v>
      </c>
      <c r="M132" s="627"/>
      <c r="N132" s="609">
        <v>46</v>
      </c>
      <c r="O132" s="610">
        <v>5.1631252997539629</v>
      </c>
      <c r="P132" s="617" t="str">
        <f t="shared" si="36"/>
        <v>---</v>
      </c>
      <c r="Q132" s="618">
        <f t="shared" si="37"/>
        <v>3.1252997539628069E-3</v>
      </c>
      <c r="R132" s="485"/>
      <c r="S132" s="624" t="str">
        <f t="shared" si="38"/>
        <v>OK</v>
      </c>
      <c r="T132" s="434">
        <f>IF(+'2012 Rates'!O313&lt;'2012 Rates'!$B$11,'2012 Rates'!$B$11,+'2012 Rates'!O313)</f>
        <v>5.5600000000000005</v>
      </c>
      <c r="U132" s="447">
        <f t="shared" si="19"/>
        <v>9.9975072507349827E-2</v>
      </c>
      <c r="V132" s="485"/>
      <c r="W132" s="623">
        <f t="shared" si="39"/>
        <v>0</v>
      </c>
      <c r="X132" s="485"/>
      <c r="Y132" s="485"/>
      <c r="Z132" s="485"/>
      <c r="AA132" s="485"/>
      <c r="AB132" s="485"/>
      <c r="AC132" s="485"/>
      <c r="AD132" s="485"/>
      <c r="AE132" s="485"/>
      <c r="AF132" s="485"/>
      <c r="AG132" s="485"/>
      <c r="AH132" s="485"/>
      <c r="AI132" s="485"/>
      <c r="AJ132" s="485"/>
      <c r="AK132" s="485"/>
      <c r="AL132" s="485"/>
      <c r="AM132" s="485"/>
      <c r="AN132" s="485"/>
      <c r="AO132" s="485"/>
      <c r="AP132" s="485"/>
      <c r="AQ132" s="485"/>
      <c r="AR132" s="485"/>
      <c r="AS132" s="485"/>
      <c r="AT132" s="485"/>
      <c r="AU132" s="485"/>
      <c r="AV132" s="485"/>
      <c r="AW132" s="485"/>
      <c r="AX132" s="485"/>
      <c r="AY132" s="485"/>
      <c r="AZ132" s="485"/>
      <c r="BA132" s="485"/>
      <c r="BB132" s="485"/>
      <c r="BC132" s="485"/>
      <c r="BD132" s="485"/>
      <c r="BE132" s="485"/>
      <c r="BF132" s="485"/>
      <c r="BG132" s="485"/>
      <c r="BH132" s="485"/>
      <c r="BI132" s="485"/>
      <c r="BJ132" s="485"/>
      <c r="BK132" s="485"/>
      <c r="BL132" s="485"/>
      <c r="BM132" s="485"/>
      <c r="BN132" s="485"/>
      <c r="BO132" s="485"/>
      <c r="BP132" s="485"/>
      <c r="BQ132" s="485"/>
      <c r="BR132" s="485"/>
      <c r="BS132" s="485"/>
      <c r="BT132" s="485"/>
      <c r="BU132" s="485"/>
      <c r="BV132" s="485"/>
      <c r="BW132" s="485"/>
      <c r="BX132" s="485"/>
      <c r="BY132" s="485"/>
      <c r="BZ132" s="485"/>
      <c r="CA132" s="485"/>
      <c r="CB132" s="485"/>
      <c r="CC132" s="485"/>
      <c r="CD132" s="485"/>
      <c r="CE132" s="485"/>
      <c r="CF132" s="485"/>
      <c r="CG132" s="485"/>
      <c r="CH132" s="485"/>
      <c r="CI132" s="485"/>
      <c r="CJ132" s="485"/>
      <c r="CK132" s="485"/>
      <c r="CL132" s="485"/>
      <c r="CM132" s="485"/>
      <c r="CN132" s="485"/>
      <c r="CO132" s="485"/>
      <c r="CP132" s="485"/>
      <c r="CQ132" s="485"/>
      <c r="CR132" s="485"/>
      <c r="CS132" s="485"/>
      <c r="CT132" s="485"/>
      <c r="CU132" s="485"/>
      <c r="CV132" s="485"/>
      <c r="CW132" s="485"/>
      <c r="CX132" s="485"/>
      <c r="CY132" s="485"/>
      <c r="CZ132" s="485"/>
      <c r="DA132" s="485"/>
      <c r="DB132" s="485"/>
      <c r="DC132" s="485"/>
      <c r="DD132" s="485"/>
      <c r="DE132" s="485"/>
      <c r="DF132" s="485"/>
      <c r="DG132" s="485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  <c r="EO132" s="485"/>
      <c r="EP132" s="485"/>
    </row>
    <row r="133" spans="1:146" ht="15.75">
      <c r="A133" s="462">
        <v>609</v>
      </c>
      <c r="B133" s="629" t="s">
        <v>394</v>
      </c>
      <c r="C133" s="624">
        <v>175</v>
      </c>
      <c r="D133" s="626">
        <v>58</v>
      </c>
      <c r="E133" s="611">
        <v>6.5</v>
      </c>
      <c r="F133" s="678">
        <f t="shared" si="18"/>
        <v>6.3671800000000003</v>
      </c>
      <c r="G133" s="683">
        <v>15</v>
      </c>
      <c r="H133" s="681">
        <f t="shared" si="33"/>
        <v>10440</v>
      </c>
      <c r="I133" s="623">
        <f t="shared" si="34"/>
        <v>1170</v>
      </c>
      <c r="J133" s="623"/>
      <c r="K133" s="627">
        <v>0.17499999999999999</v>
      </c>
      <c r="L133" s="627">
        <f t="shared" si="35"/>
        <v>2.625</v>
      </c>
      <c r="M133" s="627"/>
      <c r="N133" s="609">
        <v>58</v>
      </c>
      <c r="O133" s="610">
        <v>6.5039405953419527</v>
      </c>
      <c r="P133" s="617" t="str">
        <f t="shared" si="36"/>
        <v>---</v>
      </c>
      <c r="Q133" s="618">
        <f t="shared" si="37"/>
        <v>3.9405953419526796E-3</v>
      </c>
      <c r="R133" s="485"/>
      <c r="S133" s="624" t="str">
        <f t="shared" si="38"/>
        <v>OK</v>
      </c>
      <c r="T133" s="434">
        <f>IF(+'2012 Rates'!O314&lt;'2012 Rates'!$B$11,'2012 Rates'!$B$11,+'2012 Rates'!O314)</f>
        <v>7</v>
      </c>
      <c r="U133" s="447">
        <f t="shared" si="19"/>
        <v>9.938779805188469E-2</v>
      </c>
      <c r="V133" s="485"/>
      <c r="W133" s="623">
        <f t="shared" si="39"/>
        <v>1260</v>
      </c>
      <c r="X133" s="485"/>
      <c r="Y133" s="485"/>
      <c r="Z133" s="485"/>
      <c r="AA133" s="485"/>
      <c r="AB133" s="485"/>
      <c r="AC133" s="485"/>
      <c r="AD133" s="485"/>
      <c r="AE133" s="485"/>
      <c r="AF133" s="485"/>
      <c r="AG133" s="485"/>
      <c r="AH133" s="485"/>
      <c r="AI133" s="485"/>
      <c r="AJ133" s="485"/>
      <c r="AK133" s="485"/>
      <c r="AL133" s="485"/>
      <c r="AM133" s="485"/>
      <c r="AN133" s="485"/>
      <c r="AO133" s="485"/>
      <c r="AP133" s="485"/>
      <c r="AQ133" s="485"/>
      <c r="AR133" s="485"/>
      <c r="AS133" s="485"/>
      <c r="AT133" s="485"/>
      <c r="AU133" s="485"/>
      <c r="AV133" s="485"/>
      <c r="AW133" s="485"/>
      <c r="AX133" s="485"/>
      <c r="AY133" s="485"/>
      <c r="AZ133" s="485"/>
      <c r="BA133" s="485"/>
      <c r="BB133" s="485"/>
      <c r="BC133" s="485"/>
      <c r="BD133" s="485"/>
      <c r="BE133" s="485"/>
      <c r="BF133" s="485"/>
      <c r="BG133" s="485"/>
      <c r="BH133" s="485"/>
      <c r="BI133" s="485"/>
      <c r="BJ133" s="485"/>
      <c r="BK133" s="485"/>
      <c r="BL133" s="485"/>
      <c r="BM133" s="485"/>
      <c r="BN133" s="485"/>
      <c r="BO133" s="485"/>
      <c r="BP133" s="485"/>
      <c r="BQ133" s="485"/>
      <c r="BR133" s="485"/>
      <c r="BS133" s="485"/>
      <c r="BT133" s="485"/>
      <c r="BU133" s="485"/>
      <c r="BV133" s="485"/>
      <c r="BW133" s="485"/>
      <c r="BX133" s="485"/>
      <c r="BY133" s="485"/>
      <c r="BZ133" s="485"/>
      <c r="CA133" s="485"/>
      <c r="CB133" s="485"/>
      <c r="CC133" s="485"/>
      <c r="CD133" s="485"/>
      <c r="CE133" s="485"/>
      <c r="CF133" s="485"/>
      <c r="CG133" s="485"/>
      <c r="CH133" s="485"/>
      <c r="CI133" s="485"/>
      <c r="CJ133" s="485"/>
      <c r="CK133" s="485"/>
      <c r="CL133" s="485"/>
      <c r="CM133" s="485"/>
      <c r="CN133" s="485"/>
      <c r="CO133" s="485"/>
      <c r="CP133" s="485"/>
      <c r="CQ133" s="485"/>
      <c r="CR133" s="485"/>
      <c r="CS133" s="485"/>
      <c r="CT133" s="485"/>
      <c r="CU133" s="485"/>
      <c r="CV133" s="485"/>
      <c r="CW133" s="485"/>
      <c r="CX133" s="485"/>
      <c r="CY133" s="485"/>
      <c r="CZ133" s="485"/>
      <c r="DA133" s="485"/>
      <c r="DB133" s="485"/>
      <c r="DC133" s="485"/>
      <c r="DD133" s="485"/>
      <c r="DE133" s="485"/>
      <c r="DF133" s="485"/>
      <c r="DG133" s="485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  <c r="EO133" s="485"/>
      <c r="EP133" s="485"/>
    </row>
    <row r="134" spans="1:146" ht="15.75">
      <c r="A134" s="462">
        <v>610</v>
      </c>
      <c r="B134" s="629" t="s">
        <v>394</v>
      </c>
      <c r="C134" s="624">
        <v>244</v>
      </c>
      <c r="D134" s="626">
        <v>81</v>
      </c>
      <c r="E134" s="611">
        <v>9.1</v>
      </c>
      <c r="F134" s="678">
        <f t="shared" si="18"/>
        <v>8.9145099999999999</v>
      </c>
      <c r="G134" s="683">
        <v>45</v>
      </c>
      <c r="H134" s="681">
        <f t="shared" si="33"/>
        <v>43740</v>
      </c>
      <c r="I134" s="623">
        <f t="shared" si="34"/>
        <v>4914</v>
      </c>
      <c r="J134" s="623"/>
      <c r="K134" s="627">
        <v>0.24399999999999999</v>
      </c>
      <c r="L134" s="627">
        <f t="shared" si="35"/>
        <v>10.98</v>
      </c>
      <c r="M134" s="627"/>
      <c r="N134" s="609">
        <v>81</v>
      </c>
      <c r="O134" s="610">
        <v>9.1005032452189329</v>
      </c>
      <c r="P134" s="617" t="str">
        <f t="shared" si="36"/>
        <v>---</v>
      </c>
      <c r="Q134" s="618">
        <f t="shared" si="37"/>
        <v>5.0324521893330143E-4</v>
      </c>
      <c r="R134" s="485"/>
      <c r="S134" s="624" t="str">
        <f t="shared" si="38"/>
        <v>OK</v>
      </c>
      <c r="T134" s="434">
        <f>IF(+'2012 Rates'!O315&lt;'2012 Rates'!$B$11,'2012 Rates'!$B$11,+'2012 Rates'!O315)</f>
        <v>9.7799999999999994</v>
      </c>
      <c r="U134" s="447">
        <f t="shared" si="19"/>
        <v>9.7087781605494694E-2</v>
      </c>
      <c r="V134" s="485"/>
      <c r="W134" s="623">
        <f t="shared" si="39"/>
        <v>5281.2</v>
      </c>
      <c r="X134" s="485"/>
      <c r="Y134" s="485"/>
      <c r="Z134" s="485"/>
      <c r="AA134" s="485"/>
      <c r="AB134" s="485"/>
      <c r="AC134" s="485"/>
      <c r="AD134" s="485"/>
      <c r="AE134" s="485"/>
      <c r="AF134" s="485"/>
      <c r="AG134" s="485"/>
      <c r="AH134" s="485"/>
      <c r="AI134" s="485"/>
      <c r="AJ134" s="485"/>
      <c r="AK134" s="485"/>
      <c r="AL134" s="485"/>
      <c r="AM134" s="485"/>
      <c r="AN134" s="485"/>
      <c r="AO134" s="485"/>
      <c r="AP134" s="485"/>
      <c r="AQ134" s="485"/>
      <c r="AR134" s="485"/>
      <c r="AS134" s="485"/>
      <c r="AT134" s="485"/>
      <c r="AU134" s="485"/>
      <c r="AV134" s="485"/>
      <c r="AW134" s="485"/>
      <c r="AX134" s="485"/>
      <c r="AY134" s="485"/>
      <c r="AZ134" s="485"/>
      <c r="BA134" s="485"/>
      <c r="BB134" s="485"/>
      <c r="BC134" s="485"/>
      <c r="BD134" s="485"/>
      <c r="BE134" s="485"/>
      <c r="BF134" s="485"/>
      <c r="BG134" s="485"/>
      <c r="BH134" s="485"/>
      <c r="BI134" s="485"/>
      <c r="BJ134" s="485"/>
      <c r="BK134" s="485"/>
      <c r="BL134" s="485"/>
      <c r="BM134" s="485"/>
      <c r="BN134" s="485"/>
      <c r="BO134" s="485"/>
      <c r="BP134" s="485"/>
      <c r="BQ134" s="485"/>
      <c r="BR134" s="485"/>
      <c r="BS134" s="485"/>
      <c r="BT134" s="485"/>
      <c r="BU134" s="485"/>
      <c r="BV134" s="485"/>
      <c r="BW134" s="485"/>
      <c r="BX134" s="485"/>
      <c r="BY134" s="485"/>
      <c r="BZ134" s="485"/>
      <c r="CA134" s="485"/>
      <c r="CB134" s="485"/>
      <c r="CC134" s="485"/>
      <c r="CD134" s="485"/>
      <c r="CE134" s="485"/>
      <c r="CF134" s="485"/>
      <c r="CG134" s="485"/>
      <c r="CH134" s="485"/>
      <c r="CI134" s="485"/>
      <c r="CJ134" s="485"/>
      <c r="CK134" s="485"/>
      <c r="CL134" s="485"/>
      <c r="CM134" s="485"/>
      <c r="CN134" s="485"/>
      <c r="CO134" s="485"/>
      <c r="CP134" s="485"/>
      <c r="CQ134" s="485"/>
      <c r="CR134" s="485"/>
      <c r="CS134" s="485"/>
      <c r="CT134" s="485"/>
      <c r="CU134" s="485"/>
      <c r="CV134" s="485"/>
      <c r="CW134" s="485"/>
      <c r="CX134" s="485"/>
      <c r="CY134" s="485"/>
      <c r="CZ134" s="485"/>
      <c r="DA134" s="485"/>
      <c r="DB134" s="485"/>
      <c r="DC134" s="485"/>
      <c r="DD134" s="485"/>
      <c r="DE134" s="485"/>
      <c r="DF134" s="485"/>
      <c r="DG134" s="485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  <c r="EO134" s="485"/>
      <c r="EP134" s="485"/>
    </row>
    <row r="135" spans="1:146" ht="15.75">
      <c r="A135" s="485"/>
      <c r="B135" s="629"/>
      <c r="C135" s="624"/>
      <c r="D135" s="626"/>
      <c r="E135" s="611"/>
      <c r="F135" s="678"/>
      <c r="G135" s="683"/>
      <c r="H135" s="603"/>
      <c r="I135" s="485"/>
      <c r="J135" s="485"/>
      <c r="K135" s="627"/>
      <c r="L135" s="627"/>
      <c r="M135" s="627"/>
      <c r="N135" s="609"/>
      <c r="O135" s="610"/>
      <c r="P135" s="617"/>
      <c r="Q135" s="618"/>
      <c r="R135" s="485"/>
      <c r="S135" s="624"/>
      <c r="T135" s="613"/>
      <c r="U135" s="447"/>
      <c r="V135" s="485"/>
      <c r="W135" s="623"/>
      <c r="X135" s="485"/>
      <c r="Y135" s="485"/>
      <c r="Z135" s="485"/>
      <c r="AA135" s="485"/>
      <c r="AB135" s="485"/>
      <c r="AC135" s="485"/>
      <c r="AD135" s="485"/>
      <c r="AE135" s="485"/>
      <c r="AF135" s="485"/>
      <c r="AG135" s="485"/>
      <c r="AH135" s="485"/>
      <c r="AI135" s="485"/>
      <c r="AJ135" s="485"/>
      <c r="AK135" s="485"/>
      <c r="AL135" s="485"/>
      <c r="AM135" s="485"/>
      <c r="AN135" s="485"/>
      <c r="AO135" s="485"/>
      <c r="AP135" s="485"/>
      <c r="AQ135" s="485"/>
      <c r="AR135" s="485"/>
      <c r="AS135" s="485"/>
      <c r="AT135" s="485"/>
      <c r="AU135" s="485"/>
      <c r="AV135" s="485"/>
      <c r="AW135" s="485"/>
      <c r="AX135" s="485"/>
      <c r="AY135" s="485"/>
      <c r="AZ135" s="485"/>
      <c r="BA135" s="485"/>
      <c r="BB135" s="485"/>
      <c r="BC135" s="485"/>
      <c r="BD135" s="485"/>
      <c r="BE135" s="485"/>
      <c r="BF135" s="485"/>
      <c r="BG135" s="485"/>
      <c r="BH135" s="485"/>
      <c r="BI135" s="485"/>
      <c r="BJ135" s="485"/>
      <c r="BK135" s="485"/>
      <c r="BL135" s="485"/>
      <c r="BM135" s="485"/>
      <c r="BN135" s="485"/>
      <c r="BO135" s="485"/>
      <c r="BP135" s="485"/>
      <c r="BQ135" s="485"/>
      <c r="BR135" s="485"/>
      <c r="BS135" s="485"/>
      <c r="BT135" s="485"/>
      <c r="BU135" s="485"/>
      <c r="BV135" s="485"/>
      <c r="BW135" s="485"/>
      <c r="BX135" s="485"/>
      <c r="BY135" s="485"/>
      <c r="BZ135" s="485"/>
      <c r="CA135" s="485"/>
      <c r="CB135" s="485"/>
      <c r="CC135" s="485"/>
      <c r="CD135" s="485"/>
      <c r="CE135" s="485"/>
      <c r="CF135" s="485"/>
      <c r="CG135" s="485"/>
      <c r="CH135" s="485"/>
      <c r="CI135" s="485"/>
      <c r="CJ135" s="485"/>
      <c r="CK135" s="485"/>
      <c r="CL135" s="485"/>
      <c r="CM135" s="485"/>
      <c r="CN135" s="485"/>
      <c r="CO135" s="485"/>
      <c r="CP135" s="485"/>
      <c r="CQ135" s="485"/>
      <c r="CR135" s="485"/>
      <c r="CS135" s="485"/>
      <c r="CT135" s="485"/>
      <c r="CU135" s="485"/>
      <c r="CV135" s="485"/>
      <c r="CW135" s="485"/>
      <c r="CX135" s="485"/>
      <c r="CY135" s="485"/>
      <c r="CZ135" s="485"/>
      <c r="DA135" s="485"/>
      <c r="DB135" s="485"/>
      <c r="DC135" s="485"/>
      <c r="DD135" s="485"/>
      <c r="DE135" s="485"/>
      <c r="DF135" s="485"/>
      <c r="DG135" s="485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  <c r="EO135" s="485"/>
      <c r="EP135" s="485"/>
    </row>
    <row r="136" spans="1:146" ht="15.75">
      <c r="A136" s="591">
        <v>700</v>
      </c>
      <c r="B136" s="630" t="s">
        <v>398</v>
      </c>
      <c r="C136" s="614"/>
      <c r="D136" s="609">
        <v>34</v>
      </c>
      <c r="E136" s="610">
        <v>2.96</v>
      </c>
      <c r="F136" s="678">
        <f>E136</f>
        <v>2.96</v>
      </c>
      <c r="G136" s="683">
        <v>1</v>
      </c>
      <c r="H136" s="664">
        <f t="shared" ref="H136:H141" si="40">+D136*G136*12</f>
        <v>408</v>
      </c>
      <c r="I136" s="444">
        <f t="shared" ref="I136:I141" si="41">+E136*G136*12</f>
        <v>35.519999999999996</v>
      </c>
      <c r="J136" s="444"/>
      <c r="K136" s="616">
        <v>1.7999999999999999E-2</v>
      </c>
      <c r="L136" s="616">
        <f>G136*K136</f>
        <v>1.7999999999999999E-2</v>
      </c>
      <c r="M136" s="616"/>
      <c r="N136" s="609">
        <v>34</v>
      </c>
      <c r="O136" s="610">
        <v>2.9637800000000003</v>
      </c>
      <c r="P136" s="617" t="str">
        <f t="shared" ref="P136:Q141" si="42">IF(N136=D136,"---",N136-D136)</f>
        <v>---</v>
      </c>
      <c r="Q136" s="618">
        <f t="shared" si="42"/>
        <v>3.7800000000003386E-3</v>
      </c>
      <c r="R136" s="615"/>
      <c r="S136" s="614" t="str">
        <f t="shared" ref="S136:S141" si="43">IF(N136=D136,"OK",N136)</f>
        <v>OK</v>
      </c>
      <c r="T136" s="619">
        <f>IF(+'2012 Rates'!O320&lt;'2012 Rates'!$B$11,'2012 Rates'!$B$11,+'2012 Rates'!O320)</f>
        <v>3.2504153814512136</v>
      </c>
      <c r="U136" s="447">
        <f t="shared" si="19"/>
        <v>9.8113304544328983E-2</v>
      </c>
      <c r="V136" s="485" t="s">
        <v>340</v>
      </c>
      <c r="W136" s="623">
        <f t="shared" ref="W136:W141" si="44">+G136*T136*12</f>
        <v>39.004984577414561</v>
      </c>
      <c r="X136" s="485"/>
      <c r="Y136" s="485"/>
      <c r="Z136" s="485"/>
      <c r="AA136" s="485"/>
      <c r="AB136" s="485"/>
      <c r="AC136" s="485"/>
      <c r="AD136" s="485"/>
      <c r="AE136" s="485"/>
      <c r="AF136" s="485"/>
      <c r="AG136" s="485"/>
      <c r="AH136" s="485"/>
      <c r="AI136" s="485"/>
      <c r="AJ136" s="485"/>
      <c r="AK136" s="485"/>
      <c r="AL136" s="485"/>
      <c r="AM136" s="485"/>
      <c r="AN136" s="485"/>
      <c r="AO136" s="485"/>
      <c r="AP136" s="485"/>
      <c r="AQ136" s="485"/>
      <c r="AR136" s="485"/>
      <c r="AS136" s="485"/>
      <c r="AT136" s="485"/>
      <c r="AU136" s="485"/>
      <c r="AV136" s="485"/>
      <c r="AW136" s="485"/>
      <c r="AX136" s="485"/>
      <c r="AY136" s="485"/>
      <c r="AZ136" s="485"/>
      <c r="BA136" s="485"/>
      <c r="BB136" s="485"/>
      <c r="BC136" s="485"/>
      <c r="BD136" s="485"/>
      <c r="BE136" s="485"/>
      <c r="BF136" s="485"/>
      <c r="BG136" s="485"/>
      <c r="BH136" s="485"/>
      <c r="BI136" s="485"/>
      <c r="BJ136" s="485"/>
      <c r="BK136" s="485"/>
      <c r="BL136" s="485"/>
      <c r="BM136" s="485"/>
      <c r="BN136" s="485"/>
      <c r="BO136" s="485"/>
      <c r="BP136" s="485"/>
      <c r="BQ136" s="485"/>
      <c r="BR136" s="485"/>
      <c r="BS136" s="485"/>
      <c r="BT136" s="485"/>
      <c r="BU136" s="485"/>
      <c r="BV136" s="485"/>
      <c r="BW136" s="485"/>
      <c r="BX136" s="485"/>
      <c r="BY136" s="485"/>
      <c r="BZ136" s="485"/>
      <c r="CA136" s="485"/>
      <c r="CB136" s="485"/>
      <c r="CC136" s="485"/>
      <c r="CD136" s="485"/>
      <c r="CE136" s="485"/>
      <c r="CF136" s="485"/>
      <c r="CG136" s="485"/>
      <c r="CH136" s="485"/>
      <c r="CI136" s="485"/>
      <c r="CJ136" s="485"/>
      <c r="CK136" s="485"/>
      <c r="CL136" s="485"/>
      <c r="CM136" s="485"/>
      <c r="CN136" s="485"/>
      <c r="CO136" s="485"/>
      <c r="CP136" s="485"/>
      <c r="CQ136" s="485"/>
      <c r="CR136" s="485"/>
      <c r="CS136" s="485"/>
      <c r="CT136" s="485"/>
      <c r="CU136" s="485"/>
      <c r="CV136" s="485"/>
      <c r="CW136" s="485"/>
      <c r="CX136" s="485"/>
      <c r="CY136" s="485"/>
      <c r="CZ136" s="485"/>
      <c r="DA136" s="485"/>
      <c r="DB136" s="485"/>
      <c r="DC136" s="485"/>
      <c r="DD136" s="485"/>
      <c r="DE136" s="485"/>
      <c r="DF136" s="485"/>
      <c r="DG136" s="485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  <c r="EO136" s="485"/>
      <c r="EP136" s="485"/>
    </row>
    <row r="137" spans="1:146" ht="15.75">
      <c r="A137" s="462">
        <v>701</v>
      </c>
      <c r="B137" s="629" t="s">
        <v>399</v>
      </c>
      <c r="C137" s="624"/>
      <c r="D137" s="626">
        <v>0</v>
      </c>
      <c r="E137" s="611">
        <v>12.76</v>
      </c>
      <c r="F137" s="678">
        <f t="shared" si="18"/>
        <v>12.76</v>
      </c>
      <c r="G137" s="683"/>
      <c r="H137" s="681">
        <f t="shared" si="40"/>
        <v>0</v>
      </c>
      <c r="I137" s="623">
        <f t="shared" si="41"/>
        <v>0</v>
      </c>
      <c r="J137" s="623"/>
      <c r="K137" s="627"/>
      <c r="L137" s="627"/>
      <c r="M137" s="627"/>
      <c r="N137" s="609">
        <v>0</v>
      </c>
      <c r="O137" s="610">
        <v>12.76</v>
      </c>
      <c r="P137" s="617" t="str">
        <f t="shared" si="42"/>
        <v>---</v>
      </c>
      <c r="Q137" s="618" t="str">
        <f t="shared" si="42"/>
        <v>---</v>
      </c>
      <c r="R137" s="485"/>
      <c r="S137" s="624" t="str">
        <f t="shared" si="43"/>
        <v>OK</v>
      </c>
      <c r="T137" s="613">
        <f>ROUND(+E137*(1+'2012 Rates'!$H$5),2)</f>
        <v>14.01</v>
      </c>
      <c r="U137" s="447">
        <f t="shared" si="19"/>
        <v>9.7962382445140994E-2</v>
      </c>
      <c r="V137" s="485"/>
      <c r="W137" s="623">
        <f t="shared" si="44"/>
        <v>0</v>
      </c>
      <c r="X137" s="485"/>
      <c r="Y137" s="485"/>
      <c r="Z137" s="485"/>
      <c r="AA137" s="485"/>
      <c r="AB137" s="485"/>
      <c r="AC137" s="485"/>
      <c r="AD137" s="485"/>
      <c r="AE137" s="485"/>
      <c r="AF137" s="485"/>
      <c r="AG137" s="485"/>
      <c r="AH137" s="485"/>
      <c r="AI137" s="485"/>
      <c r="AJ137" s="485"/>
      <c r="AK137" s="485"/>
      <c r="AL137" s="485"/>
      <c r="AM137" s="485"/>
      <c r="AN137" s="485"/>
      <c r="AO137" s="485"/>
      <c r="AP137" s="485"/>
      <c r="AQ137" s="485"/>
      <c r="AR137" s="485"/>
      <c r="AS137" s="485"/>
      <c r="AT137" s="485"/>
      <c r="AU137" s="485"/>
      <c r="AV137" s="485"/>
      <c r="AW137" s="485"/>
      <c r="AX137" s="485"/>
      <c r="AY137" s="485"/>
      <c r="AZ137" s="485"/>
      <c r="BA137" s="485"/>
      <c r="BB137" s="485"/>
      <c r="BC137" s="485"/>
      <c r="BD137" s="485"/>
      <c r="BE137" s="485"/>
      <c r="BF137" s="485"/>
      <c r="BG137" s="485"/>
      <c r="BH137" s="485"/>
      <c r="BI137" s="485"/>
      <c r="BJ137" s="485"/>
      <c r="BK137" s="485"/>
      <c r="BL137" s="485"/>
      <c r="BM137" s="485"/>
      <c r="BN137" s="485"/>
      <c r="BO137" s="485"/>
      <c r="BP137" s="485"/>
      <c r="BQ137" s="485"/>
      <c r="BR137" s="485"/>
      <c r="BS137" s="485"/>
      <c r="BT137" s="485"/>
      <c r="BU137" s="485"/>
      <c r="BV137" s="485"/>
      <c r="BW137" s="485"/>
      <c r="BX137" s="485"/>
      <c r="BY137" s="485"/>
      <c r="BZ137" s="485"/>
      <c r="CA137" s="485"/>
      <c r="CB137" s="485"/>
      <c r="CC137" s="485"/>
      <c r="CD137" s="485"/>
      <c r="CE137" s="485"/>
      <c r="CF137" s="485"/>
      <c r="CG137" s="485"/>
      <c r="CH137" s="485"/>
      <c r="CI137" s="485"/>
      <c r="CJ137" s="485"/>
      <c r="CK137" s="485"/>
      <c r="CL137" s="485"/>
      <c r="CM137" s="485"/>
      <c r="CN137" s="485"/>
      <c r="CO137" s="485"/>
      <c r="CP137" s="485"/>
      <c r="CQ137" s="485"/>
      <c r="CR137" s="485"/>
      <c r="CS137" s="485"/>
      <c r="CT137" s="485"/>
      <c r="CU137" s="485"/>
      <c r="CV137" s="485"/>
      <c r="CW137" s="485"/>
      <c r="CX137" s="485"/>
      <c r="CY137" s="485"/>
      <c r="CZ137" s="485"/>
      <c r="DA137" s="485"/>
      <c r="DB137" s="485"/>
      <c r="DC137" s="485"/>
      <c r="DD137" s="485"/>
      <c r="DE137" s="485"/>
      <c r="DF137" s="485"/>
      <c r="DG137" s="485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  <c r="EO137" s="485"/>
      <c r="EP137" s="485"/>
    </row>
    <row r="138" spans="1:146" ht="15.75">
      <c r="A138" s="462">
        <v>702</v>
      </c>
      <c r="B138" s="629" t="s">
        <v>400</v>
      </c>
      <c r="C138" s="624"/>
      <c r="D138" s="626">
        <v>0</v>
      </c>
      <c r="E138" s="611">
        <v>18.72</v>
      </c>
      <c r="F138" s="678">
        <f t="shared" si="18"/>
        <v>18.72</v>
      </c>
      <c r="G138" s="683">
        <v>2</v>
      </c>
      <c r="H138" s="681">
        <f t="shared" si="40"/>
        <v>0</v>
      </c>
      <c r="I138" s="623">
        <f t="shared" si="41"/>
        <v>449.28</v>
      </c>
      <c r="J138" s="623"/>
      <c r="K138" s="627"/>
      <c r="L138" s="627"/>
      <c r="M138" s="627"/>
      <c r="N138" s="609">
        <v>0</v>
      </c>
      <c r="O138" s="610">
        <v>18.72</v>
      </c>
      <c r="P138" s="617" t="str">
        <f t="shared" si="42"/>
        <v>---</v>
      </c>
      <c r="Q138" s="618" t="str">
        <f t="shared" si="42"/>
        <v>---</v>
      </c>
      <c r="R138" s="485"/>
      <c r="S138" s="624" t="str">
        <f t="shared" si="43"/>
        <v>OK</v>
      </c>
      <c r="T138" s="451">
        <f>IF(+'2012 Rates'!O322&lt;'2012 Rates'!$B$11,'2012 Rates'!$B$11,+'2012 Rates'!O322)</f>
        <v>20.56</v>
      </c>
      <c r="U138" s="447">
        <f t="shared" si="19"/>
        <v>9.8290598290598385E-2</v>
      </c>
      <c r="V138" s="485"/>
      <c r="W138" s="623">
        <f t="shared" si="44"/>
        <v>493.43999999999994</v>
      </c>
      <c r="X138" s="485"/>
      <c r="Y138" s="485"/>
      <c r="Z138" s="485"/>
      <c r="AA138" s="485"/>
      <c r="AB138" s="485"/>
      <c r="AC138" s="485"/>
      <c r="AD138" s="485"/>
      <c r="AE138" s="485"/>
      <c r="AF138" s="485"/>
      <c r="AG138" s="485"/>
      <c r="AH138" s="485"/>
      <c r="AI138" s="485"/>
      <c r="AJ138" s="485"/>
      <c r="AK138" s="485"/>
      <c r="AL138" s="485"/>
      <c r="AM138" s="485"/>
      <c r="AN138" s="485"/>
      <c r="AO138" s="485"/>
      <c r="AP138" s="485"/>
      <c r="AQ138" s="485"/>
      <c r="AR138" s="485"/>
      <c r="AS138" s="485"/>
      <c r="AT138" s="485"/>
      <c r="AU138" s="485"/>
      <c r="AV138" s="485"/>
      <c r="AW138" s="485"/>
      <c r="AX138" s="485"/>
      <c r="AY138" s="485"/>
      <c r="AZ138" s="485"/>
      <c r="BA138" s="485"/>
      <c r="BB138" s="485"/>
      <c r="BC138" s="485"/>
      <c r="BD138" s="485"/>
      <c r="BE138" s="485"/>
      <c r="BF138" s="485"/>
      <c r="BG138" s="485"/>
      <c r="BH138" s="485"/>
      <c r="BI138" s="485"/>
      <c r="BJ138" s="485"/>
      <c r="BK138" s="485"/>
      <c r="BL138" s="485"/>
      <c r="BM138" s="485"/>
      <c r="BN138" s="485"/>
      <c r="BO138" s="485"/>
      <c r="BP138" s="485"/>
      <c r="BQ138" s="485"/>
      <c r="BR138" s="485"/>
      <c r="BS138" s="485"/>
      <c r="BT138" s="485"/>
      <c r="BU138" s="485"/>
      <c r="BV138" s="485"/>
      <c r="BW138" s="485"/>
      <c r="BX138" s="485"/>
      <c r="BY138" s="485"/>
      <c r="BZ138" s="485"/>
      <c r="CA138" s="485"/>
      <c r="CB138" s="485"/>
      <c r="CC138" s="485"/>
      <c r="CD138" s="485"/>
      <c r="CE138" s="485"/>
      <c r="CF138" s="485"/>
      <c r="CG138" s="485"/>
      <c r="CH138" s="485"/>
      <c r="CI138" s="485"/>
      <c r="CJ138" s="485"/>
      <c r="CK138" s="485"/>
      <c r="CL138" s="485"/>
      <c r="CM138" s="485"/>
      <c r="CN138" s="485"/>
      <c r="CO138" s="485"/>
      <c r="CP138" s="485"/>
      <c r="CQ138" s="485"/>
      <c r="CR138" s="485"/>
      <c r="CS138" s="485"/>
      <c r="CT138" s="485"/>
      <c r="CU138" s="485"/>
      <c r="CV138" s="485"/>
      <c r="CW138" s="485"/>
      <c r="CX138" s="485"/>
      <c r="CY138" s="485"/>
      <c r="CZ138" s="485"/>
      <c r="DA138" s="485"/>
      <c r="DB138" s="485"/>
      <c r="DC138" s="485"/>
      <c r="DD138" s="485"/>
      <c r="DE138" s="485"/>
      <c r="DF138" s="485"/>
      <c r="DG138" s="485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  <c r="EO138" s="485"/>
      <c r="EP138" s="485"/>
    </row>
    <row r="139" spans="1:146" ht="15.75">
      <c r="A139" s="462">
        <v>703</v>
      </c>
      <c r="B139" s="629" t="s">
        <v>401</v>
      </c>
      <c r="C139" s="624"/>
      <c r="D139" s="626">
        <v>0</v>
      </c>
      <c r="E139" s="611">
        <v>31.5</v>
      </c>
      <c r="F139" s="678">
        <f t="shared" si="18"/>
        <v>31.5</v>
      </c>
      <c r="G139" s="683"/>
      <c r="H139" s="681">
        <f t="shared" si="40"/>
        <v>0</v>
      </c>
      <c r="I139" s="623">
        <f t="shared" si="41"/>
        <v>0</v>
      </c>
      <c r="J139" s="623"/>
      <c r="K139" s="627"/>
      <c r="L139" s="627"/>
      <c r="M139" s="627"/>
      <c r="N139" s="609">
        <v>0</v>
      </c>
      <c r="O139" s="610">
        <v>31.5</v>
      </c>
      <c r="P139" s="617" t="str">
        <f t="shared" si="42"/>
        <v>---</v>
      </c>
      <c r="Q139" s="618" t="str">
        <f t="shared" si="42"/>
        <v>---</v>
      </c>
      <c r="R139" s="485"/>
      <c r="S139" s="624" t="str">
        <f t="shared" si="43"/>
        <v>OK</v>
      </c>
      <c r="T139" s="451">
        <f>IF(+'2012 Rates'!O323&lt;'2012 Rates'!$B$11,'2012 Rates'!$B$11,+'2012 Rates'!O323)</f>
        <v>34.590000000000003</v>
      </c>
      <c r="U139" s="447">
        <f t="shared" si="19"/>
        <v>9.8095238095238235E-2</v>
      </c>
      <c r="V139" s="485"/>
      <c r="W139" s="623">
        <f t="shared" si="44"/>
        <v>0</v>
      </c>
      <c r="X139" s="485"/>
      <c r="Y139" s="485"/>
      <c r="Z139" s="485"/>
      <c r="AA139" s="485"/>
      <c r="AB139" s="485"/>
      <c r="AC139" s="485"/>
      <c r="AD139" s="485"/>
      <c r="AE139" s="485"/>
      <c r="AF139" s="485"/>
      <c r="AG139" s="485"/>
      <c r="AH139" s="485"/>
      <c r="AI139" s="485"/>
      <c r="AJ139" s="485"/>
      <c r="AK139" s="485"/>
      <c r="AL139" s="485"/>
      <c r="AM139" s="485"/>
      <c r="AN139" s="485"/>
      <c r="AO139" s="485"/>
      <c r="AP139" s="485"/>
      <c r="AQ139" s="485"/>
      <c r="AR139" s="485"/>
      <c r="AS139" s="485"/>
      <c r="AT139" s="485"/>
      <c r="AU139" s="485"/>
      <c r="AV139" s="485"/>
      <c r="AW139" s="485"/>
      <c r="AX139" s="485"/>
      <c r="AY139" s="485"/>
      <c r="AZ139" s="485"/>
      <c r="BA139" s="485"/>
      <c r="BB139" s="485"/>
      <c r="BC139" s="485"/>
      <c r="BD139" s="485"/>
      <c r="BE139" s="485"/>
      <c r="BF139" s="485"/>
      <c r="BG139" s="485"/>
      <c r="BH139" s="485"/>
      <c r="BI139" s="485"/>
      <c r="BJ139" s="485"/>
      <c r="BK139" s="485"/>
      <c r="BL139" s="485"/>
      <c r="BM139" s="485"/>
      <c r="BN139" s="485"/>
      <c r="BO139" s="485"/>
      <c r="BP139" s="485"/>
      <c r="BQ139" s="485"/>
      <c r="BR139" s="485"/>
      <c r="BS139" s="485"/>
      <c r="BT139" s="485"/>
      <c r="BU139" s="485"/>
      <c r="BV139" s="485"/>
      <c r="BW139" s="485"/>
      <c r="BX139" s="485"/>
      <c r="BY139" s="485"/>
      <c r="BZ139" s="485"/>
      <c r="CA139" s="485"/>
      <c r="CB139" s="485"/>
      <c r="CC139" s="485"/>
      <c r="CD139" s="485"/>
      <c r="CE139" s="485"/>
      <c r="CF139" s="485"/>
      <c r="CG139" s="485"/>
      <c r="CH139" s="485"/>
      <c r="CI139" s="485"/>
      <c r="CJ139" s="485"/>
      <c r="CK139" s="485"/>
      <c r="CL139" s="485"/>
      <c r="CM139" s="485"/>
      <c r="CN139" s="485"/>
      <c r="CO139" s="485"/>
      <c r="CP139" s="485"/>
      <c r="CQ139" s="485"/>
      <c r="CR139" s="485"/>
      <c r="CS139" s="485"/>
      <c r="CT139" s="485"/>
      <c r="CU139" s="485"/>
      <c r="CV139" s="485"/>
      <c r="CW139" s="485"/>
      <c r="CX139" s="485"/>
      <c r="CY139" s="485"/>
      <c r="CZ139" s="485"/>
      <c r="DA139" s="485"/>
      <c r="DB139" s="485"/>
      <c r="DC139" s="485"/>
      <c r="DD139" s="485"/>
      <c r="DE139" s="485"/>
      <c r="DF139" s="485"/>
      <c r="DG139" s="485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  <c r="EO139" s="485"/>
      <c r="EP139" s="485"/>
    </row>
    <row r="140" spans="1:146" ht="15.75">
      <c r="A140" s="591">
        <v>704</v>
      </c>
      <c r="B140" s="630" t="s">
        <v>402</v>
      </c>
      <c r="C140" s="614"/>
      <c r="D140" s="609">
        <v>0</v>
      </c>
      <c r="E140" s="610">
        <v>2.96</v>
      </c>
      <c r="F140" s="678">
        <f>E140</f>
        <v>2.96</v>
      </c>
      <c r="G140" s="683"/>
      <c r="H140" s="664">
        <f t="shared" si="40"/>
        <v>0</v>
      </c>
      <c r="I140" s="444">
        <f t="shared" si="41"/>
        <v>0</v>
      </c>
      <c r="J140" s="444"/>
      <c r="K140" s="616"/>
      <c r="L140" s="616">
        <f>G140*K140</f>
        <v>0</v>
      </c>
      <c r="M140" s="616"/>
      <c r="N140" s="609">
        <v>0</v>
      </c>
      <c r="O140" s="610">
        <v>2.96</v>
      </c>
      <c r="P140" s="617" t="str">
        <f t="shared" si="42"/>
        <v>---</v>
      </c>
      <c r="Q140" s="618" t="str">
        <f t="shared" si="42"/>
        <v>---</v>
      </c>
      <c r="R140" s="615"/>
      <c r="S140" s="614" t="str">
        <f t="shared" si="43"/>
        <v>OK</v>
      </c>
      <c r="T140" s="451">
        <f>IF(+'2012 Rates'!O324&lt;'2012 Rates'!$B$11,'2012 Rates'!$B$11,+'2012 Rates'!O324)</f>
        <v>3.2504153814512136</v>
      </c>
      <c r="U140" s="447">
        <f t="shared" si="19"/>
        <v>9.8113304544328983E-2</v>
      </c>
      <c r="V140" s="485" t="s">
        <v>340</v>
      </c>
      <c r="W140" s="623">
        <f t="shared" si="44"/>
        <v>0</v>
      </c>
      <c r="X140" s="485"/>
      <c r="Y140" s="485"/>
      <c r="Z140" s="485"/>
      <c r="AA140" s="485"/>
      <c r="AB140" s="485"/>
      <c r="AC140" s="485"/>
      <c r="AD140" s="485"/>
      <c r="AE140" s="485"/>
      <c r="AF140" s="485"/>
      <c r="AG140" s="485"/>
      <c r="AH140" s="485"/>
      <c r="AI140" s="485"/>
      <c r="AJ140" s="485"/>
      <c r="AK140" s="485"/>
      <c r="AL140" s="485"/>
      <c r="AM140" s="485"/>
      <c r="AN140" s="485"/>
      <c r="AO140" s="485"/>
      <c r="AP140" s="485"/>
      <c r="AQ140" s="485"/>
      <c r="AR140" s="485"/>
      <c r="AS140" s="485"/>
      <c r="AT140" s="485"/>
      <c r="AU140" s="485"/>
      <c r="AV140" s="485"/>
      <c r="AW140" s="485"/>
      <c r="AX140" s="485"/>
      <c r="AY140" s="485"/>
      <c r="AZ140" s="485"/>
      <c r="BA140" s="485"/>
      <c r="BB140" s="485"/>
      <c r="BC140" s="485"/>
      <c r="BD140" s="485"/>
      <c r="BE140" s="485"/>
      <c r="BF140" s="485"/>
      <c r="BG140" s="485"/>
      <c r="BH140" s="485"/>
      <c r="BI140" s="485"/>
      <c r="BJ140" s="485"/>
      <c r="BK140" s="485"/>
      <c r="BL140" s="485"/>
      <c r="BM140" s="485"/>
      <c r="BN140" s="485"/>
      <c r="BO140" s="485"/>
      <c r="BP140" s="485"/>
      <c r="BQ140" s="485"/>
      <c r="BR140" s="485"/>
      <c r="BS140" s="485"/>
      <c r="BT140" s="485"/>
      <c r="BU140" s="485"/>
      <c r="BV140" s="485"/>
      <c r="BW140" s="485"/>
      <c r="BX140" s="485"/>
      <c r="BY140" s="485"/>
      <c r="BZ140" s="485"/>
      <c r="CA140" s="485"/>
      <c r="CB140" s="485"/>
      <c r="CC140" s="485"/>
      <c r="CD140" s="485"/>
      <c r="CE140" s="485"/>
      <c r="CF140" s="485"/>
      <c r="CG140" s="485"/>
      <c r="CH140" s="485"/>
      <c r="CI140" s="485"/>
      <c r="CJ140" s="485"/>
      <c r="CK140" s="485"/>
      <c r="CL140" s="485"/>
      <c r="CM140" s="485"/>
      <c r="CN140" s="485"/>
      <c r="CO140" s="485"/>
      <c r="CP140" s="485"/>
      <c r="CQ140" s="485"/>
      <c r="CR140" s="485"/>
      <c r="CS140" s="485"/>
      <c r="CT140" s="485"/>
      <c r="CU140" s="485"/>
      <c r="CV140" s="485"/>
      <c r="CW140" s="485"/>
      <c r="CX140" s="485"/>
      <c r="CY140" s="485"/>
      <c r="CZ140" s="485"/>
      <c r="DA140" s="485"/>
      <c r="DB140" s="485"/>
      <c r="DC140" s="485"/>
      <c r="DD140" s="485"/>
      <c r="DE140" s="485"/>
      <c r="DF140" s="485"/>
      <c r="DG140" s="485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  <c r="EO140" s="485"/>
      <c r="EP140" s="485"/>
    </row>
    <row r="141" spans="1:146" ht="15.75">
      <c r="A141" s="462">
        <v>705</v>
      </c>
      <c r="B141" s="629" t="s">
        <v>403</v>
      </c>
      <c r="C141" s="624">
        <v>60</v>
      </c>
      <c r="D141" s="626">
        <v>44</v>
      </c>
      <c r="E141" s="611">
        <v>3.84</v>
      </c>
      <c r="F141" s="678">
        <f t="shared" si="18"/>
        <v>3.7392399999999997</v>
      </c>
      <c r="G141" s="683">
        <v>7</v>
      </c>
      <c r="H141" s="681">
        <f t="shared" si="40"/>
        <v>3696</v>
      </c>
      <c r="I141" s="623">
        <f t="shared" si="41"/>
        <v>322.56</v>
      </c>
      <c r="J141" s="623"/>
      <c r="K141" s="627">
        <v>0.06</v>
      </c>
      <c r="L141" s="627">
        <f>G141*K141</f>
        <v>0.42</v>
      </c>
      <c r="M141" s="627">
        <f>+L141</f>
        <v>0.42</v>
      </c>
      <c r="N141" s="609">
        <v>44</v>
      </c>
      <c r="O141" s="610">
        <v>3.8429894171559646</v>
      </c>
      <c r="P141" s="617" t="str">
        <f t="shared" si="42"/>
        <v>---</v>
      </c>
      <c r="Q141" s="618">
        <f t="shared" si="42"/>
        <v>2.9894171559647909E-3</v>
      </c>
      <c r="R141" s="485"/>
      <c r="S141" s="624" t="str">
        <f t="shared" si="43"/>
        <v>OK</v>
      </c>
      <c r="T141" s="451">
        <f>IF(+'2012 Rates'!O325&lt;'2012 Rates'!$B$11,'2012 Rates'!$B$11,+'2012 Rates'!O325)</f>
        <v>4.22</v>
      </c>
      <c r="U141" s="447">
        <f t="shared" si="19"/>
        <v>0.12857158139087099</v>
      </c>
      <c r="V141" s="485"/>
      <c r="W141" s="623">
        <f t="shared" si="44"/>
        <v>354.48</v>
      </c>
      <c r="X141" s="485"/>
      <c r="Y141" s="485"/>
      <c r="Z141" s="485"/>
      <c r="AA141" s="485"/>
      <c r="AB141" s="485"/>
      <c r="AC141" s="485"/>
      <c r="AD141" s="485"/>
      <c r="AE141" s="485"/>
      <c r="AF141" s="485"/>
      <c r="AG141" s="485"/>
      <c r="AH141" s="485"/>
      <c r="AI141" s="485"/>
      <c r="AJ141" s="485"/>
      <c r="AK141" s="485"/>
      <c r="AL141" s="485"/>
      <c r="AM141" s="485"/>
      <c r="AN141" s="485"/>
      <c r="AO141" s="485"/>
      <c r="AP141" s="485"/>
      <c r="AQ141" s="485"/>
      <c r="AR141" s="485"/>
      <c r="AS141" s="485"/>
      <c r="AT141" s="485"/>
      <c r="AU141" s="485"/>
      <c r="AV141" s="485"/>
      <c r="AW141" s="485"/>
      <c r="AX141" s="485"/>
      <c r="AY141" s="485"/>
      <c r="AZ141" s="485"/>
      <c r="BA141" s="485"/>
      <c r="BB141" s="485"/>
      <c r="BC141" s="485"/>
      <c r="BD141" s="485"/>
      <c r="BE141" s="485"/>
      <c r="BF141" s="485"/>
      <c r="BG141" s="485"/>
      <c r="BH141" s="485"/>
      <c r="BI141" s="485"/>
      <c r="BJ141" s="485"/>
      <c r="BK141" s="485"/>
      <c r="BL141" s="485"/>
      <c r="BM141" s="485"/>
      <c r="BN141" s="485"/>
      <c r="BO141" s="485"/>
      <c r="BP141" s="485"/>
      <c r="BQ141" s="485"/>
      <c r="BR141" s="485"/>
      <c r="BS141" s="485"/>
      <c r="BT141" s="485"/>
      <c r="BU141" s="485"/>
      <c r="BV141" s="485"/>
      <c r="BW141" s="485"/>
      <c r="BX141" s="485"/>
      <c r="BY141" s="485"/>
      <c r="BZ141" s="485"/>
      <c r="CA141" s="485"/>
      <c r="CB141" s="485"/>
      <c r="CC141" s="485"/>
      <c r="CD141" s="485"/>
      <c r="CE141" s="485"/>
      <c r="CF141" s="485"/>
      <c r="CG141" s="485"/>
      <c r="CH141" s="485"/>
      <c r="CI141" s="485"/>
      <c r="CJ141" s="485"/>
      <c r="CK141" s="485"/>
      <c r="CL141" s="485"/>
      <c r="CM141" s="485"/>
      <c r="CN141" s="485"/>
      <c r="CO141" s="485"/>
      <c r="CP141" s="485"/>
      <c r="CQ141" s="485"/>
      <c r="CR141" s="485"/>
      <c r="CS141" s="485"/>
      <c r="CT141" s="485"/>
      <c r="CU141" s="485"/>
      <c r="CV141" s="485"/>
      <c r="CW141" s="485"/>
      <c r="CX141" s="485"/>
      <c r="CY141" s="485"/>
      <c r="CZ141" s="485"/>
      <c r="DA141" s="485"/>
      <c r="DB141" s="485"/>
      <c r="DC141" s="485"/>
      <c r="DD141" s="485"/>
      <c r="DE141" s="485"/>
      <c r="DF141" s="485"/>
      <c r="DG141" s="485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  <c r="EO141" s="485"/>
      <c r="EP141" s="485"/>
    </row>
    <row r="142" spans="1:146" ht="15.75">
      <c r="A142" s="485"/>
      <c r="B142" s="629"/>
      <c r="C142" s="624"/>
      <c r="D142" s="626"/>
      <c r="E142" s="611"/>
      <c r="F142" s="678"/>
      <c r="G142" s="683"/>
      <c r="H142" s="603"/>
      <c r="I142" s="485"/>
      <c r="J142" s="485"/>
      <c r="K142" s="627"/>
      <c r="L142" s="627"/>
      <c r="M142" s="627"/>
      <c r="N142" s="609"/>
      <c r="O142" s="610"/>
      <c r="P142" s="617"/>
      <c r="Q142" s="618"/>
      <c r="R142" s="485"/>
      <c r="S142" s="624"/>
      <c r="T142" s="613"/>
      <c r="U142" s="447"/>
      <c r="V142" s="485"/>
      <c r="W142" s="623"/>
      <c r="X142" s="485"/>
      <c r="Y142" s="485"/>
      <c r="Z142" s="485"/>
      <c r="AA142" s="485"/>
      <c r="AB142" s="485"/>
      <c r="AC142" s="485"/>
      <c r="AD142" s="485"/>
      <c r="AE142" s="485"/>
      <c r="AF142" s="485"/>
      <c r="AG142" s="485"/>
      <c r="AH142" s="485"/>
      <c r="AI142" s="485"/>
      <c r="AJ142" s="485"/>
      <c r="AK142" s="485"/>
      <c r="AL142" s="485"/>
      <c r="AM142" s="485"/>
      <c r="AN142" s="485"/>
      <c r="AO142" s="485"/>
      <c r="AP142" s="485"/>
      <c r="AQ142" s="485"/>
      <c r="AR142" s="485"/>
      <c r="AS142" s="485"/>
      <c r="AT142" s="485"/>
      <c r="AU142" s="485"/>
      <c r="AV142" s="485"/>
      <c r="AW142" s="485"/>
      <c r="AX142" s="485"/>
      <c r="AY142" s="485"/>
      <c r="AZ142" s="485"/>
      <c r="BA142" s="485"/>
      <c r="BB142" s="485"/>
      <c r="BC142" s="485"/>
      <c r="BD142" s="485"/>
      <c r="BE142" s="485"/>
      <c r="BF142" s="485"/>
      <c r="BG142" s="485"/>
      <c r="BH142" s="485"/>
      <c r="BI142" s="485"/>
      <c r="BJ142" s="485"/>
      <c r="BK142" s="485"/>
      <c r="BL142" s="485"/>
      <c r="BM142" s="485"/>
      <c r="BN142" s="485"/>
      <c r="BO142" s="485"/>
      <c r="BP142" s="485"/>
      <c r="BQ142" s="485"/>
      <c r="BR142" s="485"/>
      <c r="BS142" s="485"/>
      <c r="BT142" s="485"/>
      <c r="BU142" s="485"/>
      <c r="BV142" s="485"/>
      <c r="BW142" s="485"/>
      <c r="BX142" s="485"/>
      <c r="BY142" s="485"/>
      <c r="BZ142" s="485"/>
      <c r="CA142" s="485"/>
      <c r="CB142" s="485"/>
      <c r="CC142" s="485"/>
      <c r="CD142" s="485"/>
      <c r="CE142" s="485"/>
      <c r="CF142" s="485"/>
      <c r="CG142" s="485"/>
      <c r="CH142" s="485"/>
      <c r="CI142" s="485"/>
      <c r="CJ142" s="485"/>
      <c r="CK142" s="485"/>
      <c r="CL142" s="485"/>
      <c r="CM142" s="485"/>
      <c r="CN142" s="485"/>
      <c r="CO142" s="485"/>
      <c r="CP142" s="485"/>
      <c r="CQ142" s="485"/>
      <c r="CR142" s="485"/>
      <c r="CS142" s="485"/>
      <c r="CT142" s="485"/>
      <c r="CU142" s="485"/>
      <c r="CV142" s="485"/>
      <c r="CW142" s="485"/>
      <c r="CX142" s="485"/>
      <c r="CY142" s="485"/>
      <c r="CZ142" s="485"/>
      <c r="DA142" s="485"/>
      <c r="DB142" s="485"/>
      <c r="DC142" s="485"/>
      <c r="DD142" s="485"/>
      <c r="DE142" s="485"/>
      <c r="DF142" s="485"/>
      <c r="DG142" s="485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  <c r="EO142" s="485"/>
      <c r="EP142" s="485"/>
    </row>
    <row r="143" spans="1:146" ht="15.75">
      <c r="A143" s="462">
        <v>801</v>
      </c>
      <c r="B143" s="629" t="s">
        <v>404</v>
      </c>
      <c r="C143" s="624">
        <v>100</v>
      </c>
      <c r="D143" s="626">
        <v>73</v>
      </c>
      <c r="E143" s="611">
        <v>6.38</v>
      </c>
      <c r="F143" s="678">
        <f t="shared" ref="F143:F206" si="45">E143-(D143*$C$10)</f>
        <v>6.2128300000000003</v>
      </c>
      <c r="G143" s="683">
        <v>8</v>
      </c>
      <c r="H143" s="681">
        <f t="shared" ref="H143:H169" si="46">+D143*G143*12</f>
        <v>7008</v>
      </c>
      <c r="I143" s="623">
        <f t="shared" ref="I143:I169" si="47">+E143*G143*12</f>
        <v>612.48</v>
      </c>
      <c r="J143" s="623"/>
      <c r="K143" s="627">
        <v>0.1</v>
      </c>
      <c r="L143" s="627">
        <f t="shared" ref="L143:L169" si="48">G143*K143</f>
        <v>0.8</v>
      </c>
      <c r="M143" s="627">
        <f t="shared" ref="M143:M157" si="49">+L143</f>
        <v>0.8</v>
      </c>
      <c r="N143" s="609">
        <v>73</v>
      </c>
      <c r="O143" s="610">
        <v>6.3799597148269411</v>
      </c>
      <c r="P143" s="617" t="str">
        <f t="shared" ref="P143:P169" si="50">IF(N143=D143,"---",N143-D143)</f>
        <v>---</v>
      </c>
      <c r="Q143" s="618">
        <f t="shared" ref="Q143:Q169" si="51">IF(O143=E143,"---",O143-E143)</f>
        <v>-4.028517305876278E-5</v>
      </c>
      <c r="R143" s="485"/>
      <c r="S143" s="624" t="str">
        <f t="shared" ref="S143:S169" si="52">IF(N143=D143,"OK",N143)</f>
        <v>OK</v>
      </c>
      <c r="T143" s="451">
        <f>IF(+'2012 Rates'!P329&lt;'2012 Rates'!$B$11,'2012 Rates'!$B$11,+'2012 Rates'!P329)</f>
        <v>6.83</v>
      </c>
      <c r="U143" s="447">
        <f t="shared" ref="U143:U206" si="53">+T143/F143-1</f>
        <v>9.9337982851614992E-2</v>
      </c>
      <c r="V143" s="485"/>
      <c r="W143" s="623">
        <f t="shared" ref="W143:W169" si="54">+G143*T143*12</f>
        <v>655.68000000000006</v>
      </c>
      <c r="X143" s="485"/>
      <c r="Y143" s="485"/>
      <c r="Z143" s="485"/>
      <c r="AA143" s="485"/>
      <c r="AB143" s="485"/>
      <c r="AC143" s="485"/>
      <c r="AD143" s="485"/>
      <c r="AE143" s="485"/>
      <c r="AF143" s="485"/>
      <c r="AG143" s="485"/>
      <c r="AH143" s="485"/>
      <c r="AI143" s="485"/>
      <c r="AJ143" s="485"/>
      <c r="AK143" s="485"/>
      <c r="AL143" s="485"/>
      <c r="AM143" s="485"/>
      <c r="AN143" s="485"/>
      <c r="AO143" s="485"/>
      <c r="AP143" s="485"/>
      <c r="AQ143" s="485"/>
      <c r="AR143" s="485"/>
      <c r="AS143" s="485"/>
      <c r="AT143" s="485"/>
      <c r="AU143" s="485"/>
      <c r="AV143" s="485"/>
      <c r="AW143" s="485"/>
      <c r="AX143" s="485"/>
      <c r="AY143" s="485"/>
      <c r="AZ143" s="485"/>
      <c r="BA143" s="485"/>
      <c r="BB143" s="485"/>
      <c r="BC143" s="485"/>
      <c r="BD143" s="485"/>
      <c r="BE143" s="485"/>
      <c r="BF143" s="485"/>
      <c r="BG143" s="485"/>
      <c r="BH143" s="485"/>
      <c r="BI143" s="485"/>
      <c r="BJ143" s="485"/>
      <c r="BK143" s="485"/>
      <c r="BL143" s="485"/>
      <c r="BM143" s="485"/>
      <c r="BN143" s="485"/>
      <c r="BO143" s="485"/>
      <c r="BP143" s="485"/>
      <c r="BQ143" s="485"/>
      <c r="BR143" s="485"/>
      <c r="BS143" s="485"/>
      <c r="BT143" s="485"/>
      <c r="BU143" s="485"/>
      <c r="BV143" s="485"/>
      <c r="BW143" s="485"/>
      <c r="BX143" s="485"/>
      <c r="BY143" s="485"/>
      <c r="BZ143" s="485"/>
      <c r="CA143" s="485"/>
      <c r="CB143" s="485"/>
      <c r="CC143" s="485"/>
      <c r="CD143" s="485"/>
      <c r="CE143" s="485"/>
      <c r="CF143" s="485"/>
      <c r="CG143" s="485"/>
      <c r="CH143" s="485"/>
      <c r="CI143" s="485"/>
      <c r="CJ143" s="485"/>
      <c r="CK143" s="485"/>
      <c r="CL143" s="485"/>
      <c r="CM143" s="485"/>
      <c r="CN143" s="485"/>
      <c r="CO143" s="485"/>
      <c r="CP143" s="485"/>
      <c r="CQ143" s="485"/>
      <c r="CR143" s="485"/>
      <c r="CS143" s="485"/>
      <c r="CT143" s="485"/>
      <c r="CU143" s="485"/>
      <c r="CV143" s="485"/>
      <c r="CW143" s="485"/>
      <c r="CX143" s="485"/>
      <c r="CY143" s="485"/>
      <c r="CZ143" s="485"/>
      <c r="DA143" s="485"/>
      <c r="DB143" s="485"/>
      <c r="DC143" s="485"/>
      <c r="DD143" s="485"/>
      <c r="DE143" s="485"/>
      <c r="DF143" s="485"/>
      <c r="DG143" s="485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  <c r="EO143" s="485"/>
      <c r="EP143" s="485"/>
    </row>
    <row r="144" spans="1:146" ht="15.75">
      <c r="A144" s="462">
        <v>802</v>
      </c>
      <c r="B144" s="629" t="s">
        <v>404</v>
      </c>
      <c r="C144" s="624">
        <v>150</v>
      </c>
      <c r="D144" s="626">
        <v>110</v>
      </c>
      <c r="E144" s="611">
        <v>9.6199999999999992</v>
      </c>
      <c r="F144" s="678">
        <f t="shared" si="45"/>
        <v>9.3680999999999983</v>
      </c>
      <c r="G144" s="683">
        <v>1</v>
      </c>
      <c r="H144" s="681">
        <f t="shared" si="46"/>
        <v>1320</v>
      </c>
      <c r="I144" s="623">
        <f t="shared" si="47"/>
        <v>115.44</v>
      </c>
      <c r="J144" s="623"/>
      <c r="K144" s="627">
        <v>0.15</v>
      </c>
      <c r="L144" s="627">
        <f t="shared" si="48"/>
        <v>0.15</v>
      </c>
      <c r="M144" s="627">
        <f t="shared" si="49"/>
        <v>0.15</v>
      </c>
      <c r="N144" s="609">
        <v>110</v>
      </c>
      <c r="O144" s="610">
        <v>9.6174735428899112</v>
      </c>
      <c r="P144" s="617" t="str">
        <f t="shared" si="50"/>
        <v>---</v>
      </c>
      <c r="Q144" s="618">
        <f t="shared" si="51"/>
        <v>-2.5264571100880318E-3</v>
      </c>
      <c r="R144" s="485"/>
      <c r="S144" s="624" t="str">
        <f t="shared" si="52"/>
        <v>OK</v>
      </c>
      <c r="T144" s="451">
        <f>IF(+'2012 Rates'!P330&lt;'2012 Rates'!$B$11,'2012 Rates'!$B$11,+'2012 Rates'!P330)</f>
        <v>10.27</v>
      </c>
      <c r="U144" s="447">
        <f t="shared" si="53"/>
        <v>9.62735239803163E-2</v>
      </c>
      <c r="V144" s="485"/>
      <c r="W144" s="623">
        <f t="shared" si="54"/>
        <v>123.24</v>
      </c>
      <c r="X144" s="485"/>
      <c r="Y144" s="485"/>
      <c r="Z144" s="485"/>
      <c r="AA144" s="485"/>
      <c r="AB144" s="485"/>
      <c r="AC144" s="485"/>
      <c r="AD144" s="485"/>
      <c r="AE144" s="485"/>
      <c r="AF144" s="485"/>
      <c r="AG144" s="485"/>
      <c r="AH144" s="485"/>
      <c r="AI144" s="485"/>
      <c r="AJ144" s="485"/>
      <c r="AK144" s="485"/>
      <c r="AL144" s="485"/>
      <c r="AM144" s="485"/>
      <c r="AN144" s="485"/>
      <c r="AO144" s="485"/>
      <c r="AP144" s="485"/>
      <c r="AQ144" s="485"/>
      <c r="AR144" s="485"/>
      <c r="AS144" s="485"/>
      <c r="AT144" s="485"/>
      <c r="AU144" s="485"/>
      <c r="AV144" s="485"/>
      <c r="AW144" s="485"/>
      <c r="AX144" s="485"/>
      <c r="AY144" s="485"/>
      <c r="AZ144" s="485"/>
      <c r="BA144" s="485"/>
      <c r="BB144" s="485"/>
      <c r="BC144" s="485"/>
      <c r="BD144" s="485"/>
      <c r="BE144" s="485"/>
      <c r="BF144" s="485"/>
      <c r="BG144" s="485"/>
      <c r="BH144" s="485"/>
      <c r="BI144" s="485"/>
      <c r="BJ144" s="485"/>
      <c r="BK144" s="485"/>
      <c r="BL144" s="485"/>
      <c r="BM144" s="485"/>
      <c r="BN144" s="485"/>
      <c r="BO144" s="485"/>
      <c r="BP144" s="485"/>
      <c r="BQ144" s="485"/>
      <c r="BR144" s="485"/>
      <c r="BS144" s="485"/>
      <c r="BT144" s="485"/>
      <c r="BU144" s="485"/>
      <c r="BV144" s="485"/>
      <c r="BW144" s="485"/>
      <c r="BX144" s="485"/>
      <c r="BY144" s="485"/>
      <c r="BZ144" s="485"/>
      <c r="CA144" s="485"/>
      <c r="CB144" s="485"/>
      <c r="CC144" s="485"/>
      <c r="CD144" s="485"/>
      <c r="CE144" s="485"/>
      <c r="CF144" s="485"/>
      <c r="CG144" s="485"/>
      <c r="CH144" s="485"/>
      <c r="CI144" s="485"/>
      <c r="CJ144" s="485"/>
      <c r="CK144" s="485"/>
      <c r="CL144" s="485"/>
      <c r="CM144" s="485"/>
      <c r="CN144" s="485"/>
      <c r="CO144" s="485"/>
      <c r="CP144" s="485"/>
      <c r="CQ144" s="485"/>
      <c r="CR144" s="485"/>
      <c r="CS144" s="485"/>
      <c r="CT144" s="485"/>
      <c r="CU144" s="485"/>
      <c r="CV144" s="485"/>
      <c r="CW144" s="485"/>
      <c r="CX144" s="485"/>
      <c r="CY144" s="485"/>
      <c r="CZ144" s="485"/>
      <c r="DA144" s="485"/>
      <c r="DB144" s="485"/>
      <c r="DC144" s="485"/>
      <c r="DD144" s="485"/>
      <c r="DE144" s="485"/>
      <c r="DF144" s="485"/>
      <c r="DG144" s="485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  <c r="EO144" s="485"/>
      <c r="EP144" s="485"/>
    </row>
    <row r="145" spans="1:146" ht="15.75">
      <c r="A145" s="462">
        <v>803</v>
      </c>
      <c r="B145" s="629" t="s">
        <v>404</v>
      </c>
      <c r="C145" s="624">
        <v>200</v>
      </c>
      <c r="D145" s="626">
        <v>146</v>
      </c>
      <c r="E145" s="611">
        <v>12.77</v>
      </c>
      <c r="F145" s="678">
        <f t="shared" si="45"/>
        <v>12.43566</v>
      </c>
      <c r="G145" s="683">
        <v>13</v>
      </c>
      <c r="H145" s="681">
        <f t="shared" si="46"/>
        <v>22776</v>
      </c>
      <c r="I145" s="623">
        <f t="shared" si="47"/>
        <v>1992.12</v>
      </c>
      <c r="J145" s="623"/>
      <c r="K145" s="627">
        <v>0.2</v>
      </c>
      <c r="L145" s="627">
        <f t="shared" si="48"/>
        <v>2.6</v>
      </c>
      <c r="M145" s="627">
        <f t="shared" si="49"/>
        <v>2.6</v>
      </c>
      <c r="N145" s="609">
        <v>146</v>
      </c>
      <c r="O145" s="610">
        <v>12.76991942965388</v>
      </c>
      <c r="P145" s="617" t="str">
        <f t="shared" si="50"/>
        <v>---</v>
      </c>
      <c r="Q145" s="618">
        <f t="shared" si="51"/>
        <v>-8.0570346119301917E-5</v>
      </c>
      <c r="R145" s="485"/>
      <c r="S145" s="624" t="str">
        <f t="shared" si="52"/>
        <v>OK</v>
      </c>
      <c r="T145" s="451">
        <f>IF(+'2012 Rates'!P331&lt;'2012 Rates'!$B$11,'2012 Rates'!$B$11,+'2012 Rates'!P331)</f>
        <v>13.66</v>
      </c>
      <c r="U145" s="447">
        <f t="shared" si="53"/>
        <v>9.8453962234412939E-2</v>
      </c>
      <c r="V145" s="485"/>
      <c r="W145" s="623">
        <f t="shared" si="54"/>
        <v>2130.96</v>
      </c>
      <c r="X145" s="485"/>
      <c r="Y145" s="485"/>
      <c r="Z145" s="485"/>
      <c r="AA145" s="485"/>
      <c r="AB145" s="485"/>
      <c r="AC145" s="485"/>
      <c r="AD145" s="485"/>
      <c r="AE145" s="485"/>
      <c r="AF145" s="485"/>
      <c r="AG145" s="485"/>
      <c r="AH145" s="485"/>
      <c r="AI145" s="485"/>
      <c r="AJ145" s="485"/>
      <c r="AK145" s="485"/>
      <c r="AL145" s="485"/>
      <c r="AM145" s="485"/>
      <c r="AN145" s="485"/>
      <c r="AO145" s="485"/>
      <c r="AP145" s="485"/>
      <c r="AQ145" s="485"/>
      <c r="AR145" s="485"/>
      <c r="AS145" s="485"/>
      <c r="AT145" s="485"/>
      <c r="AU145" s="485"/>
      <c r="AV145" s="485"/>
      <c r="AW145" s="485"/>
      <c r="AX145" s="485"/>
      <c r="AY145" s="485"/>
      <c r="AZ145" s="485"/>
      <c r="BA145" s="485"/>
      <c r="BB145" s="485"/>
      <c r="BC145" s="485"/>
      <c r="BD145" s="485"/>
      <c r="BE145" s="485"/>
      <c r="BF145" s="485"/>
      <c r="BG145" s="485"/>
      <c r="BH145" s="485"/>
      <c r="BI145" s="485"/>
      <c r="BJ145" s="485"/>
      <c r="BK145" s="485"/>
      <c r="BL145" s="485"/>
      <c r="BM145" s="485"/>
      <c r="BN145" s="485"/>
      <c r="BO145" s="485"/>
      <c r="BP145" s="485"/>
      <c r="BQ145" s="485"/>
      <c r="BR145" s="485"/>
      <c r="BS145" s="485"/>
      <c r="BT145" s="485"/>
      <c r="BU145" s="485"/>
      <c r="BV145" s="485"/>
      <c r="BW145" s="485"/>
      <c r="BX145" s="485"/>
      <c r="BY145" s="485"/>
      <c r="BZ145" s="485"/>
      <c r="CA145" s="485"/>
      <c r="CB145" s="485"/>
      <c r="CC145" s="485"/>
      <c r="CD145" s="485"/>
      <c r="CE145" s="485"/>
      <c r="CF145" s="485"/>
      <c r="CG145" s="485"/>
      <c r="CH145" s="485"/>
      <c r="CI145" s="485"/>
      <c r="CJ145" s="485"/>
      <c r="CK145" s="485"/>
      <c r="CL145" s="485"/>
      <c r="CM145" s="485"/>
      <c r="CN145" s="485"/>
      <c r="CO145" s="485"/>
      <c r="CP145" s="485"/>
      <c r="CQ145" s="485"/>
      <c r="CR145" s="485"/>
      <c r="CS145" s="485"/>
      <c r="CT145" s="485"/>
      <c r="CU145" s="485"/>
      <c r="CV145" s="485"/>
      <c r="CW145" s="485"/>
      <c r="CX145" s="485"/>
      <c r="CY145" s="485"/>
      <c r="CZ145" s="485"/>
      <c r="DA145" s="485"/>
      <c r="DB145" s="485"/>
      <c r="DC145" s="485"/>
      <c r="DD145" s="485"/>
      <c r="DE145" s="485"/>
      <c r="DF145" s="485"/>
      <c r="DG145" s="485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  <c r="EO145" s="485"/>
      <c r="EP145" s="485"/>
    </row>
    <row r="146" spans="1:146" ht="15.75">
      <c r="A146" s="462">
        <v>804</v>
      </c>
      <c r="B146" s="629" t="s">
        <v>404</v>
      </c>
      <c r="C146" s="624">
        <v>250</v>
      </c>
      <c r="D146" s="626">
        <v>183</v>
      </c>
      <c r="E146" s="611">
        <v>16</v>
      </c>
      <c r="F146" s="678">
        <f t="shared" si="45"/>
        <v>15.58093</v>
      </c>
      <c r="G146" s="683">
        <v>1</v>
      </c>
      <c r="H146" s="681">
        <f t="shared" si="46"/>
        <v>2196</v>
      </c>
      <c r="I146" s="623">
        <f t="shared" si="47"/>
        <v>192</v>
      </c>
      <c r="J146" s="623"/>
      <c r="K146" s="627">
        <v>0.25</v>
      </c>
      <c r="L146" s="627">
        <f t="shared" si="48"/>
        <v>0.25</v>
      </c>
      <c r="M146" s="627">
        <f t="shared" si="49"/>
        <v>0.25</v>
      </c>
      <c r="N146" s="609">
        <v>183</v>
      </c>
      <c r="O146" s="610">
        <v>15.997433257716851</v>
      </c>
      <c r="P146" s="617" t="str">
        <f t="shared" si="50"/>
        <v>---</v>
      </c>
      <c r="Q146" s="618">
        <f t="shared" si="51"/>
        <v>-2.5667422831485709E-3</v>
      </c>
      <c r="R146" s="485"/>
      <c r="S146" s="450" t="str">
        <f t="shared" si="52"/>
        <v>OK</v>
      </c>
      <c r="T146" s="451">
        <f>IF(+'2012 Rates'!P332&lt;'2012 Rates'!$B$11,'2012 Rates'!$B$11,+'2012 Rates'!P332)</f>
        <v>17.100000000000001</v>
      </c>
      <c r="U146" s="447">
        <f t="shared" si="53"/>
        <v>9.7495464006320587E-2</v>
      </c>
      <c r="V146" s="445"/>
      <c r="W146" s="623">
        <f t="shared" si="54"/>
        <v>205.20000000000002</v>
      </c>
      <c r="X146" s="485"/>
      <c r="Y146" s="485"/>
      <c r="Z146" s="485"/>
      <c r="AA146" s="485"/>
      <c r="AB146" s="485"/>
      <c r="AC146" s="485"/>
      <c r="AD146" s="485"/>
      <c r="AE146" s="485"/>
      <c r="AF146" s="485"/>
      <c r="AG146" s="485"/>
      <c r="AH146" s="485"/>
      <c r="AI146" s="485"/>
      <c r="AJ146" s="485"/>
      <c r="AK146" s="485"/>
      <c r="AL146" s="485"/>
      <c r="AM146" s="485"/>
      <c r="AN146" s="485"/>
      <c r="AO146" s="485"/>
      <c r="AP146" s="485"/>
      <c r="AQ146" s="485"/>
      <c r="AR146" s="485"/>
      <c r="AS146" s="485"/>
      <c r="AT146" s="485"/>
      <c r="AU146" s="485"/>
      <c r="AV146" s="485"/>
      <c r="AW146" s="485"/>
      <c r="AX146" s="485"/>
      <c r="AY146" s="485"/>
      <c r="AZ146" s="485"/>
      <c r="BA146" s="485"/>
      <c r="BB146" s="485"/>
      <c r="BC146" s="485"/>
      <c r="BD146" s="485"/>
      <c r="BE146" s="485"/>
      <c r="BF146" s="485"/>
      <c r="BG146" s="485"/>
      <c r="BH146" s="485"/>
      <c r="BI146" s="485"/>
      <c r="BJ146" s="485"/>
      <c r="BK146" s="485"/>
      <c r="BL146" s="485"/>
      <c r="BM146" s="485"/>
      <c r="BN146" s="485"/>
      <c r="BO146" s="485"/>
      <c r="BP146" s="485"/>
      <c r="BQ146" s="485"/>
      <c r="BR146" s="485"/>
      <c r="BS146" s="485"/>
      <c r="BT146" s="485"/>
      <c r="BU146" s="485"/>
      <c r="BV146" s="485"/>
      <c r="BW146" s="485"/>
      <c r="BX146" s="485"/>
      <c r="BY146" s="485"/>
      <c r="BZ146" s="485"/>
      <c r="CA146" s="485"/>
      <c r="CB146" s="485"/>
      <c r="CC146" s="485"/>
      <c r="CD146" s="485"/>
      <c r="CE146" s="485"/>
      <c r="CF146" s="485"/>
      <c r="CG146" s="485"/>
      <c r="CH146" s="485"/>
      <c r="CI146" s="485"/>
      <c r="CJ146" s="485"/>
      <c r="CK146" s="485"/>
      <c r="CL146" s="485"/>
      <c r="CM146" s="485"/>
      <c r="CN146" s="485"/>
      <c r="CO146" s="485"/>
      <c r="CP146" s="485"/>
      <c r="CQ146" s="485"/>
      <c r="CR146" s="485"/>
      <c r="CS146" s="485"/>
      <c r="CT146" s="485"/>
      <c r="CU146" s="485"/>
      <c r="CV146" s="485"/>
      <c r="CW146" s="485"/>
      <c r="CX146" s="485"/>
      <c r="CY146" s="485"/>
      <c r="CZ146" s="485"/>
      <c r="DA146" s="485"/>
      <c r="DB146" s="485"/>
      <c r="DC146" s="485"/>
      <c r="DD146" s="485"/>
      <c r="DE146" s="485"/>
      <c r="DF146" s="485"/>
      <c r="DG146" s="485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  <c r="EO146" s="485"/>
      <c r="EP146" s="485"/>
    </row>
    <row r="147" spans="1:146" ht="15.75">
      <c r="A147" s="462">
        <v>805</v>
      </c>
      <c r="B147" s="629" t="s">
        <v>404</v>
      </c>
      <c r="C147" s="624">
        <v>300</v>
      </c>
      <c r="D147" s="626">
        <v>219</v>
      </c>
      <c r="E147" s="611">
        <v>19.149999999999999</v>
      </c>
      <c r="F147" s="678">
        <f t="shared" si="45"/>
        <v>18.648489999999999</v>
      </c>
      <c r="G147" s="683">
        <v>6</v>
      </c>
      <c r="H147" s="681">
        <f t="shared" si="46"/>
        <v>15768</v>
      </c>
      <c r="I147" s="623">
        <f t="shared" si="47"/>
        <v>1378.8</v>
      </c>
      <c r="J147" s="623"/>
      <c r="K147" s="627">
        <v>0.3</v>
      </c>
      <c r="L147" s="627">
        <f t="shared" si="48"/>
        <v>1.7999999999999998</v>
      </c>
      <c r="M147" s="627">
        <f t="shared" si="49"/>
        <v>1.7999999999999998</v>
      </c>
      <c r="N147" s="609">
        <v>219</v>
      </c>
      <c r="O147" s="610">
        <v>19.149879144480824</v>
      </c>
      <c r="P147" s="617" t="str">
        <f t="shared" si="50"/>
        <v>---</v>
      </c>
      <c r="Q147" s="618">
        <f t="shared" si="51"/>
        <v>-1.2085551917451198E-4</v>
      </c>
      <c r="R147" s="485"/>
      <c r="S147" s="624" t="str">
        <f t="shared" si="52"/>
        <v>OK</v>
      </c>
      <c r="T147" s="451">
        <f>IF(+'2012 Rates'!P333&lt;'2012 Rates'!$B$11,'2012 Rates'!$B$11,+'2012 Rates'!P333)</f>
        <v>20.48</v>
      </c>
      <c r="U147" s="447">
        <f t="shared" si="53"/>
        <v>9.821224131283568E-2</v>
      </c>
      <c r="V147" s="445"/>
      <c r="W147" s="623">
        <f t="shared" si="54"/>
        <v>1474.56</v>
      </c>
      <c r="X147" s="485"/>
      <c r="Y147" s="485"/>
      <c r="Z147" s="485"/>
      <c r="AA147" s="485"/>
      <c r="AB147" s="485"/>
      <c r="AC147" s="485"/>
      <c r="AD147" s="485"/>
      <c r="AE147" s="485"/>
      <c r="AF147" s="485"/>
      <c r="AG147" s="485"/>
      <c r="AH147" s="485"/>
      <c r="AI147" s="485"/>
      <c r="AJ147" s="485"/>
      <c r="AK147" s="485"/>
      <c r="AL147" s="485"/>
      <c r="AM147" s="485"/>
      <c r="AN147" s="485"/>
      <c r="AO147" s="485"/>
      <c r="AP147" s="485"/>
      <c r="AQ147" s="485"/>
      <c r="AR147" s="485"/>
      <c r="AS147" s="485"/>
      <c r="AT147" s="485"/>
      <c r="AU147" s="485"/>
      <c r="AV147" s="485"/>
      <c r="AW147" s="485"/>
      <c r="AX147" s="485"/>
      <c r="AY147" s="485"/>
      <c r="AZ147" s="485"/>
      <c r="BA147" s="485"/>
      <c r="BB147" s="485"/>
      <c r="BC147" s="485"/>
      <c r="BD147" s="485"/>
      <c r="BE147" s="485"/>
      <c r="BF147" s="485"/>
      <c r="BG147" s="485"/>
      <c r="BH147" s="485"/>
      <c r="BI147" s="485"/>
      <c r="BJ147" s="485"/>
      <c r="BK147" s="485"/>
      <c r="BL147" s="485"/>
      <c r="BM147" s="485"/>
      <c r="BN147" s="485"/>
      <c r="BO147" s="485"/>
      <c r="BP147" s="485"/>
      <c r="BQ147" s="485"/>
      <c r="BR147" s="485"/>
      <c r="BS147" s="485"/>
      <c r="BT147" s="485"/>
      <c r="BU147" s="485"/>
      <c r="BV147" s="485"/>
      <c r="BW147" s="485"/>
      <c r="BX147" s="485"/>
      <c r="BY147" s="485"/>
      <c r="BZ147" s="485"/>
      <c r="CA147" s="485"/>
      <c r="CB147" s="485"/>
      <c r="CC147" s="485"/>
      <c r="CD147" s="485"/>
      <c r="CE147" s="485"/>
      <c r="CF147" s="485"/>
      <c r="CG147" s="485"/>
      <c r="CH147" s="485"/>
      <c r="CI147" s="485"/>
      <c r="CJ147" s="485"/>
      <c r="CK147" s="485"/>
      <c r="CL147" s="485"/>
      <c r="CM147" s="485"/>
      <c r="CN147" s="485"/>
      <c r="CO147" s="485"/>
      <c r="CP147" s="485"/>
      <c r="CQ147" s="485"/>
      <c r="CR147" s="485"/>
      <c r="CS147" s="485"/>
      <c r="CT147" s="485"/>
      <c r="CU147" s="485"/>
      <c r="CV147" s="485"/>
      <c r="CW147" s="485"/>
      <c r="CX147" s="485"/>
      <c r="CY147" s="485"/>
      <c r="CZ147" s="485"/>
      <c r="DA147" s="485"/>
      <c r="DB147" s="485"/>
      <c r="DC147" s="485"/>
      <c r="DD147" s="485"/>
      <c r="DE147" s="485"/>
      <c r="DF147" s="485"/>
      <c r="DG147" s="485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  <c r="EO147" s="485"/>
      <c r="EP147" s="485"/>
    </row>
    <row r="148" spans="1:146" ht="15.75">
      <c r="A148" s="462">
        <v>806</v>
      </c>
      <c r="B148" s="629" t="s">
        <v>404</v>
      </c>
      <c r="C148" s="624">
        <v>350</v>
      </c>
      <c r="D148" s="626">
        <v>256</v>
      </c>
      <c r="E148" s="611">
        <v>22.39</v>
      </c>
      <c r="F148" s="678">
        <f t="shared" si="45"/>
        <v>21.80376</v>
      </c>
      <c r="G148" s="683">
        <v>295</v>
      </c>
      <c r="H148" s="681">
        <f t="shared" si="46"/>
        <v>906240</v>
      </c>
      <c r="I148" s="623">
        <f t="shared" si="47"/>
        <v>79260.600000000006</v>
      </c>
      <c r="J148" s="623"/>
      <c r="K148" s="627">
        <v>0.35</v>
      </c>
      <c r="L148" s="627">
        <f t="shared" si="48"/>
        <v>103.25</v>
      </c>
      <c r="M148" s="627">
        <f t="shared" si="49"/>
        <v>103.25</v>
      </c>
      <c r="N148" s="609">
        <v>256</v>
      </c>
      <c r="O148" s="610">
        <v>22.387392972543797</v>
      </c>
      <c r="P148" s="617" t="str">
        <f t="shared" si="50"/>
        <v>---</v>
      </c>
      <c r="Q148" s="618">
        <f t="shared" si="51"/>
        <v>-2.607027456203781E-3</v>
      </c>
      <c r="R148" s="485"/>
      <c r="S148" s="450" t="str">
        <f t="shared" si="52"/>
        <v>OK</v>
      </c>
      <c r="T148" s="451">
        <f>IF(+'2012 Rates'!P334&lt;'2012 Rates'!$B$11,'2012 Rates'!$B$11,+'2012 Rates'!P334)</f>
        <v>23.939999999999998</v>
      </c>
      <c r="U148" s="447">
        <f t="shared" si="53"/>
        <v>9.7975761978667864E-2</v>
      </c>
      <c r="V148" s="445"/>
      <c r="W148" s="623">
        <f t="shared" si="54"/>
        <v>84747.599999999991</v>
      </c>
      <c r="X148" s="485"/>
      <c r="Y148" s="485"/>
      <c r="Z148" s="485"/>
      <c r="AA148" s="485"/>
      <c r="AB148" s="485"/>
      <c r="AC148" s="485"/>
      <c r="AD148" s="485"/>
      <c r="AE148" s="485"/>
      <c r="AF148" s="485"/>
      <c r="AG148" s="485"/>
      <c r="AH148" s="485"/>
      <c r="AI148" s="485"/>
      <c r="AJ148" s="485"/>
      <c r="AK148" s="485"/>
      <c r="AL148" s="485"/>
      <c r="AM148" s="485"/>
      <c r="AN148" s="485"/>
      <c r="AO148" s="485"/>
      <c r="AP148" s="485"/>
      <c r="AQ148" s="485"/>
      <c r="AR148" s="485"/>
      <c r="AS148" s="485"/>
      <c r="AT148" s="485"/>
      <c r="AU148" s="485"/>
      <c r="AV148" s="485"/>
      <c r="AW148" s="485"/>
      <c r="AX148" s="485"/>
      <c r="AY148" s="485"/>
      <c r="AZ148" s="485"/>
      <c r="BA148" s="485"/>
      <c r="BB148" s="485"/>
      <c r="BC148" s="485"/>
      <c r="BD148" s="485"/>
      <c r="BE148" s="485"/>
      <c r="BF148" s="485"/>
      <c r="BG148" s="485"/>
      <c r="BH148" s="485"/>
      <c r="BI148" s="485"/>
      <c r="BJ148" s="485"/>
      <c r="BK148" s="485"/>
      <c r="BL148" s="485"/>
      <c r="BM148" s="485"/>
      <c r="BN148" s="485"/>
      <c r="BO148" s="485"/>
      <c r="BP148" s="485"/>
      <c r="BQ148" s="485"/>
      <c r="BR148" s="485"/>
      <c r="BS148" s="485"/>
      <c r="BT148" s="485"/>
      <c r="BU148" s="485"/>
      <c r="BV148" s="485"/>
      <c r="BW148" s="485"/>
      <c r="BX148" s="485"/>
      <c r="BY148" s="485"/>
      <c r="BZ148" s="485"/>
      <c r="CA148" s="485"/>
      <c r="CB148" s="485"/>
      <c r="CC148" s="485"/>
      <c r="CD148" s="485"/>
      <c r="CE148" s="485"/>
      <c r="CF148" s="485"/>
      <c r="CG148" s="485"/>
      <c r="CH148" s="485"/>
      <c r="CI148" s="485"/>
      <c r="CJ148" s="485"/>
      <c r="CK148" s="485"/>
      <c r="CL148" s="485"/>
      <c r="CM148" s="485"/>
      <c r="CN148" s="485"/>
      <c r="CO148" s="485"/>
      <c r="CP148" s="485"/>
      <c r="CQ148" s="485"/>
      <c r="CR148" s="485"/>
      <c r="CS148" s="485"/>
      <c r="CT148" s="485"/>
      <c r="CU148" s="485"/>
      <c r="CV148" s="485"/>
      <c r="CW148" s="485"/>
      <c r="CX148" s="485"/>
      <c r="CY148" s="485"/>
      <c r="CZ148" s="485"/>
      <c r="DA148" s="485"/>
      <c r="DB148" s="485"/>
      <c r="DC148" s="485"/>
      <c r="DD148" s="485"/>
      <c r="DE148" s="485"/>
      <c r="DF148" s="485"/>
      <c r="DG148" s="485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  <c r="EO148" s="485"/>
      <c r="EP148" s="485"/>
    </row>
    <row r="149" spans="1:146" ht="15.75">
      <c r="A149" s="462">
        <v>807</v>
      </c>
      <c r="B149" s="629" t="s">
        <v>404</v>
      </c>
      <c r="C149" s="624">
        <v>400</v>
      </c>
      <c r="D149" s="626">
        <v>292</v>
      </c>
      <c r="E149" s="611">
        <v>25.54</v>
      </c>
      <c r="F149" s="678">
        <f t="shared" si="45"/>
        <v>24.871320000000001</v>
      </c>
      <c r="G149" s="683">
        <v>5</v>
      </c>
      <c r="H149" s="681">
        <f t="shared" si="46"/>
        <v>17520</v>
      </c>
      <c r="I149" s="623">
        <f t="shared" si="47"/>
        <v>1532.3999999999999</v>
      </c>
      <c r="J149" s="623"/>
      <c r="K149" s="627">
        <v>0.4</v>
      </c>
      <c r="L149" s="627">
        <f t="shared" si="48"/>
        <v>2</v>
      </c>
      <c r="M149" s="627">
        <f t="shared" si="49"/>
        <v>2</v>
      </c>
      <c r="N149" s="609">
        <v>292</v>
      </c>
      <c r="O149" s="610">
        <v>25.539838859307761</v>
      </c>
      <c r="P149" s="617" t="str">
        <f t="shared" si="50"/>
        <v>---</v>
      </c>
      <c r="Q149" s="618">
        <f t="shared" si="51"/>
        <v>-1.6114069223860383E-4</v>
      </c>
      <c r="R149" s="485"/>
      <c r="S149" s="624" t="str">
        <f t="shared" si="52"/>
        <v>OK</v>
      </c>
      <c r="T149" s="451">
        <f>IF(+'2012 Rates'!P335&lt;'2012 Rates'!$B$11,'2012 Rates'!$B$11,+'2012 Rates'!P335)</f>
        <v>27.31</v>
      </c>
      <c r="U149" s="447">
        <f t="shared" si="53"/>
        <v>9.8051892702116339E-2</v>
      </c>
      <c r="V149" s="445"/>
      <c r="W149" s="623">
        <f t="shared" si="54"/>
        <v>1638.6</v>
      </c>
      <c r="X149" s="485"/>
      <c r="Y149" s="485"/>
      <c r="Z149" s="485"/>
      <c r="AA149" s="485"/>
      <c r="AB149" s="485"/>
      <c r="AC149" s="485"/>
      <c r="AD149" s="485"/>
      <c r="AE149" s="485"/>
      <c r="AF149" s="485"/>
      <c r="AG149" s="485"/>
      <c r="AH149" s="485"/>
      <c r="AI149" s="485"/>
      <c r="AJ149" s="485"/>
      <c r="AK149" s="485"/>
      <c r="AL149" s="485"/>
      <c r="AM149" s="485"/>
      <c r="AN149" s="485"/>
      <c r="AO149" s="485"/>
      <c r="AP149" s="485"/>
      <c r="AQ149" s="485"/>
      <c r="AR149" s="485"/>
      <c r="AS149" s="485"/>
      <c r="AT149" s="485"/>
      <c r="AU149" s="485"/>
      <c r="AV149" s="485"/>
      <c r="AW149" s="485"/>
      <c r="AX149" s="485"/>
      <c r="AY149" s="485"/>
      <c r="AZ149" s="485"/>
      <c r="BA149" s="485"/>
      <c r="BB149" s="485"/>
      <c r="BC149" s="485"/>
      <c r="BD149" s="485"/>
      <c r="BE149" s="485"/>
      <c r="BF149" s="485"/>
      <c r="BG149" s="485"/>
      <c r="BH149" s="485"/>
      <c r="BI149" s="485"/>
      <c r="BJ149" s="485"/>
      <c r="BK149" s="485"/>
      <c r="BL149" s="485"/>
      <c r="BM149" s="485"/>
      <c r="BN149" s="485"/>
      <c r="BO149" s="485"/>
      <c r="BP149" s="485"/>
      <c r="BQ149" s="485"/>
      <c r="BR149" s="485"/>
      <c r="BS149" s="485"/>
      <c r="BT149" s="485"/>
      <c r="BU149" s="485"/>
      <c r="BV149" s="485"/>
      <c r="BW149" s="485"/>
      <c r="BX149" s="485"/>
      <c r="BY149" s="485"/>
      <c r="BZ149" s="485"/>
      <c r="CA149" s="485"/>
      <c r="CB149" s="485"/>
      <c r="CC149" s="485"/>
      <c r="CD149" s="485"/>
      <c r="CE149" s="485"/>
      <c r="CF149" s="485"/>
      <c r="CG149" s="485"/>
      <c r="CH149" s="485"/>
      <c r="CI149" s="485"/>
      <c r="CJ149" s="485"/>
      <c r="CK149" s="485"/>
      <c r="CL149" s="485"/>
      <c r="CM149" s="485"/>
      <c r="CN149" s="485"/>
      <c r="CO149" s="485"/>
      <c r="CP149" s="485"/>
      <c r="CQ149" s="485"/>
      <c r="CR149" s="485"/>
      <c r="CS149" s="485"/>
      <c r="CT149" s="485"/>
      <c r="CU149" s="485"/>
      <c r="CV149" s="485"/>
      <c r="CW149" s="485"/>
      <c r="CX149" s="485"/>
      <c r="CY149" s="485"/>
      <c r="CZ149" s="485"/>
      <c r="DA149" s="485"/>
      <c r="DB149" s="485"/>
      <c r="DC149" s="485"/>
      <c r="DD149" s="485"/>
      <c r="DE149" s="485"/>
      <c r="DF149" s="485"/>
      <c r="DG149" s="485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  <c r="EO149" s="485"/>
      <c r="EP149" s="485"/>
    </row>
    <row r="150" spans="1:146" ht="15.75">
      <c r="A150" s="462">
        <v>808</v>
      </c>
      <c r="B150" s="629" t="s">
        <v>404</v>
      </c>
      <c r="C150" s="624">
        <v>450</v>
      </c>
      <c r="D150" s="626">
        <v>329</v>
      </c>
      <c r="E150" s="611">
        <v>28.78</v>
      </c>
      <c r="F150" s="678">
        <f t="shared" si="45"/>
        <v>28.026590000000002</v>
      </c>
      <c r="G150" s="683"/>
      <c r="H150" s="681">
        <f t="shared" si="46"/>
        <v>0</v>
      </c>
      <c r="I150" s="623">
        <f t="shared" si="47"/>
        <v>0</v>
      </c>
      <c r="J150" s="623"/>
      <c r="K150" s="627">
        <v>0.45</v>
      </c>
      <c r="L150" s="627">
        <f t="shared" si="48"/>
        <v>0</v>
      </c>
      <c r="M150" s="627">
        <f t="shared" si="49"/>
        <v>0</v>
      </c>
      <c r="N150" s="609">
        <v>329</v>
      </c>
      <c r="O150" s="610">
        <v>28.777352687370737</v>
      </c>
      <c r="P150" s="617" t="str">
        <f t="shared" si="50"/>
        <v>---</v>
      </c>
      <c r="Q150" s="618">
        <f t="shared" si="51"/>
        <v>-2.6473126292643201E-3</v>
      </c>
      <c r="R150" s="485"/>
      <c r="S150" s="450" t="str">
        <f t="shared" si="52"/>
        <v>OK</v>
      </c>
      <c r="T150" s="451">
        <f>IF(+'2012 Rates'!P336&lt;'2012 Rates'!$B$11,'2012 Rates'!$B$11,+'2012 Rates'!P336)</f>
        <v>30.759999999999998</v>
      </c>
      <c r="U150" s="447">
        <f t="shared" si="53"/>
        <v>9.7529167836686304E-2</v>
      </c>
      <c r="V150" s="445"/>
      <c r="W150" s="623">
        <f t="shared" si="54"/>
        <v>0</v>
      </c>
      <c r="X150" s="485"/>
      <c r="Y150" s="485"/>
      <c r="Z150" s="485"/>
      <c r="AA150" s="485"/>
      <c r="AB150" s="485"/>
      <c r="AC150" s="485"/>
      <c r="AD150" s="485"/>
      <c r="AE150" s="485"/>
      <c r="AF150" s="485"/>
      <c r="AG150" s="485"/>
      <c r="AH150" s="485"/>
      <c r="AI150" s="485"/>
      <c r="AJ150" s="485"/>
      <c r="AK150" s="485"/>
      <c r="AL150" s="485"/>
      <c r="AM150" s="485"/>
      <c r="AN150" s="485"/>
      <c r="AO150" s="485"/>
      <c r="AP150" s="485"/>
      <c r="AQ150" s="485"/>
      <c r="AR150" s="485"/>
      <c r="AS150" s="485"/>
      <c r="AT150" s="485"/>
      <c r="AU150" s="485"/>
      <c r="AV150" s="485"/>
      <c r="AW150" s="485"/>
      <c r="AX150" s="485"/>
      <c r="AY150" s="485"/>
      <c r="AZ150" s="485"/>
      <c r="BA150" s="485"/>
      <c r="BB150" s="485"/>
      <c r="BC150" s="485"/>
      <c r="BD150" s="485"/>
      <c r="BE150" s="485"/>
      <c r="BF150" s="485"/>
      <c r="BG150" s="485"/>
      <c r="BH150" s="485"/>
      <c r="BI150" s="485"/>
      <c r="BJ150" s="485"/>
      <c r="BK150" s="485"/>
      <c r="BL150" s="485"/>
      <c r="BM150" s="485"/>
      <c r="BN150" s="485"/>
      <c r="BO150" s="485"/>
      <c r="BP150" s="485"/>
      <c r="BQ150" s="485"/>
      <c r="BR150" s="485"/>
      <c r="BS150" s="485"/>
      <c r="BT150" s="485"/>
      <c r="BU150" s="485"/>
      <c r="BV150" s="485"/>
      <c r="BW150" s="485"/>
      <c r="BX150" s="485"/>
      <c r="BY150" s="485"/>
      <c r="BZ150" s="485"/>
      <c r="CA150" s="485"/>
      <c r="CB150" s="485"/>
      <c r="CC150" s="485"/>
      <c r="CD150" s="485"/>
      <c r="CE150" s="485"/>
      <c r="CF150" s="485"/>
      <c r="CG150" s="485"/>
      <c r="CH150" s="485"/>
      <c r="CI150" s="485"/>
      <c r="CJ150" s="485"/>
      <c r="CK150" s="485"/>
      <c r="CL150" s="485"/>
      <c r="CM150" s="485"/>
      <c r="CN150" s="485"/>
      <c r="CO150" s="485"/>
      <c r="CP150" s="485"/>
      <c r="CQ150" s="485"/>
      <c r="CR150" s="485"/>
      <c r="CS150" s="485"/>
      <c r="CT150" s="485"/>
      <c r="CU150" s="485"/>
      <c r="CV150" s="485"/>
      <c r="CW150" s="485"/>
      <c r="CX150" s="485"/>
      <c r="CY150" s="485"/>
      <c r="CZ150" s="485"/>
      <c r="DA150" s="485"/>
      <c r="DB150" s="485"/>
      <c r="DC150" s="485"/>
      <c r="DD150" s="485"/>
      <c r="DE150" s="485"/>
      <c r="DF150" s="485"/>
      <c r="DG150" s="485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  <c r="EO150" s="485"/>
      <c r="EP150" s="485"/>
    </row>
    <row r="151" spans="1:146" ht="15.75">
      <c r="A151" s="462">
        <v>809</v>
      </c>
      <c r="B151" s="629" t="s">
        <v>404</v>
      </c>
      <c r="C151" s="624">
        <v>500</v>
      </c>
      <c r="D151" s="626">
        <v>365</v>
      </c>
      <c r="E151" s="611">
        <v>31.93</v>
      </c>
      <c r="F151" s="678">
        <f t="shared" si="45"/>
        <v>31.094149999999999</v>
      </c>
      <c r="G151" s="683">
        <v>3</v>
      </c>
      <c r="H151" s="681">
        <f t="shared" si="46"/>
        <v>13140</v>
      </c>
      <c r="I151" s="623">
        <f t="shared" si="47"/>
        <v>1149.48</v>
      </c>
      <c r="J151" s="623"/>
      <c r="K151" s="627">
        <v>0.5</v>
      </c>
      <c r="L151" s="627">
        <f t="shared" si="48"/>
        <v>1.5</v>
      </c>
      <c r="M151" s="627">
        <f t="shared" si="49"/>
        <v>1.5</v>
      </c>
      <c r="N151" s="609">
        <v>365</v>
      </c>
      <c r="O151" s="610">
        <v>31.929798574134701</v>
      </c>
      <c r="P151" s="617" t="str">
        <f t="shared" si="50"/>
        <v>---</v>
      </c>
      <c r="Q151" s="618">
        <f t="shared" si="51"/>
        <v>-2.0142586529914297E-4</v>
      </c>
      <c r="R151" s="485"/>
      <c r="S151" s="624" t="str">
        <f t="shared" si="52"/>
        <v>OK</v>
      </c>
      <c r="T151" s="451">
        <f>IF(+'2012 Rates'!P337&lt;'2012 Rates'!$B$11,'2012 Rates'!$B$11,+'2012 Rates'!P337)</f>
        <v>34.14</v>
      </c>
      <c r="U151" s="447">
        <f t="shared" si="53"/>
        <v>9.7955724790676157E-2</v>
      </c>
      <c r="V151" s="485"/>
      <c r="W151" s="623">
        <f t="shared" si="54"/>
        <v>1229.04</v>
      </c>
      <c r="X151" s="485"/>
      <c r="Y151" s="485"/>
      <c r="Z151" s="485"/>
      <c r="AA151" s="485"/>
      <c r="AB151" s="485"/>
      <c r="AC151" s="485"/>
      <c r="AD151" s="485"/>
      <c r="AE151" s="485"/>
      <c r="AF151" s="485"/>
      <c r="AG151" s="485"/>
      <c r="AH151" s="485"/>
      <c r="AI151" s="485"/>
      <c r="AJ151" s="485"/>
      <c r="AK151" s="485"/>
      <c r="AL151" s="485"/>
      <c r="AM151" s="485"/>
      <c r="AN151" s="485"/>
      <c r="AO151" s="485"/>
      <c r="AP151" s="485"/>
      <c r="AQ151" s="485"/>
      <c r="AR151" s="485"/>
      <c r="AS151" s="485"/>
      <c r="AT151" s="485"/>
      <c r="AU151" s="485"/>
      <c r="AV151" s="485"/>
      <c r="AW151" s="485"/>
      <c r="AX151" s="485"/>
      <c r="AY151" s="485"/>
      <c r="AZ151" s="485"/>
      <c r="BA151" s="485"/>
      <c r="BB151" s="485"/>
      <c r="BC151" s="485"/>
      <c r="BD151" s="485"/>
      <c r="BE151" s="485"/>
      <c r="BF151" s="485"/>
      <c r="BG151" s="485"/>
      <c r="BH151" s="485"/>
      <c r="BI151" s="485"/>
      <c r="BJ151" s="485"/>
      <c r="BK151" s="485"/>
      <c r="BL151" s="485"/>
      <c r="BM151" s="485"/>
      <c r="BN151" s="485"/>
      <c r="BO151" s="485"/>
      <c r="BP151" s="485"/>
      <c r="BQ151" s="485"/>
      <c r="BR151" s="485"/>
      <c r="BS151" s="485"/>
      <c r="BT151" s="485"/>
      <c r="BU151" s="485"/>
      <c r="BV151" s="485"/>
      <c r="BW151" s="485"/>
      <c r="BX151" s="485"/>
      <c r="BY151" s="485"/>
      <c r="BZ151" s="485"/>
      <c r="CA151" s="485"/>
      <c r="CB151" s="485"/>
      <c r="CC151" s="485"/>
      <c r="CD151" s="485"/>
      <c r="CE151" s="485"/>
      <c r="CF151" s="485"/>
      <c r="CG151" s="485"/>
      <c r="CH151" s="485"/>
      <c r="CI151" s="485"/>
      <c r="CJ151" s="485"/>
      <c r="CK151" s="485"/>
      <c r="CL151" s="485"/>
      <c r="CM151" s="485"/>
      <c r="CN151" s="485"/>
      <c r="CO151" s="485"/>
      <c r="CP151" s="485"/>
      <c r="CQ151" s="485"/>
      <c r="CR151" s="485"/>
      <c r="CS151" s="485"/>
      <c r="CT151" s="485"/>
      <c r="CU151" s="485"/>
      <c r="CV151" s="485"/>
      <c r="CW151" s="485"/>
      <c r="CX151" s="485"/>
      <c r="CY151" s="485"/>
      <c r="CZ151" s="485"/>
      <c r="DA151" s="485"/>
      <c r="DB151" s="485"/>
      <c r="DC151" s="485"/>
      <c r="DD151" s="485"/>
      <c r="DE151" s="485"/>
      <c r="DF151" s="485"/>
      <c r="DG151" s="485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  <c r="EO151" s="485"/>
      <c r="EP151" s="485"/>
    </row>
    <row r="152" spans="1:146" ht="15.75">
      <c r="A152" s="462">
        <v>810</v>
      </c>
      <c r="B152" s="629" t="s">
        <v>404</v>
      </c>
      <c r="C152" s="624">
        <v>550</v>
      </c>
      <c r="D152" s="626">
        <v>402</v>
      </c>
      <c r="E152" s="611">
        <v>35.159999999999997</v>
      </c>
      <c r="F152" s="678">
        <f t="shared" si="45"/>
        <v>34.239419999999996</v>
      </c>
      <c r="G152" s="683">
        <v>59</v>
      </c>
      <c r="H152" s="681">
        <f t="shared" si="46"/>
        <v>284616</v>
      </c>
      <c r="I152" s="623">
        <f t="shared" si="47"/>
        <v>24893.279999999995</v>
      </c>
      <c r="J152" s="623"/>
      <c r="K152" s="627">
        <v>0.55000000000000004</v>
      </c>
      <c r="L152" s="627">
        <f t="shared" si="48"/>
        <v>32.450000000000003</v>
      </c>
      <c r="M152" s="627">
        <f t="shared" si="49"/>
        <v>32.450000000000003</v>
      </c>
      <c r="N152" s="609">
        <v>402</v>
      </c>
      <c r="O152" s="610">
        <v>35.157312402197682</v>
      </c>
      <c r="P152" s="617" t="str">
        <f t="shared" si="50"/>
        <v>---</v>
      </c>
      <c r="Q152" s="618">
        <f t="shared" si="51"/>
        <v>-2.6875978023142011E-3</v>
      </c>
      <c r="R152" s="485"/>
      <c r="S152" s="450" t="str">
        <f t="shared" si="52"/>
        <v>OK</v>
      </c>
      <c r="T152" s="451">
        <f>IF(+'2012 Rates'!P338&lt;'2012 Rates'!$B$11,'2012 Rates'!$B$11,+'2012 Rates'!P338)</f>
        <v>37.590000000000003</v>
      </c>
      <c r="U152" s="447">
        <f t="shared" si="53"/>
        <v>9.7857381929951082E-2</v>
      </c>
      <c r="V152" s="445"/>
      <c r="W152" s="623">
        <f t="shared" si="54"/>
        <v>26613.720000000005</v>
      </c>
      <c r="X152" s="485"/>
      <c r="Y152" s="485"/>
      <c r="Z152" s="485"/>
      <c r="AA152" s="485"/>
      <c r="AB152" s="485"/>
      <c r="AC152" s="485"/>
      <c r="AD152" s="485"/>
      <c r="AE152" s="485"/>
      <c r="AF152" s="485"/>
      <c r="AG152" s="485"/>
      <c r="AH152" s="485"/>
      <c r="AI152" s="485"/>
      <c r="AJ152" s="485"/>
      <c r="AK152" s="485"/>
      <c r="AL152" s="485"/>
      <c r="AM152" s="485"/>
      <c r="AN152" s="485"/>
      <c r="AO152" s="485"/>
      <c r="AP152" s="485"/>
      <c r="AQ152" s="485"/>
      <c r="AR152" s="485"/>
      <c r="AS152" s="485"/>
      <c r="AT152" s="485"/>
      <c r="AU152" s="485"/>
      <c r="AV152" s="485"/>
      <c r="AW152" s="485"/>
      <c r="AX152" s="485"/>
      <c r="AY152" s="485"/>
      <c r="AZ152" s="485"/>
      <c r="BA152" s="485"/>
      <c r="BB152" s="485"/>
      <c r="BC152" s="485"/>
      <c r="BD152" s="485"/>
      <c r="BE152" s="485"/>
      <c r="BF152" s="485"/>
      <c r="BG152" s="485"/>
      <c r="BH152" s="485"/>
      <c r="BI152" s="485"/>
      <c r="BJ152" s="485"/>
      <c r="BK152" s="485"/>
      <c r="BL152" s="485"/>
      <c r="BM152" s="485"/>
      <c r="BN152" s="485"/>
      <c r="BO152" s="485"/>
      <c r="BP152" s="485"/>
      <c r="BQ152" s="485"/>
      <c r="BR152" s="485"/>
      <c r="BS152" s="485"/>
      <c r="BT152" s="485"/>
      <c r="BU152" s="485"/>
      <c r="BV152" s="485"/>
      <c r="BW152" s="485"/>
      <c r="BX152" s="485"/>
      <c r="BY152" s="485"/>
      <c r="BZ152" s="485"/>
      <c r="CA152" s="485"/>
      <c r="CB152" s="485"/>
      <c r="CC152" s="485"/>
      <c r="CD152" s="485"/>
      <c r="CE152" s="485"/>
      <c r="CF152" s="485"/>
      <c r="CG152" s="485"/>
      <c r="CH152" s="485"/>
      <c r="CI152" s="485"/>
      <c r="CJ152" s="485"/>
      <c r="CK152" s="485"/>
      <c r="CL152" s="485"/>
      <c r="CM152" s="485"/>
      <c r="CN152" s="485"/>
      <c r="CO152" s="485"/>
      <c r="CP152" s="485"/>
      <c r="CQ152" s="485"/>
      <c r="CR152" s="485"/>
      <c r="CS152" s="485"/>
      <c r="CT152" s="485"/>
      <c r="CU152" s="485"/>
      <c r="CV152" s="485"/>
      <c r="CW152" s="485"/>
      <c r="CX152" s="485"/>
      <c r="CY152" s="485"/>
      <c r="CZ152" s="485"/>
      <c r="DA152" s="485"/>
      <c r="DB152" s="485"/>
      <c r="DC152" s="485"/>
      <c r="DD152" s="485"/>
      <c r="DE152" s="485"/>
      <c r="DF152" s="485"/>
      <c r="DG152" s="485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  <c r="EO152" s="485"/>
      <c r="EP152" s="485"/>
    </row>
    <row r="153" spans="1:146" ht="15.75">
      <c r="A153" s="462">
        <v>811</v>
      </c>
      <c r="B153" s="629" t="s">
        <v>404</v>
      </c>
      <c r="C153" s="624">
        <v>600</v>
      </c>
      <c r="D153" s="626">
        <v>438</v>
      </c>
      <c r="E153" s="611">
        <v>38.31</v>
      </c>
      <c r="F153" s="678">
        <f t="shared" si="45"/>
        <v>37.306980000000003</v>
      </c>
      <c r="G153" s="683">
        <v>2472</v>
      </c>
      <c r="H153" s="681">
        <f t="shared" si="46"/>
        <v>12992832</v>
      </c>
      <c r="I153" s="623">
        <f t="shared" si="47"/>
        <v>1136427.8400000001</v>
      </c>
      <c r="J153" s="623"/>
      <c r="K153" s="627">
        <v>0.6</v>
      </c>
      <c r="L153" s="627">
        <f t="shared" si="48"/>
        <v>1483.2</v>
      </c>
      <c r="M153" s="627">
        <f t="shared" si="49"/>
        <v>1483.2</v>
      </c>
      <c r="N153" s="609">
        <v>438</v>
      </c>
      <c r="O153" s="610">
        <v>38.309758288961653</v>
      </c>
      <c r="P153" s="617" t="str">
        <f t="shared" si="50"/>
        <v>---</v>
      </c>
      <c r="Q153" s="618">
        <f t="shared" si="51"/>
        <v>-2.4171103834902397E-4</v>
      </c>
      <c r="R153" s="485"/>
      <c r="S153" s="624" t="str">
        <f t="shared" si="52"/>
        <v>OK</v>
      </c>
      <c r="T153" s="451">
        <f>IF(+'2012 Rates'!P339&lt;'2012 Rates'!$B$11,'2012 Rates'!$B$11,+'2012 Rates'!P339)</f>
        <v>40.97</v>
      </c>
      <c r="U153" s="447">
        <f t="shared" si="53"/>
        <v>9.8185915879548391E-2</v>
      </c>
      <c r="V153" s="485"/>
      <c r="W153" s="623">
        <f t="shared" si="54"/>
        <v>1215334.08</v>
      </c>
      <c r="X153" s="485"/>
      <c r="Y153" s="485"/>
      <c r="Z153" s="485"/>
      <c r="AA153" s="485"/>
      <c r="AB153" s="485"/>
      <c r="AC153" s="485"/>
      <c r="AD153" s="485"/>
      <c r="AE153" s="485"/>
      <c r="AF153" s="485"/>
      <c r="AG153" s="485"/>
      <c r="AH153" s="485"/>
      <c r="AI153" s="485"/>
      <c r="AJ153" s="485"/>
      <c r="AK153" s="485"/>
      <c r="AL153" s="485"/>
      <c r="AM153" s="485"/>
      <c r="AN153" s="485"/>
      <c r="AO153" s="485"/>
      <c r="AP153" s="485"/>
      <c r="AQ153" s="485"/>
      <c r="AR153" s="485"/>
      <c r="AS153" s="485"/>
      <c r="AT153" s="485"/>
      <c r="AU153" s="485"/>
      <c r="AV153" s="485"/>
      <c r="AW153" s="485"/>
      <c r="AX153" s="485"/>
      <c r="AY153" s="485"/>
      <c r="AZ153" s="485"/>
      <c r="BA153" s="485"/>
      <c r="BB153" s="485"/>
      <c r="BC153" s="485"/>
      <c r="BD153" s="485"/>
      <c r="BE153" s="485"/>
      <c r="BF153" s="485"/>
      <c r="BG153" s="485"/>
      <c r="BH153" s="485"/>
      <c r="BI153" s="485"/>
      <c r="BJ153" s="485"/>
      <c r="BK153" s="485"/>
      <c r="BL153" s="485"/>
      <c r="BM153" s="485"/>
      <c r="BN153" s="485"/>
      <c r="BO153" s="485"/>
      <c r="BP153" s="485"/>
      <c r="BQ153" s="485"/>
      <c r="BR153" s="485"/>
      <c r="BS153" s="485"/>
      <c r="BT153" s="485"/>
      <c r="BU153" s="485"/>
      <c r="BV153" s="485"/>
      <c r="BW153" s="485"/>
      <c r="BX153" s="485"/>
      <c r="BY153" s="485"/>
      <c r="BZ153" s="485"/>
      <c r="CA153" s="485"/>
      <c r="CB153" s="485"/>
      <c r="CC153" s="485"/>
      <c r="CD153" s="485"/>
      <c r="CE153" s="485"/>
      <c r="CF153" s="485"/>
      <c r="CG153" s="485"/>
      <c r="CH153" s="485"/>
      <c r="CI153" s="485"/>
      <c r="CJ153" s="485"/>
      <c r="CK153" s="485"/>
      <c r="CL153" s="485"/>
      <c r="CM153" s="485"/>
      <c r="CN153" s="485"/>
      <c r="CO153" s="485"/>
      <c r="CP153" s="485"/>
      <c r="CQ153" s="485"/>
      <c r="CR153" s="485"/>
      <c r="CS153" s="485"/>
      <c r="CT153" s="485"/>
      <c r="CU153" s="485"/>
      <c r="CV153" s="485"/>
      <c r="CW153" s="485"/>
      <c r="CX153" s="485"/>
      <c r="CY153" s="485"/>
      <c r="CZ153" s="485"/>
      <c r="DA153" s="485"/>
      <c r="DB153" s="485"/>
      <c r="DC153" s="485"/>
      <c r="DD153" s="485"/>
      <c r="DE153" s="485"/>
      <c r="DF153" s="485"/>
      <c r="DG153" s="485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  <c r="EO153" s="485"/>
      <c r="EP153" s="485"/>
    </row>
    <row r="154" spans="1:146" ht="15.75">
      <c r="A154" s="462">
        <v>812</v>
      </c>
      <c r="B154" s="629" t="s">
        <v>404</v>
      </c>
      <c r="C154" s="624">
        <v>650</v>
      </c>
      <c r="D154" s="626">
        <v>475</v>
      </c>
      <c r="E154" s="611">
        <v>41.54</v>
      </c>
      <c r="F154" s="678">
        <f t="shared" si="45"/>
        <v>40.452249999999999</v>
      </c>
      <c r="G154" s="683">
        <v>6</v>
      </c>
      <c r="H154" s="681">
        <f t="shared" si="46"/>
        <v>34200</v>
      </c>
      <c r="I154" s="623">
        <f t="shared" si="47"/>
        <v>2990.88</v>
      </c>
      <c r="J154" s="623"/>
      <c r="K154" s="627">
        <v>0.65</v>
      </c>
      <c r="L154" s="627">
        <f t="shared" si="48"/>
        <v>3.9000000000000004</v>
      </c>
      <c r="M154" s="627">
        <f t="shared" si="49"/>
        <v>3.9000000000000004</v>
      </c>
      <c r="N154" s="609">
        <v>475</v>
      </c>
      <c r="O154" s="610">
        <v>41.537272117024614</v>
      </c>
      <c r="P154" s="617" t="str">
        <f t="shared" si="50"/>
        <v>---</v>
      </c>
      <c r="Q154" s="618">
        <f t="shared" si="51"/>
        <v>-2.7278829753853984E-3</v>
      </c>
      <c r="R154" s="485"/>
      <c r="S154" s="450" t="str">
        <f t="shared" si="52"/>
        <v>OK</v>
      </c>
      <c r="T154" s="451">
        <f>IF(+'2012 Rates'!P340&lt;'2012 Rates'!$B$11,'2012 Rates'!$B$11,+'2012 Rates'!P340)</f>
        <v>44.410000000000004</v>
      </c>
      <c r="U154" s="447">
        <f t="shared" si="53"/>
        <v>9.7837573929756783E-2</v>
      </c>
      <c r="V154" s="445"/>
      <c r="W154" s="623">
        <f t="shared" si="54"/>
        <v>3197.5200000000004</v>
      </c>
      <c r="X154" s="485"/>
      <c r="Y154" s="485"/>
      <c r="Z154" s="485"/>
      <c r="AA154" s="485"/>
      <c r="AB154" s="485"/>
      <c r="AC154" s="485"/>
      <c r="AD154" s="485"/>
      <c r="AE154" s="485"/>
      <c r="AF154" s="485"/>
      <c r="AG154" s="485"/>
      <c r="AH154" s="485"/>
      <c r="AI154" s="485"/>
      <c r="AJ154" s="485"/>
      <c r="AK154" s="485"/>
      <c r="AL154" s="485"/>
      <c r="AM154" s="485"/>
      <c r="AN154" s="485"/>
      <c r="AO154" s="485"/>
      <c r="AP154" s="485"/>
      <c r="AQ154" s="485"/>
      <c r="AR154" s="485"/>
      <c r="AS154" s="485"/>
      <c r="AT154" s="485"/>
      <c r="AU154" s="485"/>
      <c r="AV154" s="485"/>
      <c r="AW154" s="485"/>
      <c r="AX154" s="485"/>
      <c r="AY154" s="485"/>
      <c r="AZ154" s="485"/>
      <c r="BA154" s="485"/>
      <c r="BB154" s="485"/>
      <c r="BC154" s="485"/>
      <c r="BD154" s="485"/>
      <c r="BE154" s="485"/>
      <c r="BF154" s="485"/>
      <c r="BG154" s="485"/>
      <c r="BH154" s="485"/>
      <c r="BI154" s="485"/>
      <c r="BJ154" s="485"/>
      <c r="BK154" s="485"/>
      <c r="BL154" s="485"/>
      <c r="BM154" s="485"/>
      <c r="BN154" s="485"/>
      <c r="BO154" s="485"/>
      <c r="BP154" s="485"/>
      <c r="BQ154" s="485"/>
      <c r="BR154" s="485"/>
      <c r="BS154" s="485"/>
      <c r="BT154" s="485"/>
      <c r="BU154" s="485"/>
      <c r="BV154" s="485"/>
      <c r="BW154" s="485"/>
      <c r="BX154" s="485"/>
      <c r="BY154" s="485"/>
      <c r="BZ154" s="485"/>
      <c r="CA154" s="485"/>
      <c r="CB154" s="485"/>
      <c r="CC154" s="485"/>
      <c r="CD154" s="485"/>
      <c r="CE154" s="485"/>
      <c r="CF154" s="485"/>
      <c r="CG154" s="485"/>
      <c r="CH154" s="485"/>
      <c r="CI154" s="485"/>
      <c r="CJ154" s="485"/>
      <c r="CK154" s="485"/>
      <c r="CL154" s="485"/>
      <c r="CM154" s="485"/>
      <c r="CN154" s="485"/>
      <c r="CO154" s="485"/>
      <c r="CP154" s="485"/>
      <c r="CQ154" s="485"/>
      <c r="CR154" s="485"/>
      <c r="CS154" s="485"/>
      <c r="CT154" s="485"/>
      <c r="CU154" s="485"/>
      <c r="CV154" s="485"/>
      <c r="CW154" s="485"/>
      <c r="CX154" s="485"/>
      <c r="CY154" s="485"/>
      <c r="CZ154" s="485"/>
      <c r="DA154" s="485"/>
      <c r="DB154" s="485"/>
      <c r="DC154" s="485"/>
      <c r="DD154" s="485"/>
      <c r="DE154" s="485"/>
      <c r="DF154" s="485"/>
      <c r="DG154" s="485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  <c r="EO154" s="485"/>
      <c r="EP154" s="485"/>
    </row>
    <row r="155" spans="1:146" ht="15.75">
      <c r="A155" s="462">
        <v>813</v>
      </c>
      <c r="B155" s="629" t="s">
        <v>404</v>
      </c>
      <c r="C155" s="624">
        <v>700</v>
      </c>
      <c r="D155" s="626">
        <v>511</v>
      </c>
      <c r="E155" s="611">
        <v>44.69</v>
      </c>
      <c r="F155" s="678">
        <f t="shared" si="45"/>
        <v>43.51981</v>
      </c>
      <c r="G155" s="683"/>
      <c r="H155" s="681">
        <f t="shared" si="46"/>
        <v>0</v>
      </c>
      <c r="I155" s="623">
        <f t="shared" si="47"/>
        <v>0</v>
      </c>
      <c r="J155" s="623"/>
      <c r="K155" s="627">
        <v>0.7</v>
      </c>
      <c r="L155" s="627">
        <f t="shared" si="48"/>
        <v>0</v>
      </c>
      <c r="M155" s="627">
        <f t="shared" si="49"/>
        <v>0</v>
      </c>
      <c r="N155" s="609">
        <v>511</v>
      </c>
      <c r="O155" s="610">
        <v>44.689718003788592</v>
      </c>
      <c r="P155" s="617" t="str">
        <f t="shared" si="50"/>
        <v>---</v>
      </c>
      <c r="Q155" s="618">
        <f t="shared" si="51"/>
        <v>-2.8199621140601039E-4</v>
      </c>
      <c r="R155" s="485"/>
      <c r="S155" s="624" t="str">
        <f t="shared" si="52"/>
        <v>OK</v>
      </c>
      <c r="T155" s="451">
        <f>IF(+'2012 Rates'!P341&lt;'2012 Rates'!$B$11,'2012 Rates'!$B$11,+'2012 Rates'!P341)</f>
        <v>47.8</v>
      </c>
      <c r="U155" s="447">
        <f t="shared" si="53"/>
        <v>9.8350383423089438E-2</v>
      </c>
      <c r="V155" s="485"/>
      <c r="W155" s="623">
        <f t="shared" si="54"/>
        <v>0</v>
      </c>
      <c r="X155" s="485"/>
      <c r="Y155" s="485"/>
      <c r="Z155" s="485"/>
      <c r="AA155" s="485"/>
      <c r="AB155" s="485"/>
      <c r="AC155" s="485"/>
      <c r="AD155" s="485"/>
      <c r="AE155" s="485"/>
      <c r="AF155" s="485"/>
      <c r="AG155" s="485"/>
      <c r="AH155" s="485"/>
      <c r="AI155" s="485"/>
      <c r="AJ155" s="485"/>
      <c r="AK155" s="485"/>
      <c r="AL155" s="485"/>
      <c r="AM155" s="485"/>
      <c r="AN155" s="485"/>
      <c r="AO155" s="485"/>
      <c r="AP155" s="485"/>
      <c r="AQ155" s="485"/>
      <c r="AR155" s="485"/>
      <c r="AS155" s="485"/>
      <c r="AT155" s="485"/>
      <c r="AU155" s="485"/>
      <c r="AV155" s="485"/>
      <c r="AW155" s="485"/>
      <c r="AX155" s="485"/>
      <c r="AY155" s="485"/>
      <c r="AZ155" s="485"/>
      <c r="BA155" s="485"/>
      <c r="BB155" s="485"/>
      <c r="BC155" s="485"/>
      <c r="BD155" s="485"/>
      <c r="BE155" s="485"/>
      <c r="BF155" s="485"/>
      <c r="BG155" s="485"/>
      <c r="BH155" s="485"/>
      <c r="BI155" s="485"/>
      <c r="BJ155" s="485"/>
      <c r="BK155" s="485"/>
      <c r="BL155" s="485"/>
      <c r="BM155" s="485"/>
      <c r="BN155" s="485"/>
      <c r="BO155" s="485"/>
      <c r="BP155" s="485"/>
      <c r="BQ155" s="485"/>
      <c r="BR155" s="485"/>
      <c r="BS155" s="485"/>
      <c r="BT155" s="485"/>
      <c r="BU155" s="485"/>
      <c r="BV155" s="485"/>
      <c r="BW155" s="485"/>
      <c r="BX155" s="485"/>
      <c r="BY155" s="485"/>
      <c r="BZ155" s="485"/>
      <c r="CA155" s="485"/>
      <c r="CB155" s="485"/>
      <c r="CC155" s="485"/>
      <c r="CD155" s="485"/>
      <c r="CE155" s="485"/>
      <c r="CF155" s="485"/>
      <c r="CG155" s="485"/>
      <c r="CH155" s="485"/>
      <c r="CI155" s="485"/>
      <c r="CJ155" s="485"/>
      <c r="CK155" s="485"/>
      <c r="CL155" s="485"/>
      <c r="CM155" s="485"/>
      <c r="CN155" s="485"/>
      <c r="CO155" s="485"/>
      <c r="CP155" s="485"/>
      <c r="CQ155" s="485"/>
      <c r="CR155" s="485"/>
      <c r="CS155" s="485"/>
      <c r="CT155" s="485"/>
      <c r="CU155" s="485"/>
      <c r="CV155" s="485"/>
      <c r="CW155" s="485"/>
      <c r="CX155" s="485"/>
      <c r="CY155" s="485"/>
      <c r="CZ155" s="485"/>
      <c r="DA155" s="485"/>
      <c r="DB155" s="485"/>
      <c r="DC155" s="485"/>
      <c r="DD155" s="485"/>
      <c r="DE155" s="485"/>
      <c r="DF155" s="485"/>
      <c r="DG155" s="485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  <c r="EO155" s="485"/>
      <c r="EP155" s="485"/>
    </row>
    <row r="156" spans="1:146" ht="15.75">
      <c r="A156" s="462">
        <v>820</v>
      </c>
      <c r="B156" s="629" t="s">
        <v>405</v>
      </c>
      <c r="C156" s="624"/>
      <c r="D156" s="626">
        <v>89</v>
      </c>
      <c r="E156" s="611">
        <v>12.27</v>
      </c>
      <c r="F156" s="678">
        <f t="shared" si="45"/>
        <v>12.066189999999999</v>
      </c>
      <c r="G156" s="683">
        <v>39</v>
      </c>
      <c r="H156" s="681">
        <f t="shared" si="46"/>
        <v>41652</v>
      </c>
      <c r="I156" s="623">
        <f t="shared" si="47"/>
        <v>5742.36</v>
      </c>
      <c r="J156" s="623"/>
      <c r="K156" s="627">
        <v>0.42</v>
      </c>
      <c r="L156" s="627">
        <f t="shared" si="48"/>
        <v>16.38</v>
      </c>
      <c r="M156" s="627">
        <f t="shared" si="49"/>
        <v>16.38</v>
      </c>
      <c r="N156" s="609">
        <v>89</v>
      </c>
      <c r="O156" s="610">
        <v>12.271046775610932</v>
      </c>
      <c r="P156" s="617" t="str">
        <f t="shared" si="50"/>
        <v>---</v>
      </c>
      <c r="Q156" s="618">
        <f t="shared" si="51"/>
        <v>1.0467756109324711E-3</v>
      </c>
      <c r="R156" s="485"/>
      <c r="S156" s="624" t="str">
        <f t="shared" si="52"/>
        <v>OK</v>
      </c>
      <c r="T156" s="451">
        <f>IF(+'2012 Rates'!O343&lt;'2012 Rates'!$B$11,'2012 Rates'!$B$11,+'2012 Rates'!O343)</f>
        <v>13.24</v>
      </c>
      <c r="U156" s="447">
        <f t="shared" si="53"/>
        <v>9.7280914688066433E-2</v>
      </c>
      <c r="V156" s="485"/>
      <c r="W156" s="623">
        <f t="shared" si="54"/>
        <v>6196.32</v>
      </c>
      <c r="X156" s="485"/>
      <c r="Y156" s="485"/>
      <c r="Z156" s="485"/>
      <c r="AA156" s="485"/>
      <c r="AB156" s="485"/>
      <c r="AC156" s="485"/>
      <c r="AD156" s="485"/>
      <c r="AE156" s="485"/>
      <c r="AF156" s="485"/>
      <c r="AG156" s="485"/>
      <c r="AH156" s="485"/>
      <c r="AI156" s="485"/>
      <c r="AJ156" s="485"/>
      <c r="AK156" s="485"/>
      <c r="AL156" s="485"/>
      <c r="AM156" s="485"/>
      <c r="AN156" s="485"/>
      <c r="AO156" s="485"/>
      <c r="AP156" s="485"/>
      <c r="AQ156" s="485"/>
      <c r="AR156" s="485"/>
      <c r="AS156" s="485"/>
      <c r="AT156" s="485"/>
      <c r="AU156" s="485"/>
      <c r="AV156" s="485"/>
      <c r="AW156" s="485"/>
      <c r="AX156" s="485"/>
      <c r="AY156" s="485"/>
      <c r="AZ156" s="485"/>
      <c r="BA156" s="485"/>
      <c r="BB156" s="485"/>
      <c r="BC156" s="485"/>
      <c r="BD156" s="485"/>
      <c r="BE156" s="485"/>
      <c r="BF156" s="485"/>
      <c r="BG156" s="485"/>
      <c r="BH156" s="485"/>
      <c r="BI156" s="485"/>
      <c r="BJ156" s="485"/>
      <c r="BK156" s="485"/>
      <c r="BL156" s="485"/>
      <c r="BM156" s="485"/>
      <c r="BN156" s="485"/>
      <c r="BO156" s="485"/>
      <c r="BP156" s="485"/>
      <c r="BQ156" s="485"/>
      <c r="BR156" s="485"/>
      <c r="BS156" s="485"/>
      <c r="BT156" s="485"/>
      <c r="BU156" s="485"/>
      <c r="BV156" s="485"/>
      <c r="BW156" s="485"/>
      <c r="BX156" s="485"/>
      <c r="BY156" s="485"/>
      <c r="BZ156" s="485"/>
      <c r="CA156" s="485"/>
      <c r="CB156" s="485"/>
      <c r="CC156" s="485"/>
      <c r="CD156" s="485"/>
      <c r="CE156" s="485"/>
      <c r="CF156" s="485"/>
      <c r="CG156" s="485"/>
      <c r="CH156" s="485"/>
      <c r="CI156" s="485"/>
      <c r="CJ156" s="485"/>
      <c r="CK156" s="485"/>
      <c r="CL156" s="485"/>
      <c r="CM156" s="485"/>
      <c r="CN156" s="485"/>
      <c r="CO156" s="485"/>
      <c r="CP156" s="485"/>
      <c r="CQ156" s="485"/>
      <c r="CR156" s="485"/>
      <c r="CS156" s="485"/>
      <c r="CT156" s="485"/>
      <c r="CU156" s="485"/>
      <c r="CV156" s="485"/>
      <c r="CW156" s="485"/>
      <c r="CX156" s="485"/>
      <c r="CY156" s="485"/>
      <c r="CZ156" s="485"/>
      <c r="DA156" s="485"/>
      <c r="DB156" s="485"/>
      <c r="DC156" s="485"/>
      <c r="DD156" s="485"/>
      <c r="DE156" s="485"/>
      <c r="DF156" s="485"/>
      <c r="DG156" s="485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  <c r="EO156" s="485"/>
      <c r="EP156" s="485"/>
    </row>
    <row r="157" spans="1:146" ht="15.75">
      <c r="A157" s="462">
        <v>821</v>
      </c>
      <c r="B157" s="629" t="s">
        <v>406</v>
      </c>
      <c r="C157" s="624"/>
      <c r="D157" s="626">
        <v>230</v>
      </c>
      <c r="E157" s="611">
        <v>29.82</v>
      </c>
      <c r="F157" s="678">
        <f t="shared" si="45"/>
        <v>29.293300000000002</v>
      </c>
      <c r="G157" s="683">
        <v>3</v>
      </c>
      <c r="H157" s="681">
        <f t="shared" si="46"/>
        <v>8280</v>
      </c>
      <c r="I157" s="623">
        <f t="shared" si="47"/>
        <v>1073.52</v>
      </c>
      <c r="J157" s="623"/>
      <c r="K157" s="627">
        <v>0.96</v>
      </c>
      <c r="L157" s="627">
        <f t="shared" si="48"/>
        <v>2.88</v>
      </c>
      <c r="M157" s="627">
        <f t="shared" si="49"/>
        <v>2.88</v>
      </c>
      <c r="N157" s="609">
        <v>230</v>
      </c>
      <c r="O157" s="610">
        <v>29.815626498769817</v>
      </c>
      <c r="P157" s="617" t="str">
        <f t="shared" si="50"/>
        <v>---</v>
      </c>
      <c r="Q157" s="618">
        <f t="shared" si="51"/>
        <v>-4.3735012301837628E-3</v>
      </c>
      <c r="R157" s="485"/>
      <c r="S157" s="624" t="str">
        <f t="shared" si="52"/>
        <v>OK</v>
      </c>
      <c r="T157" s="451">
        <f>IF(+'2012 Rates'!O344&lt;'2012 Rates'!$B$11,'2012 Rates'!$B$11,+'2012 Rates'!O344)</f>
        <v>32.17</v>
      </c>
      <c r="U157" s="447">
        <f t="shared" si="53"/>
        <v>9.8203343426653822E-2</v>
      </c>
      <c r="V157" s="485"/>
      <c r="W157" s="623">
        <f t="shared" si="54"/>
        <v>1158.1200000000001</v>
      </c>
      <c r="X157" s="485"/>
      <c r="Y157" s="485"/>
      <c r="Z157" s="485"/>
      <c r="AA157" s="485"/>
      <c r="AB157" s="485"/>
      <c r="AC157" s="485"/>
      <c r="AD157" s="485"/>
      <c r="AE157" s="485"/>
      <c r="AF157" s="485"/>
      <c r="AG157" s="485"/>
      <c r="AH157" s="485"/>
      <c r="AI157" s="485"/>
      <c r="AJ157" s="485"/>
      <c r="AK157" s="485"/>
      <c r="AL157" s="485"/>
      <c r="AM157" s="485"/>
      <c r="AN157" s="485"/>
      <c r="AO157" s="485"/>
      <c r="AP157" s="485"/>
      <c r="AQ157" s="485"/>
      <c r="AR157" s="485"/>
      <c r="AS157" s="485"/>
      <c r="AT157" s="485"/>
      <c r="AU157" s="485"/>
      <c r="AV157" s="485"/>
      <c r="AW157" s="485"/>
      <c r="AX157" s="485"/>
      <c r="AY157" s="485"/>
      <c r="AZ157" s="485"/>
      <c r="BA157" s="485"/>
      <c r="BB157" s="485"/>
      <c r="BC157" s="485"/>
      <c r="BD157" s="485"/>
      <c r="BE157" s="485"/>
      <c r="BF157" s="485"/>
      <c r="BG157" s="485"/>
      <c r="BH157" s="485"/>
      <c r="BI157" s="485"/>
      <c r="BJ157" s="485"/>
      <c r="BK157" s="485"/>
      <c r="BL157" s="485"/>
      <c r="BM157" s="485"/>
      <c r="BN157" s="485"/>
      <c r="BO157" s="485"/>
      <c r="BP157" s="485"/>
      <c r="BQ157" s="485"/>
      <c r="BR157" s="485"/>
      <c r="BS157" s="485"/>
      <c r="BT157" s="485"/>
      <c r="BU157" s="485"/>
      <c r="BV157" s="485"/>
      <c r="BW157" s="485"/>
      <c r="BX157" s="485"/>
      <c r="BY157" s="485"/>
      <c r="BZ157" s="485"/>
      <c r="CA157" s="485"/>
      <c r="CB157" s="485"/>
      <c r="CC157" s="485"/>
      <c r="CD157" s="485"/>
      <c r="CE157" s="485"/>
      <c r="CF157" s="485"/>
      <c r="CG157" s="485"/>
      <c r="CH157" s="485"/>
      <c r="CI157" s="485"/>
      <c r="CJ157" s="485"/>
      <c r="CK157" s="485"/>
      <c r="CL157" s="485"/>
      <c r="CM157" s="485"/>
      <c r="CN157" s="485"/>
      <c r="CO157" s="485"/>
      <c r="CP157" s="485"/>
      <c r="CQ157" s="485"/>
      <c r="CR157" s="485"/>
      <c r="CS157" s="485"/>
      <c r="CT157" s="485"/>
      <c r="CU157" s="485"/>
      <c r="CV157" s="485"/>
      <c r="CW157" s="485"/>
      <c r="CX157" s="485"/>
      <c r="CY157" s="485"/>
      <c r="CZ157" s="485"/>
      <c r="DA157" s="485"/>
      <c r="DB157" s="485"/>
      <c r="DC157" s="485"/>
      <c r="DD157" s="485"/>
      <c r="DE157" s="485"/>
      <c r="DF157" s="485"/>
      <c r="DG157" s="485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  <c r="EO157" s="485"/>
      <c r="EP157" s="485"/>
    </row>
    <row r="158" spans="1:146" ht="15.75">
      <c r="A158" s="462">
        <v>822</v>
      </c>
      <c r="B158" s="629" t="s">
        <v>407</v>
      </c>
      <c r="C158" s="624">
        <v>900</v>
      </c>
      <c r="D158" s="626">
        <v>270</v>
      </c>
      <c r="E158" s="611">
        <v>31.59</v>
      </c>
      <c r="F158" s="678">
        <f t="shared" si="45"/>
        <v>30.971699999999998</v>
      </c>
      <c r="G158" s="683">
        <v>1</v>
      </c>
      <c r="H158" s="681">
        <f t="shared" si="46"/>
        <v>3240</v>
      </c>
      <c r="I158" s="623">
        <f t="shared" si="47"/>
        <v>379.08</v>
      </c>
      <c r="J158" s="485"/>
      <c r="K158" s="627">
        <v>0.9</v>
      </c>
      <c r="L158" s="627">
        <f t="shared" si="48"/>
        <v>0.9</v>
      </c>
      <c r="M158" s="627"/>
      <c r="N158" s="609">
        <v>270</v>
      </c>
      <c r="O158" s="610">
        <v>31.588344150729782</v>
      </c>
      <c r="P158" s="617" t="str">
        <f t="shared" si="50"/>
        <v>---</v>
      </c>
      <c r="Q158" s="618">
        <f t="shared" si="51"/>
        <v>-1.6558492702181127E-3</v>
      </c>
      <c r="R158" s="485"/>
      <c r="S158" s="624" t="str">
        <f t="shared" si="52"/>
        <v>OK</v>
      </c>
      <c r="T158" s="451">
        <f>IF(+'2012 Rates'!O345&lt;'2012 Rates'!$B$11,'2012 Rates'!$B$11,+'2012 Rates'!O345)</f>
        <v>34.01</v>
      </c>
      <c r="U158" s="447">
        <f t="shared" si="53"/>
        <v>9.8099232525176161E-2</v>
      </c>
      <c r="V158" s="485"/>
      <c r="W158" s="623">
        <f t="shared" si="54"/>
        <v>408.12</v>
      </c>
      <c r="X158" s="485"/>
      <c r="Y158" s="485"/>
      <c r="Z158" s="485"/>
      <c r="AA158" s="485"/>
      <c r="AB158" s="485"/>
      <c r="AC158" s="485"/>
      <c r="AD158" s="485"/>
      <c r="AE158" s="485"/>
      <c r="AF158" s="485"/>
      <c r="AG158" s="485"/>
      <c r="AH158" s="485"/>
      <c r="AI158" s="485"/>
      <c r="AJ158" s="485"/>
      <c r="AK158" s="485"/>
      <c r="AL158" s="485"/>
      <c r="AM158" s="485"/>
      <c r="AN158" s="485"/>
      <c r="AO158" s="485"/>
      <c r="AP158" s="485"/>
      <c r="AQ158" s="485"/>
      <c r="AR158" s="485"/>
      <c r="AS158" s="485"/>
      <c r="AT158" s="485"/>
      <c r="AU158" s="485"/>
      <c r="AV158" s="485"/>
      <c r="AW158" s="485"/>
      <c r="AX158" s="485"/>
      <c r="AY158" s="485"/>
      <c r="AZ158" s="485"/>
      <c r="BA158" s="485"/>
      <c r="BB158" s="485"/>
      <c r="BC158" s="485"/>
      <c r="BD158" s="485"/>
      <c r="BE158" s="485"/>
      <c r="BF158" s="485"/>
      <c r="BG158" s="485"/>
      <c r="BH158" s="485"/>
      <c r="BI158" s="485"/>
      <c r="BJ158" s="485"/>
      <c r="BK158" s="485"/>
      <c r="BL158" s="485"/>
      <c r="BM158" s="485"/>
      <c r="BN158" s="485"/>
      <c r="BO158" s="485"/>
      <c r="BP158" s="485"/>
      <c r="BQ158" s="485"/>
      <c r="BR158" s="485"/>
      <c r="BS158" s="485"/>
      <c r="BT158" s="485"/>
      <c r="BU158" s="485"/>
      <c r="BV158" s="485"/>
      <c r="BW158" s="485"/>
      <c r="BX158" s="485"/>
      <c r="BY158" s="485"/>
      <c r="BZ158" s="485"/>
      <c r="CA158" s="485"/>
      <c r="CB158" s="485"/>
      <c r="CC158" s="485"/>
      <c r="CD158" s="485"/>
      <c r="CE158" s="485"/>
      <c r="CF158" s="485"/>
      <c r="CG158" s="485"/>
      <c r="CH158" s="485"/>
      <c r="CI158" s="485"/>
      <c r="CJ158" s="485"/>
      <c r="CK158" s="485"/>
      <c r="CL158" s="485"/>
      <c r="CM158" s="485"/>
      <c r="CN158" s="485"/>
      <c r="CO158" s="485"/>
      <c r="CP158" s="485"/>
      <c r="CQ158" s="485"/>
      <c r="CR158" s="485"/>
      <c r="CS158" s="485"/>
      <c r="CT158" s="485"/>
      <c r="CU158" s="485"/>
      <c r="CV158" s="485"/>
      <c r="CW158" s="485"/>
      <c r="CX158" s="485"/>
      <c r="CY158" s="485"/>
      <c r="CZ158" s="485"/>
      <c r="DA158" s="485"/>
      <c r="DB158" s="485"/>
      <c r="DC158" s="485"/>
      <c r="DD158" s="485"/>
      <c r="DE158" s="485"/>
      <c r="DF158" s="485"/>
      <c r="DG158" s="485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  <c r="EO158" s="485"/>
      <c r="EP158" s="485"/>
    </row>
    <row r="159" spans="1:146" ht="15.75">
      <c r="A159" s="591">
        <v>823</v>
      </c>
      <c r="B159" s="630" t="s">
        <v>408</v>
      </c>
      <c r="C159" s="614">
        <v>38.4</v>
      </c>
      <c r="D159" s="609">
        <v>34</v>
      </c>
      <c r="E159" s="610">
        <v>2.96</v>
      </c>
      <c r="F159" s="678">
        <f>E159</f>
        <v>2.96</v>
      </c>
      <c r="G159" s="683">
        <v>1</v>
      </c>
      <c r="H159" s="662">
        <f t="shared" si="46"/>
        <v>408</v>
      </c>
      <c r="I159" s="615">
        <f t="shared" si="47"/>
        <v>35.519999999999996</v>
      </c>
      <c r="J159" s="615"/>
      <c r="K159" s="616">
        <v>3.7999999999999999E-2</v>
      </c>
      <c r="L159" s="616">
        <f t="shared" si="48"/>
        <v>3.7999999999999999E-2</v>
      </c>
      <c r="M159" s="616">
        <f>+L159</f>
        <v>3.7999999999999999E-2</v>
      </c>
      <c r="N159" s="609">
        <v>34</v>
      </c>
      <c r="O159" s="610">
        <v>2.9637800000000003</v>
      </c>
      <c r="P159" s="617" t="str">
        <f t="shared" si="50"/>
        <v>---</v>
      </c>
      <c r="Q159" s="618">
        <f t="shared" si="51"/>
        <v>3.7800000000003386E-3</v>
      </c>
      <c r="R159" s="485"/>
      <c r="S159" s="614" t="str">
        <f t="shared" si="52"/>
        <v>OK</v>
      </c>
      <c r="T159" s="451">
        <f>IF(+'2012 Rates'!O346&lt;'2012 Rates'!$B$11,'2012 Rates'!$B$11,+'2012 Rates'!O346)</f>
        <v>3.2504153814512136</v>
      </c>
      <c r="U159" s="447">
        <f t="shared" si="53"/>
        <v>9.8113304544328983E-2</v>
      </c>
      <c r="V159" s="485" t="s">
        <v>340</v>
      </c>
      <c r="W159" s="623">
        <f t="shared" si="54"/>
        <v>39.004984577414561</v>
      </c>
      <c r="X159" s="485"/>
      <c r="Y159" s="485"/>
      <c r="Z159" s="485"/>
      <c r="AA159" s="485"/>
      <c r="AB159" s="485"/>
      <c r="AC159" s="485"/>
      <c r="AD159" s="485"/>
      <c r="AE159" s="485"/>
      <c r="AF159" s="485"/>
      <c r="AG159" s="485"/>
      <c r="AH159" s="485"/>
      <c r="AI159" s="485"/>
      <c r="AJ159" s="485"/>
      <c r="AK159" s="485"/>
      <c r="AL159" s="485"/>
      <c r="AM159" s="485"/>
      <c r="AN159" s="485"/>
      <c r="AO159" s="485"/>
      <c r="AP159" s="485"/>
      <c r="AQ159" s="485"/>
      <c r="AR159" s="485"/>
      <c r="AS159" s="485"/>
      <c r="AT159" s="485"/>
      <c r="AU159" s="485"/>
      <c r="AV159" s="485"/>
      <c r="AW159" s="485"/>
      <c r="AX159" s="485"/>
      <c r="AY159" s="485"/>
      <c r="AZ159" s="485"/>
      <c r="BA159" s="485"/>
      <c r="BB159" s="485"/>
      <c r="BC159" s="485"/>
      <c r="BD159" s="485"/>
      <c r="BE159" s="485"/>
      <c r="BF159" s="485"/>
      <c r="BG159" s="485"/>
      <c r="BH159" s="485"/>
      <c r="BI159" s="485"/>
      <c r="BJ159" s="485"/>
      <c r="BK159" s="485"/>
      <c r="BL159" s="485"/>
      <c r="BM159" s="485"/>
      <c r="BN159" s="485"/>
      <c r="BO159" s="485"/>
      <c r="BP159" s="485"/>
      <c r="BQ159" s="485"/>
      <c r="BR159" s="485"/>
      <c r="BS159" s="485"/>
      <c r="BT159" s="485"/>
      <c r="BU159" s="485"/>
      <c r="BV159" s="485"/>
      <c r="BW159" s="485"/>
      <c r="BX159" s="485"/>
      <c r="BY159" s="485"/>
      <c r="BZ159" s="485"/>
      <c r="CA159" s="485"/>
      <c r="CB159" s="485"/>
      <c r="CC159" s="485"/>
      <c r="CD159" s="485"/>
      <c r="CE159" s="485"/>
      <c r="CF159" s="485"/>
      <c r="CG159" s="485"/>
      <c r="CH159" s="485"/>
      <c r="CI159" s="485"/>
      <c r="CJ159" s="485"/>
      <c r="CK159" s="485"/>
      <c r="CL159" s="485"/>
      <c r="CM159" s="485"/>
      <c r="CN159" s="485"/>
      <c r="CO159" s="485"/>
      <c r="CP159" s="485"/>
      <c r="CQ159" s="485"/>
      <c r="CR159" s="485"/>
      <c r="CS159" s="485"/>
      <c r="CT159" s="485"/>
      <c r="CU159" s="485"/>
      <c r="CV159" s="485"/>
      <c r="CW159" s="485"/>
      <c r="CX159" s="485"/>
      <c r="CY159" s="485"/>
      <c r="CZ159" s="485"/>
      <c r="DA159" s="485"/>
      <c r="DB159" s="485"/>
      <c r="DC159" s="485"/>
      <c r="DD159" s="485"/>
      <c r="DE159" s="485"/>
      <c r="DF159" s="485"/>
      <c r="DG159" s="485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  <c r="EP159" s="485"/>
    </row>
    <row r="160" spans="1:146" ht="15.75">
      <c r="A160" s="591">
        <v>824</v>
      </c>
      <c r="B160" s="630" t="s">
        <v>409</v>
      </c>
      <c r="C160" s="614"/>
      <c r="D160" s="609">
        <v>0</v>
      </c>
      <c r="E160" s="610">
        <v>12.65</v>
      </c>
      <c r="F160" s="678">
        <f>E160</f>
        <v>12.65</v>
      </c>
      <c r="G160" s="683">
        <v>1</v>
      </c>
      <c r="H160" s="664">
        <f t="shared" si="46"/>
        <v>0</v>
      </c>
      <c r="I160" s="444">
        <f t="shared" si="47"/>
        <v>151.80000000000001</v>
      </c>
      <c r="J160" s="615"/>
      <c r="K160" s="616">
        <v>0</v>
      </c>
      <c r="L160" s="616">
        <f t="shared" si="48"/>
        <v>0</v>
      </c>
      <c r="M160" s="616"/>
      <c r="N160" s="609">
        <v>0</v>
      </c>
      <c r="O160" s="610">
        <v>12.65</v>
      </c>
      <c r="P160" s="617" t="str">
        <f t="shared" si="50"/>
        <v>---</v>
      </c>
      <c r="Q160" s="618" t="str">
        <f t="shared" si="51"/>
        <v>---</v>
      </c>
      <c r="R160" s="615"/>
      <c r="S160" s="614" t="str">
        <f t="shared" si="52"/>
        <v>OK</v>
      </c>
      <c r="T160" s="619">
        <f>+'2012 Rates'!O347</f>
        <v>13.891133302485763</v>
      </c>
      <c r="U160" s="447">
        <f t="shared" si="53"/>
        <v>9.8113304544328983E-2</v>
      </c>
      <c r="V160" s="445" t="s">
        <v>359</v>
      </c>
      <c r="W160" s="623">
        <f t="shared" si="54"/>
        <v>166.69359962982915</v>
      </c>
      <c r="X160" s="485"/>
      <c r="Y160" s="485"/>
      <c r="Z160" s="485"/>
      <c r="AA160" s="485"/>
      <c r="AB160" s="485"/>
      <c r="AC160" s="485"/>
      <c r="AD160" s="485"/>
      <c r="AE160" s="485"/>
      <c r="AF160" s="485"/>
      <c r="AG160" s="485"/>
      <c r="AH160" s="485"/>
      <c r="AI160" s="485"/>
      <c r="AJ160" s="485"/>
      <c r="AK160" s="485"/>
      <c r="AL160" s="485"/>
      <c r="AM160" s="485"/>
      <c r="AN160" s="485"/>
      <c r="AO160" s="485"/>
      <c r="AP160" s="485"/>
      <c r="AQ160" s="485"/>
      <c r="AR160" s="485"/>
      <c r="AS160" s="485"/>
      <c r="AT160" s="485"/>
      <c r="AU160" s="485"/>
      <c r="AV160" s="485"/>
      <c r="AW160" s="485"/>
      <c r="AX160" s="485"/>
      <c r="AY160" s="485"/>
      <c r="AZ160" s="485"/>
      <c r="BA160" s="485"/>
      <c r="BB160" s="485"/>
      <c r="BC160" s="485"/>
      <c r="BD160" s="485"/>
      <c r="BE160" s="485"/>
      <c r="BF160" s="485"/>
      <c r="BG160" s="485"/>
      <c r="BH160" s="485"/>
      <c r="BI160" s="485"/>
      <c r="BJ160" s="485"/>
      <c r="BK160" s="485"/>
      <c r="BL160" s="485"/>
      <c r="BM160" s="485"/>
      <c r="BN160" s="485"/>
      <c r="BO160" s="485"/>
      <c r="BP160" s="485"/>
      <c r="BQ160" s="485"/>
      <c r="BR160" s="485"/>
      <c r="BS160" s="485"/>
      <c r="BT160" s="485"/>
      <c r="BU160" s="485"/>
      <c r="BV160" s="485"/>
      <c r="BW160" s="485"/>
      <c r="BX160" s="485"/>
      <c r="BY160" s="485"/>
      <c r="BZ160" s="485"/>
      <c r="CA160" s="485"/>
      <c r="CB160" s="485"/>
      <c r="CC160" s="485"/>
      <c r="CD160" s="485"/>
      <c r="CE160" s="485"/>
      <c r="CF160" s="485"/>
      <c r="CG160" s="485"/>
      <c r="CH160" s="485"/>
      <c r="CI160" s="485"/>
      <c r="CJ160" s="485"/>
      <c r="CK160" s="485"/>
      <c r="CL160" s="485"/>
      <c r="CM160" s="485"/>
      <c r="CN160" s="485"/>
      <c r="CO160" s="485"/>
      <c r="CP160" s="485"/>
      <c r="CQ160" s="485"/>
      <c r="CR160" s="485"/>
      <c r="CS160" s="485"/>
      <c r="CT160" s="485"/>
      <c r="CU160" s="485"/>
      <c r="CV160" s="485"/>
      <c r="CW160" s="485"/>
      <c r="CX160" s="485"/>
      <c r="CY160" s="485"/>
      <c r="CZ160" s="485"/>
      <c r="DA160" s="485"/>
      <c r="DB160" s="485"/>
      <c r="DC160" s="485"/>
      <c r="DD160" s="485"/>
      <c r="DE160" s="485"/>
      <c r="DF160" s="485"/>
      <c r="DG160" s="485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  <c r="EP160" s="485"/>
    </row>
    <row r="161" spans="1:146" ht="15.75">
      <c r="A161" s="462">
        <v>825</v>
      </c>
      <c r="B161" s="629" t="s">
        <v>415</v>
      </c>
      <c r="C161" s="624">
        <v>3248</v>
      </c>
      <c r="D161" s="626">
        <v>401</v>
      </c>
      <c r="E161" s="611">
        <v>66.72</v>
      </c>
      <c r="F161" s="678">
        <f t="shared" si="45"/>
        <v>65.80171</v>
      </c>
      <c r="G161" s="683">
        <v>1</v>
      </c>
      <c r="H161" s="681">
        <f t="shared" si="46"/>
        <v>4812</v>
      </c>
      <c r="I161" s="623">
        <f t="shared" si="47"/>
        <v>800.64</v>
      </c>
      <c r="J161" s="485"/>
      <c r="K161" s="627">
        <v>3.2480000000000002</v>
      </c>
      <c r="L161" s="627">
        <f t="shared" si="48"/>
        <v>3.2480000000000002</v>
      </c>
      <c r="M161" s="627"/>
      <c r="N161" s="609">
        <v>401</v>
      </c>
      <c r="O161" s="610">
        <v>66.722244460898665</v>
      </c>
      <c r="P161" s="617" t="str">
        <f t="shared" si="50"/>
        <v>---</v>
      </c>
      <c r="Q161" s="618">
        <f t="shared" si="51"/>
        <v>2.2444608986660342E-3</v>
      </c>
      <c r="R161" s="485"/>
      <c r="S161" s="624" t="str">
        <f t="shared" si="52"/>
        <v>OK</v>
      </c>
      <c r="T161" s="451">
        <f>IF(+'2012 Rates'!O348&lt;'2012 Rates'!$B$11,'2012 Rates'!$B$11,+'2012 Rates'!O348)</f>
        <v>72.259999999999991</v>
      </c>
      <c r="U161" s="447">
        <f t="shared" si="53"/>
        <v>9.8147753303067464E-2</v>
      </c>
      <c r="V161" s="485"/>
      <c r="W161" s="623">
        <f t="shared" si="54"/>
        <v>867.11999999999989</v>
      </c>
      <c r="X161" s="485"/>
      <c r="Y161" s="485"/>
      <c r="Z161" s="485"/>
      <c r="AA161" s="485"/>
      <c r="AB161" s="485"/>
      <c r="AC161" s="485"/>
      <c r="AD161" s="485"/>
      <c r="AE161" s="485"/>
      <c r="AF161" s="485"/>
      <c r="AG161" s="485"/>
      <c r="AH161" s="485"/>
      <c r="AI161" s="485"/>
      <c r="AJ161" s="485"/>
      <c r="AK161" s="485"/>
      <c r="AL161" s="485"/>
      <c r="AM161" s="485"/>
      <c r="AN161" s="485"/>
      <c r="AO161" s="485"/>
      <c r="AP161" s="485"/>
      <c r="AQ161" s="485"/>
      <c r="AR161" s="485"/>
      <c r="AS161" s="485"/>
      <c r="AT161" s="485"/>
      <c r="AU161" s="485"/>
      <c r="AV161" s="485"/>
      <c r="AW161" s="485"/>
      <c r="AX161" s="485"/>
      <c r="AY161" s="485"/>
      <c r="AZ161" s="485"/>
      <c r="BA161" s="485"/>
      <c r="BB161" s="485"/>
      <c r="BC161" s="485"/>
      <c r="BD161" s="485"/>
      <c r="BE161" s="485"/>
      <c r="BF161" s="485"/>
      <c r="BG161" s="485"/>
      <c r="BH161" s="485"/>
      <c r="BI161" s="485"/>
      <c r="BJ161" s="485"/>
      <c r="BK161" s="485"/>
      <c r="BL161" s="485"/>
      <c r="BM161" s="485"/>
      <c r="BN161" s="485"/>
      <c r="BO161" s="485"/>
      <c r="BP161" s="485"/>
      <c r="BQ161" s="485"/>
      <c r="BR161" s="485"/>
      <c r="BS161" s="485"/>
      <c r="BT161" s="485"/>
      <c r="BU161" s="485"/>
      <c r="BV161" s="485"/>
      <c r="BW161" s="485"/>
      <c r="BX161" s="485"/>
      <c r="BY161" s="485"/>
      <c r="BZ161" s="485"/>
      <c r="CA161" s="485"/>
      <c r="CB161" s="485"/>
      <c r="CC161" s="485"/>
      <c r="CD161" s="485"/>
      <c r="CE161" s="485"/>
      <c r="CF161" s="485"/>
      <c r="CG161" s="485"/>
      <c r="CH161" s="485"/>
      <c r="CI161" s="485"/>
      <c r="CJ161" s="485"/>
      <c r="CK161" s="485"/>
      <c r="CL161" s="485"/>
      <c r="CM161" s="485"/>
      <c r="CN161" s="485"/>
      <c r="CO161" s="485"/>
      <c r="CP161" s="485"/>
      <c r="CQ161" s="485"/>
      <c r="CR161" s="485"/>
      <c r="CS161" s="485"/>
      <c r="CT161" s="485"/>
      <c r="CU161" s="485"/>
      <c r="CV161" s="485"/>
      <c r="CW161" s="485"/>
      <c r="CX161" s="485"/>
      <c r="CY161" s="485"/>
      <c r="CZ161" s="485"/>
      <c r="DA161" s="485"/>
      <c r="DB161" s="485"/>
      <c r="DC161" s="485"/>
      <c r="DD161" s="485"/>
      <c r="DE161" s="485"/>
      <c r="DF161" s="485"/>
      <c r="DG161" s="485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  <c r="EO161" s="485"/>
      <c r="EP161" s="485"/>
    </row>
    <row r="162" spans="1:146" ht="15.75">
      <c r="A162" s="462">
        <v>826</v>
      </c>
      <c r="B162" s="629" t="s">
        <v>416</v>
      </c>
      <c r="C162" s="624"/>
      <c r="D162" s="626">
        <v>96</v>
      </c>
      <c r="E162" s="611">
        <v>13.19</v>
      </c>
      <c r="F162" s="678">
        <f t="shared" si="45"/>
        <v>12.97016</v>
      </c>
      <c r="G162" s="683"/>
      <c r="H162" s="681">
        <f t="shared" si="46"/>
        <v>0</v>
      </c>
      <c r="I162" s="623">
        <f t="shared" si="47"/>
        <v>0</v>
      </c>
      <c r="J162" s="485"/>
      <c r="K162" s="627">
        <v>0.45</v>
      </c>
      <c r="L162" s="627">
        <f t="shared" si="48"/>
        <v>0</v>
      </c>
      <c r="M162" s="627">
        <f>+L162</f>
        <v>0</v>
      </c>
      <c r="N162" s="609">
        <v>96</v>
      </c>
      <c r="O162" s="610">
        <v>13.186522364703922</v>
      </c>
      <c r="P162" s="617" t="str">
        <f t="shared" si="50"/>
        <v>---</v>
      </c>
      <c r="Q162" s="618">
        <f t="shared" si="51"/>
        <v>-3.4776352960772527E-3</v>
      </c>
      <c r="R162" s="485"/>
      <c r="S162" s="624" t="str">
        <f t="shared" si="52"/>
        <v>OK</v>
      </c>
      <c r="T162" s="451">
        <f>IF(+'2012 Rates'!O349&lt;'2012 Rates'!$B$11,'2012 Rates'!$B$11,+'2012 Rates'!O349)</f>
        <v>14.239999999999998</v>
      </c>
      <c r="U162" s="447">
        <f t="shared" si="53"/>
        <v>9.7904729008740032E-2</v>
      </c>
      <c r="V162" s="485"/>
      <c r="W162" s="623">
        <f t="shared" si="54"/>
        <v>0</v>
      </c>
      <c r="X162" s="485"/>
      <c r="Y162" s="485"/>
      <c r="Z162" s="485"/>
      <c r="AA162" s="485"/>
      <c r="AB162" s="485"/>
      <c r="AC162" s="485"/>
      <c r="AD162" s="485"/>
      <c r="AE162" s="485"/>
      <c r="AF162" s="485"/>
      <c r="AG162" s="485"/>
      <c r="AH162" s="485"/>
      <c r="AI162" s="485"/>
      <c r="AJ162" s="485"/>
      <c r="AK162" s="485"/>
      <c r="AL162" s="485"/>
      <c r="AM162" s="485"/>
      <c r="AN162" s="485"/>
      <c r="AO162" s="485"/>
      <c r="AP162" s="485"/>
      <c r="AQ162" s="485"/>
      <c r="AR162" s="485"/>
      <c r="AS162" s="485"/>
      <c r="AT162" s="485"/>
      <c r="AU162" s="485"/>
      <c r="AV162" s="485"/>
      <c r="AW162" s="485"/>
      <c r="AX162" s="485"/>
      <c r="AY162" s="485"/>
      <c r="AZ162" s="485"/>
      <c r="BA162" s="485"/>
      <c r="BB162" s="485"/>
      <c r="BC162" s="485"/>
      <c r="BD162" s="485"/>
      <c r="BE162" s="485"/>
      <c r="BF162" s="485"/>
      <c r="BG162" s="485"/>
      <c r="BH162" s="485"/>
      <c r="BI162" s="485"/>
      <c r="BJ162" s="485"/>
      <c r="BK162" s="485"/>
      <c r="BL162" s="485"/>
      <c r="BM162" s="485"/>
      <c r="BN162" s="485"/>
      <c r="BO162" s="485"/>
      <c r="BP162" s="485"/>
      <c r="BQ162" s="485"/>
      <c r="BR162" s="485"/>
      <c r="BS162" s="485"/>
      <c r="BT162" s="485"/>
      <c r="BU162" s="485"/>
      <c r="BV162" s="485"/>
      <c r="BW162" s="485"/>
      <c r="BX162" s="485"/>
      <c r="BY162" s="485"/>
      <c r="BZ162" s="485"/>
      <c r="CA162" s="485"/>
      <c r="CB162" s="485"/>
      <c r="CC162" s="485"/>
      <c r="CD162" s="485"/>
      <c r="CE162" s="485"/>
      <c r="CF162" s="485"/>
      <c r="CG162" s="485"/>
      <c r="CH162" s="485"/>
      <c r="CI162" s="485"/>
      <c r="CJ162" s="485"/>
      <c r="CK162" s="485"/>
      <c r="CL162" s="485"/>
      <c r="CM162" s="485"/>
      <c r="CN162" s="485"/>
      <c r="CO162" s="485"/>
      <c r="CP162" s="485"/>
      <c r="CQ162" s="485"/>
      <c r="CR162" s="485"/>
      <c r="CS162" s="485"/>
      <c r="CT162" s="485"/>
      <c r="CU162" s="485"/>
      <c r="CV162" s="485"/>
      <c r="CW162" s="485"/>
      <c r="CX162" s="485"/>
      <c r="CY162" s="485"/>
      <c r="CZ162" s="485"/>
      <c r="DA162" s="485"/>
      <c r="DB162" s="485"/>
      <c r="DC162" s="485"/>
      <c r="DD162" s="485"/>
      <c r="DE162" s="485"/>
      <c r="DF162" s="485"/>
      <c r="DG162" s="485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  <c r="EO162" s="485"/>
      <c r="EP162" s="485"/>
    </row>
    <row r="163" spans="1:146" ht="15.75">
      <c r="A163" s="462">
        <v>827</v>
      </c>
      <c r="B163" s="629" t="s">
        <v>417</v>
      </c>
      <c r="C163" s="624">
        <v>600</v>
      </c>
      <c r="D163" s="626">
        <v>365</v>
      </c>
      <c r="E163" s="611">
        <v>33.43</v>
      </c>
      <c r="F163" s="678">
        <f t="shared" si="45"/>
        <v>32.594149999999999</v>
      </c>
      <c r="G163" s="683">
        <v>3</v>
      </c>
      <c r="H163" s="681">
        <f t="shared" si="46"/>
        <v>13140</v>
      </c>
      <c r="I163" s="623">
        <f t="shared" si="47"/>
        <v>1203.48</v>
      </c>
      <c r="J163" s="485"/>
      <c r="K163" s="627">
        <v>0.6</v>
      </c>
      <c r="L163" s="627">
        <f t="shared" si="48"/>
        <v>1.7999999999999998</v>
      </c>
      <c r="M163" s="627">
        <f>+L163</f>
        <v>1.7999999999999998</v>
      </c>
      <c r="N163" s="609">
        <v>365</v>
      </c>
      <c r="O163" s="610">
        <v>33.429798574134701</v>
      </c>
      <c r="P163" s="617" t="str">
        <f t="shared" si="50"/>
        <v>---</v>
      </c>
      <c r="Q163" s="618">
        <f t="shared" si="51"/>
        <v>-2.0142586529914297E-4</v>
      </c>
      <c r="R163" s="485"/>
      <c r="S163" s="624" t="str">
        <f t="shared" si="52"/>
        <v>OK</v>
      </c>
      <c r="T163" s="451">
        <f>IF(+'2012 Rates'!P350&lt;'2012 Rates'!$B$11,'2012 Rates'!$B$11,+'2012 Rates'!P350)</f>
        <v>35.790000000000006</v>
      </c>
      <c r="U163" s="447">
        <f t="shared" si="53"/>
        <v>9.8049803415643844E-2</v>
      </c>
      <c r="V163" s="485"/>
      <c r="W163" s="623">
        <f t="shared" si="54"/>
        <v>1288.4400000000003</v>
      </c>
      <c r="X163" s="485"/>
      <c r="Y163" s="485"/>
      <c r="Z163" s="485"/>
      <c r="AA163" s="485"/>
      <c r="AB163" s="485"/>
      <c r="AC163" s="485"/>
      <c r="AD163" s="485"/>
      <c r="AE163" s="485"/>
      <c r="AF163" s="485"/>
      <c r="AG163" s="485"/>
      <c r="AH163" s="485"/>
      <c r="AI163" s="485"/>
      <c r="AJ163" s="485"/>
      <c r="AK163" s="485"/>
      <c r="AL163" s="485"/>
      <c r="AM163" s="485"/>
      <c r="AN163" s="485"/>
      <c r="AO163" s="485"/>
      <c r="AP163" s="485"/>
      <c r="AQ163" s="485"/>
      <c r="AR163" s="485"/>
      <c r="AS163" s="485"/>
      <c r="AT163" s="485"/>
      <c r="AU163" s="485"/>
      <c r="AV163" s="485"/>
      <c r="AW163" s="485"/>
      <c r="AX163" s="485"/>
      <c r="AY163" s="485"/>
      <c r="AZ163" s="485"/>
      <c r="BA163" s="485"/>
      <c r="BB163" s="485"/>
      <c r="BC163" s="485"/>
      <c r="BD163" s="485"/>
      <c r="BE163" s="485"/>
      <c r="BF163" s="485"/>
      <c r="BG163" s="485"/>
      <c r="BH163" s="485"/>
      <c r="BI163" s="485"/>
      <c r="BJ163" s="485"/>
      <c r="BK163" s="485"/>
      <c r="BL163" s="485"/>
      <c r="BM163" s="485"/>
      <c r="BN163" s="485"/>
      <c r="BO163" s="485"/>
      <c r="BP163" s="485"/>
      <c r="BQ163" s="485"/>
      <c r="BR163" s="485"/>
      <c r="BS163" s="485"/>
      <c r="BT163" s="485"/>
      <c r="BU163" s="485"/>
      <c r="BV163" s="485"/>
      <c r="BW163" s="485"/>
      <c r="BX163" s="485"/>
      <c r="BY163" s="485"/>
      <c r="BZ163" s="485"/>
      <c r="CA163" s="485"/>
      <c r="CB163" s="485"/>
      <c r="CC163" s="485"/>
      <c r="CD163" s="485"/>
      <c r="CE163" s="485"/>
      <c r="CF163" s="485"/>
      <c r="CG163" s="485"/>
      <c r="CH163" s="485"/>
      <c r="CI163" s="485"/>
      <c r="CJ163" s="485"/>
      <c r="CK163" s="485"/>
      <c r="CL163" s="485"/>
      <c r="CM163" s="485"/>
      <c r="CN163" s="485"/>
      <c r="CO163" s="485"/>
      <c r="CP163" s="485"/>
      <c r="CQ163" s="485"/>
      <c r="CR163" s="485"/>
      <c r="CS163" s="485"/>
      <c r="CT163" s="485"/>
      <c r="CU163" s="485"/>
      <c r="CV163" s="485"/>
      <c r="CW163" s="485"/>
      <c r="CX163" s="485"/>
      <c r="CY163" s="485"/>
      <c r="CZ163" s="485"/>
      <c r="DA163" s="485"/>
      <c r="DB163" s="485"/>
      <c r="DC163" s="485"/>
      <c r="DD163" s="485"/>
      <c r="DE163" s="485"/>
      <c r="DF163" s="485"/>
      <c r="DG163" s="485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  <c r="DU163" s="485"/>
      <c r="DV163" s="485"/>
      <c r="DW163" s="485"/>
      <c r="DX163" s="485"/>
      <c r="DY163" s="485"/>
      <c r="DZ163" s="485"/>
      <c r="EA163" s="485"/>
      <c r="EB163" s="485"/>
      <c r="EC163" s="485"/>
      <c r="ED163" s="485"/>
      <c r="EE163" s="485"/>
      <c r="EF163" s="485"/>
      <c r="EG163" s="485"/>
      <c r="EH163" s="485"/>
      <c r="EI163" s="485"/>
      <c r="EJ163" s="485"/>
      <c r="EK163" s="485"/>
      <c r="EL163" s="485"/>
      <c r="EM163" s="485"/>
      <c r="EN163" s="485"/>
      <c r="EO163" s="485"/>
      <c r="EP163" s="485"/>
    </row>
    <row r="164" spans="1:146" ht="15.75">
      <c r="A164" s="464">
        <v>828</v>
      </c>
      <c r="B164" s="467" t="s">
        <v>418</v>
      </c>
      <c r="C164" s="450">
        <v>2400</v>
      </c>
      <c r="D164" s="440">
        <v>244</v>
      </c>
      <c r="E164" s="459">
        <v>44.71</v>
      </c>
      <c r="F164" s="678">
        <f t="shared" si="45"/>
        <v>44.151240000000001</v>
      </c>
      <c r="G164" s="683">
        <v>2</v>
      </c>
      <c r="H164" s="682">
        <f t="shared" si="46"/>
        <v>5856</v>
      </c>
      <c r="I164" s="442">
        <f t="shared" si="47"/>
        <v>1073.04</v>
      </c>
      <c r="J164" s="445"/>
      <c r="K164" s="443">
        <v>2.4</v>
      </c>
      <c r="L164" s="627">
        <f t="shared" si="48"/>
        <v>4.8</v>
      </c>
      <c r="M164" s="627"/>
      <c r="N164" s="609">
        <v>244</v>
      </c>
      <c r="O164" s="610">
        <v>44.706577676955803</v>
      </c>
      <c r="P164" s="448" t="str">
        <f t="shared" si="50"/>
        <v>---</v>
      </c>
      <c r="Q164" s="449">
        <f t="shared" si="51"/>
        <v>-3.4223230441980945E-3</v>
      </c>
      <c r="R164" s="445"/>
      <c r="S164" s="450" t="str">
        <f t="shared" si="52"/>
        <v>OK</v>
      </c>
      <c r="T164" s="451">
        <f>IF(+'2012 Rates'!O355&lt;'2012 Rates'!$B$11,'2012 Rates'!$B$11,+'2012 Rates'!O355)</f>
        <v>48.47</v>
      </c>
      <c r="U164" s="447">
        <f t="shared" si="53"/>
        <v>9.7817411243715791E-2</v>
      </c>
      <c r="V164" s="642"/>
      <c r="W164" s="623">
        <f t="shared" si="54"/>
        <v>1163.28</v>
      </c>
      <c r="X164" s="485"/>
      <c r="Y164" s="485"/>
      <c r="Z164" s="485"/>
      <c r="AA164" s="485"/>
      <c r="AB164" s="485"/>
      <c r="AC164" s="485"/>
      <c r="AD164" s="485"/>
      <c r="AE164" s="485"/>
      <c r="AF164" s="485"/>
      <c r="AG164" s="485"/>
      <c r="AH164" s="485"/>
      <c r="AI164" s="485"/>
      <c r="AJ164" s="485"/>
      <c r="AK164" s="485"/>
      <c r="AL164" s="485"/>
      <c r="AM164" s="485"/>
      <c r="AN164" s="485"/>
      <c r="AO164" s="485"/>
      <c r="AP164" s="485"/>
      <c r="AQ164" s="485"/>
      <c r="AR164" s="485"/>
      <c r="AS164" s="485"/>
      <c r="AT164" s="485"/>
      <c r="AU164" s="485"/>
      <c r="AV164" s="485"/>
      <c r="AW164" s="485"/>
      <c r="AX164" s="485"/>
      <c r="AY164" s="485"/>
      <c r="AZ164" s="485"/>
      <c r="BA164" s="485"/>
      <c r="BB164" s="485"/>
      <c r="BC164" s="485"/>
      <c r="BD164" s="485"/>
      <c r="BE164" s="485"/>
      <c r="BF164" s="485"/>
      <c r="BG164" s="485"/>
      <c r="BH164" s="485"/>
      <c r="BI164" s="485"/>
      <c r="BJ164" s="485"/>
      <c r="BK164" s="485"/>
      <c r="BL164" s="485"/>
      <c r="BM164" s="485"/>
      <c r="BN164" s="485"/>
      <c r="BO164" s="485"/>
      <c r="BP164" s="485"/>
      <c r="BQ164" s="485"/>
      <c r="BR164" s="485"/>
      <c r="BS164" s="485"/>
      <c r="BT164" s="485"/>
      <c r="BU164" s="485"/>
      <c r="BV164" s="485"/>
      <c r="BW164" s="485"/>
      <c r="BX164" s="485"/>
      <c r="BY164" s="485"/>
      <c r="BZ164" s="485"/>
      <c r="CA164" s="485"/>
      <c r="CB164" s="485"/>
      <c r="CC164" s="485"/>
      <c r="CD164" s="485"/>
      <c r="CE164" s="485"/>
      <c r="CF164" s="485"/>
      <c r="CG164" s="485"/>
      <c r="CH164" s="485"/>
      <c r="CI164" s="485"/>
      <c r="CJ164" s="485"/>
      <c r="CK164" s="485"/>
      <c r="CL164" s="485"/>
      <c r="CM164" s="485"/>
      <c r="CN164" s="485"/>
      <c r="CO164" s="485"/>
      <c r="CP164" s="485"/>
      <c r="CQ164" s="485"/>
      <c r="CR164" s="485"/>
      <c r="CS164" s="485"/>
      <c r="CT164" s="485"/>
      <c r="CU164" s="485"/>
      <c r="CV164" s="485"/>
      <c r="CW164" s="485"/>
      <c r="CX164" s="485"/>
      <c r="CY164" s="485"/>
      <c r="CZ164" s="485"/>
      <c r="DA164" s="485"/>
      <c r="DB164" s="485"/>
      <c r="DC164" s="485"/>
      <c r="DD164" s="485"/>
      <c r="DE164" s="485"/>
      <c r="DF164" s="485"/>
      <c r="DG164" s="485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  <c r="DU164" s="485"/>
      <c r="DV164" s="485"/>
      <c r="DW164" s="485"/>
      <c r="DX164" s="485"/>
      <c r="DY164" s="485"/>
      <c r="DZ164" s="485"/>
      <c r="EA164" s="485"/>
      <c r="EB164" s="485"/>
      <c r="EC164" s="485"/>
      <c r="ED164" s="485"/>
      <c r="EE164" s="485"/>
      <c r="EF164" s="485"/>
      <c r="EG164" s="485"/>
      <c r="EH164" s="485"/>
      <c r="EI164" s="485"/>
      <c r="EJ164" s="485"/>
      <c r="EK164" s="485"/>
      <c r="EL164" s="485"/>
      <c r="EM164" s="485"/>
      <c r="EN164" s="485"/>
      <c r="EO164" s="485"/>
      <c r="EP164" s="485"/>
    </row>
    <row r="165" spans="1:146" ht="15.75">
      <c r="A165" s="591">
        <v>829</v>
      </c>
      <c r="B165" s="630" t="s">
        <v>419</v>
      </c>
      <c r="C165" s="614">
        <v>4.4000000000000004</v>
      </c>
      <c r="D165" s="609">
        <v>34</v>
      </c>
      <c r="E165" s="610">
        <v>2.96</v>
      </c>
      <c r="F165" s="678">
        <f>E165</f>
        <v>2.96</v>
      </c>
      <c r="G165" s="683"/>
      <c r="H165" s="664">
        <f t="shared" si="46"/>
        <v>0</v>
      </c>
      <c r="I165" s="444">
        <f t="shared" si="47"/>
        <v>0</v>
      </c>
      <c r="J165" s="615"/>
      <c r="K165" s="616">
        <v>4.0000000000000001E-3</v>
      </c>
      <c r="L165" s="616">
        <f t="shared" si="48"/>
        <v>0</v>
      </c>
      <c r="M165" s="616"/>
      <c r="N165" s="609">
        <v>34</v>
      </c>
      <c r="O165" s="610">
        <v>2.9637800000000003</v>
      </c>
      <c r="P165" s="617" t="str">
        <f t="shared" si="50"/>
        <v>---</v>
      </c>
      <c r="Q165" s="618">
        <f t="shared" si="51"/>
        <v>3.7800000000003386E-3</v>
      </c>
      <c r="R165" s="615"/>
      <c r="S165" s="614" t="str">
        <f t="shared" si="52"/>
        <v>OK</v>
      </c>
      <c r="T165" s="451">
        <f>IF(+'2012 Rates'!P357&lt;'2012 Rates'!$B$11,'2012 Rates'!$B$11,+'2012 Rates'!P357)</f>
        <v>3.2504153814512136</v>
      </c>
      <c r="U165" s="447">
        <f t="shared" si="53"/>
        <v>9.8113304544328983E-2</v>
      </c>
      <c r="V165" s="485" t="s">
        <v>340</v>
      </c>
      <c r="W165" s="623">
        <f t="shared" si="54"/>
        <v>0</v>
      </c>
      <c r="X165" s="485"/>
      <c r="Y165" s="485"/>
      <c r="Z165" s="485"/>
      <c r="AA165" s="485"/>
      <c r="AB165" s="485"/>
      <c r="AC165" s="485"/>
      <c r="AD165" s="485"/>
      <c r="AE165" s="485"/>
      <c r="AF165" s="485"/>
      <c r="AG165" s="485"/>
      <c r="AH165" s="485"/>
      <c r="AI165" s="485"/>
      <c r="AJ165" s="485"/>
      <c r="AK165" s="485"/>
      <c r="AL165" s="485"/>
      <c r="AM165" s="485"/>
      <c r="AN165" s="485"/>
      <c r="AO165" s="485"/>
      <c r="AP165" s="485"/>
      <c r="AQ165" s="485"/>
      <c r="AR165" s="485"/>
      <c r="AS165" s="485"/>
      <c r="AT165" s="485"/>
      <c r="AU165" s="485"/>
      <c r="AV165" s="485"/>
      <c r="AW165" s="485"/>
      <c r="AX165" s="485"/>
      <c r="AY165" s="485"/>
      <c r="AZ165" s="485"/>
      <c r="BA165" s="485"/>
      <c r="BB165" s="485"/>
      <c r="BC165" s="485"/>
      <c r="BD165" s="485"/>
      <c r="BE165" s="485"/>
      <c r="BF165" s="485"/>
      <c r="BG165" s="485"/>
      <c r="BH165" s="485"/>
      <c r="BI165" s="485"/>
      <c r="BJ165" s="485"/>
      <c r="BK165" s="485"/>
      <c r="BL165" s="485"/>
      <c r="BM165" s="485"/>
      <c r="BN165" s="485"/>
      <c r="BO165" s="485"/>
      <c r="BP165" s="485"/>
      <c r="BQ165" s="485"/>
      <c r="BR165" s="485"/>
      <c r="BS165" s="485"/>
      <c r="BT165" s="485"/>
      <c r="BU165" s="485"/>
      <c r="BV165" s="485"/>
      <c r="BW165" s="485"/>
      <c r="BX165" s="485"/>
      <c r="BY165" s="485"/>
      <c r="BZ165" s="485"/>
      <c r="CA165" s="485"/>
      <c r="CB165" s="485"/>
      <c r="CC165" s="485"/>
      <c r="CD165" s="485"/>
      <c r="CE165" s="485"/>
      <c r="CF165" s="485"/>
      <c r="CG165" s="485"/>
      <c r="CH165" s="485"/>
      <c r="CI165" s="485"/>
      <c r="CJ165" s="485"/>
      <c r="CK165" s="485"/>
      <c r="CL165" s="485"/>
      <c r="CM165" s="485"/>
      <c r="CN165" s="485"/>
      <c r="CO165" s="485"/>
      <c r="CP165" s="485"/>
      <c r="CQ165" s="485"/>
      <c r="CR165" s="485"/>
      <c r="CS165" s="485"/>
      <c r="CT165" s="485"/>
      <c r="CU165" s="485"/>
      <c r="CV165" s="485"/>
      <c r="CW165" s="485"/>
      <c r="CX165" s="485"/>
      <c r="CY165" s="485"/>
      <c r="CZ165" s="485"/>
      <c r="DA165" s="485"/>
      <c r="DB165" s="485"/>
      <c r="DC165" s="485"/>
      <c r="DD165" s="485"/>
      <c r="DE165" s="485"/>
      <c r="DF165" s="485"/>
      <c r="DG165" s="485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  <c r="DU165" s="485"/>
      <c r="DV165" s="485"/>
      <c r="DW165" s="485"/>
      <c r="DX165" s="485"/>
      <c r="DY165" s="485"/>
      <c r="DZ165" s="485"/>
      <c r="EA165" s="485"/>
      <c r="EB165" s="485"/>
      <c r="EC165" s="485"/>
      <c r="ED165" s="485"/>
      <c r="EE165" s="485"/>
      <c r="EF165" s="485"/>
      <c r="EG165" s="485"/>
      <c r="EH165" s="485"/>
      <c r="EI165" s="485"/>
      <c r="EJ165" s="485"/>
      <c r="EK165" s="485"/>
      <c r="EL165" s="485"/>
      <c r="EM165" s="485"/>
      <c r="EN165" s="485"/>
      <c r="EO165" s="485"/>
      <c r="EP165" s="485"/>
    </row>
    <row r="166" spans="1:146" ht="15.75">
      <c r="A166" s="462">
        <v>830</v>
      </c>
      <c r="B166" s="629" t="s">
        <v>420</v>
      </c>
      <c r="C166" s="624">
        <v>871</v>
      </c>
      <c r="D166" s="626">
        <v>61</v>
      </c>
      <c r="E166" s="611">
        <v>13.05</v>
      </c>
      <c r="F166" s="678">
        <f t="shared" si="45"/>
        <v>12.910310000000001</v>
      </c>
      <c r="G166" s="683">
        <v>1</v>
      </c>
      <c r="H166" s="681">
        <f t="shared" si="46"/>
        <v>732</v>
      </c>
      <c r="I166" s="623">
        <f t="shared" si="47"/>
        <v>156.60000000000002</v>
      </c>
      <c r="J166" s="485"/>
      <c r="K166" s="627">
        <v>0.871</v>
      </c>
      <c r="L166" s="627">
        <f t="shared" si="48"/>
        <v>0.871</v>
      </c>
      <c r="M166" s="627"/>
      <c r="N166" s="609">
        <v>61</v>
      </c>
      <c r="O166" s="610">
        <v>13.049144419238951</v>
      </c>
      <c r="P166" s="617" t="str">
        <f t="shared" si="50"/>
        <v>---</v>
      </c>
      <c r="Q166" s="618">
        <f t="shared" si="51"/>
        <v>-8.5558076104952363E-4</v>
      </c>
      <c r="R166" s="485"/>
      <c r="S166" s="624" t="str">
        <f t="shared" si="52"/>
        <v>OK</v>
      </c>
      <c r="T166" s="451">
        <f>IF(+'2012 Rates'!O361&lt;'2012 Rates'!$B$11,'2012 Rates'!$B$11,+'2012 Rates'!O361)</f>
        <v>14.19</v>
      </c>
      <c r="U166" s="447">
        <f t="shared" si="53"/>
        <v>9.9121554788382138E-2</v>
      </c>
      <c r="V166" s="485"/>
      <c r="W166" s="623">
        <f t="shared" si="54"/>
        <v>170.28</v>
      </c>
      <c r="X166" s="485"/>
      <c r="Y166" s="485"/>
      <c r="Z166" s="485"/>
      <c r="AA166" s="485"/>
      <c r="AB166" s="485"/>
      <c r="AC166" s="485"/>
      <c r="AD166" s="485"/>
      <c r="AE166" s="485"/>
      <c r="AF166" s="485"/>
      <c r="AG166" s="485"/>
      <c r="AH166" s="485"/>
      <c r="AI166" s="485"/>
      <c r="AJ166" s="485"/>
      <c r="AK166" s="485"/>
      <c r="AL166" s="485"/>
      <c r="AM166" s="485"/>
      <c r="AN166" s="485"/>
      <c r="AO166" s="485"/>
      <c r="AP166" s="485"/>
      <c r="AQ166" s="485"/>
      <c r="AR166" s="485"/>
      <c r="AS166" s="485"/>
      <c r="AT166" s="485"/>
      <c r="AU166" s="485"/>
      <c r="AV166" s="485"/>
      <c r="AW166" s="485"/>
      <c r="AX166" s="485"/>
      <c r="AY166" s="485"/>
      <c r="AZ166" s="485"/>
      <c r="BA166" s="485"/>
      <c r="BB166" s="485"/>
      <c r="BC166" s="485"/>
      <c r="BD166" s="485"/>
      <c r="BE166" s="485"/>
      <c r="BF166" s="485"/>
      <c r="BG166" s="485"/>
      <c r="BH166" s="485"/>
      <c r="BI166" s="485"/>
      <c r="BJ166" s="485"/>
      <c r="BK166" s="485"/>
      <c r="BL166" s="485"/>
      <c r="BM166" s="485"/>
      <c r="BN166" s="485"/>
      <c r="BO166" s="485"/>
      <c r="BP166" s="485"/>
      <c r="BQ166" s="485"/>
      <c r="BR166" s="485"/>
      <c r="BS166" s="485"/>
      <c r="BT166" s="485"/>
      <c r="BU166" s="485"/>
      <c r="BV166" s="485"/>
      <c r="BW166" s="485"/>
      <c r="BX166" s="485"/>
      <c r="BY166" s="485"/>
      <c r="BZ166" s="485"/>
      <c r="CA166" s="485"/>
      <c r="CB166" s="485"/>
      <c r="CC166" s="485"/>
      <c r="CD166" s="485"/>
      <c r="CE166" s="485"/>
      <c r="CF166" s="485"/>
      <c r="CG166" s="485"/>
      <c r="CH166" s="485"/>
      <c r="CI166" s="485"/>
      <c r="CJ166" s="485"/>
      <c r="CK166" s="485"/>
      <c r="CL166" s="485"/>
      <c r="CM166" s="485"/>
      <c r="CN166" s="485"/>
      <c r="CO166" s="485"/>
      <c r="CP166" s="485"/>
      <c r="CQ166" s="485"/>
      <c r="CR166" s="485"/>
      <c r="CS166" s="485"/>
      <c r="CT166" s="485"/>
      <c r="CU166" s="485"/>
      <c r="CV166" s="485"/>
      <c r="CW166" s="485"/>
      <c r="CX166" s="485"/>
      <c r="CY166" s="485"/>
      <c r="CZ166" s="485"/>
      <c r="DA166" s="485"/>
      <c r="DB166" s="485"/>
      <c r="DC166" s="485"/>
      <c r="DD166" s="485"/>
      <c r="DE166" s="485"/>
      <c r="DF166" s="485"/>
      <c r="DG166" s="485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  <c r="DU166" s="485"/>
      <c r="DV166" s="485"/>
      <c r="DW166" s="485"/>
      <c r="DX166" s="485"/>
      <c r="DY166" s="485"/>
      <c r="DZ166" s="485"/>
      <c r="EA166" s="485"/>
      <c r="EB166" s="485"/>
      <c r="EC166" s="485"/>
      <c r="ED166" s="485"/>
      <c r="EE166" s="485"/>
      <c r="EF166" s="485"/>
      <c r="EG166" s="485"/>
      <c r="EH166" s="485"/>
      <c r="EI166" s="485"/>
      <c r="EJ166" s="485"/>
      <c r="EK166" s="485"/>
      <c r="EL166" s="485"/>
      <c r="EM166" s="485"/>
      <c r="EN166" s="485"/>
      <c r="EO166" s="485"/>
      <c r="EP166" s="485"/>
    </row>
    <row r="167" spans="1:146" ht="15.75">
      <c r="A167" s="462">
        <v>831</v>
      </c>
      <c r="B167" s="629" t="s">
        <v>421</v>
      </c>
      <c r="C167" s="624">
        <v>3140</v>
      </c>
      <c r="D167" s="626">
        <v>1136</v>
      </c>
      <c r="E167" s="611">
        <v>124.59</v>
      </c>
      <c r="F167" s="678">
        <f t="shared" si="45"/>
        <v>121.98856000000001</v>
      </c>
      <c r="G167" s="683"/>
      <c r="H167" s="681">
        <f t="shared" si="46"/>
        <v>0</v>
      </c>
      <c r="I167" s="623">
        <f t="shared" si="47"/>
        <v>0</v>
      </c>
      <c r="J167" s="485"/>
      <c r="K167" s="627">
        <v>3.2309999999999999</v>
      </c>
      <c r="L167" s="627">
        <f t="shared" si="48"/>
        <v>0</v>
      </c>
      <c r="M167" s="627">
        <f>+L167</f>
        <v>0</v>
      </c>
      <c r="N167" s="609">
        <v>1136</v>
      </c>
      <c r="O167" s="610">
        <v>124.58718131566309</v>
      </c>
      <c r="P167" s="617" t="str">
        <f t="shared" si="50"/>
        <v>---</v>
      </c>
      <c r="Q167" s="618">
        <f t="shared" si="51"/>
        <v>-2.8186843369155667E-3</v>
      </c>
      <c r="R167" s="485"/>
      <c r="S167" s="624" t="str">
        <f t="shared" si="52"/>
        <v>OK</v>
      </c>
      <c r="T167" s="451">
        <f>IF(+'2012 Rates'!O366&lt;'2012 Rates'!$B$11,'2012 Rates'!$B$11,+'2012 Rates'!O366)</f>
        <v>133.94999999999999</v>
      </c>
      <c r="U167" s="447">
        <f t="shared" si="53"/>
        <v>9.8053784715550263E-2</v>
      </c>
      <c r="V167" s="485"/>
      <c r="W167" s="623">
        <f t="shared" si="54"/>
        <v>0</v>
      </c>
      <c r="X167" s="485"/>
      <c r="Y167" s="485"/>
      <c r="Z167" s="485"/>
      <c r="AA167" s="485"/>
      <c r="AB167" s="485"/>
      <c r="AC167" s="485"/>
      <c r="AD167" s="485"/>
      <c r="AE167" s="485"/>
      <c r="AF167" s="485"/>
      <c r="AG167" s="485"/>
      <c r="AH167" s="485"/>
      <c r="AI167" s="485"/>
      <c r="AJ167" s="485"/>
      <c r="AK167" s="485"/>
      <c r="AL167" s="485"/>
      <c r="AM167" s="485"/>
      <c r="AN167" s="485"/>
      <c r="AO167" s="485"/>
      <c r="AP167" s="485"/>
      <c r="AQ167" s="485"/>
      <c r="AR167" s="485"/>
      <c r="AS167" s="485"/>
      <c r="AT167" s="485"/>
      <c r="AU167" s="485"/>
      <c r="AV167" s="485"/>
      <c r="AW167" s="485"/>
      <c r="AX167" s="485"/>
      <c r="AY167" s="485"/>
      <c r="AZ167" s="485"/>
      <c r="BA167" s="485"/>
      <c r="BB167" s="485"/>
      <c r="BC167" s="485"/>
      <c r="BD167" s="485"/>
      <c r="BE167" s="485"/>
      <c r="BF167" s="485"/>
      <c r="BG167" s="485"/>
      <c r="BH167" s="485"/>
      <c r="BI167" s="485"/>
      <c r="BJ167" s="485"/>
      <c r="BK167" s="485"/>
      <c r="BL167" s="485"/>
      <c r="BM167" s="485"/>
      <c r="BN167" s="485"/>
      <c r="BO167" s="485"/>
      <c r="BP167" s="485"/>
      <c r="BQ167" s="485"/>
      <c r="BR167" s="485"/>
      <c r="BS167" s="485"/>
      <c r="BT167" s="485"/>
      <c r="BU167" s="485"/>
      <c r="BV167" s="485"/>
      <c r="BW167" s="485"/>
      <c r="BX167" s="485"/>
      <c r="BY167" s="485"/>
      <c r="BZ167" s="485"/>
      <c r="CA167" s="485"/>
      <c r="CB167" s="485"/>
      <c r="CC167" s="485"/>
      <c r="CD167" s="485"/>
      <c r="CE167" s="485"/>
      <c r="CF167" s="485"/>
      <c r="CG167" s="485"/>
      <c r="CH167" s="485"/>
      <c r="CI167" s="485"/>
      <c r="CJ167" s="485"/>
      <c r="CK167" s="485"/>
      <c r="CL167" s="485"/>
      <c r="CM167" s="485"/>
      <c r="CN167" s="485"/>
      <c r="CO167" s="485"/>
      <c r="CP167" s="485"/>
      <c r="CQ167" s="485"/>
      <c r="CR167" s="485"/>
      <c r="CS167" s="485"/>
      <c r="CT167" s="485"/>
      <c r="CU167" s="485"/>
      <c r="CV167" s="485"/>
      <c r="CW167" s="485"/>
      <c r="CX167" s="485"/>
      <c r="CY167" s="485"/>
      <c r="CZ167" s="485"/>
      <c r="DA167" s="485"/>
      <c r="DB167" s="485"/>
      <c r="DC167" s="485"/>
      <c r="DD167" s="485"/>
      <c r="DE167" s="485"/>
      <c r="DF167" s="485"/>
      <c r="DG167" s="485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  <c r="DU167" s="485"/>
      <c r="DV167" s="485"/>
      <c r="DW167" s="485"/>
      <c r="DX167" s="485"/>
      <c r="DY167" s="485"/>
      <c r="DZ167" s="485"/>
      <c r="EA167" s="485"/>
      <c r="EB167" s="485"/>
      <c r="EC167" s="485"/>
      <c r="ED167" s="485"/>
      <c r="EE167" s="485"/>
      <c r="EF167" s="485"/>
      <c r="EG167" s="485"/>
      <c r="EH167" s="485"/>
      <c r="EI167" s="485"/>
      <c r="EJ167" s="485"/>
      <c r="EK167" s="485"/>
      <c r="EL167" s="485"/>
      <c r="EM167" s="485"/>
      <c r="EN167" s="485"/>
      <c r="EO167" s="485"/>
      <c r="EP167" s="485"/>
    </row>
    <row r="168" spans="1:146" ht="15.75">
      <c r="A168" s="462">
        <v>832</v>
      </c>
      <c r="B168" s="629" t="s">
        <v>422</v>
      </c>
      <c r="C168" s="624">
        <v>103</v>
      </c>
      <c r="D168" s="626">
        <v>82</v>
      </c>
      <c r="E168" s="611">
        <v>7.21</v>
      </c>
      <c r="F168" s="678">
        <f t="shared" si="45"/>
        <v>7.0222199999999999</v>
      </c>
      <c r="G168" s="683">
        <v>1</v>
      </c>
      <c r="H168" s="681">
        <f t="shared" si="46"/>
        <v>984</v>
      </c>
      <c r="I168" s="623">
        <f t="shared" si="47"/>
        <v>86.52</v>
      </c>
      <c r="J168" s="485"/>
      <c r="K168" s="627">
        <v>0.113</v>
      </c>
      <c r="L168" s="627">
        <f t="shared" si="48"/>
        <v>0.113</v>
      </c>
      <c r="M168" s="627"/>
      <c r="N168" s="609">
        <v>82</v>
      </c>
      <c r="O168" s="610">
        <v>7.2055711865179353</v>
      </c>
      <c r="P168" s="617" t="str">
        <f t="shared" si="50"/>
        <v>---</v>
      </c>
      <c r="Q168" s="618">
        <f t="shared" si="51"/>
        <v>-4.4288134820646974E-3</v>
      </c>
      <c r="R168" s="485"/>
      <c r="S168" s="624" t="str">
        <f t="shared" si="52"/>
        <v>OK</v>
      </c>
      <c r="T168" s="451">
        <f>IF(+'2012 Rates'!P370&lt;'2012 Rates'!$B$11,'2012 Rates'!$B$11,+'2012 Rates'!P370)</f>
        <v>7.7</v>
      </c>
      <c r="U168" s="447">
        <f t="shared" si="53"/>
        <v>9.6519334341561569E-2</v>
      </c>
      <c r="V168" s="485"/>
      <c r="W168" s="623">
        <f t="shared" si="54"/>
        <v>92.4</v>
      </c>
      <c r="X168" s="485"/>
      <c r="Y168" s="485"/>
      <c r="Z168" s="485"/>
      <c r="AA168" s="485"/>
      <c r="AB168" s="485"/>
      <c r="AC168" s="485"/>
      <c r="AD168" s="485"/>
      <c r="AE168" s="485"/>
      <c r="AF168" s="485"/>
      <c r="AG168" s="485"/>
      <c r="AH168" s="485"/>
      <c r="AI168" s="485"/>
      <c r="AJ168" s="485"/>
      <c r="AK168" s="485"/>
      <c r="AL168" s="485"/>
      <c r="AM168" s="485"/>
      <c r="AN168" s="485"/>
      <c r="AO168" s="485"/>
      <c r="AP168" s="485"/>
      <c r="AQ168" s="485"/>
      <c r="AR168" s="485"/>
      <c r="AS168" s="485"/>
      <c r="AT168" s="485"/>
      <c r="AU168" s="485"/>
      <c r="AV168" s="485"/>
      <c r="AW168" s="485"/>
      <c r="AX168" s="485"/>
      <c r="AY168" s="485"/>
      <c r="AZ168" s="485"/>
      <c r="BA168" s="485"/>
      <c r="BB168" s="485"/>
      <c r="BC168" s="485"/>
      <c r="BD168" s="485"/>
      <c r="BE168" s="485"/>
      <c r="BF168" s="485"/>
      <c r="BG168" s="485"/>
      <c r="BH168" s="485"/>
      <c r="BI168" s="485"/>
      <c r="BJ168" s="485"/>
      <c r="BK168" s="485"/>
      <c r="BL168" s="485"/>
      <c r="BM168" s="485"/>
      <c r="BN168" s="485"/>
      <c r="BO168" s="485"/>
      <c r="BP168" s="485"/>
      <c r="BQ168" s="485"/>
      <c r="BR168" s="485"/>
      <c r="BS168" s="485"/>
      <c r="BT168" s="485"/>
      <c r="BU168" s="485"/>
      <c r="BV168" s="485"/>
      <c r="BW168" s="485"/>
      <c r="BX168" s="485"/>
      <c r="BY168" s="485"/>
      <c r="BZ168" s="485"/>
      <c r="CA168" s="485"/>
      <c r="CB168" s="485"/>
      <c r="CC168" s="485"/>
      <c r="CD168" s="485"/>
      <c r="CE168" s="485"/>
      <c r="CF168" s="485"/>
      <c r="CG168" s="485"/>
      <c r="CH168" s="485"/>
      <c r="CI168" s="485"/>
      <c r="CJ168" s="485"/>
      <c r="CK168" s="485"/>
      <c r="CL168" s="485"/>
      <c r="CM168" s="485"/>
      <c r="CN168" s="485"/>
      <c r="CO168" s="485"/>
      <c r="CP168" s="485"/>
      <c r="CQ168" s="485"/>
      <c r="CR168" s="485"/>
      <c r="CS168" s="485"/>
      <c r="CT168" s="485"/>
      <c r="CU168" s="485"/>
      <c r="CV168" s="485"/>
      <c r="CW168" s="485"/>
      <c r="CX168" s="485"/>
      <c r="CY168" s="485"/>
      <c r="CZ168" s="485"/>
      <c r="DA168" s="485"/>
      <c r="DB168" s="485"/>
      <c r="DC168" s="485"/>
      <c r="DD168" s="485"/>
      <c r="DE168" s="485"/>
      <c r="DF168" s="485"/>
      <c r="DG168" s="485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  <c r="DU168" s="485"/>
      <c r="DV168" s="485"/>
      <c r="DW168" s="485"/>
      <c r="DX168" s="485"/>
      <c r="DY168" s="485"/>
      <c r="DZ168" s="485"/>
      <c r="EA168" s="485"/>
      <c r="EB168" s="485"/>
      <c r="EC168" s="485"/>
      <c r="ED168" s="485"/>
      <c r="EE168" s="485"/>
      <c r="EF168" s="485"/>
      <c r="EG168" s="485"/>
      <c r="EH168" s="485"/>
      <c r="EI168" s="485"/>
      <c r="EJ168" s="485"/>
      <c r="EK168" s="485"/>
      <c r="EL168" s="485"/>
      <c r="EM168" s="485"/>
      <c r="EN168" s="485"/>
      <c r="EO168" s="485"/>
      <c r="EP168" s="485"/>
    </row>
    <row r="169" spans="1:146" ht="15.75">
      <c r="A169" s="468">
        <v>833</v>
      </c>
      <c r="B169" s="643" t="s">
        <v>423</v>
      </c>
      <c r="C169" s="435">
        <v>35</v>
      </c>
      <c r="D169" s="438">
        <v>34</v>
      </c>
      <c r="E169" s="439">
        <v>2.96</v>
      </c>
      <c r="F169" s="678">
        <f>E169</f>
        <v>2.96</v>
      </c>
      <c r="G169" s="683"/>
      <c r="H169" s="681">
        <f t="shared" si="46"/>
        <v>0</v>
      </c>
      <c r="I169" s="623">
        <f t="shared" si="47"/>
        <v>0</v>
      </c>
      <c r="J169" s="626"/>
      <c r="K169" s="627">
        <v>3.5000000000000003E-2</v>
      </c>
      <c r="L169" s="627">
        <f t="shared" si="48"/>
        <v>0</v>
      </c>
      <c r="M169" s="627"/>
      <c r="N169" s="609">
        <v>34</v>
      </c>
      <c r="O169" s="610">
        <v>2.9637800000000003</v>
      </c>
      <c r="P169" s="617" t="str">
        <f t="shared" si="50"/>
        <v>---</v>
      </c>
      <c r="Q169" s="618">
        <f t="shared" si="51"/>
        <v>3.7800000000003386E-3</v>
      </c>
      <c r="R169" s="485"/>
      <c r="S169" s="624" t="str">
        <f t="shared" si="52"/>
        <v>OK</v>
      </c>
      <c r="T169" s="451">
        <f>IF(+'2012 Rates'!P372&lt;'2012 Rates'!$B$11,'2012 Rates'!$B$11,+'2012 Rates'!P372)</f>
        <v>3.2504153814512136</v>
      </c>
      <c r="U169" s="447">
        <f t="shared" si="53"/>
        <v>9.8113304544328983E-2</v>
      </c>
      <c r="V169" s="485"/>
      <c r="W169" s="623">
        <f t="shared" si="54"/>
        <v>0</v>
      </c>
      <c r="X169" s="485"/>
      <c r="Y169" s="485"/>
      <c r="Z169" s="485"/>
      <c r="AA169" s="485"/>
      <c r="AB169" s="485"/>
      <c r="AC169" s="485"/>
      <c r="AD169" s="485"/>
      <c r="AE169" s="485"/>
      <c r="AF169" s="485"/>
      <c r="AG169" s="485"/>
      <c r="AH169" s="485"/>
      <c r="AI169" s="485"/>
      <c r="AJ169" s="485"/>
      <c r="AK169" s="485"/>
      <c r="AL169" s="485"/>
      <c r="AM169" s="485"/>
      <c r="AN169" s="485"/>
      <c r="AO169" s="485"/>
      <c r="AP169" s="485"/>
      <c r="AQ169" s="485"/>
      <c r="AR169" s="485"/>
      <c r="AS169" s="485"/>
      <c r="AT169" s="485"/>
      <c r="AU169" s="485"/>
      <c r="AV169" s="485"/>
      <c r="AW169" s="485"/>
      <c r="AX169" s="485"/>
      <c r="AY169" s="485"/>
      <c r="AZ169" s="485"/>
      <c r="BA169" s="485"/>
      <c r="BB169" s="485"/>
      <c r="BC169" s="485"/>
      <c r="BD169" s="485"/>
      <c r="BE169" s="485"/>
      <c r="BF169" s="485"/>
      <c r="BG169" s="485"/>
      <c r="BH169" s="485"/>
      <c r="BI169" s="485"/>
      <c r="BJ169" s="485"/>
      <c r="BK169" s="485"/>
      <c r="BL169" s="485"/>
      <c r="BM169" s="485"/>
      <c r="BN169" s="485"/>
      <c r="BO169" s="485"/>
      <c r="BP169" s="485"/>
      <c r="BQ169" s="485"/>
      <c r="BR169" s="485"/>
      <c r="BS169" s="485"/>
      <c r="BT169" s="485"/>
      <c r="BU169" s="485"/>
      <c r="BV169" s="485"/>
      <c r="BW169" s="485"/>
      <c r="BX169" s="485"/>
      <c r="BY169" s="485"/>
      <c r="BZ169" s="485"/>
      <c r="CA169" s="485"/>
      <c r="CB169" s="485"/>
      <c r="CC169" s="485"/>
      <c r="CD169" s="485"/>
      <c r="CE169" s="485"/>
      <c r="CF169" s="485"/>
      <c r="CG169" s="485"/>
      <c r="CH169" s="485"/>
      <c r="CI169" s="485"/>
      <c r="CJ169" s="485"/>
      <c r="CK169" s="485"/>
      <c r="CL169" s="485"/>
      <c r="CM169" s="485"/>
      <c r="CN169" s="485"/>
      <c r="CO169" s="485"/>
      <c r="CP169" s="485"/>
      <c r="CQ169" s="485"/>
      <c r="CR169" s="485"/>
      <c r="CS169" s="485"/>
      <c r="CT169" s="485"/>
      <c r="CU169" s="485"/>
      <c r="CV169" s="485"/>
      <c r="CW169" s="485"/>
      <c r="CX169" s="485"/>
      <c r="CY169" s="485"/>
      <c r="CZ169" s="485"/>
      <c r="DA169" s="485"/>
      <c r="DB169" s="485"/>
      <c r="DC169" s="485"/>
      <c r="DD169" s="485"/>
      <c r="DE169" s="485"/>
      <c r="DF169" s="485"/>
      <c r="DG169" s="485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  <c r="DU169" s="485"/>
      <c r="DV169" s="485"/>
      <c r="DW169" s="485"/>
      <c r="DX169" s="485"/>
      <c r="DY169" s="485"/>
      <c r="DZ169" s="485"/>
      <c r="EA169" s="485"/>
      <c r="EB169" s="485"/>
      <c r="EC169" s="485"/>
      <c r="ED169" s="485"/>
      <c r="EE169" s="485"/>
      <c r="EF169" s="485"/>
      <c r="EG169" s="485"/>
      <c r="EH169" s="485"/>
      <c r="EI169" s="485"/>
      <c r="EJ169" s="485"/>
      <c r="EK169" s="485"/>
      <c r="EL169" s="485"/>
      <c r="EM169" s="485"/>
      <c r="EN169" s="485"/>
      <c r="EO169" s="485"/>
      <c r="EP169" s="485"/>
    </row>
    <row r="170" spans="1:146" ht="15.75">
      <c r="A170" s="462"/>
      <c r="B170" s="629"/>
      <c r="C170" s="624"/>
      <c r="D170" s="626"/>
      <c r="E170" s="611"/>
      <c r="F170" s="678"/>
      <c r="G170" s="683"/>
      <c r="H170" s="603"/>
      <c r="I170" s="485"/>
      <c r="J170" s="485"/>
      <c r="K170" s="627"/>
      <c r="L170" s="627"/>
      <c r="M170" s="627"/>
      <c r="N170" s="609"/>
      <c r="O170" s="610"/>
      <c r="P170" s="617"/>
      <c r="Q170" s="618"/>
      <c r="R170" s="485"/>
      <c r="S170" s="624"/>
      <c r="T170" s="613"/>
      <c r="U170" s="447"/>
      <c r="V170" s="485"/>
      <c r="W170" s="623"/>
      <c r="X170" s="485"/>
      <c r="Y170" s="485"/>
      <c r="Z170" s="485"/>
      <c r="AA170" s="485"/>
      <c r="AB170" s="485"/>
      <c r="AC170" s="485"/>
      <c r="AD170" s="485"/>
      <c r="AE170" s="485"/>
      <c r="AF170" s="485"/>
      <c r="AG170" s="485"/>
      <c r="AH170" s="485"/>
      <c r="AI170" s="485"/>
      <c r="AJ170" s="485"/>
      <c r="AK170" s="485"/>
      <c r="AL170" s="485"/>
      <c r="AM170" s="485"/>
      <c r="AN170" s="485"/>
      <c r="AO170" s="485"/>
      <c r="AP170" s="485"/>
      <c r="AQ170" s="485"/>
      <c r="AR170" s="485"/>
      <c r="AS170" s="485"/>
      <c r="AT170" s="485"/>
      <c r="AU170" s="485"/>
      <c r="AV170" s="485"/>
      <c r="AW170" s="485"/>
      <c r="AX170" s="485"/>
      <c r="AY170" s="485"/>
      <c r="AZ170" s="485"/>
      <c r="BA170" s="485"/>
      <c r="BB170" s="485"/>
      <c r="BC170" s="485"/>
      <c r="BD170" s="485"/>
      <c r="BE170" s="485"/>
      <c r="BF170" s="485"/>
      <c r="BG170" s="485"/>
      <c r="BH170" s="485"/>
      <c r="BI170" s="485"/>
      <c r="BJ170" s="485"/>
      <c r="BK170" s="485"/>
      <c r="BL170" s="485"/>
      <c r="BM170" s="485"/>
      <c r="BN170" s="485"/>
      <c r="BO170" s="485"/>
      <c r="BP170" s="485"/>
      <c r="BQ170" s="485"/>
      <c r="BR170" s="485"/>
      <c r="BS170" s="485"/>
      <c r="BT170" s="485"/>
      <c r="BU170" s="485"/>
      <c r="BV170" s="485"/>
      <c r="BW170" s="485"/>
      <c r="BX170" s="485"/>
      <c r="BY170" s="485"/>
      <c r="BZ170" s="485"/>
      <c r="CA170" s="485"/>
      <c r="CB170" s="485"/>
      <c r="CC170" s="485"/>
      <c r="CD170" s="485"/>
      <c r="CE170" s="485"/>
      <c r="CF170" s="485"/>
      <c r="CG170" s="485"/>
      <c r="CH170" s="485"/>
      <c r="CI170" s="485"/>
      <c r="CJ170" s="485"/>
      <c r="CK170" s="485"/>
      <c r="CL170" s="485"/>
      <c r="CM170" s="485"/>
      <c r="CN170" s="485"/>
      <c r="CO170" s="485"/>
      <c r="CP170" s="485"/>
      <c r="CQ170" s="485"/>
      <c r="CR170" s="485"/>
      <c r="CS170" s="485"/>
      <c r="CT170" s="485"/>
      <c r="CU170" s="485"/>
      <c r="CV170" s="485"/>
      <c r="CW170" s="485"/>
      <c r="CX170" s="485"/>
      <c r="CY170" s="485"/>
      <c r="CZ170" s="485"/>
      <c r="DA170" s="485"/>
      <c r="DB170" s="485"/>
      <c r="DC170" s="485"/>
      <c r="DD170" s="485"/>
      <c r="DE170" s="485"/>
      <c r="DF170" s="485"/>
      <c r="DG170" s="485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  <c r="EP170" s="485"/>
    </row>
    <row r="171" spans="1:146" ht="15.75">
      <c r="A171" s="462">
        <v>901</v>
      </c>
      <c r="B171" s="629" t="s">
        <v>393</v>
      </c>
      <c r="C171" s="624">
        <v>2800</v>
      </c>
      <c r="D171" s="626">
        <v>933</v>
      </c>
      <c r="E171" s="611">
        <v>104.5</v>
      </c>
      <c r="F171" s="678">
        <f t="shared" si="45"/>
        <v>102.36342999999999</v>
      </c>
      <c r="G171" s="683">
        <v>4</v>
      </c>
      <c r="H171" s="681">
        <f t="shared" ref="H171:H202" si="55">+D171*G171*12</f>
        <v>44784</v>
      </c>
      <c r="I171" s="623">
        <f t="shared" ref="I171:I182" si="56">+E171*G171*12</f>
        <v>5016</v>
      </c>
      <c r="J171" s="623"/>
      <c r="K171" s="627">
        <v>2.8</v>
      </c>
      <c r="L171" s="627">
        <f t="shared" ref="L171:L202" si="57">G171*K171</f>
        <v>11.2</v>
      </c>
      <c r="M171" s="627"/>
      <c r="N171" s="609">
        <v>933</v>
      </c>
      <c r="O171" s="610">
        <v>104.49838923196623</v>
      </c>
      <c r="P171" s="617" t="str">
        <f t="shared" ref="P171:P202" si="58">IF(N171=D171,"---",N171-D171)</f>
        <v>---</v>
      </c>
      <c r="Q171" s="618">
        <f t="shared" ref="Q171:Q202" si="59">IF(O171=E171,"---",O171-E171)</f>
        <v>-1.6107680337711372E-3</v>
      </c>
      <c r="R171" s="485"/>
      <c r="S171" s="624" t="str">
        <f t="shared" ref="S171:S202" si="60">IF(N171=D171,"OK",N171)</f>
        <v>OK</v>
      </c>
      <c r="T171" s="451">
        <f>IF(+'2012 Rates'!O379&lt;'2012 Rates'!$B$11,'2012 Rates'!$B$11,+'2012 Rates'!O379)</f>
        <v>112.41000000000001</v>
      </c>
      <c r="U171" s="447">
        <f t="shared" si="53"/>
        <v>9.8146085960582052E-2</v>
      </c>
      <c r="V171" s="485"/>
      <c r="W171" s="623">
        <f t="shared" ref="W171:W181" si="61">+G171*T171*12</f>
        <v>5395.68</v>
      </c>
      <c r="X171" s="485"/>
      <c r="Y171" s="485"/>
      <c r="Z171" s="485"/>
      <c r="AA171" s="485"/>
      <c r="AB171" s="485"/>
      <c r="AC171" s="485"/>
      <c r="AD171" s="485"/>
      <c r="AE171" s="485"/>
      <c r="AF171" s="485"/>
      <c r="AG171" s="485"/>
      <c r="AH171" s="485"/>
      <c r="AI171" s="485"/>
      <c r="AJ171" s="485"/>
      <c r="AK171" s="485"/>
      <c r="AL171" s="485"/>
      <c r="AM171" s="485"/>
      <c r="AN171" s="485"/>
      <c r="AO171" s="485"/>
      <c r="AP171" s="485"/>
      <c r="AQ171" s="485"/>
      <c r="AR171" s="485"/>
      <c r="AS171" s="485"/>
      <c r="AT171" s="485"/>
      <c r="AU171" s="485"/>
      <c r="AV171" s="485"/>
      <c r="AW171" s="485"/>
      <c r="AX171" s="485"/>
      <c r="AY171" s="485"/>
      <c r="AZ171" s="485"/>
      <c r="BA171" s="485"/>
      <c r="BB171" s="485"/>
      <c r="BC171" s="485"/>
      <c r="BD171" s="485"/>
      <c r="BE171" s="485"/>
      <c r="BF171" s="485"/>
      <c r="BG171" s="485"/>
      <c r="BH171" s="485"/>
      <c r="BI171" s="485"/>
      <c r="BJ171" s="485"/>
      <c r="BK171" s="485"/>
      <c r="BL171" s="485"/>
      <c r="BM171" s="485"/>
      <c r="BN171" s="485"/>
      <c r="BO171" s="485"/>
      <c r="BP171" s="485"/>
      <c r="BQ171" s="485"/>
      <c r="BR171" s="485"/>
      <c r="BS171" s="485"/>
      <c r="BT171" s="485"/>
      <c r="BU171" s="485"/>
      <c r="BV171" s="485"/>
      <c r="BW171" s="485"/>
      <c r="BX171" s="485"/>
      <c r="BY171" s="485"/>
      <c r="BZ171" s="485"/>
      <c r="CA171" s="485"/>
      <c r="CB171" s="485"/>
      <c r="CC171" s="485"/>
      <c r="CD171" s="485"/>
      <c r="CE171" s="485"/>
      <c r="CF171" s="485"/>
      <c r="CG171" s="485"/>
      <c r="CH171" s="485"/>
      <c r="CI171" s="485"/>
      <c r="CJ171" s="485"/>
      <c r="CK171" s="485"/>
      <c r="CL171" s="485"/>
      <c r="CM171" s="485"/>
      <c r="CN171" s="485"/>
      <c r="CO171" s="485"/>
      <c r="CP171" s="485"/>
      <c r="CQ171" s="485"/>
      <c r="CR171" s="485"/>
      <c r="CS171" s="485"/>
      <c r="CT171" s="485"/>
      <c r="CU171" s="485"/>
      <c r="CV171" s="485"/>
      <c r="CW171" s="485"/>
      <c r="CX171" s="485"/>
      <c r="CY171" s="485"/>
      <c r="CZ171" s="485"/>
      <c r="DA171" s="485"/>
      <c r="DB171" s="485"/>
      <c r="DC171" s="485"/>
      <c r="DD171" s="485"/>
      <c r="DE171" s="485"/>
      <c r="DF171" s="485"/>
      <c r="DG171" s="485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  <c r="EP171" s="485"/>
    </row>
    <row r="172" spans="1:146" ht="15.75">
      <c r="A172" s="462">
        <f t="shared" ref="A172:A203" si="62">+A171+1</f>
        <v>902</v>
      </c>
      <c r="B172" s="629" t="s">
        <v>403</v>
      </c>
      <c r="C172" s="624">
        <v>192</v>
      </c>
      <c r="D172" s="626">
        <v>140</v>
      </c>
      <c r="E172" s="611">
        <v>12.23</v>
      </c>
      <c r="F172" s="678">
        <f t="shared" si="45"/>
        <v>11.9094</v>
      </c>
      <c r="G172" s="683">
        <v>2</v>
      </c>
      <c r="H172" s="681">
        <f t="shared" si="55"/>
        <v>3360</v>
      </c>
      <c r="I172" s="623">
        <f t="shared" si="56"/>
        <v>293.52</v>
      </c>
      <c r="J172" s="623"/>
      <c r="K172" s="627">
        <v>0.192</v>
      </c>
      <c r="L172" s="627">
        <f t="shared" si="57"/>
        <v>0.38400000000000001</v>
      </c>
      <c r="M172" s="627">
        <f>+L172</f>
        <v>0.38400000000000001</v>
      </c>
      <c r="N172" s="609">
        <v>140</v>
      </c>
      <c r="O172" s="610">
        <v>12.229511781859889</v>
      </c>
      <c r="P172" s="617" t="str">
        <f t="shared" si="58"/>
        <v>---</v>
      </c>
      <c r="Q172" s="618">
        <f t="shared" si="59"/>
        <v>-4.8821814011112963E-4</v>
      </c>
      <c r="R172" s="485"/>
      <c r="S172" s="624" t="str">
        <f t="shared" si="60"/>
        <v>OK</v>
      </c>
      <c r="T172" s="451">
        <f>IF(+'2012 Rates'!P380&lt;'2012 Rates'!$B$11,'2012 Rates'!$B$11,+'2012 Rates'!P380)</f>
        <v>13.08</v>
      </c>
      <c r="U172" s="447">
        <f t="shared" si="53"/>
        <v>9.8292105395737739E-2</v>
      </c>
      <c r="V172" s="485"/>
      <c r="W172" s="623">
        <f t="shared" si="61"/>
        <v>313.92</v>
      </c>
      <c r="X172" s="485"/>
      <c r="Y172" s="485"/>
      <c r="Z172" s="485"/>
      <c r="AA172" s="485"/>
      <c r="AB172" s="485"/>
      <c r="AC172" s="485"/>
      <c r="AD172" s="485"/>
      <c r="AE172" s="485"/>
      <c r="AF172" s="485"/>
      <c r="AG172" s="485"/>
      <c r="AH172" s="485"/>
      <c r="AI172" s="485"/>
      <c r="AJ172" s="485"/>
      <c r="AK172" s="485"/>
      <c r="AL172" s="485"/>
      <c r="AM172" s="485"/>
      <c r="AN172" s="485"/>
      <c r="AO172" s="485"/>
      <c r="AP172" s="485"/>
      <c r="AQ172" s="485"/>
      <c r="AR172" s="485"/>
      <c r="AS172" s="485"/>
      <c r="AT172" s="485"/>
      <c r="AU172" s="485"/>
      <c r="AV172" s="485"/>
      <c r="AW172" s="485"/>
      <c r="AX172" s="485"/>
      <c r="AY172" s="485"/>
      <c r="AZ172" s="485"/>
      <c r="BA172" s="485"/>
      <c r="BB172" s="485"/>
      <c r="BC172" s="485"/>
      <c r="BD172" s="485"/>
      <c r="BE172" s="485"/>
      <c r="BF172" s="485"/>
      <c r="BG172" s="485"/>
      <c r="BH172" s="485"/>
      <c r="BI172" s="485"/>
      <c r="BJ172" s="485"/>
      <c r="BK172" s="485"/>
      <c r="BL172" s="485"/>
      <c r="BM172" s="485"/>
      <c r="BN172" s="485"/>
      <c r="BO172" s="485"/>
      <c r="BP172" s="485"/>
      <c r="BQ172" s="485"/>
      <c r="BR172" s="485"/>
      <c r="BS172" s="485"/>
      <c r="BT172" s="485"/>
      <c r="BU172" s="485"/>
      <c r="BV172" s="485"/>
      <c r="BW172" s="485"/>
      <c r="BX172" s="485"/>
      <c r="BY172" s="485"/>
      <c r="BZ172" s="485"/>
      <c r="CA172" s="485"/>
      <c r="CB172" s="485"/>
      <c r="CC172" s="485"/>
      <c r="CD172" s="485"/>
      <c r="CE172" s="485"/>
      <c r="CF172" s="485"/>
      <c r="CG172" s="485"/>
      <c r="CH172" s="485"/>
      <c r="CI172" s="485"/>
      <c r="CJ172" s="485"/>
      <c r="CK172" s="485"/>
      <c r="CL172" s="485"/>
      <c r="CM172" s="485"/>
      <c r="CN172" s="485"/>
      <c r="CO172" s="485"/>
      <c r="CP172" s="485"/>
      <c r="CQ172" s="485"/>
      <c r="CR172" s="485"/>
      <c r="CS172" s="485"/>
      <c r="CT172" s="485"/>
      <c r="CU172" s="485"/>
      <c r="CV172" s="485"/>
      <c r="CW172" s="485"/>
      <c r="CX172" s="485"/>
      <c r="CY172" s="485"/>
      <c r="CZ172" s="485"/>
      <c r="DA172" s="485"/>
      <c r="DB172" s="485"/>
      <c r="DC172" s="485"/>
      <c r="DD172" s="485"/>
      <c r="DE172" s="485"/>
      <c r="DF172" s="485"/>
      <c r="DG172" s="485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  <c r="EP172" s="485"/>
    </row>
    <row r="173" spans="1:146" ht="15.75">
      <c r="A173" s="462">
        <f t="shared" si="62"/>
        <v>903</v>
      </c>
      <c r="B173" s="629" t="s">
        <v>393</v>
      </c>
      <c r="C173" s="624">
        <v>175</v>
      </c>
      <c r="D173" s="626">
        <v>58</v>
      </c>
      <c r="E173" s="611">
        <v>6.5</v>
      </c>
      <c r="F173" s="678">
        <f t="shared" si="45"/>
        <v>6.3671800000000003</v>
      </c>
      <c r="G173" s="683">
        <v>4</v>
      </c>
      <c r="H173" s="681">
        <f t="shared" si="55"/>
        <v>2784</v>
      </c>
      <c r="I173" s="623">
        <f t="shared" si="56"/>
        <v>312</v>
      </c>
      <c r="J173" s="623"/>
      <c r="K173" s="627">
        <v>0.17499999999999999</v>
      </c>
      <c r="L173" s="627">
        <f t="shared" si="57"/>
        <v>0.7</v>
      </c>
      <c r="M173" s="627"/>
      <c r="N173" s="609">
        <v>58</v>
      </c>
      <c r="O173" s="610">
        <v>6.5039405953419527</v>
      </c>
      <c r="P173" s="617" t="str">
        <f t="shared" si="58"/>
        <v>---</v>
      </c>
      <c r="Q173" s="618">
        <f t="shared" si="59"/>
        <v>3.9405953419526796E-3</v>
      </c>
      <c r="R173" s="485"/>
      <c r="S173" s="624" t="str">
        <f t="shared" si="60"/>
        <v>OK</v>
      </c>
      <c r="T173" s="451">
        <f>IF(+'2012 Rates'!O381&lt;'2012 Rates'!$B$11,'2012 Rates'!$B$11,+'2012 Rates'!O381)</f>
        <v>7</v>
      </c>
      <c r="U173" s="447">
        <f t="shared" si="53"/>
        <v>9.938779805188469E-2</v>
      </c>
      <c r="V173" s="485"/>
      <c r="W173" s="623">
        <f t="shared" si="61"/>
        <v>336</v>
      </c>
      <c r="X173" s="485"/>
      <c r="Y173" s="485"/>
      <c r="Z173" s="485"/>
      <c r="AA173" s="485"/>
      <c r="AB173" s="485"/>
      <c r="AC173" s="485"/>
      <c r="AD173" s="485"/>
      <c r="AE173" s="485"/>
      <c r="AF173" s="485"/>
      <c r="AG173" s="485"/>
      <c r="AH173" s="485"/>
      <c r="AI173" s="485"/>
      <c r="AJ173" s="485"/>
      <c r="AK173" s="485"/>
      <c r="AL173" s="485"/>
      <c r="AM173" s="485"/>
      <c r="AN173" s="485"/>
      <c r="AO173" s="485"/>
      <c r="AP173" s="485"/>
      <c r="AQ173" s="485"/>
      <c r="AR173" s="485"/>
      <c r="AS173" s="485"/>
      <c r="AT173" s="485"/>
      <c r="AU173" s="485"/>
      <c r="AV173" s="485"/>
      <c r="AW173" s="485"/>
      <c r="AX173" s="485"/>
      <c r="AY173" s="485"/>
      <c r="AZ173" s="485"/>
      <c r="BA173" s="485"/>
      <c r="BB173" s="485"/>
      <c r="BC173" s="485"/>
      <c r="BD173" s="485"/>
      <c r="BE173" s="485"/>
      <c r="BF173" s="485"/>
      <c r="BG173" s="485"/>
      <c r="BH173" s="485"/>
      <c r="BI173" s="485"/>
      <c r="BJ173" s="485"/>
      <c r="BK173" s="485"/>
      <c r="BL173" s="485"/>
      <c r="BM173" s="485"/>
      <c r="BN173" s="485"/>
      <c r="BO173" s="485"/>
      <c r="BP173" s="485"/>
      <c r="BQ173" s="485"/>
      <c r="BR173" s="485"/>
      <c r="BS173" s="485"/>
      <c r="BT173" s="485"/>
      <c r="BU173" s="485"/>
      <c r="BV173" s="485"/>
      <c r="BW173" s="485"/>
      <c r="BX173" s="485"/>
      <c r="BY173" s="485"/>
      <c r="BZ173" s="485"/>
      <c r="CA173" s="485"/>
      <c r="CB173" s="485"/>
      <c r="CC173" s="485"/>
      <c r="CD173" s="485"/>
      <c r="CE173" s="485"/>
      <c r="CF173" s="485"/>
      <c r="CG173" s="485"/>
      <c r="CH173" s="485"/>
      <c r="CI173" s="485"/>
      <c r="CJ173" s="485"/>
      <c r="CK173" s="485"/>
      <c r="CL173" s="485"/>
      <c r="CM173" s="485"/>
      <c r="CN173" s="485"/>
      <c r="CO173" s="485"/>
      <c r="CP173" s="485"/>
      <c r="CQ173" s="485"/>
      <c r="CR173" s="485"/>
      <c r="CS173" s="485"/>
      <c r="CT173" s="485"/>
      <c r="CU173" s="485"/>
      <c r="CV173" s="485"/>
      <c r="CW173" s="485"/>
      <c r="CX173" s="485"/>
      <c r="CY173" s="485"/>
      <c r="CZ173" s="485"/>
      <c r="DA173" s="485"/>
      <c r="DB173" s="485"/>
      <c r="DC173" s="485"/>
      <c r="DD173" s="485"/>
      <c r="DE173" s="485"/>
      <c r="DF173" s="485"/>
      <c r="DG173" s="485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  <c r="EP173" s="485"/>
    </row>
    <row r="174" spans="1:146" ht="15.75">
      <c r="A174" s="462">
        <f t="shared" si="62"/>
        <v>904</v>
      </c>
      <c r="B174" s="629" t="s">
        <v>393</v>
      </c>
      <c r="C174" s="624">
        <v>250</v>
      </c>
      <c r="D174" s="626">
        <v>83</v>
      </c>
      <c r="E174" s="611">
        <v>9.31</v>
      </c>
      <c r="F174" s="678">
        <f t="shared" si="45"/>
        <v>9.1199300000000001</v>
      </c>
      <c r="G174" s="683">
        <v>5</v>
      </c>
      <c r="H174" s="681">
        <f t="shared" si="55"/>
        <v>4980</v>
      </c>
      <c r="I174" s="623">
        <f t="shared" si="56"/>
        <v>558.6</v>
      </c>
      <c r="J174" s="623"/>
      <c r="K174" s="627">
        <v>0.25</v>
      </c>
      <c r="L174" s="627">
        <f t="shared" si="57"/>
        <v>1.25</v>
      </c>
      <c r="M174" s="627"/>
      <c r="N174" s="609">
        <v>83</v>
      </c>
      <c r="O174" s="610">
        <v>9.3106391278169323</v>
      </c>
      <c r="P174" s="617" t="str">
        <f t="shared" si="58"/>
        <v>---</v>
      </c>
      <c r="Q174" s="618">
        <f t="shared" si="59"/>
        <v>6.3912781693176157E-4</v>
      </c>
      <c r="R174" s="485"/>
      <c r="S174" s="624" t="str">
        <f t="shared" si="60"/>
        <v>OK</v>
      </c>
      <c r="T174" s="451">
        <f>IF(+'2012 Rates'!O382&lt;'2012 Rates'!$B$11,'2012 Rates'!$B$11,+'2012 Rates'!O382)</f>
        <v>10.01</v>
      </c>
      <c r="U174" s="447">
        <f t="shared" si="53"/>
        <v>9.7596143830051219E-2</v>
      </c>
      <c r="V174" s="485"/>
      <c r="W174" s="623">
        <f t="shared" si="61"/>
        <v>600.59999999999991</v>
      </c>
      <c r="X174" s="623"/>
      <c r="Y174" s="485"/>
      <c r="Z174" s="485"/>
      <c r="AA174" s="485"/>
      <c r="AB174" s="485"/>
      <c r="AC174" s="485"/>
      <c r="AD174" s="485"/>
      <c r="AE174" s="485"/>
      <c r="AF174" s="485"/>
      <c r="AG174" s="485"/>
      <c r="AH174" s="485"/>
      <c r="AI174" s="485"/>
      <c r="AJ174" s="485"/>
      <c r="AK174" s="485"/>
      <c r="AL174" s="485"/>
      <c r="AM174" s="485"/>
      <c r="AN174" s="485"/>
      <c r="AO174" s="485"/>
      <c r="AP174" s="485"/>
      <c r="AQ174" s="485"/>
      <c r="AR174" s="485"/>
      <c r="AS174" s="485"/>
      <c r="AT174" s="485"/>
      <c r="AU174" s="485"/>
      <c r="AV174" s="485"/>
      <c r="AW174" s="485"/>
      <c r="AX174" s="485"/>
      <c r="AY174" s="485"/>
      <c r="AZ174" s="485"/>
      <c r="BA174" s="485"/>
      <c r="BB174" s="485"/>
      <c r="BC174" s="485"/>
      <c r="BD174" s="485"/>
      <c r="BE174" s="485"/>
      <c r="BF174" s="485"/>
      <c r="BG174" s="485"/>
      <c r="BH174" s="485"/>
      <c r="BI174" s="485"/>
      <c r="BJ174" s="485"/>
      <c r="BK174" s="485"/>
      <c r="BL174" s="485"/>
      <c r="BM174" s="485"/>
      <c r="BN174" s="485"/>
      <c r="BO174" s="485"/>
      <c r="BP174" s="485"/>
      <c r="BQ174" s="485"/>
      <c r="BR174" s="485"/>
      <c r="BS174" s="485"/>
      <c r="BT174" s="485"/>
      <c r="BU174" s="485"/>
      <c r="BV174" s="485"/>
      <c r="BW174" s="485"/>
      <c r="BX174" s="485"/>
      <c r="BY174" s="485"/>
      <c r="BZ174" s="485"/>
      <c r="CA174" s="485"/>
      <c r="CB174" s="485"/>
      <c r="CC174" s="485"/>
      <c r="CD174" s="485"/>
      <c r="CE174" s="485"/>
      <c r="CF174" s="485"/>
      <c r="CG174" s="485"/>
      <c r="CH174" s="485"/>
      <c r="CI174" s="485"/>
      <c r="CJ174" s="485"/>
      <c r="CK174" s="485"/>
      <c r="CL174" s="485"/>
      <c r="CM174" s="485"/>
      <c r="CN174" s="485"/>
      <c r="CO174" s="485"/>
      <c r="CP174" s="485"/>
      <c r="CQ174" s="485"/>
      <c r="CR174" s="485"/>
      <c r="CS174" s="485"/>
      <c r="CT174" s="485"/>
      <c r="CU174" s="485"/>
      <c r="CV174" s="485"/>
      <c r="CW174" s="485"/>
      <c r="CX174" s="485"/>
      <c r="CY174" s="485"/>
      <c r="CZ174" s="485"/>
      <c r="DA174" s="485"/>
      <c r="DB174" s="485"/>
      <c r="DC174" s="485"/>
      <c r="DD174" s="485"/>
      <c r="DE174" s="485"/>
      <c r="DF174" s="485"/>
      <c r="DG174" s="485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  <c r="EP174" s="485"/>
    </row>
    <row r="175" spans="1:146" ht="15.75">
      <c r="A175" s="462">
        <f t="shared" si="62"/>
        <v>905</v>
      </c>
      <c r="B175" s="629" t="s">
        <v>403</v>
      </c>
      <c r="C175" s="624">
        <v>885</v>
      </c>
      <c r="D175" s="626">
        <v>646</v>
      </c>
      <c r="E175" s="611">
        <v>56.51</v>
      </c>
      <c r="F175" s="678">
        <f t="shared" si="45"/>
        <v>55.030659999999997</v>
      </c>
      <c r="G175" s="683">
        <v>1</v>
      </c>
      <c r="H175" s="681">
        <f t="shared" si="55"/>
        <v>7752</v>
      </c>
      <c r="I175" s="623">
        <f t="shared" si="56"/>
        <v>678.12</v>
      </c>
      <c r="J175" s="623"/>
      <c r="K175" s="627">
        <v>0.88500000000000001</v>
      </c>
      <c r="L175" s="627">
        <f t="shared" si="57"/>
        <v>0.88500000000000001</v>
      </c>
      <c r="M175" s="627">
        <f>+L175</f>
        <v>0.88500000000000001</v>
      </c>
      <c r="N175" s="609">
        <v>646</v>
      </c>
      <c r="O175" s="610">
        <v>56.513890079153484</v>
      </c>
      <c r="P175" s="617" t="str">
        <f t="shared" si="58"/>
        <v>---</v>
      </c>
      <c r="Q175" s="618">
        <f t="shared" si="59"/>
        <v>3.8900791534857149E-3</v>
      </c>
      <c r="R175" s="485"/>
      <c r="S175" s="624" t="str">
        <f t="shared" si="60"/>
        <v>OK</v>
      </c>
      <c r="T175" s="451">
        <f>IF(+'2012 Rates'!P383&lt;'2012 Rates'!$B$11,'2012 Rates'!$B$11,+'2012 Rates'!P383)</f>
        <v>60.42</v>
      </c>
      <c r="U175" s="447">
        <f t="shared" si="53"/>
        <v>9.7933406577351612E-2</v>
      </c>
      <c r="V175" s="485"/>
      <c r="W175" s="623">
        <f t="shared" si="61"/>
        <v>725.04</v>
      </c>
      <c r="X175" s="623"/>
      <c r="Y175" s="485"/>
      <c r="Z175" s="485"/>
      <c r="AA175" s="485"/>
      <c r="AB175" s="485"/>
      <c r="AC175" s="485"/>
      <c r="AD175" s="485"/>
      <c r="AE175" s="485"/>
      <c r="AF175" s="485"/>
      <c r="AG175" s="485"/>
      <c r="AH175" s="485"/>
      <c r="AI175" s="485"/>
      <c r="AJ175" s="485"/>
      <c r="AK175" s="485"/>
      <c r="AL175" s="485"/>
      <c r="AM175" s="485"/>
      <c r="AN175" s="485"/>
      <c r="AO175" s="485"/>
      <c r="AP175" s="485"/>
      <c r="AQ175" s="485"/>
      <c r="AR175" s="485"/>
      <c r="AS175" s="485"/>
      <c r="AT175" s="485"/>
      <c r="AU175" s="485"/>
      <c r="AV175" s="485"/>
      <c r="AW175" s="485"/>
      <c r="AX175" s="485"/>
      <c r="AY175" s="485"/>
      <c r="AZ175" s="485"/>
      <c r="BA175" s="485"/>
      <c r="BB175" s="485"/>
      <c r="BC175" s="485"/>
      <c r="BD175" s="485"/>
      <c r="BE175" s="485"/>
      <c r="BF175" s="485"/>
      <c r="BG175" s="485"/>
      <c r="BH175" s="485"/>
      <c r="BI175" s="485"/>
      <c r="BJ175" s="485"/>
      <c r="BK175" s="485"/>
      <c r="BL175" s="485"/>
      <c r="BM175" s="485"/>
      <c r="BN175" s="485"/>
      <c r="BO175" s="485"/>
      <c r="BP175" s="485"/>
      <c r="BQ175" s="485"/>
      <c r="BR175" s="485"/>
      <c r="BS175" s="485"/>
      <c r="BT175" s="485"/>
      <c r="BU175" s="485"/>
      <c r="BV175" s="485"/>
      <c r="BW175" s="485"/>
      <c r="BX175" s="485"/>
      <c r="BY175" s="485"/>
      <c r="BZ175" s="485"/>
      <c r="CA175" s="485"/>
      <c r="CB175" s="485"/>
      <c r="CC175" s="485"/>
      <c r="CD175" s="485"/>
      <c r="CE175" s="485"/>
      <c r="CF175" s="485"/>
      <c r="CG175" s="485"/>
      <c r="CH175" s="485"/>
      <c r="CI175" s="485"/>
      <c r="CJ175" s="485"/>
      <c r="CK175" s="485"/>
      <c r="CL175" s="485"/>
      <c r="CM175" s="485"/>
      <c r="CN175" s="485"/>
      <c r="CO175" s="485"/>
      <c r="CP175" s="485"/>
      <c r="CQ175" s="485"/>
      <c r="CR175" s="485"/>
      <c r="CS175" s="485"/>
      <c r="CT175" s="485"/>
      <c r="CU175" s="485"/>
      <c r="CV175" s="485"/>
      <c r="CW175" s="485"/>
      <c r="CX175" s="485"/>
      <c r="CY175" s="485"/>
      <c r="CZ175" s="485"/>
      <c r="DA175" s="485"/>
      <c r="DB175" s="485"/>
      <c r="DC175" s="485"/>
      <c r="DD175" s="485"/>
      <c r="DE175" s="485"/>
      <c r="DF175" s="485"/>
      <c r="DG175" s="485"/>
      <c r="DH175" s="485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  <c r="EP175" s="485"/>
    </row>
    <row r="176" spans="1:146" ht="15.75">
      <c r="A176" s="462">
        <f t="shared" si="62"/>
        <v>906</v>
      </c>
      <c r="B176" s="467" t="s">
        <v>424</v>
      </c>
      <c r="C176" s="624">
        <v>768</v>
      </c>
      <c r="D176" s="626">
        <v>140</v>
      </c>
      <c r="E176" s="611">
        <v>20.47</v>
      </c>
      <c r="F176" s="678">
        <f t="shared" si="45"/>
        <v>20.1494</v>
      </c>
      <c r="G176" s="683">
        <v>1</v>
      </c>
      <c r="H176" s="681">
        <f t="shared" si="55"/>
        <v>1680</v>
      </c>
      <c r="I176" s="623">
        <f t="shared" si="56"/>
        <v>245.64</v>
      </c>
      <c r="J176" s="623"/>
      <c r="K176" s="627">
        <v>0.76800000000000002</v>
      </c>
      <c r="L176" s="627">
        <f t="shared" si="57"/>
        <v>0.76800000000000002</v>
      </c>
      <c r="M176" s="627"/>
      <c r="N176" s="609">
        <v>140</v>
      </c>
      <c r="O176" s="610">
        <v>20.469511781859886</v>
      </c>
      <c r="P176" s="617" t="str">
        <f t="shared" si="58"/>
        <v>---</v>
      </c>
      <c r="Q176" s="618">
        <f t="shared" si="59"/>
        <v>-4.8821814011290599E-4</v>
      </c>
      <c r="R176" s="485"/>
      <c r="S176" s="624" t="str">
        <f t="shared" si="60"/>
        <v>OK</v>
      </c>
      <c r="T176" s="451">
        <f>IF(+'2012 Rates'!O384&lt;'2012 Rates'!$B$11,'2012 Rates'!$B$11,+'2012 Rates'!O384)</f>
        <v>22.119999999999997</v>
      </c>
      <c r="U176" s="447">
        <f t="shared" si="53"/>
        <v>9.7799438196670696E-2</v>
      </c>
      <c r="V176" s="485"/>
      <c r="W176" s="623">
        <f t="shared" si="61"/>
        <v>265.43999999999994</v>
      </c>
      <c r="X176" s="623"/>
      <c r="Y176" s="485"/>
      <c r="Z176" s="485"/>
      <c r="AA176" s="485"/>
      <c r="AB176" s="485"/>
      <c r="AC176" s="485"/>
      <c r="AD176" s="485"/>
      <c r="AE176" s="485"/>
      <c r="AF176" s="485"/>
      <c r="AG176" s="485"/>
      <c r="AH176" s="485"/>
      <c r="AI176" s="485"/>
      <c r="AJ176" s="485"/>
      <c r="AK176" s="485"/>
      <c r="AL176" s="485"/>
      <c r="AM176" s="485"/>
      <c r="AN176" s="485"/>
      <c r="AO176" s="485"/>
      <c r="AP176" s="485"/>
      <c r="AQ176" s="485"/>
      <c r="AR176" s="485"/>
      <c r="AS176" s="485"/>
      <c r="AT176" s="485"/>
      <c r="AU176" s="485"/>
      <c r="AV176" s="485"/>
      <c r="AW176" s="485"/>
      <c r="AX176" s="485"/>
      <c r="AY176" s="485"/>
      <c r="AZ176" s="485"/>
      <c r="BA176" s="485"/>
      <c r="BB176" s="485"/>
      <c r="BC176" s="485"/>
      <c r="BD176" s="485"/>
      <c r="BE176" s="485"/>
      <c r="BF176" s="485"/>
      <c r="BG176" s="485"/>
      <c r="BH176" s="485"/>
      <c r="BI176" s="485"/>
      <c r="BJ176" s="485"/>
      <c r="BK176" s="485"/>
      <c r="BL176" s="485"/>
      <c r="BM176" s="485"/>
      <c r="BN176" s="485"/>
      <c r="BO176" s="485"/>
      <c r="BP176" s="485"/>
      <c r="BQ176" s="485"/>
      <c r="BR176" s="485"/>
      <c r="BS176" s="485"/>
      <c r="BT176" s="485"/>
      <c r="BU176" s="485"/>
      <c r="BV176" s="485"/>
      <c r="BW176" s="485"/>
      <c r="BX176" s="485"/>
      <c r="BY176" s="485"/>
      <c r="BZ176" s="485"/>
      <c r="CA176" s="485"/>
      <c r="CB176" s="485"/>
      <c r="CC176" s="485"/>
      <c r="CD176" s="485"/>
      <c r="CE176" s="485"/>
      <c r="CF176" s="485"/>
      <c r="CG176" s="485"/>
      <c r="CH176" s="485"/>
      <c r="CI176" s="485"/>
      <c r="CJ176" s="485"/>
      <c r="CK176" s="485"/>
      <c r="CL176" s="485"/>
      <c r="CM176" s="485"/>
      <c r="CN176" s="485"/>
      <c r="CO176" s="485"/>
      <c r="CP176" s="485"/>
      <c r="CQ176" s="485"/>
      <c r="CR176" s="485"/>
      <c r="CS176" s="485"/>
      <c r="CT176" s="485"/>
      <c r="CU176" s="485"/>
      <c r="CV176" s="485"/>
      <c r="CW176" s="485"/>
      <c r="CX176" s="485"/>
      <c r="CY176" s="485"/>
      <c r="CZ176" s="485"/>
      <c r="DA176" s="485"/>
      <c r="DB176" s="485"/>
      <c r="DC176" s="485"/>
      <c r="DD176" s="485"/>
      <c r="DE176" s="485"/>
      <c r="DF176" s="485"/>
      <c r="DG176" s="485"/>
      <c r="DH176" s="485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  <c r="EP176" s="485"/>
    </row>
    <row r="177" spans="1:146" ht="15.75">
      <c r="A177" s="462">
        <f t="shared" si="62"/>
        <v>907</v>
      </c>
      <c r="B177" s="629" t="s">
        <v>393</v>
      </c>
      <c r="C177" s="624">
        <v>885</v>
      </c>
      <c r="D177" s="626">
        <v>295</v>
      </c>
      <c r="E177" s="611">
        <v>33.049999999999997</v>
      </c>
      <c r="F177" s="678">
        <f t="shared" si="45"/>
        <v>32.374449999999996</v>
      </c>
      <c r="G177" s="683"/>
      <c r="H177" s="681">
        <f t="shared" si="55"/>
        <v>0</v>
      </c>
      <c r="I177" s="623">
        <f t="shared" si="56"/>
        <v>0</v>
      </c>
      <c r="J177" s="623"/>
      <c r="K177" s="627">
        <v>0.88500000000000001</v>
      </c>
      <c r="L177" s="627">
        <f t="shared" si="57"/>
        <v>0</v>
      </c>
      <c r="M177" s="627"/>
      <c r="N177" s="609">
        <v>295</v>
      </c>
      <c r="O177" s="610">
        <v>33.045042683204763</v>
      </c>
      <c r="P177" s="617" t="str">
        <f t="shared" si="58"/>
        <v>---</v>
      </c>
      <c r="Q177" s="618">
        <f t="shared" si="59"/>
        <v>-4.9573167952345898E-3</v>
      </c>
      <c r="R177" s="485"/>
      <c r="S177" s="624" t="str">
        <f t="shared" si="60"/>
        <v>OK</v>
      </c>
      <c r="T177" s="451">
        <f>IF(+'2012 Rates'!O385&lt;'2012 Rates'!$B$11,'2012 Rates'!$B$11,+'2012 Rates'!O385)</f>
        <v>35.54</v>
      </c>
      <c r="U177" s="447">
        <f t="shared" si="53"/>
        <v>9.7779267292571914E-2</v>
      </c>
      <c r="V177" s="485"/>
      <c r="W177" s="623">
        <f t="shared" si="61"/>
        <v>0</v>
      </c>
      <c r="X177" s="623"/>
      <c r="Y177" s="485"/>
      <c r="Z177" s="485"/>
      <c r="AA177" s="485"/>
      <c r="AB177" s="485"/>
      <c r="AC177" s="485"/>
      <c r="AD177" s="485"/>
      <c r="AE177" s="485"/>
      <c r="AF177" s="485"/>
      <c r="AG177" s="485"/>
      <c r="AH177" s="485"/>
      <c r="AI177" s="485"/>
      <c r="AJ177" s="485"/>
      <c r="AK177" s="485"/>
      <c r="AL177" s="485"/>
      <c r="AM177" s="485"/>
      <c r="AN177" s="485"/>
      <c r="AO177" s="485"/>
      <c r="AP177" s="485"/>
      <c r="AQ177" s="485"/>
      <c r="AR177" s="485"/>
      <c r="AS177" s="485"/>
      <c r="AT177" s="485"/>
      <c r="AU177" s="485"/>
      <c r="AV177" s="485"/>
      <c r="AW177" s="485"/>
      <c r="AX177" s="485"/>
      <c r="AY177" s="485"/>
      <c r="AZ177" s="485"/>
      <c r="BA177" s="485"/>
      <c r="BB177" s="485"/>
      <c r="BC177" s="485"/>
      <c r="BD177" s="485"/>
      <c r="BE177" s="485"/>
      <c r="BF177" s="485"/>
      <c r="BG177" s="485"/>
      <c r="BH177" s="485"/>
      <c r="BI177" s="485"/>
      <c r="BJ177" s="485"/>
      <c r="BK177" s="485"/>
      <c r="BL177" s="485"/>
      <c r="BM177" s="485"/>
      <c r="BN177" s="485"/>
      <c r="BO177" s="485"/>
      <c r="BP177" s="485"/>
      <c r="BQ177" s="485"/>
      <c r="BR177" s="485"/>
      <c r="BS177" s="485"/>
      <c r="BT177" s="485"/>
      <c r="BU177" s="485"/>
      <c r="BV177" s="485"/>
      <c r="BW177" s="485"/>
      <c r="BX177" s="485"/>
      <c r="BY177" s="485"/>
      <c r="BZ177" s="485"/>
      <c r="CA177" s="485"/>
      <c r="CB177" s="485"/>
      <c r="CC177" s="485"/>
      <c r="CD177" s="485"/>
      <c r="CE177" s="485"/>
      <c r="CF177" s="485"/>
      <c r="CG177" s="485"/>
      <c r="CH177" s="485"/>
      <c r="CI177" s="485"/>
      <c r="CJ177" s="485"/>
      <c r="CK177" s="485"/>
      <c r="CL177" s="485"/>
      <c r="CM177" s="485"/>
      <c r="CN177" s="485"/>
      <c r="CO177" s="485"/>
      <c r="CP177" s="485"/>
      <c r="CQ177" s="485"/>
      <c r="CR177" s="485"/>
      <c r="CS177" s="485"/>
      <c r="CT177" s="485"/>
      <c r="CU177" s="485"/>
      <c r="CV177" s="485"/>
      <c r="CW177" s="485"/>
      <c r="CX177" s="485"/>
      <c r="CY177" s="485"/>
      <c r="CZ177" s="485"/>
      <c r="DA177" s="485"/>
      <c r="DB177" s="485"/>
      <c r="DC177" s="485"/>
      <c r="DD177" s="485"/>
      <c r="DE177" s="485"/>
      <c r="DF177" s="485"/>
      <c r="DG177" s="485"/>
      <c r="DH177" s="485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  <c r="EP177" s="485"/>
    </row>
    <row r="178" spans="1:146" ht="15.75">
      <c r="A178" s="462">
        <f t="shared" si="62"/>
        <v>908</v>
      </c>
      <c r="B178" s="629" t="s">
        <v>393</v>
      </c>
      <c r="C178" s="624">
        <v>800</v>
      </c>
      <c r="D178" s="626">
        <v>267</v>
      </c>
      <c r="E178" s="611">
        <v>29.87</v>
      </c>
      <c r="F178" s="678">
        <f t="shared" si="45"/>
        <v>29.258570000000002</v>
      </c>
      <c r="G178" s="683">
        <v>4</v>
      </c>
      <c r="H178" s="681">
        <f t="shared" si="55"/>
        <v>12816</v>
      </c>
      <c r="I178" s="623">
        <f t="shared" si="56"/>
        <v>1433.76</v>
      </c>
      <c r="J178" s="623"/>
      <c r="K178" s="627">
        <v>0.8</v>
      </c>
      <c r="L178" s="627">
        <f t="shared" si="57"/>
        <v>3.2</v>
      </c>
      <c r="M178" s="627"/>
      <c r="N178" s="609">
        <v>267</v>
      </c>
      <c r="O178" s="610">
        <v>29.873140326832782</v>
      </c>
      <c r="P178" s="617" t="str">
        <f t="shared" si="58"/>
        <v>---</v>
      </c>
      <c r="Q178" s="618">
        <f t="shared" si="59"/>
        <v>3.140326832781426E-3</v>
      </c>
      <c r="R178" s="485"/>
      <c r="S178" s="624" t="str">
        <f t="shared" si="60"/>
        <v>OK</v>
      </c>
      <c r="T178" s="451">
        <f>IF(+'2012 Rates'!O386&lt;'2012 Rates'!$B$11,'2012 Rates'!$B$11,+'2012 Rates'!O386)</f>
        <v>32.15</v>
      </c>
      <c r="U178" s="447">
        <f t="shared" si="53"/>
        <v>9.8823353294436256E-2</v>
      </c>
      <c r="V178" s="485"/>
      <c r="W178" s="623">
        <f t="shared" si="61"/>
        <v>1543.1999999999998</v>
      </c>
      <c r="X178" s="623"/>
      <c r="Y178" s="485"/>
      <c r="Z178" s="485"/>
      <c r="AA178" s="485"/>
      <c r="AB178" s="485"/>
      <c r="AC178" s="485"/>
      <c r="AD178" s="485"/>
      <c r="AE178" s="485"/>
      <c r="AF178" s="485"/>
      <c r="AG178" s="485"/>
      <c r="AH178" s="485"/>
      <c r="AI178" s="485"/>
      <c r="AJ178" s="485"/>
      <c r="AK178" s="485"/>
      <c r="AL178" s="485"/>
      <c r="AM178" s="485"/>
      <c r="AN178" s="485"/>
      <c r="AO178" s="485"/>
      <c r="AP178" s="485"/>
      <c r="AQ178" s="485"/>
      <c r="AR178" s="485"/>
      <c r="AS178" s="485"/>
      <c r="AT178" s="485"/>
      <c r="AU178" s="485"/>
      <c r="AV178" s="485"/>
      <c r="AW178" s="485"/>
      <c r="AX178" s="485"/>
      <c r="AY178" s="485"/>
      <c r="AZ178" s="485"/>
      <c r="BA178" s="485"/>
      <c r="BB178" s="485"/>
      <c r="BC178" s="485"/>
      <c r="BD178" s="485"/>
      <c r="BE178" s="485"/>
      <c r="BF178" s="485"/>
      <c r="BG178" s="485"/>
      <c r="BH178" s="485"/>
      <c r="BI178" s="485"/>
      <c r="BJ178" s="485"/>
      <c r="BK178" s="485"/>
      <c r="BL178" s="485"/>
      <c r="BM178" s="485"/>
      <c r="BN178" s="485"/>
      <c r="BO178" s="485"/>
      <c r="BP178" s="485"/>
      <c r="BQ178" s="485"/>
      <c r="BR178" s="485"/>
      <c r="BS178" s="485"/>
      <c r="BT178" s="485"/>
      <c r="BU178" s="485"/>
      <c r="BV178" s="485"/>
      <c r="BW178" s="485"/>
      <c r="BX178" s="485"/>
      <c r="BY178" s="485"/>
      <c r="BZ178" s="485"/>
      <c r="CA178" s="485"/>
      <c r="CB178" s="485"/>
      <c r="CC178" s="485"/>
      <c r="CD178" s="485"/>
      <c r="CE178" s="485"/>
      <c r="CF178" s="485"/>
      <c r="CG178" s="485"/>
      <c r="CH178" s="485"/>
      <c r="CI178" s="485"/>
      <c r="CJ178" s="485"/>
      <c r="CK178" s="485"/>
      <c r="CL178" s="485"/>
      <c r="CM178" s="485"/>
      <c r="CN178" s="485"/>
      <c r="CO178" s="485"/>
      <c r="CP178" s="485"/>
      <c r="CQ178" s="485"/>
      <c r="CR178" s="485"/>
      <c r="CS178" s="485"/>
      <c r="CT178" s="485"/>
      <c r="CU178" s="485"/>
      <c r="CV178" s="485"/>
      <c r="CW178" s="485"/>
      <c r="CX178" s="485"/>
      <c r="CY178" s="485"/>
      <c r="CZ178" s="485"/>
      <c r="DA178" s="485"/>
      <c r="DB178" s="485"/>
      <c r="DC178" s="485"/>
      <c r="DD178" s="485"/>
      <c r="DE178" s="485"/>
      <c r="DF178" s="485"/>
      <c r="DG178" s="485"/>
      <c r="DH178" s="485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  <c r="EP178" s="485"/>
    </row>
    <row r="179" spans="1:146" ht="15.75">
      <c r="A179" s="462">
        <f t="shared" si="62"/>
        <v>909</v>
      </c>
      <c r="B179" s="467" t="s">
        <v>425</v>
      </c>
      <c r="C179" s="624">
        <v>420</v>
      </c>
      <c r="D179" s="626">
        <v>13</v>
      </c>
      <c r="E179" s="611">
        <v>4.87</v>
      </c>
      <c r="F179" s="678">
        <f t="shared" si="45"/>
        <v>4.84023</v>
      </c>
      <c r="G179" s="683">
        <v>1</v>
      </c>
      <c r="H179" s="681">
        <f t="shared" si="55"/>
        <v>156</v>
      </c>
      <c r="I179" s="623">
        <f t="shared" si="56"/>
        <v>58.44</v>
      </c>
      <c r="J179" s="623"/>
      <c r="K179" s="627">
        <v>0.42</v>
      </c>
      <c r="L179" s="627">
        <f t="shared" si="57"/>
        <v>0.42</v>
      </c>
      <c r="M179" s="627"/>
      <c r="N179" s="609">
        <v>13</v>
      </c>
      <c r="O179" s="610">
        <v>4.8658832368869884</v>
      </c>
      <c r="P179" s="617" t="str">
        <f t="shared" si="58"/>
        <v>---</v>
      </c>
      <c r="Q179" s="618">
        <f t="shared" si="59"/>
        <v>-4.1167631130116789E-3</v>
      </c>
      <c r="R179" s="485"/>
      <c r="S179" s="624" t="str">
        <f t="shared" si="60"/>
        <v>OK</v>
      </c>
      <c r="T179" s="451">
        <f>IF(+'2012 Rates'!O387&lt;'2012 Rates'!$B$11,'2012 Rates'!$B$11,+'2012 Rates'!O387)</f>
        <v>5.31</v>
      </c>
      <c r="U179" s="447">
        <f t="shared" si="53"/>
        <v>9.7055305223098909E-2</v>
      </c>
      <c r="V179" s="485"/>
      <c r="W179" s="623">
        <f t="shared" si="61"/>
        <v>63.72</v>
      </c>
      <c r="X179" s="623"/>
      <c r="Y179" s="485"/>
      <c r="Z179" s="485"/>
      <c r="AA179" s="485"/>
      <c r="AB179" s="485"/>
      <c r="AC179" s="485"/>
      <c r="AD179" s="485"/>
      <c r="AE179" s="485"/>
      <c r="AF179" s="485"/>
      <c r="AG179" s="485"/>
      <c r="AH179" s="485"/>
      <c r="AI179" s="485"/>
      <c r="AJ179" s="485"/>
      <c r="AK179" s="485"/>
      <c r="AL179" s="485"/>
      <c r="AM179" s="485"/>
      <c r="AN179" s="485"/>
      <c r="AO179" s="485"/>
      <c r="AP179" s="485"/>
      <c r="AQ179" s="485"/>
      <c r="AR179" s="485"/>
      <c r="AS179" s="485"/>
      <c r="AT179" s="485"/>
      <c r="AU179" s="485"/>
      <c r="AV179" s="485"/>
      <c r="AW179" s="485"/>
      <c r="AX179" s="485"/>
      <c r="AY179" s="485"/>
      <c r="AZ179" s="485"/>
      <c r="BA179" s="485"/>
      <c r="BB179" s="485"/>
      <c r="BC179" s="485"/>
      <c r="BD179" s="485"/>
      <c r="BE179" s="485"/>
      <c r="BF179" s="485"/>
      <c r="BG179" s="485"/>
      <c r="BH179" s="485"/>
      <c r="BI179" s="485"/>
      <c r="BJ179" s="485"/>
      <c r="BK179" s="485"/>
      <c r="BL179" s="485"/>
      <c r="BM179" s="485"/>
      <c r="BN179" s="485"/>
      <c r="BO179" s="485"/>
      <c r="BP179" s="485"/>
      <c r="BQ179" s="485"/>
      <c r="BR179" s="485"/>
      <c r="BS179" s="485"/>
      <c r="BT179" s="485"/>
      <c r="BU179" s="485"/>
      <c r="BV179" s="485"/>
      <c r="BW179" s="485"/>
      <c r="BX179" s="485"/>
      <c r="BY179" s="485"/>
      <c r="BZ179" s="485"/>
      <c r="CA179" s="485"/>
      <c r="CB179" s="485"/>
      <c r="CC179" s="485"/>
      <c r="CD179" s="485"/>
      <c r="CE179" s="485"/>
      <c r="CF179" s="485"/>
      <c r="CG179" s="485"/>
      <c r="CH179" s="485"/>
      <c r="CI179" s="485"/>
      <c r="CJ179" s="485"/>
      <c r="CK179" s="485"/>
      <c r="CL179" s="485"/>
      <c r="CM179" s="485"/>
      <c r="CN179" s="485"/>
      <c r="CO179" s="485"/>
      <c r="CP179" s="485"/>
      <c r="CQ179" s="485"/>
      <c r="CR179" s="485"/>
      <c r="CS179" s="485"/>
      <c r="CT179" s="485"/>
      <c r="CU179" s="485"/>
      <c r="CV179" s="485"/>
      <c r="CW179" s="485"/>
      <c r="CX179" s="485"/>
      <c r="CY179" s="485"/>
      <c r="CZ179" s="485"/>
      <c r="DA179" s="485"/>
      <c r="DB179" s="485"/>
      <c r="DC179" s="485"/>
      <c r="DD179" s="485"/>
      <c r="DE179" s="485"/>
      <c r="DF179" s="485"/>
      <c r="DG179" s="485"/>
      <c r="DH179" s="485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  <c r="EP179" s="485"/>
    </row>
    <row r="180" spans="1:146" ht="15.75">
      <c r="A180" s="462">
        <f t="shared" si="62"/>
        <v>910</v>
      </c>
      <c r="B180" s="629" t="s">
        <v>403</v>
      </c>
      <c r="C180" s="624">
        <v>660</v>
      </c>
      <c r="D180" s="626">
        <v>482</v>
      </c>
      <c r="E180" s="611">
        <v>42.15</v>
      </c>
      <c r="F180" s="678">
        <f t="shared" si="45"/>
        <v>41.046219999999998</v>
      </c>
      <c r="G180" s="683">
        <v>2</v>
      </c>
      <c r="H180" s="681">
        <f t="shared" si="55"/>
        <v>11568</v>
      </c>
      <c r="I180" s="623">
        <f t="shared" si="56"/>
        <v>1011.5999999999999</v>
      </c>
      <c r="J180" s="623"/>
      <c r="K180" s="627">
        <v>0.66</v>
      </c>
      <c r="L180" s="627">
        <f t="shared" si="57"/>
        <v>1.32</v>
      </c>
      <c r="M180" s="627">
        <f>+L180</f>
        <v>1.32</v>
      </c>
      <c r="N180" s="609">
        <v>482</v>
      </c>
      <c r="O180" s="610">
        <v>42.152747706117616</v>
      </c>
      <c r="P180" s="617" t="str">
        <f t="shared" si="58"/>
        <v>---</v>
      </c>
      <c r="Q180" s="618">
        <f t="shared" si="59"/>
        <v>2.7477061176170992E-3</v>
      </c>
      <c r="R180" s="485"/>
      <c r="S180" s="624" t="str">
        <f t="shared" si="60"/>
        <v>OK</v>
      </c>
      <c r="T180" s="451">
        <f>IF(+'2012 Rates'!P388&lt;'2012 Rates'!$B$11,'2012 Rates'!$B$11,+'2012 Rates'!P388)</f>
        <v>45.08</v>
      </c>
      <c r="U180" s="447">
        <f t="shared" si="53"/>
        <v>9.8274091987033074E-2</v>
      </c>
      <c r="V180" s="485"/>
      <c r="W180" s="623">
        <f t="shared" si="61"/>
        <v>1081.92</v>
      </c>
      <c r="X180" s="623"/>
      <c r="Y180" s="485"/>
      <c r="Z180" s="485"/>
      <c r="AA180" s="485"/>
      <c r="AB180" s="485"/>
      <c r="AC180" s="485"/>
      <c r="AD180" s="485"/>
      <c r="AE180" s="485"/>
      <c r="AF180" s="485"/>
      <c r="AG180" s="485"/>
      <c r="AH180" s="485"/>
      <c r="AI180" s="485"/>
      <c r="AJ180" s="485"/>
      <c r="AK180" s="485"/>
      <c r="AL180" s="485"/>
      <c r="AM180" s="485"/>
      <c r="AN180" s="485"/>
      <c r="AO180" s="485"/>
      <c r="AP180" s="485"/>
      <c r="AQ180" s="485"/>
      <c r="AR180" s="485"/>
      <c r="AS180" s="485"/>
      <c r="AT180" s="485"/>
      <c r="AU180" s="485"/>
      <c r="AV180" s="485"/>
      <c r="AW180" s="485"/>
      <c r="AX180" s="485"/>
      <c r="AY180" s="485"/>
      <c r="AZ180" s="485"/>
      <c r="BA180" s="485"/>
      <c r="BB180" s="485"/>
      <c r="BC180" s="485"/>
      <c r="BD180" s="485"/>
      <c r="BE180" s="485"/>
      <c r="BF180" s="485"/>
      <c r="BG180" s="485"/>
      <c r="BH180" s="485"/>
      <c r="BI180" s="485"/>
      <c r="BJ180" s="485"/>
      <c r="BK180" s="485"/>
      <c r="BL180" s="485"/>
      <c r="BM180" s="485"/>
      <c r="BN180" s="485"/>
      <c r="BO180" s="485"/>
      <c r="BP180" s="485"/>
      <c r="BQ180" s="485"/>
      <c r="BR180" s="485"/>
      <c r="BS180" s="485"/>
      <c r="BT180" s="485"/>
      <c r="BU180" s="485"/>
      <c r="BV180" s="485"/>
      <c r="BW180" s="485"/>
      <c r="BX180" s="485"/>
      <c r="BY180" s="485"/>
      <c r="BZ180" s="485"/>
      <c r="CA180" s="485"/>
      <c r="CB180" s="485"/>
      <c r="CC180" s="485"/>
      <c r="CD180" s="485"/>
      <c r="CE180" s="485"/>
      <c r="CF180" s="485"/>
      <c r="CG180" s="485"/>
      <c r="CH180" s="485"/>
      <c r="CI180" s="485"/>
      <c r="CJ180" s="485"/>
      <c r="CK180" s="485"/>
      <c r="CL180" s="485"/>
      <c r="CM180" s="485"/>
      <c r="CN180" s="485"/>
      <c r="CO180" s="485"/>
      <c r="CP180" s="485"/>
      <c r="CQ180" s="485"/>
      <c r="CR180" s="485"/>
      <c r="CS180" s="485"/>
      <c r="CT180" s="485"/>
      <c r="CU180" s="485"/>
      <c r="CV180" s="485"/>
      <c r="CW180" s="485"/>
      <c r="CX180" s="485"/>
      <c r="CY180" s="485"/>
      <c r="CZ180" s="485"/>
      <c r="DA180" s="485"/>
      <c r="DB180" s="485"/>
      <c r="DC180" s="485"/>
      <c r="DD180" s="485"/>
      <c r="DE180" s="485"/>
      <c r="DF180" s="485"/>
      <c r="DG180" s="485"/>
      <c r="DH180" s="485"/>
      <c r="DI180" s="485"/>
      <c r="DJ180" s="485"/>
      <c r="DK180" s="485"/>
      <c r="DL180" s="485"/>
      <c r="DM180" s="485"/>
      <c r="DN180" s="485"/>
      <c r="DO180" s="485"/>
      <c r="DP180" s="485"/>
      <c r="DQ180" s="485"/>
      <c r="DR180" s="485"/>
      <c r="DS180" s="485"/>
      <c r="DT180" s="485"/>
      <c r="DU180" s="485"/>
      <c r="DV180" s="485"/>
      <c r="DW180" s="485"/>
      <c r="DX180" s="485"/>
      <c r="DY180" s="485"/>
      <c r="DZ180" s="485"/>
      <c r="EA180" s="485"/>
      <c r="EB180" s="485"/>
      <c r="EC180" s="485"/>
      <c r="ED180" s="485"/>
      <c r="EE180" s="485"/>
      <c r="EF180" s="485"/>
      <c r="EG180" s="485"/>
      <c r="EH180" s="485"/>
      <c r="EI180" s="485"/>
      <c r="EJ180" s="485"/>
      <c r="EK180" s="485"/>
      <c r="EL180" s="485"/>
      <c r="EM180" s="485"/>
      <c r="EN180" s="485"/>
      <c r="EO180" s="485"/>
      <c r="EP180" s="485"/>
    </row>
    <row r="181" spans="1:146" ht="15.75">
      <c r="A181" s="462">
        <f t="shared" si="62"/>
        <v>911</v>
      </c>
      <c r="B181" s="629" t="s">
        <v>403</v>
      </c>
      <c r="C181" s="624">
        <v>75</v>
      </c>
      <c r="D181" s="626">
        <v>55</v>
      </c>
      <c r="E181" s="611">
        <v>4.8099999999999996</v>
      </c>
      <c r="F181" s="678">
        <f t="shared" si="45"/>
        <v>4.6840499999999992</v>
      </c>
      <c r="G181" s="683">
        <v>52</v>
      </c>
      <c r="H181" s="681">
        <f t="shared" si="55"/>
        <v>34320</v>
      </c>
      <c r="I181" s="623">
        <f t="shared" si="56"/>
        <v>3001.4399999999996</v>
      </c>
      <c r="J181" s="623"/>
      <c r="K181" s="627">
        <v>7.4999999999999997E-2</v>
      </c>
      <c r="L181" s="627">
        <f t="shared" si="57"/>
        <v>3.9</v>
      </c>
      <c r="M181" s="627">
        <f>+L181</f>
        <v>3.9</v>
      </c>
      <c r="N181" s="609">
        <v>55</v>
      </c>
      <c r="O181" s="610">
        <v>4.8087367714449556</v>
      </c>
      <c r="P181" s="617" t="str">
        <f t="shared" si="58"/>
        <v>---</v>
      </c>
      <c r="Q181" s="618">
        <f t="shared" si="59"/>
        <v>-1.2632285550440159E-3</v>
      </c>
      <c r="R181" s="485"/>
      <c r="S181" s="624" t="str">
        <f t="shared" si="60"/>
        <v>OK</v>
      </c>
      <c r="T181" s="451">
        <f>IF(+'2012 Rates'!P389&lt;'2012 Rates'!$B$11,'2012 Rates'!$B$11,+'2012 Rates'!P389)</f>
        <v>5.14</v>
      </c>
      <c r="U181" s="447">
        <f t="shared" si="53"/>
        <v>9.7340976291884207E-2</v>
      </c>
      <c r="V181" s="485"/>
      <c r="W181" s="623">
        <f t="shared" si="61"/>
        <v>3207.3599999999997</v>
      </c>
      <c r="X181" s="623"/>
      <c r="Y181" s="485"/>
      <c r="Z181" s="485"/>
      <c r="AA181" s="485"/>
      <c r="AB181" s="485"/>
      <c r="AC181" s="485"/>
      <c r="AD181" s="485"/>
      <c r="AE181" s="485"/>
      <c r="AF181" s="485"/>
      <c r="AG181" s="485"/>
      <c r="AH181" s="485"/>
      <c r="AI181" s="485"/>
      <c r="AJ181" s="485"/>
      <c r="AK181" s="485"/>
      <c r="AL181" s="485"/>
      <c r="AM181" s="485"/>
      <c r="AN181" s="485"/>
      <c r="AO181" s="485"/>
      <c r="AP181" s="485"/>
      <c r="AQ181" s="485"/>
      <c r="AR181" s="485"/>
      <c r="AS181" s="485"/>
      <c r="AT181" s="485"/>
      <c r="AU181" s="485"/>
      <c r="AV181" s="485"/>
      <c r="AW181" s="485"/>
      <c r="AX181" s="485"/>
      <c r="AY181" s="485"/>
      <c r="AZ181" s="485"/>
      <c r="BA181" s="485"/>
      <c r="BB181" s="485"/>
      <c r="BC181" s="485"/>
      <c r="BD181" s="485"/>
      <c r="BE181" s="485"/>
      <c r="BF181" s="485"/>
      <c r="BG181" s="485"/>
      <c r="BH181" s="485"/>
      <c r="BI181" s="485"/>
      <c r="BJ181" s="485"/>
      <c r="BK181" s="485"/>
      <c r="BL181" s="485"/>
      <c r="BM181" s="485"/>
      <c r="BN181" s="485"/>
      <c r="BO181" s="485"/>
      <c r="BP181" s="485"/>
      <c r="BQ181" s="485"/>
      <c r="BR181" s="485"/>
      <c r="BS181" s="485"/>
      <c r="BT181" s="485"/>
      <c r="BU181" s="485"/>
      <c r="BV181" s="485"/>
      <c r="BW181" s="485"/>
      <c r="BX181" s="485"/>
      <c r="BY181" s="485"/>
      <c r="BZ181" s="485"/>
      <c r="CA181" s="485"/>
      <c r="CB181" s="485"/>
      <c r="CC181" s="485"/>
      <c r="CD181" s="485"/>
      <c r="CE181" s="485"/>
      <c r="CF181" s="485"/>
      <c r="CG181" s="485"/>
      <c r="CH181" s="485"/>
      <c r="CI181" s="485"/>
      <c r="CJ181" s="485"/>
      <c r="CK181" s="485"/>
      <c r="CL181" s="485"/>
      <c r="CM181" s="485"/>
      <c r="CN181" s="485"/>
      <c r="CO181" s="485"/>
      <c r="CP181" s="485"/>
      <c r="CQ181" s="485"/>
      <c r="CR181" s="485"/>
      <c r="CS181" s="485"/>
      <c r="CT181" s="485"/>
      <c r="CU181" s="485"/>
      <c r="CV181" s="485"/>
      <c r="CW181" s="485"/>
      <c r="CX181" s="485"/>
      <c r="CY181" s="485"/>
      <c r="CZ181" s="485"/>
      <c r="DA181" s="485"/>
      <c r="DB181" s="485"/>
      <c r="DC181" s="485"/>
      <c r="DD181" s="485"/>
      <c r="DE181" s="485"/>
      <c r="DF181" s="485"/>
      <c r="DG181" s="485"/>
      <c r="DH181" s="485"/>
      <c r="DI181" s="485"/>
      <c r="DJ181" s="485"/>
      <c r="DK181" s="485"/>
      <c r="DL181" s="485"/>
      <c r="DM181" s="485"/>
      <c r="DN181" s="485"/>
      <c r="DO181" s="485"/>
      <c r="DP181" s="485"/>
      <c r="DQ181" s="485"/>
      <c r="DR181" s="485"/>
      <c r="DS181" s="485"/>
      <c r="DT181" s="485"/>
      <c r="DU181" s="485"/>
      <c r="DV181" s="485"/>
      <c r="DW181" s="485"/>
      <c r="DX181" s="485"/>
      <c r="DY181" s="485"/>
      <c r="DZ181" s="485"/>
      <c r="EA181" s="485"/>
      <c r="EB181" s="485"/>
      <c r="EC181" s="485"/>
      <c r="ED181" s="485"/>
      <c r="EE181" s="485"/>
      <c r="EF181" s="485"/>
      <c r="EG181" s="485"/>
      <c r="EH181" s="485"/>
      <c r="EI181" s="485"/>
      <c r="EJ181" s="485"/>
      <c r="EK181" s="485"/>
      <c r="EL181" s="485"/>
      <c r="EM181" s="485"/>
      <c r="EN181" s="485"/>
      <c r="EO181" s="485"/>
      <c r="EP181" s="485"/>
    </row>
    <row r="182" spans="1:146" ht="15.75">
      <c r="A182" s="462">
        <f t="shared" si="62"/>
        <v>912</v>
      </c>
      <c r="B182" s="644" t="s">
        <v>426</v>
      </c>
      <c r="C182" s="624">
        <v>400</v>
      </c>
      <c r="D182" s="626">
        <v>0</v>
      </c>
      <c r="E182" s="611">
        <v>9.02</v>
      </c>
      <c r="F182" s="678">
        <f t="shared" si="45"/>
        <v>9.02</v>
      </c>
      <c r="G182" s="683">
        <v>70</v>
      </c>
      <c r="H182" s="681">
        <f t="shared" si="55"/>
        <v>0</v>
      </c>
      <c r="I182" s="623">
        <f t="shared" si="56"/>
        <v>7576.7999999999993</v>
      </c>
      <c r="J182" s="623">
        <f>+E182*G182*12</f>
        <v>7576.7999999999993</v>
      </c>
      <c r="K182" s="627">
        <v>0</v>
      </c>
      <c r="L182" s="627">
        <f t="shared" si="57"/>
        <v>0</v>
      </c>
      <c r="M182" s="627"/>
      <c r="N182" s="609">
        <v>0</v>
      </c>
      <c r="O182" s="610">
        <v>9.02</v>
      </c>
      <c r="P182" s="617" t="str">
        <f t="shared" si="58"/>
        <v>---</v>
      </c>
      <c r="Q182" s="618" t="str">
        <f t="shared" si="59"/>
        <v>---</v>
      </c>
      <c r="R182" s="485"/>
      <c r="S182" s="624" t="str">
        <f t="shared" si="60"/>
        <v>OK</v>
      </c>
      <c r="T182" s="451">
        <f>IF(+'2012 Rates'!O390&lt;'2012 Rates'!$B$11,'2012 Rates'!$B$11,+'2012 Rates'!O390)</f>
        <v>7.6836489370924923</v>
      </c>
      <c r="U182" s="447">
        <f t="shared" si="53"/>
        <v>-0.14815421983453514</v>
      </c>
      <c r="V182" s="485" t="s">
        <v>427</v>
      </c>
      <c r="W182" s="623">
        <v>0</v>
      </c>
      <c r="X182" s="444">
        <f>+G182*T182*12</f>
        <v>6454.2651071576929</v>
      </c>
      <c r="Y182" s="485"/>
      <c r="Z182" s="485"/>
      <c r="AA182" s="485"/>
      <c r="AB182" s="485"/>
      <c r="AC182" s="485"/>
      <c r="AD182" s="485"/>
      <c r="AE182" s="485"/>
      <c r="AF182" s="485"/>
      <c r="AG182" s="485"/>
      <c r="AH182" s="485"/>
      <c r="AI182" s="485"/>
      <c r="AJ182" s="485"/>
      <c r="AK182" s="485"/>
      <c r="AL182" s="485"/>
      <c r="AM182" s="485"/>
      <c r="AN182" s="485"/>
      <c r="AO182" s="485"/>
      <c r="AP182" s="485"/>
      <c r="AQ182" s="485"/>
      <c r="AR182" s="485"/>
      <c r="AS182" s="485"/>
      <c r="AT182" s="485"/>
      <c r="AU182" s="485"/>
      <c r="AV182" s="485"/>
      <c r="AW182" s="485"/>
      <c r="AX182" s="485"/>
      <c r="AY182" s="485"/>
      <c r="AZ182" s="485"/>
      <c r="BA182" s="485"/>
      <c r="BB182" s="485"/>
      <c r="BC182" s="485"/>
      <c r="BD182" s="485"/>
      <c r="BE182" s="485"/>
      <c r="BF182" s="485"/>
      <c r="BG182" s="485"/>
      <c r="BH182" s="485"/>
      <c r="BI182" s="485"/>
      <c r="BJ182" s="485"/>
      <c r="BK182" s="485"/>
      <c r="BL182" s="485"/>
      <c r="BM182" s="485"/>
      <c r="BN182" s="485"/>
      <c r="BO182" s="485"/>
      <c r="BP182" s="485"/>
      <c r="BQ182" s="485"/>
      <c r="BR182" s="485"/>
      <c r="BS182" s="485"/>
      <c r="BT182" s="485"/>
      <c r="BU182" s="485"/>
      <c r="BV182" s="485"/>
      <c r="BW182" s="485"/>
      <c r="BX182" s="485"/>
      <c r="BY182" s="485"/>
      <c r="BZ182" s="485"/>
      <c r="CA182" s="485"/>
      <c r="CB182" s="485"/>
      <c r="CC182" s="485"/>
      <c r="CD182" s="485"/>
      <c r="CE182" s="485"/>
      <c r="CF182" s="485"/>
      <c r="CG182" s="485"/>
      <c r="CH182" s="485"/>
      <c r="CI182" s="485"/>
      <c r="CJ182" s="485"/>
      <c r="CK182" s="485"/>
      <c r="CL182" s="485"/>
      <c r="CM182" s="485"/>
      <c r="CN182" s="485"/>
      <c r="CO182" s="485"/>
      <c r="CP182" s="485"/>
      <c r="CQ182" s="485"/>
      <c r="CR182" s="485"/>
      <c r="CS182" s="485"/>
      <c r="CT182" s="485"/>
      <c r="CU182" s="485"/>
      <c r="CV182" s="485"/>
      <c r="CW182" s="485"/>
      <c r="CX182" s="485"/>
      <c r="CY182" s="485"/>
      <c r="CZ182" s="485"/>
      <c r="DA182" s="485"/>
      <c r="DB182" s="485"/>
      <c r="DC182" s="485"/>
      <c r="DD182" s="485"/>
      <c r="DE182" s="485"/>
      <c r="DF182" s="485"/>
      <c r="DG182" s="485"/>
      <c r="DH182" s="485"/>
      <c r="DI182" s="485"/>
      <c r="DJ182" s="485"/>
      <c r="DK182" s="485"/>
      <c r="DL182" s="485"/>
      <c r="DM182" s="485"/>
      <c r="DN182" s="485"/>
      <c r="DO182" s="485"/>
      <c r="DP182" s="485"/>
      <c r="DQ182" s="485"/>
      <c r="DR182" s="485"/>
      <c r="DS182" s="485"/>
      <c r="DT182" s="485"/>
      <c r="DU182" s="485"/>
      <c r="DV182" s="485"/>
      <c r="DW182" s="485"/>
      <c r="DX182" s="485"/>
      <c r="DY182" s="485"/>
      <c r="DZ182" s="485"/>
      <c r="EA182" s="485"/>
      <c r="EB182" s="485"/>
      <c r="EC182" s="485"/>
      <c r="ED182" s="485"/>
      <c r="EE182" s="485"/>
      <c r="EF182" s="485"/>
      <c r="EG182" s="485"/>
      <c r="EH182" s="485"/>
      <c r="EI182" s="485"/>
      <c r="EJ182" s="485"/>
      <c r="EK182" s="485"/>
      <c r="EL182" s="485"/>
      <c r="EM182" s="485"/>
      <c r="EN182" s="485"/>
      <c r="EO182" s="485"/>
      <c r="EP182" s="485"/>
    </row>
    <row r="183" spans="1:146" ht="15.75">
      <c r="A183" s="462">
        <f t="shared" si="62"/>
        <v>913</v>
      </c>
      <c r="B183" s="629" t="s">
        <v>428</v>
      </c>
      <c r="C183" s="624">
        <v>33800</v>
      </c>
      <c r="D183" s="626">
        <v>11267</v>
      </c>
      <c r="E183" s="611">
        <v>1261.74</v>
      </c>
      <c r="F183" s="678">
        <f t="shared" si="45"/>
        <v>1235.93857</v>
      </c>
      <c r="G183" s="683"/>
      <c r="H183" s="681">
        <f t="shared" si="55"/>
        <v>0</v>
      </c>
      <c r="I183" s="623">
        <f t="shared" ref="I183:I207" si="63">+E183*G183*12</f>
        <v>0</v>
      </c>
      <c r="J183" s="623"/>
      <c r="K183" s="627">
        <v>0</v>
      </c>
      <c r="L183" s="627">
        <f t="shared" si="57"/>
        <v>0</v>
      </c>
      <c r="M183" s="627"/>
      <c r="N183" s="609">
        <v>11267</v>
      </c>
      <c r="O183" s="610">
        <v>1261.7404946158238</v>
      </c>
      <c r="P183" s="617" t="str">
        <f t="shared" si="58"/>
        <v>---</v>
      </c>
      <c r="Q183" s="618">
        <f t="shared" si="59"/>
        <v>4.9461582375442958E-4</v>
      </c>
      <c r="R183" s="485"/>
      <c r="S183" s="624" t="str">
        <f t="shared" si="60"/>
        <v>OK</v>
      </c>
      <c r="T183" s="451">
        <f>IF(+'2012 Rates'!O391&lt;'2012 Rates'!$B$11,'2012 Rates'!$B$11,+'2012 Rates'!O391)</f>
        <v>1357.22</v>
      </c>
      <c r="U183" s="447">
        <f t="shared" si="53"/>
        <v>9.8129011379586517E-2</v>
      </c>
      <c r="V183" s="485"/>
      <c r="W183" s="623">
        <f t="shared" ref="W183:W204" si="64">+G183*T183*12</f>
        <v>0</v>
      </c>
      <c r="X183" s="623"/>
      <c r="Y183" s="485"/>
      <c r="Z183" s="485"/>
      <c r="AA183" s="485"/>
      <c r="AB183" s="485"/>
      <c r="AC183" s="485"/>
      <c r="AD183" s="485"/>
      <c r="AE183" s="485"/>
      <c r="AF183" s="485"/>
      <c r="AG183" s="485"/>
      <c r="AH183" s="485"/>
      <c r="AI183" s="485"/>
      <c r="AJ183" s="485"/>
      <c r="AK183" s="485"/>
      <c r="AL183" s="485"/>
      <c r="AM183" s="485"/>
      <c r="AN183" s="485"/>
      <c r="AO183" s="485"/>
      <c r="AP183" s="485"/>
      <c r="AQ183" s="485"/>
      <c r="AR183" s="485"/>
      <c r="AS183" s="485"/>
      <c r="AT183" s="485"/>
      <c r="AU183" s="485"/>
      <c r="AV183" s="485"/>
      <c r="AW183" s="485"/>
      <c r="AX183" s="485"/>
      <c r="AY183" s="485"/>
      <c r="AZ183" s="485"/>
      <c r="BA183" s="485"/>
      <c r="BB183" s="485"/>
      <c r="BC183" s="485"/>
      <c r="BD183" s="485"/>
      <c r="BE183" s="485"/>
      <c r="BF183" s="485"/>
      <c r="BG183" s="485"/>
      <c r="BH183" s="485"/>
      <c r="BI183" s="485"/>
      <c r="BJ183" s="485"/>
      <c r="BK183" s="485"/>
      <c r="BL183" s="485"/>
      <c r="BM183" s="485"/>
      <c r="BN183" s="485"/>
      <c r="BO183" s="485"/>
      <c r="BP183" s="485"/>
      <c r="BQ183" s="485"/>
      <c r="BR183" s="485"/>
      <c r="BS183" s="485"/>
      <c r="BT183" s="485"/>
      <c r="BU183" s="485"/>
      <c r="BV183" s="485"/>
      <c r="BW183" s="485"/>
      <c r="BX183" s="485"/>
      <c r="BY183" s="485"/>
      <c r="BZ183" s="485"/>
      <c r="CA183" s="485"/>
      <c r="CB183" s="485"/>
      <c r="CC183" s="485"/>
      <c r="CD183" s="485"/>
      <c r="CE183" s="485"/>
      <c r="CF183" s="485"/>
      <c r="CG183" s="485"/>
      <c r="CH183" s="485"/>
      <c r="CI183" s="485"/>
      <c r="CJ183" s="485"/>
      <c r="CK183" s="485"/>
      <c r="CL183" s="485"/>
      <c r="CM183" s="485"/>
      <c r="CN183" s="485"/>
      <c r="CO183" s="485"/>
      <c r="CP183" s="485"/>
      <c r="CQ183" s="485"/>
      <c r="CR183" s="485"/>
      <c r="CS183" s="485"/>
      <c r="CT183" s="485"/>
      <c r="CU183" s="485"/>
      <c r="CV183" s="485"/>
      <c r="CW183" s="485"/>
      <c r="CX183" s="485"/>
      <c r="CY183" s="485"/>
      <c r="CZ183" s="485"/>
      <c r="DA183" s="485"/>
      <c r="DB183" s="485"/>
      <c r="DC183" s="485"/>
      <c r="DD183" s="485"/>
      <c r="DE183" s="485"/>
      <c r="DF183" s="485"/>
      <c r="DG183" s="485"/>
      <c r="DH183" s="485"/>
      <c r="DI183" s="485"/>
      <c r="DJ183" s="485"/>
      <c r="DK183" s="485"/>
      <c r="DL183" s="485"/>
      <c r="DM183" s="485"/>
      <c r="DN183" s="485"/>
      <c r="DO183" s="485"/>
      <c r="DP183" s="485"/>
      <c r="DQ183" s="485"/>
      <c r="DR183" s="485"/>
      <c r="DS183" s="485"/>
      <c r="DT183" s="485"/>
      <c r="DU183" s="485"/>
      <c r="DV183" s="485"/>
      <c r="DW183" s="485"/>
      <c r="DX183" s="485"/>
      <c r="DY183" s="485"/>
      <c r="DZ183" s="485"/>
      <c r="EA183" s="485"/>
      <c r="EB183" s="485"/>
      <c r="EC183" s="485"/>
      <c r="ED183" s="485"/>
      <c r="EE183" s="485"/>
      <c r="EF183" s="485"/>
      <c r="EG183" s="485"/>
      <c r="EH183" s="485"/>
      <c r="EI183" s="485"/>
      <c r="EJ183" s="485"/>
      <c r="EK183" s="485"/>
      <c r="EL183" s="485"/>
      <c r="EM183" s="485"/>
      <c r="EN183" s="485"/>
      <c r="EO183" s="485"/>
      <c r="EP183" s="485"/>
    </row>
    <row r="184" spans="1:146" ht="15.75">
      <c r="A184" s="591">
        <f t="shared" si="62"/>
        <v>914</v>
      </c>
      <c r="B184" s="630" t="s">
        <v>429</v>
      </c>
      <c r="C184" s="614">
        <v>40</v>
      </c>
      <c r="D184" s="609">
        <v>34</v>
      </c>
      <c r="E184" s="610">
        <v>2.96</v>
      </c>
      <c r="F184" s="678">
        <f>E184</f>
        <v>2.96</v>
      </c>
      <c r="G184" s="683">
        <v>41</v>
      </c>
      <c r="H184" s="664">
        <f t="shared" si="55"/>
        <v>16728</v>
      </c>
      <c r="I184" s="444">
        <f t="shared" si="63"/>
        <v>1456.32</v>
      </c>
      <c r="J184" s="444"/>
      <c r="K184" s="616">
        <v>4.8000000000000001E-2</v>
      </c>
      <c r="L184" s="616">
        <f t="shared" si="57"/>
        <v>1.968</v>
      </c>
      <c r="M184" s="616"/>
      <c r="N184" s="609">
        <v>34</v>
      </c>
      <c r="O184" s="610">
        <v>2.9637800000000003</v>
      </c>
      <c r="P184" s="617" t="str">
        <f t="shared" si="58"/>
        <v>---</v>
      </c>
      <c r="Q184" s="618">
        <f t="shared" si="59"/>
        <v>3.7800000000003386E-3</v>
      </c>
      <c r="R184" s="615"/>
      <c r="S184" s="614" t="str">
        <f t="shared" si="60"/>
        <v>OK</v>
      </c>
      <c r="T184" s="451">
        <f>IF(+'2012 Rates'!O392&lt;'2012 Rates'!$B$11,'2012 Rates'!$B$11,+'2012 Rates'!O392)</f>
        <v>3.2504153814512136</v>
      </c>
      <c r="U184" s="447">
        <f t="shared" si="53"/>
        <v>9.8113304544328983E-2</v>
      </c>
      <c r="V184" s="485" t="s">
        <v>340</v>
      </c>
      <c r="W184" s="623">
        <f t="shared" si="64"/>
        <v>1599.204367673997</v>
      </c>
      <c r="X184" s="485"/>
      <c r="Y184" s="485"/>
      <c r="Z184" s="485"/>
      <c r="AA184" s="485"/>
      <c r="AB184" s="485"/>
      <c r="AC184" s="485"/>
      <c r="AD184" s="485"/>
      <c r="AE184" s="485"/>
      <c r="AF184" s="485"/>
      <c r="AG184" s="485"/>
      <c r="AH184" s="485"/>
      <c r="AI184" s="485"/>
      <c r="AJ184" s="485"/>
      <c r="AK184" s="485"/>
      <c r="AL184" s="485"/>
      <c r="AM184" s="485"/>
      <c r="AN184" s="485"/>
      <c r="AO184" s="485"/>
      <c r="AP184" s="485"/>
      <c r="AQ184" s="485"/>
      <c r="AR184" s="485"/>
      <c r="AS184" s="485"/>
      <c r="AT184" s="485"/>
      <c r="AU184" s="485"/>
      <c r="AV184" s="485"/>
      <c r="AW184" s="485"/>
      <c r="AX184" s="485"/>
      <c r="AY184" s="485"/>
      <c r="AZ184" s="485"/>
      <c r="BA184" s="485"/>
      <c r="BB184" s="485"/>
      <c r="BC184" s="485"/>
      <c r="BD184" s="485"/>
      <c r="BE184" s="485"/>
      <c r="BF184" s="485"/>
      <c r="BG184" s="485"/>
      <c r="BH184" s="485"/>
      <c r="BI184" s="485"/>
      <c r="BJ184" s="485"/>
      <c r="BK184" s="485"/>
      <c r="BL184" s="485"/>
      <c r="BM184" s="485"/>
      <c r="BN184" s="485"/>
      <c r="BO184" s="485"/>
      <c r="BP184" s="485"/>
      <c r="BQ184" s="485"/>
      <c r="BR184" s="485"/>
      <c r="BS184" s="485"/>
      <c r="BT184" s="485"/>
      <c r="BU184" s="485"/>
      <c r="BV184" s="485"/>
      <c r="BW184" s="485"/>
      <c r="BX184" s="485"/>
      <c r="BY184" s="485"/>
      <c r="BZ184" s="485"/>
      <c r="CA184" s="485"/>
      <c r="CB184" s="485"/>
      <c r="CC184" s="485"/>
      <c r="CD184" s="485"/>
      <c r="CE184" s="485"/>
      <c r="CF184" s="485"/>
      <c r="CG184" s="485"/>
      <c r="CH184" s="485"/>
      <c r="CI184" s="485"/>
      <c r="CJ184" s="485"/>
      <c r="CK184" s="485"/>
      <c r="CL184" s="485"/>
      <c r="CM184" s="485"/>
      <c r="CN184" s="485"/>
      <c r="CO184" s="485"/>
      <c r="CP184" s="485"/>
      <c r="CQ184" s="485"/>
      <c r="CR184" s="485"/>
      <c r="CS184" s="485"/>
      <c r="CT184" s="485"/>
      <c r="CU184" s="485"/>
      <c r="CV184" s="485"/>
      <c r="CW184" s="485"/>
      <c r="CX184" s="485"/>
      <c r="CY184" s="485"/>
      <c r="CZ184" s="485"/>
      <c r="DA184" s="485"/>
      <c r="DB184" s="485"/>
      <c r="DC184" s="485"/>
      <c r="DD184" s="485"/>
      <c r="DE184" s="485"/>
      <c r="DF184" s="485"/>
      <c r="DG184" s="485"/>
      <c r="DH184" s="485"/>
      <c r="DI184" s="485"/>
      <c r="DJ184" s="485"/>
      <c r="DK184" s="485"/>
      <c r="DL184" s="485"/>
      <c r="DM184" s="485"/>
      <c r="DN184" s="485"/>
      <c r="DO184" s="485"/>
      <c r="DP184" s="485"/>
      <c r="DQ184" s="485"/>
      <c r="DR184" s="485"/>
      <c r="DS184" s="485"/>
      <c r="DT184" s="485"/>
      <c r="DU184" s="485"/>
      <c r="DV184" s="485"/>
      <c r="DW184" s="485"/>
      <c r="DX184" s="485"/>
      <c r="DY184" s="485"/>
      <c r="DZ184" s="485"/>
      <c r="EA184" s="485"/>
      <c r="EB184" s="485"/>
      <c r="EC184" s="485"/>
      <c r="ED184" s="485"/>
      <c r="EE184" s="485"/>
      <c r="EF184" s="485"/>
      <c r="EG184" s="485"/>
      <c r="EH184" s="485"/>
      <c r="EI184" s="485"/>
      <c r="EJ184" s="485"/>
      <c r="EK184" s="485"/>
      <c r="EL184" s="485"/>
      <c r="EM184" s="485"/>
      <c r="EN184" s="485"/>
      <c r="EO184" s="485"/>
      <c r="EP184" s="485"/>
    </row>
    <row r="185" spans="1:146" ht="15.75">
      <c r="A185" s="462">
        <f t="shared" si="62"/>
        <v>915</v>
      </c>
      <c r="B185" s="629" t="s">
        <v>430</v>
      </c>
      <c r="C185" s="624">
        <v>48</v>
      </c>
      <c r="D185" s="626">
        <v>35</v>
      </c>
      <c r="E185" s="611">
        <v>3.08</v>
      </c>
      <c r="F185" s="678">
        <f t="shared" si="45"/>
        <v>2.9998499999999999</v>
      </c>
      <c r="G185" s="683">
        <v>8</v>
      </c>
      <c r="H185" s="681">
        <f t="shared" si="55"/>
        <v>3360</v>
      </c>
      <c r="I185" s="623">
        <f t="shared" si="63"/>
        <v>295.68</v>
      </c>
      <c r="J185" s="623"/>
      <c r="K185" s="627">
        <v>4.8000000000000001E-2</v>
      </c>
      <c r="L185" s="627">
        <f t="shared" si="57"/>
        <v>0.38400000000000001</v>
      </c>
      <c r="M185" s="627">
        <f>+L185</f>
        <v>0.38400000000000001</v>
      </c>
      <c r="N185" s="609">
        <v>35</v>
      </c>
      <c r="O185" s="610">
        <v>3.0773779454649719</v>
      </c>
      <c r="P185" s="617" t="str">
        <f t="shared" si="58"/>
        <v>---</v>
      </c>
      <c r="Q185" s="618">
        <f t="shared" si="59"/>
        <v>-2.6220545350281732E-3</v>
      </c>
      <c r="R185" s="485"/>
      <c r="S185" s="624" t="str">
        <f t="shared" si="60"/>
        <v>OK</v>
      </c>
      <c r="T185" s="451">
        <f>IF(+'2012 Rates'!P393&lt;'2012 Rates'!$B$11,'2012 Rates'!$B$11,+'2012 Rates'!P393)</f>
        <v>3.29</v>
      </c>
      <c r="U185" s="447">
        <f t="shared" si="53"/>
        <v>9.67215027418038E-2</v>
      </c>
      <c r="V185" s="485"/>
      <c r="W185" s="623">
        <f t="shared" si="64"/>
        <v>315.84000000000003</v>
      </c>
      <c r="X185" s="485"/>
      <c r="Y185" s="485"/>
      <c r="Z185" s="485"/>
      <c r="AA185" s="485"/>
      <c r="AB185" s="485"/>
      <c r="AC185" s="485"/>
      <c r="AD185" s="485"/>
      <c r="AE185" s="485"/>
      <c r="AF185" s="485"/>
      <c r="AG185" s="485"/>
      <c r="AH185" s="485"/>
      <c r="AI185" s="485"/>
      <c r="AJ185" s="485"/>
      <c r="AK185" s="485"/>
      <c r="AL185" s="485"/>
      <c r="AM185" s="485"/>
      <c r="AN185" s="485"/>
      <c r="AO185" s="485"/>
      <c r="AP185" s="485"/>
      <c r="AQ185" s="485"/>
      <c r="AR185" s="485"/>
      <c r="AS185" s="485"/>
      <c r="AT185" s="485"/>
      <c r="AU185" s="485"/>
      <c r="AV185" s="485"/>
      <c r="AW185" s="485"/>
      <c r="AX185" s="485"/>
      <c r="AY185" s="485"/>
      <c r="AZ185" s="485"/>
      <c r="BA185" s="485"/>
      <c r="BB185" s="485"/>
      <c r="BC185" s="485"/>
      <c r="BD185" s="485"/>
      <c r="BE185" s="485"/>
      <c r="BF185" s="485"/>
      <c r="BG185" s="485"/>
      <c r="BH185" s="485"/>
      <c r="BI185" s="485"/>
      <c r="BJ185" s="485"/>
      <c r="BK185" s="485"/>
      <c r="BL185" s="485"/>
      <c r="BM185" s="485"/>
      <c r="BN185" s="485"/>
      <c r="BO185" s="485"/>
      <c r="BP185" s="485"/>
      <c r="BQ185" s="485"/>
      <c r="BR185" s="485"/>
      <c r="BS185" s="485"/>
      <c r="BT185" s="485"/>
      <c r="BU185" s="485"/>
      <c r="BV185" s="485"/>
      <c r="BW185" s="485"/>
      <c r="BX185" s="485"/>
      <c r="BY185" s="485"/>
      <c r="BZ185" s="485"/>
      <c r="CA185" s="485"/>
      <c r="CB185" s="485"/>
      <c r="CC185" s="485"/>
      <c r="CD185" s="485"/>
      <c r="CE185" s="485"/>
      <c r="CF185" s="485"/>
      <c r="CG185" s="485"/>
      <c r="CH185" s="485"/>
      <c r="CI185" s="485"/>
      <c r="CJ185" s="485"/>
      <c r="CK185" s="485"/>
      <c r="CL185" s="485"/>
      <c r="CM185" s="485"/>
      <c r="CN185" s="485"/>
      <c r="CO185" s="485"/>
      <c r="CP185" s="485"/>
      <c r="CQ185" s="485"/>
      <c r="CR185" s="485"/>
      <c r="CS185" s="485"/>
      <c r="CT185" s="485"/>
      <c r="CU185" s="485"/>
      <c r="CV185" s="485"/>
      <c r="CW185" s="485"/>
      <c r="CX185" s="485"/>
      <c r="CY185" s="485"/>
      <c r="CZ185" s="485"/>
      <c r="DA185" s="485"/>
      <c r="DB185" s="485"/>
      <c r="DC185" s="485"/>
      <c r="DD185" s="485"/>
      <c r="DE185" s="485"/>
      <c r="DF185" s="485"/>
      <c r="DG185" s="485"/>
      <c r="DH185" s="485"/>
      <c r="DI185" s="485"/>
      <c r="DJ185" s="485"/>
      <c r="DK185" s="485"/>
      <c r="DL185" s="485"/>
      <c r="DM185" s="485"/>
      <c r="DN185" s="485"/>
      <c r="DO185" s="485"/>
      <c r="DP185" s="485"/>
      <c r="DQ185" s="485"/>
      <c r="DR185" s="485"/>
      <c r="DS185" s="485"/>
      <c r="DT185" s="485"/>
      <c r="DU185" s="485"/>
      <c r="DV185" s="485"/>
      <c r="DW185" s="485"/>
      <c r="DX185" s="485"/>
      <c r="DY185" s="485"/>
      <c r="DZ185" s="485"/>
      <c r="EA185" s="485"/>
      <c r="EB185" s="485"/>
      <c r="EC185" s="485"/>
      <c r="ED185" s="485"/>
      <c r="EE185" s="485"/>
      <c r="EF185" s="485"/>
      <c r="EG185" s="485"/>
      <c r="EH185" s="485"/>
      <c r="EI185" s="485"/>
      <c r="EJ185" s="485"/>
      <c r="EK185" s="485"/>
      <c r="EL185" s="485"/>
      <c r="EM185" s="485"/>
      <c r="EN185" s="485"/>
      <c r="EO185" s="485"/>
      <c r="EP185" s="485"/>
    </row>
    <row r="186" spans="1:146" ht="15.75">
      <c r="A186" s="462">
        <f t="shared" si="62"/>
        <v>916</v>
      </c>
      <c r="B186" s="629" t="s">
        <v>431</v>
      </c>
      <c r="C186" s="624">
        <v>215</v>
      </c>
      <c r="D186" s="626">
        <v>72</v>
      </c>
      <c r="E186" s="611">
        <v>8.0399999999999991</v>
      </c>
      <c r="F186" s="678">
        <f t="shared" si="45"/>
        <v>7.875119999999999</v>
      </c>
      <c r="G186" s="683">
        <v>4</v>
      </c>
      <c r="H186" s="681">
        <f t="shared" si="55"/>
        <v>3456</v>
      </c>
      <c r="I186" s="623">
        <f t="shared" si="63"/>
        <v>385.91999999999996</v>
      </c>
      <c r="J186" s="623"/>
      <c r="K186" s="627">
        <v>0.215</v>
      </c>
      <c r="L186" s="627">
        <f t="shared" si="57"/>
        <v>0.86</v>
      </c>
      <c r="M186" s="627"/>
      <c r="N186" s="609">
        <v>72</v>
      </c>
      <c r="O186" s="610">
        <v>8.0448917735279419</v>
      </c>
      <c r="P186" s="617" t="str">
        <f t="shared" si="58"/>
        <v>---</v>
      </c>
      <c r="Q186" s="618">
        <f t="shared" si="59"/>
        <v>4.8917735279427887E-3</v>
      </c>
      <c r="R186" s="485"/>
      <c r="S186" s="450" t="str">
        <f t="shared" si="60"/>
        <v>OK</v>
      </c>
      <c r="T186" s="451">
        <f>IF(+'2012 Rates'!O394&lt;'2012 Rates'!$B$11,'2012 Rates'!$B$11,+'2012 Rates'!O394)</f>
        <v>8.66</v>
      </c>
      <c r="U186" s="447">
        <f t="shared" si="53"/>
        <v>9.9665782870610453E-2</v>
      </c>
      <c r="V186" s="445"/>
      <c r="W186" s="623">
        <f t="shared" si="64"/>
        <v>415.68</v>
      </c>
      <c r="X186" s="485"/>
      <c r="Y186" s="485"/>
      <c r="Z186" s="485"/>
      <c r="AA186" s="485"/>
      <c r="AB186" s="485"/>
      <c r="AC186" s="485"/>
      <c r="AD186" s="485"/>
      <c r="AE186" s="485"/>
      <c r="AF186" s="485"/>
      <c r="AG186" s="485"/>
      <c r="AH186" s="485"/>
      <c r="AI186" s="485"/>
      <c r="AJ186" s="485"/>
      <c r="AK186" s="485"/>
      <c r="AL186" s="485"/>
      <c r="AM186" s="485"/>
      <c r="AN186" s="485"/>
      <c r="AO186" s="485"/>
      <c r="AP186" s="485"/>
      <c r="AQ186" s="485"/>
      <c r="AR186" s="485"/>
      <c r="AS186" s="485"/>
      <c r="AT186" s="485"/>
      <c r="AU186" s="485"/>
      <c r="AV186" s="485"/>
      <c r="AW186" s="485"/>
      <c r="AX186" s="485"/>
      <c r="AY186" s="485"/>
      <c r="AZ186" s="485"/>
      <c r="BA186" s="485"/>
      <c r="BB186" s="485"/>
      <c r="BC186" s="485"/>
      <c r="BD186" s="485"/>
      <c r="BE186" s="485"/>
      <c r="BF186" s="485"/>
      <c r="BG186" s="485"/>
      <c r="BH186" s="485"/>
      <c r="BI186" s="485"/>
      <c r="BJ186" s="485"/>
      <c r="BK186" s="485"/>
      <c r="BL186" s="485"/>
      <c r="BM186" s="485"/>
      <c r="BN186" s="485"/>
      <c r="BO186" s="485"/>
      <c r="BP186" s="485"/>
      <c r="BQ186" s="485"/>
      <c r="BR186" s="485"/>
      <c r="BS186" s="485"/>
      <c r="BT186" s="485"/>
      <c r="BU186" s="485"/>
      <c r="BV186" s="485"/>
      <c r="BW186" s="485"/>
      <c r="BX186" s="485"/>
      <c r="BY186" s="485"/>
      <c r="BZ186" s="485"/>
      <c r="CA186" s="485"/>
      <c r="CB186" s="485"/>
      <c r="CC186" s="485"/>
      <c r="CD186" s="485"/>
      <c r="CE186" s="485"/>
      <c r="CF186" s="485"/>
      <c r="CG186" s="485"/>
      <c r="CH186" s="485"/>
      <c r="CI186" s="485"/>
      <c r="CJ186" s="485"/>
      <c r="CK186" s="485"/>
      <c r="CL186" s="485"/>
      <c r="CM186" s="485"/>
      <c r="CN186" s="485"/>
      <c r="CO186" s="485"/>
      <c r="CP186" s="485"/>
      <c r="CQ186" s="485"/>
      <c r="CR186" s="485"/>
      <c r="CS186" s="485"/>
      <c r="CT186" s="485"/>
      <c r="CU186" s="485"/>
      <c r="CV186" s="485"/>
      <c r="CW186" s="485"/>
      <c r="CX186" s="485"/>
      <c r="CY186" s="485"/>
      <c r="CZ186" s="485"/>
      <c r="DA186" s="485"/>
      <c r="DB186" s="485"/>
      <c r="DC186" s="485"/>
      <c r="DD186" s="485"/>
      <c r="DE186" s="485"/>
      <c r="DF186" s="485"/>
      <c r="DG186" s="485"/>
      <c r="DH186" s="485"/>
      <c r="DI186" s="485"/>
      <c r="DJ186" s="485"/>
      <c r="DK186" s="485"/>
      <c r="DL186" s="485"/>
      <c r="DM186" s="485"/>
      <c r="DN186" s="485"/>
      <c r="DO186" s="485"/>
      <c r="DP186" s="485"/>
      <c r="DQ186" s="485"/>
      <c r="DR186" s="485"/>
      <c r="DS186" s="485"/>
      <c r="DT186" s="485"/>
      <c r="DU186" s="485"/>
      <c r="DV186" s="485"/>
      <c r="DW186" s="485"/>
      <c r="DX186" s="485"/>
      <c r="DY186" s="485"/>
      <c r="DZ186" s="485"/>
      <c r="EA186" s="485"/>
      <c r="EB186" s="485"/>
      <c r="EC186" s="485"/>
      <c r="ED186" s="485"/>
      <c r="EE186" s="485"/>
      <c r="EF186" s="485"/>
      <c r="EG186" s="485"/>
      <c r="EH186" s="485"/>
      <c r="EI186" s="485"/>
      <c r="EJ186" s="485"/>
      <c r="EK186" s="485"/>
      <c r="EL186" s="485"/>
      <c r="EM186" s="485"/>
      <c r="EN186" s="485"/>
      <c r="EO186" s="485"/>
      <c r="EP186" s="485"/>
    </row>
    <row r="187" spans="1:146" ht="15.75">
      <c r="A187" s="462">
        <f t="shared" si="62"/>
        <v>917</v>
      </c>
      <c r="B187" s="467" t="s">
        <v>432</v>
      </c>
      <c r="C187" s="624">
        <v>130</v>
      </c>
      <c r="D187" s="626">
        <v>23</v>
      </c>
      <c r="E187" s="611">
        <v>3.4</v>
      </c>
      <c r="F187" s="678">
        <f t="shared" si="45"/>
        <v>3.3473299999999999</v>
      </c>
      <c r="G187" s="683">
        <v>4</v>
      </c>
      <c r="H187" s="681">
        <f t="shared" si="55"/>
        <v>1104</v>
      </c>
      <c r="I187" s="623">
        <f t="shared" si="63"/>
        <v>163.19999999999999</v>
      </c>
      <c r="J187" s="623"/>
      <c r="K187" s="627">
        <v>0.13</v>
      </c>
      <c r="L187" s="627">
        <f t="shared" si="57"/>
        <v>0.52</v>
      </c>
      <c r="M187" s="627"/>
      <c r="N187" s="609">
        <v>23</v>
      </c>
      <c r="O187" s="610">
        <v>3.3965626498769814</v>
      </c>
      <c r="P187" s="617" t="str">
        <f t="shared" si="58"/>
        <v>---</v>
      </c>
      <c r="Q187" s="618">
        <f t="shared" si="59"/>
        <v>-3.43735012301849E-3</v>
      </c>
      <c r="R187" s="485"/>
      <c r="S187" s="624" t="str">
        <f t="shared" si="60"/>
        <v>OK</v>
      </c>
      <c r="T187" s="451">
        <f>IF(+'2012 Rates'!O395&lt;'2012 Rates'!$B$11,'2012 Rates'!$B$11,+'2012 Rates'!O395)</f>
        <v>3.67</v>
      </c>
      <c r="U187" s="447">
        <f t="shared" si="53"/>
        <v>9.6396232220904432E-2</v>
      </c>
      <c r="V187" s="485"/>
      <c r="W187" s="623">
        <f t="shared" si="64"/>
        <v>176.16</v>
      </c>
      <c r="X187" s="485"/>
      <c r="Y187" s="485"/>
      <c r="Z187" s="485"/>
      <c r="AA187" s="485"/>
      <c r="AB187" s="485"/>
      <c r="AC187" s="485"/>
      <c r="AD187" s="485"/>
      <c r="AE187" s="485"/>
      <c r="AF187" s="485"/>
      <c r="AG187" s="485"/>
      <c r="AH187" s="485"/>
      <c r="AI187" s="485"/>
      <c r="AJ187" s="485"/>
      <c r="AK187" s="485"/>
      <c r="AL187" s="485"/>
      <c r="AM187" s="485"/>
      <c r="AN187" s="485"/>
      <c r="AO187" s="485"/>
      <c r="AP187" s="485"/>
      <c r="AQ187" s="485"/>
      <c r="AR187" s="485"/>
      <c r="AS187" s="485"/>
      <c r="AT187" s="485"/>
      <c r="AU187" s="485"/>
      <c r="AV187" s="485"/>
      <c r="AW187" s="485"/>
      <c r="AX187" s="485"/>
      <c r="AY187" s="485"/>
      <c r="AZ187" s="485"/>
      <c r="BA187" s="485"/>
      <c r="BB187" s="485"/>
      <c r="BC187" s="485"/>
      <c r="BD187" s="485"/>
      <c r="BE187" s="485"/>
      <c r="BF187" s="485"/>
      <c r="BG187" s="485"/>
      <c r="BH187" s="485"/>
      <c r="BI187" s="485"/>
      <c r="BJ187" s="485"/>
      <c r="BK187" s="485"/>
      <c r="BL187" s="485"/>
      <c r="BM187" s="485"/>
      <c r="BN187" s="485"/>
      <c r="BO187" s="485"/>
      <c r="BP187" s="485"/>
      <c r="BQ187" s="485"/>
      <c r="BR187" s="485"/>
      <c r="BS187" s="485"/>
      <c r="BT187" s="485"/>
      <c r="BU187" s="485"/>
      <c r="BV187" s="485"/>
      <c r="BW187" s="485"/>
      <c r="BX187" s="485"/>
      <c r="BY187" s="485"/>
      <c r="BZ187" s="485"/>
      <c r="CA187" s="485"/>
      <c r="CB187" s="485"/>
      <c r="CC187" s="485"/>
      <c r="CD187" s="485"/>
      <c r="CE187" s="485"/>
      <c r="CF187" s="485"/>
      <c r="CG187" s="485"/>
      <c r="CH187" s="485"/>
      <c r="CI187" s="485"/>
      <c r="CJ187" s="485"/>
      <c r="CK187" s="485"/>
      <c r="CL187" s="485"/>
      <c r="CM187" s="485"/>
      <c r="CN187" s="485"/>
      <c r="CO187" s="485"/>
      <c r="CP187" s="485"/>
      <c r="CQ187" s="485"/>
      <c r="CR187" s="485"/>
      <c r="CS187" s="485"/>
      <c r="CT187" s="485"/>
      <c r="CU187" s="485"/>
      <c r="CV187" s="485"/>
      <c r="CW187" s="485"/>
      <c r="CX187" s="485"/>
      <c r="CY187" s="485"/>
      <c r="CZ187" s="485"/>
      <c r="DA187" s="485"/>
      <c r="DB187" s="485"/>
      <c r="DC187" s="485"/>
      <c r="DD187" s="485"/>
      <c r="DE187" s="485"/>
      <c r="DF187" s="485"/>
      <c r="DG187" s="485"/>
      <c r="DH187" s="485"/>
      <c r="DI187" s="485"/>
      <c r="DJ187" s="485"/>
      <c r="DK187" s="485"/>
      <c r="DL187" s="485"/>
      <c r="DM187" s="485"/>
      <c r="DN187" s="485"/>
      <c r="DO187" s="485"/>
      <c r="DP187" s="485"/>
      <c r="DQ187" s="485"/>
      <c r="DR187" s="485"/>
      <c r="DS187" s="485"/>
      <c r="DT187" s="485"/>
      <c r="DU187" s="485"/>
      <c r="DV187" s="485"/>
      <c r="DW187" s="485"/>
      <c r="DX187" s="485"/>
      <c r="DY187" s="485"/>
      <c r="DZ187" s="485"/>
      <c r="EA187" s="485"/>
      <c r="EB187" s="485"/>
      <c r="EC187" s="485"/>
      <c r="ED187" s="485"/>
      <c r="EE187" s="485"/>
      <c r="EF187" s="485"/>
      <c r="EG187" s="485"/>
      <c r="EH187" s="485"/>
      <c r="EI187" s="485"/>
      <c r="EJ187" s="485"/>
      <c r="EK187" s="485"/>
      <c r="EL187" s="485"/>
      <c r="EM187" s="485"/>
      <c r="EN187" s="485"/>
      <c r="EO187" s="485"/>
      <c r="EP187" s="485"/>
    </row>
    <row r="188" spans="1:146" ht="15.75">
      <c r="A188" s="591">
        <f t="shared" si="62"/>
        <v>918</v>
      </c>
      <c r="B188" s="630" t="s">
        <v>433</v>
      </c>
      <c r="C188" s="614">
        <v>80</v>
      </c>
      <c r="D188" s="609">
        <v>34</v>
      </c>
      <c r="E188" s="610">
        <v>3.38</v>
      </c>
      <c r="F188" s="678">
        <f t="shared" si="45"/>
        <v>3.3021400000000001</v>
      </c>
      <c r="G188" s="683">
        <v>51</v>
      </c>
      <c r="H188" s="664">
        <f t="shared" si="55"/>
        <v>20808</v>
      </c>
      <c r="I188" s="444">
        <f t="shared" si="63"/>
        <v>2068.56</v>
      </c>
      <c r="J188" s="444"/>
      <c r="K188" s="616">
        <v>0.09</v>
      </c>
      <c r="L188" s="616">
        <f t="shared" si="57"/>
        <v>4.59</v>
      </c>
      <c r="M188" s="616"/>
      <c r="N188" s="609">
        <v>34</v>
      </c>
      <c r="O188" s="610">
        <v>3.3823100041659728</v>
      </c>
      <c r="P188" s="617" t="str">
        <f t="shared" si="58"/>
        <v>---</v>
      </c>
      <c r="Q188" s="618">
        <f t="shared" si="59"/>
        <v>2.3100041659729342E-3</v>
      </c>
      <c r="R188" s="615"/>
      <c r="S188" s="614" t="str">
        <f t="shared" si="60"/>
        <v>OK</v>
      </c>
      <c r="T188" s="451">
        <f>IF(+'2012 Rates'!O396&lt;'2012 Rates'!$B$11,'2012 Rates'!$B$11,+'2012 Rates'!O396)</f>
        <v>3.61</v>
      </c>
      <c r="U188" s="447">
        <f t="shared" si="53"/>
        <v>9.3230450556305744E-2</v>
      </c>
      <c r="V188" s="445" t="s">
        <v>363</v>
      </c>
      <c r="W188" s="623">
        <f t="shared" si="64"/>
        <v>2209.3199999999997</v>
      </c>
      <c r="X188" s="485"/>
      <c r="Y188" s="485"/>
      <c r="Z188" s="485"/>
      <c r="AA188" s="485"/>
      <c r="AB188" s="485"/>
      <c r="AC188" s="485"/>
      <c r="AD188" s="485"/>
      <c r="AE188" s="485"/>
      <c r="AF188" s="485"/>
      <c r="AG188" s="485"/>
      <c r="AH188" s="485"/>
      <c r="AI188" s="485"/>
      <c r="AJ188" s="485"/>
      <c r="AK188" s="485"/>
      <c r="AL188" s="485"/>
      <c r="AM188" s="485"/>
      <c r="AN188" s="485"/>
      <c r="AO188" s="485"/>
      <c r="AP188" s="485"/>
      <c r="AQ188" s="485"/>
      <c r="AR188" s="485"/>
      <c r="AS188" s="485"/>
      <c r="AT188" s="485"/>
      <c r="AU188" s="485"/>
      <c r="AV188" s="485"/>
      <c r="AW188" s="485"/>
      <c r="AX188" s="485"/>
      <c r="AY188" s="485"/>
      <c r="AZ188" s="485"/>
      <c r="BA188" s="485"/>
      <c r="BB188" s="485"/>
      <c r="BC188" s="485"/>
      <c r="BD188" s="485"/>
      <c r="BE188" s="485"/>
      <c r="BF188" s="485"/>
      <c r="BG188" s="485"/>
      <c r="BH188" s="485"/>
      <c r="BI188" s="485"/>
      <c r="BJ188" s="485"/>
      <c r="BK188" s="485"/>
      <c r="BL188" s="485"/>
      <c r="BM188" s="485"/>
      <c r="BN188" s="485"/>
      <c r="BO188" s="485"/>
      <c r="BP188" s="485"/>
      <c r="BQ188" s="485"/>
      <c r="BR188" s="485"/>
      <c r="BS188" s="485"/>
      <c r="BT188" s="485"/>
      <c r="BU188" s="485"/>
      <c r="BV188" s="485"/>
      <c r="BW188" s="485"/>
      <c r="BX188" s="485"/>
      <c r="BY188" s="485"/>
      <c r="BZ188" s="485"/>
      <c r="CA188" s="485"/>
      <c r="CB188" s="485"/>
      <c r="CC188" s="485"/>
      <c r="CD188" s="485"/>
      <c r="CE188" s="485"/>
      <c r="CF188" s="485"/>
      <c r="CG188" s="485"/>
      <c r="CH188" s="485"/>
      <c r="CI188" s="485"/>
      <c r="CJ188" s="485"/>
      <c r="CK188" s="485"/>
      <c r="CL188" s="485"/>
      <c r="CM188" s="485"/>
      <c r="CN188" s="485"/>
      <c r="CO188" s="485"/>
      <c r="CP188" s="485"/>
      <c r="CQ188" s="485"/>
      <c r="CR188" s="485"/>
      <c r="CS188" s="485"/>
      <c r="CT188" s="485"/>
      <c r="CU188" s="485"/>
      <c r="CV188" s="485"/>
      <c r="CW188" s="485"/>
      <c r="CX188" s="485"/>
      <c r="CY188" s="485"/>
      <c r="CZ188" s="485"/>
      <c r="DA188" s="485"/>
      <c r="DB188" s="485"/>
      <c r="DC188" s="485"/>
      <c r="DD188" s="485"/>
      <c r="DE188" s="485"/>
      <c r="DF188" s="485"/>
      <c r="DG188" s="485"/>
      <c r="DH188" s="485"/>
      <c r="DI188" s="485"/>
      <c r="DJ188" s="485"/>
      <c r="DK188" s="485"/>
      <c r="DL188" s="485"/>
      <c r="DM188" s="485"/>
      <c r="DN188" s="485"/>
      <c r="DO188" s="485"/>
      <c r="DP188" s="485"/>
      <c r="DQ188" s="485"/>
      <c r="DR188" s="485"/>
      <c r="DS188" s="485"/>
      <c r="DT188" s="485"/>
      <c r="DU188" s="485"/>
      <c r="DV188" s="485"/>
      <c r="DW188" s="485"/>
      <c r="DX188" s="485"/>
      <c r="DY188" s="485"/>
      <c r="DZ188" s="485"/>
      <c r="EA188" s="485"/>
      <c r="EB188" s="485"/>
      <c r="EC188" s="485"/>
      <c r="ED188" s="485"/>
      <c r="EE188" s="485"/>
      <c r="EF188" s="485"/>
      <c r="EG188" s="485"/>
      <c r="EH188" s="485"/>
      <c r="EI188" s="485"/>
      <c r="EJ188" s="485"/>
      <c r="EK188" s="485"/>
      <c r="EL188" s="485"/>
      <c r="EM188" s="485"/>
      <c r="EN188" s="485"/>
      <c r="EO188" s="485"/>
      <c r="EP188" s="485"/>
    </row>
    <row r="189" spans="1:146" ht="15.75">
      <c r="A189" s="462">
        <f t="shared" si="62"/>
        <v>919</v>
      </c>
      <c r="B189" s="629" t="s">
        <v>434</v>
      </c>
      <c r="C189" s="624">
        <v>130</v>
      </c>
      <c r="D189" s="626">
        <v>43</v>
      </c>
      <c r="E189" s="611">
        <v>4.83</v>
      </c>
      <c r="F189" s="678">
        <f t="shared" si="45"/>
        <v>4.7315300000000002</v>
      </c>
      <c r="G189" s="683">
        <v>54</v>
      </c>
      <c r="H189" s="681">
        <f t="shared" si="55"/>
        <v>27864</v>
      </c>
      <c r="I189" s="623">
        <f t="shared" si="63"/>
        <v>3129.84</v>
      </c>
      <c r="J189" s="623"/>
      <c r="K189" s="627">
        <v>0.13</v>
      </c>
      <c r="L189" s="627">
        <f t="shared" si="57"/>
        <v>7.0200000000000005</v>
      </c>
      <c r="M189" s="627"/>
      <c r="N189" s="609">
        <v>43</v>
      </c>
      <c r="O189" s="610">
        <v>4.8279214758569653</v>
      </c>
      <c r="P189" s="617" t="str">
        <f t="shared" si="58"/>
        <v>---</v>
      </c>
      <c r="Q189" s="618">
        <f t="shared" si="59"/>
        <v>-2.0785241430347767E-3</v>
      </c>
      <c r="R189" s="485"/>
      <c r="S189" s="624" t="str">
        <f t="shared" si="60"/>
        <v>OK</v>
      </c>
      <c r="T189" s="451">
        <f>IF(+'2012 Rates'!O397&lt;'2012 Rates'!$B$11,'2012 Rates'!$B$11,+'2012 Rates'!O397)</f>
        <v>5.1999999999999993</v>
      </c>
      <c r="U189" s="447">
        <f t="shared" si="53"/>
        <v>9.9010256724568757E-2</v>
      </c>
      <c r="V189" s="485"/>
      <c r="W189" s="623">
        <f t="shared" si="64"/>
        <v>3369.5999999999995</v>
      </c>
      <c r="X189" s="485"/>
      <c r="Y189" s="485"/>
      <c r="Z189" s="485"/>
      <c r="AA189" s="485"/>
      <c r="AB189" s="485"/>
      <c r="AC189" s="485"/>
      <c r="AD189" s="485"/>
      <c r="AE189" s="485"/>
      <c r="AF189" s="485"/>
      <c r="AG189" s="485"/>
      <c r="AH189" s="485"/>
      <c r="AI189" s="485"/>
      <c r="AJ189" s="485"/>
      <c r="AK189" s="485"/>
      <c r="AL189" s="485"/>
      <c r="AM189" s="485"/>
      <c r="AN189" s="485"/>
      <c r="AO189" s="485"/>
      <c r="AP189" s="485"/>
      <c r="AQ189" s="485"/>
      <c r="AR189" s="485"/>
      <c r="AS189" s="485"/>
      <c r="AT189" s="485"/>
      <c r="AU189" s="485"/>
      <c r="AV189" s="485"/>
      <c r="AW189" s="485"/>
      <c r="AX189" s="485"/>
      <c r="AY189" s="485"/>
      <c r="AZ189" s="485"/>
      <c r="BA189" s="485"/>
      <c r="BB189" s="485"/>
      <c r="BC189" s="485"/>
      <c r="BD189" s="485"/>
      <c r="BE189" s="485"/>
      <c r="BF189" s="485"/>
      <c r="BG189" s="485"/>
      <c r="BH189" s="485"/>
      <c r="BI189" s="485"/>
      <c r="BJ189" s="485"/>
      <c r="BK189" s="485"/>
      <c r="BL189" s="485"/>
      <c r="BM189" s="485"/>
      <c r="BN189" s="485"/>
      <c r="BO189" s="485"/>
      <c r="BP189" s="485"/>
      <c r="BQ189" s="485"/>
      <c r="BR189" s="485"/>
      <c r="BS189" s="485"/>
      <c r="BT189" s="485"/>
      <c r="BU189" s="485"/>
      <c r="BV189" s="485"/>
      <c r="BW189" s="485"/>
      <c r="BX189" s="485"/>
      <c r="BY189" s="485"/>
      <c r="BZ189" s="485"/>
      <c r="CA189" s="485"/>
      <c r="CB189" s="485"/>
      <c r="CC189" s="485"/>
      <c r="CD189" s="485"/>
      <c r="CE189" s="485"/>
      <c r="CF189" s="485"/>
      <c r="CG189" s="485"/>
      <c r="CH189" s="485"/>
      <c r="CI189" s="485"/>
      <c r="CJ189" s="485"/>
      <c r="CK189" s="485"/>
      <c r="CL189" s="485"/>
      <c r="CM189" s="485"/>
      <c r="CN189" s="485"/>
      <c r="CO189" s="485"/>
      <c r="CP189" s="485"/>
      <c r="CQ189" s="485"/>
      <c r="CR189" s="485"/>
      <c r="CS189" s="485"/>
      <c r="CT189" s="485"/>
      <c r="CU189" s="485"/>
      <c r="CV189" s="485"/>
      <c r="CW189" s="485"/>
      <c r="CX189" s="485"/>
      <c r="CY189" s="485"/>
      <c r="CZ189" s="485"/>
      <c r="DA189" s="485"/>
      <c r="DB189" s="485"/>
      <c r="DC189" s="485"/>
      <c r="DD189" s="485"/>
      <c r="DE189" s="485"/>
      <c r="DF189" s="485"/>
      <c r="DG189" s="485"/>
      <c r="DH189" s="485"/>
      <c r="DI189" s="485"/>
      <c r="DJ189" s="485"/>
      <c r="DK189" s="485"/>
      <c r="DL189" s="485"/>
      <c r="DM189" s="485"/>
      <c r="DN189" s="485"/>
      <c r="DO189" s="485"/>
      <c r="DP189" s="485"/>
      <c r="DQ189" s="485"/>
      <c r="DR189" s="485"/>
      <c r="DS189" s="485"/>
      <c r="DT189" s="485"/>
      <c r="DU189" s="485"/>
      <c r="DV189" s="485"/>
      <c r="DW189" s="485"/>
      <c r="DX189" s="485"/>
      <c r="DY189" s="485"/>
      <c r="DZ189" s="485"/>
      <c r="EA189" s="485"/>
      <c r="EB189" s="485"/>
      <c r="EC189" s="485"/>
      <c r="ED189" s="485"/>
      <c r="EE189" s="485"/>
      <c r="EF189" s="485"/>
      <c r="EG189" s="485"/>
      <c r="EH189" s="485"/>
      <c r="EI189" s="485"/>
      <c r="EJ189" s="485"/>
      <c r="EK189" s="485"/>
      <c r="EL189" s="485"/>
      <c r="EM189" s="485"/>
      <c r="EN189" s="485"/>
      <c r="EO189" s="485"/>
      <c r="EP189" s="485"/>
    </row>
    <row r="190" spans="1:146" ht="15.75">
      <c r="A190" s="462">
        <f t="shared" si="62"/>
        <v>920</v>
      </c>
      <c r="B190" s="467" t="s">
        <v>435</v>
      </c>
      <c r="C190" s="624">
        <v>360</v>
      </c>
      <c r="D190" s="626">
        <v>88</v>
      </c>
      <c r="E190" s="611">
        <v>11.3</v>
      </c>
      <c r="F190" s="678">
        <f t="shared" si="45"/>
        <v>11.09848</v>
      </c>
      <c r="G190" s="683"/>
      <c r="H190" s="681">
        <f t="shared" si="55"/>
        <v>0</v>
      </c>
      <c r="I190" s="623">
        <f t="shared" si="63"/>
        <v>0</v>
      </c>
      <c r="J190" s="623"/>
      <c r="K190" s="627">
        <v>0.36</v>
      </c>
      <c r="L190" s="627">
        <f t="shared" si="57"/>
        <v>0</v>
      </c>
      <c r="M190" s="627"/>
      <c r="N190" s="609">
        <v>88</v>
      </c>
      <c r="O190" s="610">
        <v>11.295978834311931</v>
      </c>
      <c r="P190" s="617" t="str">
        <f t="shared" si="58"/>
        <v>---</v>
      </c>
      <c r="Q190" s="618">
        <f t="shared" si="59"/>
        <v>-4.021165688069317E-3</v>
      </c>
      <c r="R190" s="485"/>
      <c r="S190" s="624" t="str">
        <f t="shared" si="60"/>
        <v>OK</v>
      </c>
      <c r="T190" s="451">
        <f>IF(+'2012 Rates'!O398&lt;'2012 Rates'!$B$11,'2012 Rates'!$B$11,+'2012 Rates'!O398)</f>
        <v>12.18</v>
      </c>
      <c r="U190" s="447">
        <f t="shared" si="53"/>
        <v>9.744757840713314E-2</v>
      </c>
      <c r="V190" s="485"/>
      <c r="W190" s="623">
        <f t="shared" si="64"/>
        <v>0</v>
      </c>
      <c r="X190" s="485"/>
      <c r="Y190" s="485"/>
      <c r="Z190" s="485"/>
      <c r="AA190" s="485"/>
      <c r="AB190" s="485"/>
      <c r="AC190" s="485"/>
      <c r="AD190" s="485"/>
      <c r="AE190" s="485"/>
      <c r="AF190" s="485"/>
      <c r="AG190" s="485"/>
      <c r="AH190" s="485"/>
      <c r="AI190" s="485"/>
      <c r="AJ190" s="485"/>
      <c r="AK190" s="485"/>
      <c r="AL190" s="485"/>
      <c r="AM190" s="485"/>
      <c r="AN190" s="485"/>
      <c r="AO190" s="485"/>
      <c r="AP190" s="485"/>
      <c r="AQ190" s="485"/>
      <c r="AR190" s="485"/>
      <c r="AS190" s="485"/>
      <c r="AT190" s="485"/>
      <c r="AU190" s="485"/>
      <c r="AV190" s="485"/>
      <c r="AW190" s="485"/>
      <c r="AX190" s="485"/>
      <c r="AY190" s="485"/>
      <c r="AZ190" s="485"/>
      <c r="BA190" s="485"/>
      <c r="BB190" s="485"/>
      <c r="BC190" s="485"/>
      <c r="BD190" s="485"/>
      <c r="BE190" s="485"/>
      <c r="BF190" s="485"/>
      <c r="BG190" s="485"/>
      <c r="BH190" s="485"/>
      <c r="BI190" s="485"/>
      <c r="BJ190" s="485"/>
      <c r="BK190" s="485"/>
      <c r="BL190" s="485"/>
      <c r="BM190" s="485"/>
      <c r="BN190" s="485"/>
      <c r="BO190" s="485"/>
      <c r="BP190" s="485"/>
      <c r="BQ190" s="485"/>
      <c r="BR190" s="485"/>
      <c r="BS190" s="485"/>
      <c r="BT190" s="485"/>
      <c r="BU190" s="485"/>
      <c r="BV190" s="485"/>
      <c r="BW190" s="485"/>
      <c r="BX190" s="485"/>
      <c r="BY190" s="485"/>
      <c r="BZ190" s="485"/>
      <c r="CA190" s="485"/>
      <c r="CB190" s="485"/>
      <c r="CC190" s="485"/>
      <c r="CD190" s="485"/>
      <c r="CE190" s="485"/>
      <c r="CF190" s="485"/>
      <c r="CG190" s="485"/>
      <c r="CH190" s="485"/>
      <c r="CI190" s="485"/>
      <c r="CJ190" s="485"/>
      <c r="CK190" s="485"/>
      <c r="CL190" s="485"/>
      <c r="CM190" s="485"/>
      <c r="CN190" s="485"/>
      <c r="CO190" s="485"/>
      <c r="CP190" s="485"/>
      <c r="CQ190" s="485"/>
      <c r="CR190" s="485"/>
      <c r="CS190" s="485"/>
      <c r="CT190" s="485"/>
      <c r="CU190" s="485"/>
      <c r="CV190" s="485"/>
      <c r="CW190" s="485"/>
      <c r="CX190" s="485"/>
      <c r="CY190" s="485"/>
      <c r="CZ190" s="485"/>
      <c r="DA190" s="485"/>
      <c r="DB190" s="485"/>
      <c r="DC190" s="485"/>
      <c r="DD190" s="485"/>
      <c r="DE190" s="485"/>
      <c r="DF190" s="485"/>
      <c r="DG190" s="485"/>
      <c r="DH190" s="485"/>
      <c r="DI190" s="485"/>
      <c r="DJ190" s="485"/>
      <c r="DK190" s="485"/>
      <c r="DL190" s="485"/>
      <c r="DM190" s="485"/>
      <c r="DN190" s="485"/>
      <c r="DO190" s="485"/>
      <c r="DP190" s="485"/>
      <c r="DQ190" s="485"/>
      <c r="DR190" s="485"/>
      <c r="DS190" s="485"/>
      <c r="DT190" s="485"/>
      <c r="DU190" s="485"/>
      <c r="DV190" s="485"/>
      <c r="DW190" s="485"/>
      <c r="DX190" s="485"/>
      <c r="DY190" s="485"/>
      <c r="DZ190" s="485"/>
      <c r="EA190" s="485"/>
      <c r="EB190" s="485"/>
      <c r="EC190" s="485"/>
      <c r="ED190" s="485"/>
      <c r="EE190" s="485"/>
      <c r="EF190" s="485"/>
      <c r="EG190" s="485"/>
      <c r="EH190" s="485"/>
      <c r="EI190" s="485"/>
      <c r="EJ190" s="485"/>
      <c r="EK190" s="485"/>
      <c r="EL190" s="485"/>
      <c r="EM190" s="485"/>
      <c r="EN190" s="485"/>
      <c r="EO190" s="485"/>
      <c r="EP190" s="485"/>
    </row>
    <row r="191" spans="1:146" ht="15.75">
      <c r="A191" s="462">
        <f t="shared" si="62"/>
        <v>921</v>
      </c>
      <c r="B191" s="640" t="s">
        <v>424</v>
      </c>
      <c r="C191" s="624">
        <v>4582</v>
      </c>
      <c r="D191" s="626">
        <v>830</v>
      </c>
      <c r="E191" s="611">
        <v>121.6</v>
      </c>
      <c r="F191" s="678">
        <f t="shared" si="45"/>
        <v>119.69929999999999</v>
      </c>
      <c r="G191" s="683">
        <v>1</v>
      </c>
      <c r="H191" s="681">
        <f t="shared" si="55"/>
        <v>9960</v>
      </c>
      <c r="I191" s="623">
        <f t="shared" si="63"/>
        <v>1459.1999999999998</v>
      </c>
      <c r="J191" s="623"/>
      <c r="K191" s="627">
        <v>4.5819999999999999</v>
      </c>
      <c r="L191" s="627">
        <f t="shared" si="57"/>
        <v>4.5819999999999999</v>
      </c>
      <c r="M191" s="627"/>
      <c r="N191" s="609">
        <v>830</v>
      </c>
      <c r="O191" s="610">
        <v>121.59639127816935</v>
      </c>
      <c r="P191" s="617" t="str">
        <f t="shared" si="58"/>
        <v>---</v>
      </c>
      <c r="Q191" s="618">
        <f t="shared" si="59"/>
        <v>-3.6087218306448676E-3</v>
      </c>
      <c r="R191" s="485"/>
      <c r="S191" s="624" t="str">
        <f t="shared" si="60"/>
        <v>OK</v>
      </c>
      <c r="T191" s="451">
        <f>IF(+'2012 Rates'!O399&lt;'2012 Rates'!$B$11,'2012 Rates'!$B$11,+'2012 Rates'!O399)</f>
        <v>131.44</v>
      </c>
      <c r="U191" s="447">
        <f t="shared" si="53"/>
        <v>9.8084951206899307E-2</v>
      </c>
      <c r="V191" s="485"/>
      <c r="W191" s="623">
        <f t="shared" si="64"/>
        <v>1577.28</v>
      </c>
      <c r="X191" s="485"/>
      <c r="Y191" s="485"/>
      <c r="Z191" s="485"/>
      <c r="AA191" s="485"/>
      <c r="AB191" s="485"/>
      <c r="AC191" s="485"/>
      <c r="AD191" s="485"/>
      <c r="AE191" s="485"/>
      <c r="AF191" s="485"/>
      <c r="AG191" s="485"/>
      <c r="AH191" s="485"/>
      <c r="AI191" s="485"/>
      <c r="AJ191" s="485"/>
      <c r="AK191" s="485"/>
      <c r="AL191" s="485"/>
      <c r="AM191" s="485"/>
      <c r="AN191" s="485"/>
      <c r="AO191" s="485"/>
      <c r="AP191" s="485"/>
      <c r="AQ191" s="485"/>
      <c r="AR191" s="485"/>
      <c r="AS191" s="485"/>
      <c r="AT191" s="485"/>
      <c r="AU191" s="485"/>
      <c r="AV191" s="485"/>
      <c r="AW191" s="485"/>
      <c r="AX191" s="485"/>
      <c r="AY191" s="485"/>
      <c r="AZ191" s="485"/>
      <c r="BA191" s="485"/>
      <c r="BB191" s="485"/>
      <c r="BC191" s="485"/>
      <c r="BD191" s="485"/>
      <c r="BE191" s="485"/>
      <c r="BF191" s="485"/>
      <c r="BG191" s="485"/>
      <c r="BH191" s="485"/>
      <c r="BI191" s="485"/>
      <c r="BJ191" s="485"/>
      <c r="BK191" s="485"/>
      <c r="BL191" s="485"/>
      <c r="BM191" s="485"/>
      <c r="BN191" s="485"/>
      <c r="BO191" s="485"/>
      <c r="BP191" s="485"/>
      <c r="BQ191" s="485"/>
      <c r="BR191" s="485"/>
      <c r="BS191" s="485"/>
      <c r="BT191" s="485"/>
      <c r="BU191" s="485"/>
      <c r="BV191" s="485"/>
      <c r="BW191" s="485"/>
      <c r="BX191" s="485"/>
      <c r="BY191" s="485"/>
      <c r="BZ191" s="485"/>
      <c r="CA191" s="485"/>
      <c r="CB191" s="485"/>
      <c r="CC191" s="485"/>
      <c r="CD191" s="485"/>
      <c r="CE191" s="485"/>
      <c r="CF191" s="485"/>
      <c r="CG191" s="485"/>
      <c r="CH191" s="485"/>
      <c r="CI191" s="485"/>
      <c r="CJ191" s="485"/>
      <c r="CK191" s="485"/>
      <c r="CL191" s="485"/>
      <c r="CM191" s="485"/>
      <c r="CN191" s="485"/>
      <c r="CO191" s="485"/>
      <c r="CP191" s="485"/>
      <c r="CQ191" s="485"/>
      <c r="CR191" s="485"/>
      <c r="CS191" s="485"/>
      <c r="CT191" s="485"/>
      <c r="CU191" s="485"/>
      <c r="CV191" s="485"/>
      <c r="CW191" s="485"/>
      <c r="CX191" s="485"/>
      <c r="CY191" s="485"/>
      <c r="CZ191" s="485"/>
      <c r="DA191" s="485"/>
      <c r="DB191" s="485"/>
      <c r="DC191" s="485"/>
      <c r="DD191" s="485"/>
      <c r="DE191" s="485"/>
      <c r="DF191" s="485"/>
      <c r="DG191" s="485"/>
      <c r="DH191" s="485"/>
      <c r="DI191" s="485"/>
      <c r="DJ191" s="485"/>
      <c r="DK191" s="485"/>
      <c r="DL191" s="485"/>
      <c r="DM191" s="485"/>
      <c r="DN191" s="485"/>
      <c r="DO191" s="485"/>
      <c r="DP191" s="485"/>
      <c r="DQ191" s="485"/>
      <c r="DR191" s="485"/>
      <c r="DS191" s="485"/>
      <c r="DT191" s="485"/>
      <c r="DU191" s="485"/>
      <c r="DV191" s="485"/>
      <c r="DW191" s="485"/>
      <c r="DX191" s="485"/>
      <c r="DY191" s="485"/>
      <c r="DZ191" s="485"/>
      <c r="EA191" s="485"/>
      <c r="EB191" s="485"/>
      <c r="EC191" s="485"/>
      <c r="ED191" s="485"/>
      <c r="EE191" s="485"/>
      <c r="EF191" s="485"/>
      <c r="EG191" s="485"/>
      <c r="EH191" s="485"/>
      <c r="EI191" s="485"/>
      <c r="EJ191" s="485"/>
      <c r="EK191" s="485"/>
      <c r="EL191" s="485"/>
      <c r="EM191" s="485"/>
      <c r="EN191" s="485"/>
      <c r="EO191" s="485"/>
      <c r="EP191" s="485"/>
    </row>
    <row r="192" spans="1:146" ht="15.75">
      <c r="A192" s="462">
        <f t="shared" si="62"/>
        <v>922</v>
      </c>
      <c r="B192" s="629" t="s">
        <v>393</v>
      </c>
      <c r="C192" s="624">
        <v>150</v>
      </c>
      <c r="D192" s="626">
        <v>58</v>
      </c>
      <c r="E192" s="611">
        <v>6.49</v>
      </c>
      <c r="F192" s="678">
        <f t="shared" si="45"/>
        <v>6.3571800000000005</v>
      </c>
      <c r="G192" s="683"/>
      <c r="H192" s="681">
        <f t="shared" si="55"/>
        <v>0</v>
      </c>
      <c r="I192" s="623">
        <f t="shared" si="63"/>
        <v>0</v>
      </c>
      <c r="J192" s="623"/>
      <c r="K192" s="627">
        <v>0.17399999999999999</v>
      </c>
      <c r="L192" s="627">
        <f t="shared" si="57"/>
        <v>0</v>
      </c>
      <c r="M192" s="627"/>
      <c r="N192" s="609">
        <v>58</v>
      </c>
      <c r="O192" s="610">
        <v>6.4939405953419538</v>
      </c>
      <c r="P192" s="617" t="str">
        <f t="shared" si="58"/>
        <v>---</v>
      </c>
      <c r="Q192" s="618">
        <f t="shared" si="59"/>
        <v>3.9405953419535678E-3</v>
      </c>
      <c r="R192" s="485"/>
      <c r="S192" s="624" t="str">
        <f t="shared" si="60"/>
        <v>OK</v>
      </c>
      <c r="T192" s="451">
        <f>IF(+'2012 Rates'!O400&lt;'2012 Rates'!$B$11,'2012 Rates'!$B$11,+'2012 Rates'!O400)</f>
        <v>7</v>
      </c>
      <c r="U192" s="447">
        <f t="shared" si="53"/>
        <v>0.10111716201208698</v>
      </c>
      <c r="V192" s="485"/>
      <c r="W192" s="623">
        <f t="shared" si="64"/>
        <v>0</v>
      </c>
      <c r="X192" s="485"/>
      <c r="Y192" s="485"/>
      <c r="Z192" s="485"/>
      <c r="AA192" s="485"/>
      <c r="AB192" s="485"/>
      <c r="AC192" s="485"/>
      <c r="AD192" s="485"/>
      <c r="AE192" s="485"/>
      <c r="AF192" s="485"/>
      <c r="AG192" s="485"/>
      <c r="AH192" s="485"/>
      <c r="AI192" s="485"/>
      <c r="AJ192" s="485"/>
      <c r="AK192" s="485"/>
      <c r="AL192" s="485"/>
      <c r="AM192" s="485"/>
      <c r="AN192" s="485"/>
      <c r="AO192" s="485"/>
      <c r="AP192" s="485"/>
      <c r="AQ192" s="485"/>
      <c r="AR192" s="485"/>
      <c r="AS192" s="485"/>
      <c r="AT192" s="485"/>
      <c r="AU192" s="485"/>
      <c r="AV192" s="485"/>
      <c r="AW192" s="485"/>
      <c r="AX192" s="485"/>
      <c r="AY192" s="485"/>
      <c r="AZ192" s="485"/>
      <c r="BA192" s="485"/>
      <c r="BB192" s="485"/>
      <c r="BC192" s="485"/>
      <c r="BD192" s="485"/>
      <c r="BE192" s="485"/>
      <c r="BF192" s="485"/>
      <c r="BG192" s="485"/>
      <c r="BH192" s="485"/>
      <c r="BI192" s="485"/>
      <c r="BJ192" s="485"/>
      <c r="BK192" s="485"/>
      <c r="BL192" s="485"/>
      <c r="BM192" s="485"/>
      <c r="BN192" s="485"/>
      <c r="BO192" s="485"/>
      <c r="BP192" s="485"/>
      <c r="BQ192" s="485"/>
      <c r="BR192" s="485"/>
      <c r="BS192" s="485"/>
      <c r="BT192" s="485"/>
      <c r="BU192" s="485"/>
      <c r="BV192" s="485"/>
      <c r="BW192" s="485"/>
      <c r="BX192" s="485"/>
      <c r="BY192" s="485"/>
      <c r="BZ192" s="485"/>
      <c r="CA192" s="485"/>
      <c r="CB192" s="485"/>
      <c r="CC192" s="485"/>
      <c r="CD192" s="485"/>
      <c r="CE192" s="485"/>
      <c r="CF192" s="485"/>
      <c r="CG192" s="485"/>
      <c r="CH192" s="485"/>
      <c r="CI192" s="485"/>
      <c r="CJ192" s="485"/>
      <c r="CK192" s="485"/>
      <c r="CL192" s="485"/>
      <c r="CM192" s="485"/>
      <c r="CN192" s="485"/>
      <c r="CO192" s="485"/>
      <c r="CP192" s="485"/>
      <c r="CQ192" s="485"/>
      <c r="CR192" s="485"/>
      <c r="CS192" s="485"/>
      <c r="CT192" s="485"/>
      <c r="CU192" s="485"/>
      <c r="CV192" s="485"/>
      <c r="CW192" s="485"/>
      <c r="CX192" s="485"/>
      <c r="CY192" s="485"/>
      <c r="CZ192" s="485"/>
      <c r="DA192" s="485"/>
      <c r="DB192" s="485"/>
      <c r="DC192" s="485"/>
      <c r="DD192" s="485"/>
      <c r="DE192" s="485"/>
      <c r="DF192" s="485"/>
      <c r="DG192" s="485"/>
      <c r="DH192" s="485"/>
      <c r="DI192" s="485"/>
      <c r="DJ192" s="485"/>
      <c r="DK192" s="485"/>
      <c r="DL192" s="485"/>
      <c r="DM192" s="485"/>
      <c r="DN192" s="485"/>
      <c r="DO192" s="485"/>
      <c r="DP192" s="485"/>
      <c r="DQ192" s="485"/>
      <c r="DR192" s="485"/>
      <c r="DS192" s="485"/>
      <c r="DT192" s="485"/>
      <c r="DU192" s="485"/>
      <c r="DV192" s="485"/>
      <c r="DW192" s="485"/>
      <c r="DX192" s="485"/>
      <c r="DY192" s="485"/>
      <c r="DZ192" s="485"/>
      <c r="EA192" s="485"/>
      <c r="EB192" s="485"/>
      <c r="EC192" s="485"/>
      <c r="ED192" s="485"/>
      <c r="EE192" s="485"/>
      <c r="EF192" s="485"/>
      <c r="EG192" s="485"/>
      <c r="EH192" s="485"/>
      <c r="EI192" s="485"/>
      <c r="EJ192" s="485"/>
      <c r="EK192" s="485"/>
      <c r="EL192" s="485"/>
      <c r="EM192" s="485"/>
      <c r="EN192" s="485"/>
      <c r="EO192" s="485"/>
      <c r="EP192" s="485"/>
    </row>
    <row r="193" spans="1:146" ht="15.75">
      <c r="A193" s="462">
        <f t="shared" si="62"/>
        <v>923</v>
      </c>
      <c r="B193" s="629" t="s">
        <v>393</v>
      </c>
      <c r="C193" s="624">
        <v>3510</v>
      </c>
      <c r="D193" s="626">
        <v>1170</v>
      </c>
      <c r="E193" s="611">
        <v>131.02000000000001</v>
      </c>
      <c r="F193" s="678">
        <f t="shared" si="45"/>
        <v>128.3407</v>
      </c>
      <c r="G193" s="683">
        <v>3</v>
      </c>
      <c r="H193" s="681">
        <f t="shared" si="55"/>
        <v>42120</v>
      </c>
      <c r="I193" s="623">
        <f t="shared" si="63"/>
        <v>4716.7200000000012</v>
      </c>
      <c r="J193" s="623"/>
      <c r="K193" s="627">
        <v>3.51</v>
      </c>
      <c r="L193" s="627">
        <f t="shared" si="57"/>
        <v>10.53</v>
      </c>
      <c r="M193" s="627"/>
      <c r="N193" s="609">
        <v>1170</v>
      </c>
      <c r="O193" s="610">
        <v>131.01949131982906</v>
      </c>
      <c r="P193" s="617" t="str">
        <f t="shared" si="58"/>
        <v>---</v>
      </c>
      <c r="Q193" s="618">
        <f t="shared" si="59"/>
        <v>-5.0868017095240248E-4</v>
      </c>
      <c r="R193" s="485"/>
      <c r="S193" s="624" t="str">
        <f t="shared" si="60"/>
        <v>OK</v>
      </c>
      <c r="T193" s="451">
        <f>IF(+'2012 Rates'!O401&lt;'2012 Rates'!$B$11,'2012 Rates'!$B$11,+'2012 Rates'!O401)</f>
        <v>140.94</v>
      </c>
      <c r="U193" s="447">
        <f t="shared" si="53"/>
        <v>9.8170728381565597E-2</v>
      </c>
      <c r="V193" s="485"/>
      <c r="W193" s="623">
        <f t="shared" si="64"/>
        <v>5073.84</v>
      </c>
      <c r="X193" s="485"/>
      <c r="Y193" s="485"/>
      <c r="Z193" s="485"/>
      <c r="AA193" s="485"/>
      <c r="AB193" s="485"/>
      <c r="AC193" s="485"/>
      <c r="AD193" s="485"/>
      <c r="AE193" s="485"/>
      <c r="AF193" s="485"/>
      <c r="AG193" s="485"/>
      <c r="AH193" s="485"/>
      <c r="AI193" s="485"/>
      <c r="AJ193" s="485"/>
      <c r="AK193" s="485"/>
      <c r="AL193" s="485"/>
      <c r="AM193" s="485"/>
      <c r="AN193" s="485"/>
      <c r="AO193" s="485"/>
      <c r="AP193" s="485"/>
      <c r="AQ193" s="485"/>
      <c r="AR193" s="485"/>
      <c r="AS193" s="485"/>
      <c r="AT193" s="485"/>
      <c r="AU193" s="485"/>
      <c r="AV193" s="485"/>
      <c r="AW193" s="485"/>
      <c r="AX193" s="485"/>
      <c r="AY193" s="485"/>
      <c r="AZ193" s="485"/>
      <c r="BA193" s="485"/>
      <c r="BB193" s="485"/>
      <c r="BC193" s="485"/>
      <c r="BD193" s="485"/>
      <c r="BE193" s="485"/>
      <c r="BF193" s="485"/>
      <c r="BG193" s="485"/>
      <c r="BH193" s="485"/>
      <c r="BI193" s="485"/>
      <c r="BJ193" s="485"/>
      <c r="BK193" s="485"/>
      <c r="BL193" s="485"/>
      <c r="BM193" s="485"/>
      <c r="BN193" s="485"/>
      <c r="BO193" s="485"/>
      <c r="BP193" s="485"/>
      <c r="BQ193" s="485"/>
      <c r="BR193" s="485"/>
      <c r="BS193" s="485"/>
      <c r="BT193" s="485"/>
      <c r="BU193" s="485"/>
      <c r="BV193" s="485"/>
      <c r="BW193" s="485"/>
      <c r="BX193" s="485"/>
      <c r="BY193" s="485"/>
      <c r="BZ193" s="485"/>
      <c r="CA193" s="485"/>
      <c r="CB193" s="485"/>
      <c r="CC193" s="485"/>
      <c r="CD193" s="485"/>
      <c r="CE193" s="485"/>
      <c r="CF193" s="485"/>
      <c r="CG193" s="485"/>
      <c r="CH193" s="485"/>
      <c r="CI193" s="485"/>
      <c r="CJ193" s="485"/>
      <c r="CK193" s="485"/>
      <c r="CL193" s="485"/>
      <c r="CM193" s="485"/>
      <c r="CN193" s="485"/>
      <c r="CO193" s="485"/>
      <c r="CP193" s="485"/>
      <c r="CQ193" s="485"/>
      <c r="CR193" s="485"/>
      <c r="CS193" s="485"/>
      <c r="CT193" s="485"/>
      <c r="CU193" s="485"/>
      <c r="CV193" s="485"/>
      <c r="CW193" s="485"/>
      <c r="CX193" s="485"/>
      <c r="CY193" s="485"/>
      <c r="CZ193" s="485"/>
      <c r="DA193" s="485"/>
      <c r="DB193" s="485"/>
      <c r="DC193" s="485"/>
      <c r="DD193" s="485"/>
      <c r="DE193" s="485"/>
      <c r="DF193" s="485"/>
      <c r="DG193" s="485"/>
      <c r="DH193" s="485"/>
      <c r="DI193" s="485"/>
      <c r="DJ193" s="485"/>
      <c r="DK193" s="485"/>
      <c r="DL193" s="485"/>
      <c r="DM193" s="485"/>
      <c r="DN193" s="485"/>
      <c r="DO193" s="485"/>
      <c r="DP193" s="485"/>
      <c r="DQ193" s="485"/>
      <c r="DR193" s="485"/>
      <c r="DS193" s="485"/>
      <c r="DT193" s="485"/>
      <c r="DU193" s="485"/>
      <c r="DV193" s="485"/>
      <c r="DW193" s="485"/>
      <c r="DX193" s="485"/>
      <c r="DY193" s="485"/>
      <c r="DZ193" s="485"/>
      <c r="EA193" s="485"/>
      <c r="EB193" s="485"/>
      <c r="EC193" s="485"/>
      <c r="ED193" s="485"/>
      <c r="EE193" s="485"/>
      <c r="EF193" s="485"/>
      <c r="EG193" s="485"/>
      <c r="EH193" s="485"/>
      <c r="EI193" s="485"/>
      <c r="EJ193" s="485"/>
      <c r="EK193" s="485"/>
      <c r="EL193" s="485"/>
      <c r="EM193" s="485"/>
      <c r="EN193" s="485"/>
      <c r="EO193" s="485"/>
      <c r="EP193" s="485"/>
    </row>
    <row r="194" spans="1:146" ht="15.75">
      <c r="A194" s="462">
        <f t="shared" si="62"/>
        <v>924</v>
      </c>
      <c r="B194" s="629" t="s">
        <v>393</v>
      </c>
      <c r="C194" s="624">
        <v>205</v>
      </c>
      <c r="D194" s="626">
        <v>79</v>
      </c>
      <c r="E194" s="611">
        <v>8.84</v>
      </c>
      <c r="F194" s="678">
        <f t="shared" si="45"/>
        <v>8.6590899999999991</v>
      </c>
      <c r="G194" s="683">
        <v>2</v>
      </c>
      <c r="H194" s="681">
        <f t="shared" si="55"/>
        <v>1896</v>
      </c>
      <c r="I194" s="623">
        <f t="shared" si="63"/>
        <v>212.16</v>
      </c>
      <c r="J194" s="623"/>
      <c r="K194" s="627">
        <v>0.23699999999999999</v>
      </c>
      <c r="L194" s="627">
        <f t="shared" si="57"/>
        <v>0.47399999999999998</v>
      </c>
      <c r="M194" s="627"/>
      <c r="N194" s="609">
        <v>79</v>
      </c>
      <c r="O194" s="610">
        <v>8.8403673626209365</v>
      </c>
      <c r="P194" s="617" t="str">
        <f t="shared" si="58"/>
        <v>---</v>
      </c>
      <c r="Q194" s="618">
        <f t="shared" si="59"/>
        <v>3.6736262093661765E-4</v>
      </c>
      <c r="R194" s="485"/>
      <c r="S194" s="624" t="str">
        <f t="shared" si="60"/>
        <v>OK</v>
      </c>
      <c r="T194" s="451">
        <f>IF(+'2012 Rates'!O402&lt;'2012 Rates'!$B$11,'2012 Rates'!$B$11,+'2012 Rates'!O402)</f>
        <v>9.5</v>
      </c>
      <c r="U194" s="447">
        <f t="shared" si="53"/>
        <v>9.7112976074853252E-2</v>
      </c>
      <c r="V194" s="485"/>
      <c r="W194" s="623">
        <f t="shared" si="64"/>
        <v>228</v>
      </c>
      <c r="X194" s="485"/>
      <c r="Y194" s="485"/>
      <c r="Z194" s="485"/>
      <c r="AA194" s="485"/>
      <c r="AB194" s="485"/>
      <c r="AC194" s="485"/>
      <c r="AD194" s="485"/>
      <c r="AE194" s="485"/>
      <c r="AF194" s="485"/>
      <c r="AG194" s="485"/>
      <c r="AH194" s="485"/>
      <c r="AI194" s="485"/>
      <c r="AJ194" s="485"/>
      <c r="AK194" s="485"/>
      <c r="AL194" s="485"/>
      <c r="AM194" s="485"/>
      <c r="AN194" s="485"/>
      <c r="AO194" s="485"/>
      <c r="AP194" s="485"/>
      <c r="AQ194" s="485"/>
      <c r="AR194" s="485"/>
      <c r="AS194" s="485"/>
      <c r="AT194" s="485"/>
      <c r="AU194" s="485"/>
      <c r="AV194" s="485"/>
      <c r="AW194" s="485"/>
      <c r="AX194" s="485"/>
      <c r="AY194" s="485"/>
      <c r="AZ194" s="485"/>
      <c r="BA194" s="485"/>
      <c r="BB194" s="485"/>
      <c r="BC194" s="485"/>
      <c r="BD194" s="485"/>
      <c r="BE194" s="485"/>
      <c r="BF194" s="485"/>
      <c r="BG194" s="485"/>
      <c r="BH194" s="485"/>
      <c r="BI194" s="485"/>
      <c r="BJ194" s="485"/>
      <c r="BK194" s="485"/>
      <c r="BL194" s="485"/>
      <c r="BM194" s="485"/>
      <c r="BN194" s="485"/>
      <c r="BO194" s="485"/>
      <c r="BP194" s="485"/>
      <c r="BQ194" s="485"/>
      <c r="BR194" s="485"/>
      <c r="BS194" s="485"/>
      <c r="BT194" s="485"/>
      <c r="BU194" s="485"/>
      <c r="BV194" s="485"/>
      <c r="BW194" s="485"/>
      <c r="BX194" s="485"/>
      <c r="BY194" s="485"/>
      <c r="BZ194" s="485"/>
      <c r="CA194" s="485"/>
      <c r="CB194" s="485"/>
      <c r="CC194" s="485"/>
      <c r="CD194" s="485"/>
      <c r="CE194" s="485"/>
      <c r="CF194" s="485"/>
      <c r="CG194" s="485"/>
      <c r="CH194" s="485"/>
      <c r="CI194" s="485"/>
      <c r="CJ194" s="485"/>
      <c r="CK194" s="485"/>
      <c r="CL194" s="485"/>
      <c r="CM194" s="485"/>
      <c r="CN194" s="485"/>
      <c r="CO194" s="485"/>
      <c r="CP194" s="485"/>
      <c r="CQ194" s="485"/>
      <c r="CR194" s="485"/>
      <c r="CS194" s="485"/>
      <c r="CT194" s="485"/>
      <c r="CU194" s="485"/>
      <c r="CV194" s="485"/>
      <c r="CW194" s="485"/>
      <c r="CX194" s="485"/>
      <c r="CY194" s="485"/>
      <c r="CZ194" s="485"/>
      <c r="DA194" s="485"/>
      <c r="DB194" s="485"/>
      <c r="DC194" s="485"/>
      <c r="DD194" s="485"/>
      <c r="DE194" s="485"/>
      <c r="DF194" s="485"/>
      <c r="DG194" s="485"/>
      <c r="DH194" s="485"/>
      <c r="DI194" s="485"/>
      <c r="DJ194" s="485"/>
      <c r="DK194" s="485"/>
      <c r="DL194" s="485"/>
      <c r="DM194" s="485"/>
      <c r="DN194" s="485"/>
      <c r="DO194" s="485"/>
      <c r="DP194" s="485"/>
      <c r="DQ194" s="485"/>
      <c r="DR194" s="485"/>
      <c r="DS194" s="485"/>
      <c r="DT194" s="485"/>
      <c r="DU194" s="485"/>
      <c r="DV194" s="485"/>
      <c r="DW194" s="485"/>
      <c r="DX194" s="485"/>
      <c r="DY194" s="485"/>
      <c r="DZ194" s="485"/>
      <c r="EA194" s="485"/>
      <c r="EB194" s="485"/>
      <c r="EC194" s="485"/>
      <c r="ED194" s="485"/>
      <c r="EE194" s="485"/>
      <c r="EF194" s="485"/>
      <c r="EG194" s="485"/>
      <c r="EH194" s="485"/>
      <c r="EI194" s="485"/>
      <c r="EJ194" s="485"/>
      <c r="EK194" s="485"/>
      <c r="EL194" s="485"/>
      <c r="EM194" s="485"/>
      <c r="EN194" s="485"/>
      <c r="EO194" s="485"/>
      <c r="EP194" s="485"/>
    </row>
    <row r="195" spans="1:146" ht="15.75">
      <c r="A195" s="462">
        <f t="shared" si="62"/>
        <v>925</v>
      </c>
      <c r="B195" s="629" t="s">
        <v>393</v>
      </c>
      <c r="C195" s="624">
        <v>2040</v>
      </c>
      <c r="D195" s="626">
        <v>680</v>
      </c>
      <c r="E195" s="611">
        <v>76.150000000000006</v>
      </c>
      <c r="F195" s="678">
        <f t="shared" si="45"/>
        <v>74.592800000000011</v>
      </c>
      <c r="G195" s="683"/>
      <c r="H195" s="681">
        <f t="shared" si="55"/>
        <v>0</v>
      </c>
      <c r="I195" s="623">
        <f t="shared" si="63"/>
        <v>0</v>
      </c>
      <c r="J195" s="623"/>
      <c r="K195" s="627">
        <v>2.04</v>
      </c>
      <c r="L195" s="627">
        <f t="shared" si="57"/>
        <v>0</v>
      </c>
      <c r="M195" s="627"/>
      <c r="N195" s="609">
        <v>680</v>
      </c>
      <c r="O195" s="610">
        <v>76.146200083319442</v>
      </c>
      <c r="P195" s="617" t="str">
        <f t="shared" si="58"/>
        <v>---</v>
      </c>
      <c r="Q195" s="618">
        <f t="shared" si="59"/>
        <v>-3.7999166805633422E-3</v>
      </c>
      <c r="R195" s="485"/>
      <c r="S195" s="624" t="str">
        <f t="shared" si="60"/>
        <v>OK</v>
      </c>
      <c r="T195" s="451">
        <f>IF(+'2012 Rates'!O403&lt;'2012 Rates'!$B$11,'2012 Rates'!$B$11,+'2012 Rates'!O403)</f>
        <v>81.919999999999987</v>
      </c>
      <c r="U195" s="447">
        <f t="shared" si="53"/>
        <v>9.8229319719865371E-2</v>
      </c>
      <c r="V195" s="485"/>
      <c r="W195" s="623">
        <f t="shared" si="64"/>
        <v>0</v>
      </c>
      <c r="X195" s="485"/>
      <c r="Y195" s="485"/>
      <c r="Z195" s="485"/>
      <c r="AA195" s="485"/>
      <c r="AB195" s="485"/>
      <c r="AC195" s="485"/>
      <c r="AD195" s="485"/>
      <c r="AE195" s="485"/>
      <c r="AF195" s="485"/>
      <c r="AG195" s="485"/>
      <c r="AH195" s="485"/>
      <c r="AI195" s="485"/>
      <c r="AJ195" s="485"/>
      <c r="AK195" s="485"/>
      <c r="AL195" s="485"/>
      <c r="AM195" s="485"/>
      <c r="AN195" s="485"/>
      <c r="AO195" s="485"/>
      <c r="AP195" s="485"/>
      <c r="AQ195" s="485"/>
      <c r="AR195" s="485"/>
      <c r="AS195" s="485"/>
      <c r="AT195" s="485"/>
      <c r="AU195" s="485"/>
      <c r="AV195" s="485"/>
      <c r="AW195" s="485"/>
      <c r="AX195" s="485"/>
      <c r="AY195" s="485"/>
      <c r="AZ195" s="485"/>
      <c r="BA195" s="485"/>
      <c r="BB195" s="485"/>
      <c r="BC195" s="485"/>
      <c r="BD195" s="485"/>
      <c r="BE195" s="485"/>
      <c r="BF195" s="485"/>
      <c r="BG195" s="485"/>
      <c r="BH195" s="485"/>
      <c r="BI195" s="485"/>
      <c r="BJ195" s="485"/>
      <c r="BK195" s="485"/>
      <c r="BL195" s="485"/>
      <c r="BM195" s="485"/>
      <c r="BN195" s="485"/>
      <c r="BO195" s="485"/>
      <c r="BP195" s="485"/>
      <c r="BQ195" s="485"/>
      <c r="BR195" s="485"/>
      <c r="BS195" s="485"/>
      <c r="BT195" s="485"/>
      <c r="BU195" s="485"/>
      <c r="BV195" s="485"/>
      <c r="BW195" s="485"/>
      <c r="BX195" s="485"/>
      <c r="BY195" s="485"/>
      <c r="BZ195" s="485"/>
      <c r="CA195" s="485"/>
      <c r="CB195" s="485"/>
      <c r="CC195" s="485"/>
      <c r="CD195" s="485"/>
      <c r="CE195" s="485"/>
      <c r="CF195" s="485"/>
      <c r="CG195" s="485"/>
      <c r="CH195" s="485"/>
      <c r="CI195" s="485"/>
      <c r="CJ195" s="485"/>
      <c r="CK195" s="485"/>
      <c r="CL195" s="485"/>
      <c r="CM195" s="485"/>
      <c r="CN195" s="485"/>
      <c r="CO195" s="485"/>
      <c r="CP195" s="485"/>
      <c r="CQ195" s="485"/>
      <c r="CR195" s="485"/>
      <c r="CS195" s="485"/>
      <c r="CT195" s="485"/>
      <c r="CU195" s="485"/>
      <c r="CV195" s="485"/>
      <c r="CW195" s="485"/>
      <c r="CX195" s="485"/>
      <c r="CY195" s="485"/>
      <c r="CZ195" s="485"/>
      <c r="DA195" s="485"/>
      <c r="DB195" s="485"/>
      <c r="DC195" s="485"/>
      <c r="DD195" s="485"/>
      <c r="DE195" s="485"/>
      <c r="DF195" s="485"/>
      <c r="DG195" s="485"/>
      <c r="DH195" s="485"/>
      <c r="DI195" s="485"/>
      <c r="DJ195" s="485"/>
      <c r="DK195" s="485"/>
      <c r="DL195" s="485"/>
      <c r="DM195" s="485"/>
      <c r="DN195" s="485"/>
      <c r="DO195" s="485"/>
      <c r="DP195" s="485"/>
      <c r="DQ195" s="485"/>
      <c r="DR195" s="485"/>
      <c r="DS195" s="485"/>
      <c r="DT195" s="485"/>
      <c r="DU195" s="485"/>
      <c r="DV195" s="485"/>
      <c r="DW195" s="485"/>
      <c r="DX195" s="485"/>
      <c r="DY195" s="485"/>
      <c r="DZ195" s="485"/>
      <c r="EA195" s="485"/>
      <c r="EB195" s="485"/>
      <c r="EC195" s="485"/>
      <c r="ED195" s="485"/>
      <c r="EE195" s="485"/>
      <c r="EF195" s="485"/>
      <c r="EG195" s="485"/>
      <c r="EH195" s="485"/>
      <c r="EI195" s="485"/>
      <c r="EJ195" s="485"/>
      <c r="EK195" s="485"/>
      <c r="EL195" s="485"/>
      <c r="EM195" s="485"/>
      <c r="EN195" s="485"/>
      <c r="EO195" s="485"/>
      <c r="EP195" s="485"/>
    </row>
    <row r="196" spans="1:146" ht="15.75">
      <c r="A196" s="462">
        <f t="shared" si="62"/>
        <v>926</v>
      </c>
      <c r="B196" s="629" t="s">
        <v>393</v>
      </c>
      <c r="C196" s="624">
        <v>330</v>
      </c>
      <c r="D196" s="626">
        <v>127</v>
      </c>
      <c r="E196" s="611">
        <v>14.21</v>
      </c>
      <c r="F196" s="678">
        <f t="shared" si="45"/>
        <v>13.919170000000001</v>
      </c>
      <c r="G196" s="683">
        <v>2</v>
      </c>
      <c r="H196" s="681">
        <f t="shared" si="55"/>
        <v>3048</v>
      </c>
      <c r="I196" s="623">
        <f t="shared" si="63"/>
        <v>341.04</v>
      </c>
      <c r="J196" s="623"/>
      <c r="K196" s="627">
        <v>0.38100000000000001</v>
      </c>
      <c r="L196" s="627">
        <f t="shared" si="57"/>
        <v>0.76200000000000001</v>
      </c>
      <c r="M196" s="627"/>
      <c r="N196" s="609">
        <v>127</v>
      </c>
      <c r="O196" s="610">
        <v>14.213628544972895</v>
      </c>
      <c r="P196" s="617" t="str">
        <f t="shared" si="58"/>
        <v>---</v>
      </c>
      <c r="Q196" s="618">
        <f t="shared" si="59"/>
        <v>3.628544972894332E-3</v>
      </c>
      <c r="R196" s="485"/>
      <c r="S196" s="624" t="str">
        <f t="shared" si="60"/>
        <v>OK</v>
      </c>
      <c r="T196" s="451">
        <f>IF(+'2012 Rates'!O404&lt;'2012 Rates'!$B$11,'2012 Rates'!$B$11,+'2012 Rates'!O404)</f>
        <v>15.3</v>
      </c>
      <c r="U196" s="447">
        <f t="shared" si="53"/>
        <v>9.920347262085305E-2</v>
      </c>
      <c r="V196" s="485"/>
      <c r="W196" s="623">
        <f t="shared" si="64"/>
        <v>367.20000000000005</v>
      </c>
      <c r="X196" s="485"/>
      <c r="Y196" s="485"/>
      <c r="Z196" s="485"/>
      <c r="AA196" s="485"/>
      <c r="AB196" s="485"/>
      <c r="AC196" s="485"/>
      <c r="AD196" s="485"/>
      <c r="AE196" s="485"/>
      <c r="AF196" s="485"/>
      <c r="AG196" s="485"/>
      <c r="AH196" s="485"/>
      <c r="AI196" s="485"/>
      <c r="AJ196" s="485"/>
      <c r="AK196" s="485"/>
      <c r="AL196" s="485"/>
      <c r="AM196" s="485"/>
      <c r="AN196" s="485"/>
      <c r="AO196" s="485"/>
      <c r="AP196" s="485"/>
      <c r="AQ196" s="485"/>
      <c r="AR196" s="485"/>
      <c r="AS196" s="485"/>
      <c r="AT196" s="485"/>
      <c r="AU196" s="485"/>
      <c r="AV196" s="485"/>
      <c r="AW196" s="485"/>
      <c r="AX196" s="485"/>
      <c r="AY196" s="485"/>
      <c r="AZ196" s="485"/>
      <c r="BA196" s="485"/>
      <c r="BB196" s="485"/>
      <c r="BC196" s="485"/>
      <c r="BD196" s="485"/>
      <c r="BE196" s="485"/>
      <c r="BF196" s="485"/>
      <c r="BG196" s="485"/>
      <c r="BH196" s="485"/>
      <c r="BI196" s="485"/>
      <c r="BJ196" s="485"/>
      <c r="BK196" s="485"/>
      <c r="BL196" s="485"/>
      <c r="BM196" s="485"/>
      <c r="BN196" s="485"/>
      <c r="BO196" s="485"/>
      <c r="BP196" s="485"/>
      <c r="BQ196" s="485"/>
      <c r="BR196" s="485"/>
      <c r="BS196" s="485"/>
      <c r="BT196" s="485"/>
      <c r="BU196" s="485"/>
      <c r="BV196" s="485"/>
      <c r="BW196" s="485"/>
      <c r="BX196" s="485"/>
      <c r="BY196" s="485"/>
      <c r="BZ196" s="485"/>
      <c r="CA196" s="485"/>
      <c r="CB196" s="485"/>
      <c r="CC196" s="485"/>
      <c r="CD196" s="485"/>
      <c r="CE196" s="485"/>
      <c r="CF196" s="485"/>
      <c r="CG196" s="485"/>
      <c r="CH196" s="485"/>
      <c r="CI196" s="485"/>
      <c r="CJ196" s="485"/>
      <c r="CK196" s="485"/>
      <c r="CL196" s="485"/>
      <c r="CM196" s="485"/>
      <c r="CN196" s="485"/>
      <c r="CO196" s="485"/>
      <c r="CP196" s="485"/>
      <c r="CQ196" s="485"/>
      <c r="CR196" s="485"/>
      <c r="CS196" s="485"/>
      <c r="CT196" s="485"/>
      <c r="CU196" s="485"/>
      <c r="CV196" s="485"/>
      <c r="CW196" s="485"/>
      <c r="CX196" s="485"/>
      <c r="CY196" s="485"/>
      <c r="CZ196" s="485"/>
      <c r="DA196" s="485"/>
      <c r="DB196" s="485"/>
      <c r="DC196" s="485"/>
      <c r="DD196" s="485"/>
      <c r="DE196" s="485"/>
      <c r="DF196" s="485"/>
      <c r="DG196" s="485"/>
      <c r="DH196" s="485"/>
      <c r="DI196" s="485"/>
      <c r="DJ196" s="485"/>
      <c r="DK196" s="485"/>
      <c r="DL196" s="485"/>
      <c r="DM196" s="485"/>
      <c r="DN196" s="485"/>
      <c r="DO196" s="485"/>
      <c r="DP196" s="485"/>
      <c r="DQ196" s="485"/>
      <c r="DR196" s="485"/>
      <c r="DS196" s="485"/>
      <c r="DT196" s="485"/>
      <c r="DU196" s="485"/>
      <c r="DV196" s="485"/>
      <c r="DW196" s="485"/>
      <c r="DX196" s="485"/>
      <c r="DY196" s="485"/>
      <c r="DZ196" s="485"/>
      <c r="EA196" s="485"/>
      <c r="EB196" s="485"/>
      <c r="EC196" s="485"/>
      <c r="ED196" s="485"/>
      <c r="EE196" s="485"/>
      <c r="EF196" s="485"/>
      <c r="EG196" s="485"/>
      <c r="EH196" s="485"/>
      <c r="EI196" s="485"/>
      <c r="EJ196" s="485"/>
      <c r="EK196" s="485"/>
      <c r="EL196" s="485"/>
      <c r="EM196" s="485"/>
      <c r="EN196" s="485"/>
      <c r="EO196" s="485"/>
      <c r="EP196" s="485"/>
    </row>
    <row r="197" spans="1:146" ht="15.75">
      <c r="A197" s="462">
        <f t="shared" si="62"/>
        <v>927</v>
      </c>
      <c r="B197" s="629" t="s">
        <v>393</v>
      </c>
      <c r="C197" s="624">
        <v>2190</v>
      </c>
      <c r="D197" s="626">
        <v>730</v>
      </c>
      <c r="E197" s="611">
        <v>81.760000000000005</v>
      </c>
      <c r="F197" s="678">
        <f t="shared" si="45"/>
        <v>80.088300000000004</v>
      </c>
      <c r="G197" s="683"/>
      <c r="H197" s="681">
        <f t="shared" si="55"/>
        <v>0</v>
      </c>
      <c r="I197" s="623">
        <f t="shared" si="63"/>
        <v>0</v>
      </c>
      <c r="J197" s="623"/>
      <c r="K197" s="627">
        <v>2.19</v>
      </c>
      <c r="L197" s="627">
        <f t="shared" si="57"/>
        <v>0</v>
      </c>
      <c r="M197" s="627"/>
      <c r="N197" s="609">
        <v>730</v>
      </c>
      <c r="O197" s="610">
        <v>81.759597148269421</v>
      </c>
      <c r="P197" s="617" t="str">
        <f t="shared" si="58"/>
        <v>---</v>
      </c>
      <c r="Q197" s="618">
        <f t="shared" si="59"/>
        <v>-4.0285173058407509E-4</v>
      </c>
      <c r="R197" s="485"/>
      <c r="S197" s="624" t="str">
        <f t="shared" si="60"/>
        <v>OK</v>
      </c>
      <c r="T197" s="451">
        <f>IF(+'2012 Rates'!O405&lt;'2012 Rates'!$B$11,'2012 Rates'!$B$11,+'2012 Rates'!O405)</f>
        <v>87.93</v>
      </c>
      <c r="U197" s="447">
        <f t="shared" si="53"/>
        <v>9.7913178329418926E-2</v>
      </c>
      <c r="V197" s="485"/>
      <c r="W197" s="623">
        <f t="shared" si="64"/>
        <v>0</v>
      </c>
      <c r="X197" s="485"/>
      <c r="Y197" s="485"/>
      <c r="Z197" s="485"/>
      <c r="AA197" s="485"/>
      <c r="AB197" s="485"/>
      <c r="AC197" s="485"/>
      <c r="AD197" s="485"/>
      <c r="AE197" s="485"/>
      <c r="AF197" s="485"/>
      <c r="AG197" s="485"/>
      <c r="AH197" s="485"/>
      <c r="AI197" s="485"/>
      <c r="AJ197" s="485"/>
      <c r="AK197" s="485"/>
      <c r="AL197" s="485"/>
      <c r="AM197" s="485"/>
      <c r="AN197" s="485"/>
      <c r="AO197" s="485"/>
      <c r="AP197" s="485"/>
      <c r="AQ197" s="485"/>
      <c r="AR197" s="485"/>
      <c r="AS197" s="485"/>
      <c r="AT197" s="485"/>
      <c r="AU197" s="485"/>
      <c r="AV197" s="485"/>
      <c r="AW197" s="485"/>
      <c r="AX197" s="485"/>
      <c r="AY197" s="485"/>
      <c r="AZ197" s="485"/>
      <c r="BA197" s="485"/>
      <c r="BB197" s="485"/>
      <c r="BC197" s="485"/>
      <c r="BD197" s="485"/>
      <c r="BE197" s="485"/>
      <c r="BF197" s="485"/>
      <c r="BG197" s="485"/>
      <c r="BH197" s="485"/>
      <c r="BI197" s="485"/>
      <c r="BJ197" s="485"/>
      <c r="BK197" s="485"/>
      <c r="BL197" s="485"/>
      <c r="BM197" s="485"/>
      <c r="BN197" s="485"/>
      <c r="BO197" s="485"/>
      <c r="BP197" s="485"/>
      <c r="BQ197" s="485"/>
      <c r="BR197" s="485"/>
      <c r="BS197" s="485"/>
      <c r="BT197" s="485"/>
      <c r="BU197" s="485"/>
      <c r="BV197" s="485"/>
      <c r="BW197" s="485"/>
      <c r="BX197" s="485"/>
      <c r="BY197" s="485"/>
      <c r="BZ197" s="485"/>
      <c r="CA197" s="485"/>
      <c r="CB197" s="485"/>
      <c r="CC197" s="485"/>
      <c r="CD197" s="485"/>
      <c r="CE197" s="485"/>
      <c r="CF197" s="485"/>
      <c r="CG197" s="485"/>
      <c r="CH197" s="485"/>
      <c r="CI197" s="485"/>
      <c r="CJ197" s="485"/>
      <c r="CK197" s="485"/>
      <c r="CL197" s="485"/>
      <c r="CM197" s="485"/>
      <c r="CN197" s="485"/>
      <c r="CO197" s="485"/>
      <c r="CP197" s="485"/>
      <c r="CQ197" s="485"/>
      <c r="CR197" s="485"/>
      <c r="CS197" s="485"/>
      <c r="CT197" s="485"/>
      <c r="CU197" s="485"/>
      <c r="CV197" s="485"/>
      <c r="CW197" s="485"/>
      <c r="CX197" s="485"/>
      <c r="CY197" s="485"/>
      <c r="CZ197" s="485"/>
      <c r="DA197" s="485"/>
      <c r="DB197" s="485"/>
      <c r="DC197" s="485"/>
      <c r="DD197" s="485"/>
      <c r="DE197" s="485"/>
      <c r="DF197" s="485"/>
      <c r="DG197" s="485"/>
      <c r="DH197" s="485"/>
      <c r="DI197" s="485"/>
      <c r="DJ197" s="485"/>
      <c r="DK197" s="485"/>
      <c r="DL197" s="485"/>
      <c r="DM197" s="485"/>
      <c r="DN197" s="485"/>
      <c r="DO197" s="485"/>
      <c r="DP197" s="485"/>
      <c r="DQ197" s="485"/>
      <c r="DR197" s="485"/>
      <c r="DS197" s="485"/>
      <c r="DT197" s="485"/>
      <c r="DU197" s="485"/>
      <c r="DV197" s="485"/>
      <c r="DW197" s="485"/>
      <c r="DX197" s="485"/>
      <c r="DY197" s="485"/>
      <c r="DZ197" s="485"/>
      <c r="EA197" s="485"/>
      <c r="EB197" s="485"/>
      <c r="EC197" s="485"/>
      <c r="ED197" s="485"/>
      <c r="EE197" s="485"/>
      <c r="EF197" s="485"/>
      <c r="EG197" s="485"/>
      <c r="EH197" s="485"/>
      <c r="EI197" s="485"/>
      <c r="EJ197" s="485"/>
      <c r="EK197" s="485"/>
      <c r="EL197" s="485"/>
      <c r="EM197" s="485"/>
      <c r="EN197" s="485"/>
      <c r="EO197" s="485"/>
      <c r="EP197" s="485"/>
    </row>
    <row r="198" spans="1:146" ht="15.75">
      <c r="A198" s="462">
        <f t="shared" si="62"/>
        <v>928</v>
      </c>
      <c r="B198" s="629" t="s">
        <v>393</v>
      </c>
      <c r="C198" s="624">
        <v>2850</v>
      </c>
      <c r="D198" s="626">
        <v>950</v>
      </c>
      <c r="E198" s="611">
        <v>106.38</v>
      </c>
      <c r="F198" s="678">
        <f t="shared" si="45"/>
        <v>104.2045</v>
      </c>
      <c r="G198" s="683"/>
      <c r="H198" s="681">
        <f t="shared" si="55"/>
        <v>0</v>
      </c>
      <c r="I198" s="623">
        <f t="shared" si="63"/>
        <v>0</v>
      </c>
      <c r="J198" s="623"/>
      <c r="K198" s="627">
        <v>2.85</v>
      </c>
      <c r="L198" s="627">
        <f t="shared" si="57"/>
        <v>0</v>
      </c>
      <c r="M198" s="627"/>
      <c r="N198" s="609">
        <v>950</v>
      </c>
      <c r="O198" s="610">
        <v>106.38454423404922</v>
      </c>
      <c r="P198" s="617" t="str">
        <f t="shared" si="58"/>
        <v>---</v>
      </c>
      <c r="Q198" s="618">
        <f t="shared" si="59"/>
        <v>4.5442340492201083E-3</v>
      </c>
      <c r="R198" s="485"/>
      <c r="S198" s="624" t="str">
        <f t="shared" si="60"/>
        <v>OK</v>
      </c>
      <c r="T198" s="451">
        <f>IF(+'2012 Rates'!O406&lt;'2012 Rates'!$B$11,'2012 Rates'!$B$11,+'2012 Rates'!O406)</f>
        <v>114.44</v>
      </c>
      <c r="U198" s="447">
        <f t="shared" si="53"/>
        <v>9.8225124634732763E-2</v>
      </c>
      <c r="V198" s="485"/>
      <c r="W198" s="623">
        <f t="shared" si="64"/>
        <v>0</v>
      </c>
      <c r="X198" s="485"/>
      <c r="Y198" s="485"/>
      <c r="Z198" s="485"/>
      <c r="AA198" s="485"/>
      <c r="AB198" s="485"/>
      <c r="AC198" s="485"/>
      <c r="AD198" s="485"/>
      <c r="AE198" s="485"/>
      <c r="AF198" s="485"/>
      <c r="AG198" s="485"/>
      <c r="AH198" s="485"/>
      <c r="AI198" s="485"/>
      <c r="AJ198" s="485"/>
      <c r="AK198" s="485"/>
      <c r="AL198" s="485"/>
      <c r="AM198" s="485"/>
      <c r="AN198" s="485"/>
      <c r="AO198" s="485"/>
      <c r="AP198" s="485"/>
      <c r="AQ198" s="485"/>
      <c r="AR198" s="485"/>
      <c r="AS198" s="485"/>
      <c r="AT198" s="485"/>
      <c r="AU198" s="485"/>
      <c r="AV198" s="485"/>
      <c r="AW198" s="485"/>
      <c r="AX198" s="485"/>
      <c r="AY198" s="485"/>
      <c r="AZ198" s="485"/>
      <c r="BA198" s="485"/>
      <c r="BB198" s="485"/>
      <c r="BC198" s="485"/>
      <c r="BD198" s="485"/>
      <c r="BE198" s="485"/>
      <c r="BF198" s="485"/>
      <c r="BG198" s="485"/>
      <c r="BH198" s="485"/>
      <c r="BI198" s="485"/>
      <c r="BJ198" s="485"/>
      <c r="BK198" s="485"/>
      <c r="BL198" s="485"/>
      <c r="BM198" s="485"/>
      <c r="BN198" s="485"/>
      <c r="BO198" s="485"/>
      <c r="BP198" s="485"/>
      <c r="BQ198" s="485"/>
      <c r="BR198" s="485"/>
      <c r="BS198" s="485"/>
      <c r="BT198" s="485"/>
      <c r="BU198" s="485"/>
      <c r="BV198" s="485"/>
      <c r="BW198" s="485"/>
      <c r="BX198" s="485"/>
      <c r="BY198" s="485"/>
      <c r="BZ198" s="485"/>
      <c r="CA198" s="485"/>
      <c r="CB198" s="485"/>
      <c r="CC198" s="485"/>
      <c r="CD198" s="485"/>
      <c r="CE198" s="485"/>
      <c r="CF198" s="485"/>
      <c r="CG198" s="485"/>
      <c r="CH198" s="485"/>
      <c r="CI198" s="485"/>
      <c r="CJ198" s="485"/>
      <c r="CK198" s="485"/>
      <c r="CL198" s="485"/>
      <c r="CM198" s="485"/>
      <c r="CN198" s="485"/>
      <c r="CO198" s="485"/>
      <c r="CP198" s="485"/>
      <c r="CQ198" s="485"/>
      <c r="CR198" s="485"/>
      <c r="CS198" s="485"/>
      <c r="CT198" s="485"/>
      <c r="CU198" s="485"/>
      <c r="CV198" s="485"/>
      <c r="CW198" s="485"/>
      <c r="CX198" s="485"/>
      <c r="CY198" s="485"/>
      <c r="CZ198" s="485"/>
      <c r="DA198" s="485"/>
      <c r="DB198" s="485"/>
      <c r="DC198" s="485"/>
      <c r="DD198" s="485"/>
      <c r="DE198" s="485"/>
      <c r="DF198" s="485"/>
      <c r="DG198" s="485"/>
      <c r="DH198" s="485"/>
      <c r="DI198" s="485"/>
      <c r="DJ198" s="485"/>
      <c r="DK198" s="485"/>
      <c r="DL198" s="485"/>
      <c r="DM198" s="485"/>
      <c r="DN198" s="485"/>
      <c r="DO198" s="485"/>
      <c r="DP198" s="485"/>
      <c r="DQ198" s="485"/>
      <c r="DR198" s="485"/>
      <c r="DS198" s="485"/>
      <c r="DT198" s="485"/>
      <c r="DU198" s="485"/>
      <c r="DV198" s="485"/>
      <c r="DW198" s="485"/>
      <c r="DX198" s="485"/>
      <c r="DY198" s="485"/>
      <c r="DZ198" s="485"/>
      <c r="EA198" s="485"/>
      <c r="EB198" s="485"/>
      <c r="EC198" s="485"/>
      <c r="ED198" s="485"/>
      <c r="EE198" s="485"/>
      <c r="EF198" s="485"/>
      <c r="EG198" s="485"/>
      <c r="EH198" s="485"/>
      <c r="EI198" s="485"/>
      <c r="EJ198" s="485"/>
      <c r="EK198" s="485"/>
      <c r="EL198" s="485"/>
      <c r="EM198" s="485"/>
      <c r="EN198" s="485"/>
      <c r="EO198" s="485"/>
      <c r="EP198" s="485"/>
    </row>
    <row r="199" spans="1:146" ht="15.75">
      <c r="A199" s="462">
        <f t="shared" si="62"/>
        <v>929</v>
      </c>
      <c r="B199" s="629" t="s">
        <v>403</v>
      </c>
      <c r="C199" s="624">
        <v>550</v>
      </c>
      <c r="D199" s="626">
        <v>402</v>
      </c>
      <c r="E199" s="611">
        <v>35.159999999999997</v>
      </c>
      <c r="F199" s="678">
        <f t="shared" si="45"/>
        <v>34.239419999999996</v>
      </c>
      <c r="G199" s="683">
        <v>1</v>
      </c>
      <c r="H199" s="681">
        <f t="shared" si="55"/>
        <v>4824</v>
      </c>
      <c r="I199" s="623">
        <f t="shared" si="63"/>
        <v>421.91999999999996</v>
      </c>
      <c r="J199" s="623"/>
      <c r="K199" s="627">
        <v>0.55000000000000004</v>
      </c>
      <c r="L199" s="627">
        <f t="shared" si="57"/>
        <v>0.55000000000000004</v>
      </c>
      <c r="M199" s="627">
        <f>+L199</f>
        <v>0.55000000000000004</v>
      </c>
      <c r="N199" s="609">
        <v>402</v>
      </c>
      <c r="O199" s="610">
        <v>35.157312402197682</v>
      </c>
      <c r="P199" s="617" t="str">
        <f t="shared" si="58"/>
        <v>---</v>
      </c>
      <c r="Q199" s="618">
        <f t="shared" si="59"/>
        <v>-2.6875978023142011E-3</v>
      </c>
      <c r="R199" s="485"/>
      <c r="S199" s="450" t="str">
        <f t="shared" si="60"/>
        <v>OK</v>
      </c>
      <c r="T199" s="451">
        <f>IF(+'2012 Rates'!P407&lt;'2012 Rates'!$B$11,'2012 Rates'!$B$11,+'2012 Rates'!P407)</f>
        <v>37.590000000000003</v>
      </c>
      <c r="U199" s="447">
        <f t="shared" si="53"/>
        <v>9.7857381929951082E-2</v>
      </c>
      <c r="V199" s="445"/>
      <c r="W199" s="623">
        <f t="shared" si="64"/>
        <v>451.08000000000004</v>
      </c>
      <c r="X199" s="485"/>
      <c r="Y199" s="485"/>
      <c r="Z199" s="485"/>
      <c r="AA199" s="485"/>
      <c r="AB199" s="485"/>
      <c r="AC199" s="485"/>
      <c r="AD199" s="485"/>
      <c r="AE199" s="485"/>
      <c r="AF199" s="485"/>
      <c r="AG199" s="485"/>
      <c r="AH199" s="485"/>
      <c r="AI199" s="485"/>
      <c r="AJ199" s="485"/>
      <c r="AK199" s="485"/>
      <c r="AL199" s="485"/>
      <c r="AM199" s="485"/>
      <c r="AN199" s="485"/>
      <c r="AO199" s="485"/>
      <c r="AP199" s="485"/>
      <c r="AQ199" s="485"/>
      <c r="AR199" s="485"/>
      <c r="AS199" s="485"/>
      <c r="AT199" s="485"/>
      <c r="AU199" s="485"/>
      <c r="AV199" s="485"/>
      <c r="AW199" s="485"/>
      <c r="AX199" s="485"/>
      <c r="AY199" s="485"/>
      <c r="AZ199" s="485"/>
      <c r="BA199" s="485"/>
      <c r="BB199" s="485"/>
      <c r="BC199" s="485"/>
      <c r="BD199" s="485"/>
      <c r="BE199" s="485"/>
      <c r="BF199" s="485"/>
      <c r="BG199" s="485"/>
      <c r="BH199" s="485"/>
      <c r="BI199" s="485"/>
      <c r="BJ199" s="485"/>
      <c r="BK199" s="485"/>
      <c r="BL199" s="485"/>
      <c r="BM199" s="485"/>
      <c r="BN199" s="485"/>
      <c r="BO199" s="485"/>
      <c r="BP199" s="485"/>
      <c r="BQ199" s="485"/>
      <c r="BR199" s="485"/>
      <c r="BS199" s="485"/>
      <c r="BT199" s="485"/>
      <c r="BU199" s="485"/>
      <c r="BV199" s="485"/>
      <c r="BW199" s="485"/>
      <c r="BX199" s="485"/>
      <c r="BY199" s="485"/>
      <c r="BZ199" s="485"/>
      <c r="CA199" s="485"/>
      <c r="CB199" s="485"/>
      <c r="CC199" s="485"/>
      <c r="CD199" s="485"/>
      <c r="CE199" s="485"/>
      <c r="CF199" s="485"/>
      <c r="CG199" s="485"/>
      <c r="CH199" s="485"/>
      <c r="CI199" s="485"/>
      <c r="CJ199" s="485"/>
      <c r="CK199" s="485"/>
      <c r="CL199" s="485"/>
      <c r="CM199" s="485"/>
      <c r="CN199" s="485"/>
      <c r="CO199" s="485"/>
      <c r="CP199" s="485"/>
      <c r="CQ199" s="485"/>
      <c r="CR199" s="485"/>
      <c r="CS199" s="485"/>
      <c r="CT199" s="485"/>
      <c r="CU199" s="485"/>
      <c r="CV199" s="485"/>
      <c r="CW199" s="485"/>
      <c r="CX199" s="485"/>
      <c r="CY199" s="485"/>
      <c r="CZ199" s="485"/>
      <c r="DA199" s="485"/>
      <c r="DB199" s="485"/>
      <c r="DC199" s="485"/>
      <c r="DD199" s="485"/>
      <c r="DE199" s="485"/>
      <c r="DF199" s="485"/>
      <c r="DG199" s="485"/>
      <c r="DH199" s="485"/>
      <c r="DI199" s="485"/>
      <c r="DJ199" s="485"/>
      <c r="DK199" s="485"/>
      <c r="DL199" s="485"/>
      <c r="DM199" s="485"/>
      <c r="DN199" s="485"/>
      <c r="DO199" s="485"/>
      <c r="DP199" s="485"/>
      <c r="DQ199" s="485"/>
      <c r="DR199" s="485"/>
      <c r="DS199" s="485"/>
      <c r="DT199" s="485"/>
      <c r="DU199" s="485"/>
      <c r="DV199" s="485"/>
      <c r="DW199" s="485"/>
      <c r="DX199" s="485"/>
      <c r="DY199" s="485"/>
      <c r="DZ199" s="485"/>
      <c r="EA199" s="485"/>
      <c r="EB199" s="485"/>
      <c r="EC199" s="485"/>
      <c r="ED199" s="485"/>
      <c r="EE199" s="485"/>
      <c r="EF199" s="485"/>
      <c r="EG199" s="485"/>
      <c r="EH199" s="485"/>
      <c r="EI199" s="485"/>
      <c r="EJ199" s="485"/>
      <c r="EK199" s="485"/>
      <c r="EL199" s="485"/>
      <c r="EM199" s="485"/>
      <c r="EN199" s="485"/>
      <c r="EO199" s="485"/>
      <c r="EP199" s="485"/>
    </row>
    <row r="200" spans="1:146" ht="15.75">
      <c r="A200" s="462">
        <f t="shared" si="62"/>
        <v>930</v>
      </c>
      <c r="B200" s="629" t="s">
        <v>393</v>
      </c>
      <c r="C200" s="624">
        <v>88</v>
      </c>
      <c r="D200" s="626">
        <v>29</v>
      </c>
      <c r="E200" s="611">
        <v>3.27</v>
      </c>
      <c r="F200" s="678">
        <f t="shared" si="45"/>
        <v>3.2035900000000002</v>
      </c>
      <c r="G200" s="683">
        <v>20</v>
      </c>
      <c r="H200" s="681">
        <f t="shared" si="55"/>
        <v>6960</v>
      </c>
      <c r="I200" s="623">
        <f t="shared" si="63"/>
        <v>784.80000000000007</v>
      </c>
      <c r="J200" s="623"/>
      <c r="K200" s="627">
        <v>8.7999999999999995E-2</v>
      </c>
      <c r="L200" s="627">
        <f t="shared" si="57"/>
        <v>1.7599999999999998</v>
      </c>
      <c r="M200" s="627"/>
      <c r="N200" s="609">
        <v>29</v>
      </c>
      <c r="O200" s="610">
        <v>3.2669702976709769</v>
      </c>
      <c r="P200" s="617" t="str">
        <f t="shared" si="58"/>
        <v>---</v>
      </c>
      <c r="Q200" s="618">
        <f t="shared" si="59"/>
        <v>-3.0297023290231095E-3</v>
      </c>
      <c r="R200" s="485"/>
      <c r="S200" s="624" t="str">
        <f t="shared" si="60"/>
        <v>OK</v>
      </c>
      <c r="T200" s="451">
        <f>IF(+'2012 Rates'!O408&lt;'2012 Rates'!$B$11,'2012 Rates'!$B$11,+'2012 Rates'!O408)</f>
        <v>3.5199999999999996</v>
      </c>
      <c r="U200" s="447">
        <f t="shared" si="53"/>
        <v>9.8767320412412207E-2</v>
      </c>
      <c r="V200" s="485"/>
      <c r="W200" s="623">
        <f t="shared" si="64"/>
        <v>844.8</v>
      </c>
      <c r="X200" s="485"/>
      <c r="Y200" s="485"/>
      <c r="Z200" s="485"/>
      <c r="AA200" s="485"/>
      <c r="AB200" s="485"/>
      <c r="AC200" s="485"/>
      <c r="AD200" s="485"/>
      <c r="AE200" s="485"/>
      <c r="AF200" s="485"/>
      <c r="AG200" s="485"/>
      <c r="AH200" s="485"/>
      <c r="AI200" s="485"/>
      <c r="AJ200" s="485"/>
      <c r="AK200" s="485"/>
      <c r="AL200" s="485"/>
      <c r="AM200" s="485"/>
      <c r="AN200" s="485"/>
      <c r="AO200" s="485"/>
      <c r="AP200" s="485"/>
      <c r="AQ200" s="485"/>
      <c r="AR200" s="485"/>
      <c r="AS200" s="485"/>
      <c r="AT200" s="485"/>
      <c r="AU200" s="485"/>
      <c r="AV200" s="485"/>
      <c r="AW200" s="485"/>
      <c r="AX200" s="485"/>
      <c r="AY200" s="485"/>
      <c r="AZ200" s="485"/>
      <c r="BA200" s="485"/>
      <c r="BB200" s="485"/>
      <c r="BC200" s="485"/>
      <c r="BD200" s="485"/>
      <c r="BE200" s="485"/>
      <c r="BF200" s="485"/>
      <c r="BG200" s="485"/>
      <c r="BH200" s="485"/>
      <c r="BI200" s="485"/>
      <c r="BJ200" s="485"/>
      <c r="BK200" s="485"/>
      <c r="BL200" s="485"/>
      <c r="BM200" s="485"/>
      <c r="BN200" s="485"/>
      <c r="BO200" s="485"/>
      <c r="BP200" s="485"/>
      <c r="BQ200" s="485"/>
      <c r="BR200" s="485"/>
      <c r="BS200" s="485"/>
      <c r="BT200" s="485"/>
      <c r="BU200" s="485"/>
      <c r="BV200" s="485"/>
      <c r="BW200" s="485"/>
      <c r="BX200" s="485"/>
      <c r="BY200" s="485"/>
      <c r="BZ200" s="485"/>
      <c r="CA200" s="485"/>
      <c r="CB200" s="485"/>
      <c r="CC200" s="485"/>
      <c r="CD200" s="485"/>
      <c r="CE200" s="485"/>
      <c r="CF200" s="485"/>
      <c r="CG200" s="485"/>
      <c r="CH200" s="485"/>
      <c r="CI200" s="485"/>
      <c r="CJ200" s="485"/>
      <c r="CK200" s="485"/>
      <c r="CL200" s="485"/>
      <c r="CM200" s="485"/>
      <c r="CN200" s="485"/>
      <c r="CO200" s="485"/>
      <c r="CP200" s="485"/>
      <c r="CQ200" s="485"/>
      <c r="CR200" s="485"/>
      <c r="CS200" s="485"/>
      <c r="CT200" s="485"/>
      <c r="CU200" s="485"/>
      <c r="CV200" s="485"/>
      <c r="CW200" s="485"/>
      <c r="CX200" s="485"/>
      <c r="CY200" s="485"/>
      <c r="CZ200" s="485"/>
      <c r="DA200" s="485"/>
      <c r="DB200" s="485"/>
      <c r="DC200" s="485"/>
      <c r="DD200" s="485"/>
      <c r="DE200" s="485"/>
      <c r="DF200" s="485"/>
      <c r="DG200" s="485"/>
      <c r="DH200" s="485"/>
      <c r="DI200" s="485"/>
      <c r="DJ200" s="485"/>
      <c r="DK200" s="485"/>
      <c r="DL200" s="485"/>
      <c r="DM200" s="485"/>
      <c r="DN200" s="485"/>
      <c r="DO200" s="485"/>
      <c r="DP200" s="485"/>
      <c r="DQ200" s="485"/>
      <c r="DR200" s="485"/>
      <c r="DS200" s="485"/>
      <c r="DT200" s="485"/>
      <c r="DU200" s="485"/>
      <c r="DV200" s="485"/>
      <c r="DW200" s="485"/>
      <c r="DX200" s="485"/>
      <c r="DY200" s="485"/>
      <c r="DZ200" s="485"/>
      <c r="EA200" s="485"/>
      <c r="EB200" s="485"/>
      <c r="EC200" s="485"/>
      <c r="ED200" s="485"/>
      <c r="EE200" s="485"/>
      <c r="EF200" s="485"/>
      <c r="EG200" s="485"/>
      <c r="EH200" s="485"/>
      <c r="EI200" s="485"/>
      <c r="EJ200" s="485"/>
      <c r="EK200" s="485"/>
      <c r="EL200" s="485"/>
      <c r="EM200" s="485"/>
      <c r="EN200" s="485"/>
      <c r="EO200" s="485"/>
      <c r="EP200" s="485"/>
    </row>
    <row r="201" spans="1:146" ht="15.75">
      <c r="A201" s="462">
        <f t="shared" si="62"/>
        <v>931</v>
      </c>
      <c r="B201" s="629" t="s">
        <v>436</v>
      </c>
      <c r="C201" s="624">
        <v>132</v>
      </c>
      <c r="D201" s="626">
        <v>53</v>
      </c>
      <c r="E201" s="611">
        <v>5.72</v>
      </c>
      <c r="F201" s="678">
        <f t="shared" si="45"/>
        <v>5.59863</v>
      </c>
      <c r="G201" s="683">
        <v>4</v>
      </c>
      <c r="H201" s="681">
        <f t="shared" si="55"/>
        <v>2544</v>
      </c>
      <c r="I201" s="623">
        <f t="shared" si="63"/>
        <v>274.56</v>
      </c>
      <c r="J201" s="623"/>
      <c r="K201" s="627">
        <v>0.14499999999999999</v>
      </c>
      <c r="L201" s="627">
        <f t="shared" si="57"/>
        <v>0.57999999999999996</v>
      </c>
      <c r="M201" s="627"/>
      <c r="N201" s="609">
        <v>53</v>
      </c>
      <c r="O201" s="610">
        <v>5.7186008888469573</v>
      </c>
      <c r="P201" s="617" t="str">
        <f t="shared" si="58"/>
        <v>---</v>
      </c>
      <c r="Q201" s="618">
        <f t="shared" si="59"/>
        <v>-1.399111153042476E-3</v>
      </c>
      <c r="R201" s="485"/>
      <c r="S201" s="624" t="str">
        <f t="shared" si="60"/>
        <v>OK</v>
      </c>
      <c r="T201" s="451">
        <f>IF(+'2012 Rates'!O409&lt;'2012 Rates'!$B$11,'2012 Rates'!$B$11,+'2012 Rates'!O409)</f>
        <v>6.16</v>
      </c>
      <c r="U201" s="447">
        <f t="shared" si="53"/>
        <v>0.10026917299410743</v>
      </c>
      <c r="V201" s="485"/>
      <c r="W201" s="623">
        <f t="shared" si="64"/>
        <v>295.68</v>
      </c>
      <c r="X201" s="485"/>
      <c r="Y201" s="485"/>
      <c r="Z201" s="485"/>
      <c r="AA201" s="485"/>
      <c r="AB201" s="485"/>
      <c r="AC201" s="485"/>
      <c r="AD201" s="485"/>
      <c r="AE201" s="485"/>
      <c r="AF201" s="485"/>
      <c r="AG201" s="485"/>
      <c r="AH201" s="485"/>
      <c r="AI201" s="485"/>
      <c r="AJ201" s="485"/>
      <c r="AK201" s="485"/>
      <c r="AL201" s="485"/>
      <c r="AM201" s="485"/>
      <c r="AN201" s="485"/>
      <c r="AO201" s="485"/>
      <c r="AP201" s="485"/>
      <c r="AQ201" s="485"/>
      <c r="AR201" s="485"/>
      <c r="AS201" s="485"/>
      <c r="AT201" s="485"/>
      <c r="AU201" s="485"/>
      <c r="AV201" s="485"/>
      <c r="AW201" s="485"/>
      <c r="AX201" s="485"/>
      <c r="AY201" s="485"/>
      <c r="AZ201" s="485"/>
      <c r="BA201" s="485"/>
      <c r="BB201" s="485"/>
      <c r="BC201" s="485"/>
      <c r="BD201" s="485"/>
      <c r="BE201" s="485"/>
      <c r="BF201" s="485"/>
      <c r="BG201" s="485"/>
      <c r="BH201" s="485"/>
      <c r="BI201" s="485"/>
      <c r="BJ201" s="485"/>
      <c r="BK201" s="485"/>
      <c r="BL201" s="485"/>
      <c r="BM201" s="485"/>
      <c r="BN201" s="485"/>
      <c r="BO201" s="485"/>
      <c r="BP201" s="485"/>
      <c r="BQ201" s="485"/>
      <c r="BR201" s="485"/>
      <c r="BS201" s="485"/>
      <c r="BT201" s="485"/>
      <c r="BU201" s="485"/>
      <c r="BV201" s="485"/>
      <c r="BW201" s="485"/>
      <c r="BX201" s="485"/>
      <c r="BY201" s="485"/>
      <c r="BZ201" s="485"/>
      <c r="CA201" s="485"/>
      <c r="CB201" s="485"/>
      <c r="CC201" s="485"/>
      <c r="CD201" s="485"/>
      <c r="CE201" s="485"/>
      <c r="CF201" s="485"/>
      <c r="CG201" s="485"/>
      <c r="CH201" s="485"/>
      <c r="CI201" s="485"/>
      <c r="CJ201" s="485"/>
      <c r="CK201" s="485"/>
      <c r="CL201" s="485"/>
      <c r="CM201" s="485"/>
      <c r="CN201" s="485"/>
      <c r="CO201" s="485"/>
      <c r="CP201" s="485"/>
      <c r="CQ201" s="485"/>
      <c r="CR201" s="485"/>
      <c r="CS201" s="485"/>
      <c r="CT201" s="485"/>
      <c r="CU201" s="485"/>
      <c r="CV201" s="485"/>
      <c r="CW201" s="485"/>
      <c r="CX201" s="485"/>
      <c r="CY201" s="485"/>
      <c r="CZ201" s="485"/>
      <c r="DA201" s="485"/>
      <c r="DB201" s="485"/>
      <c r="DC201" s="485"/>
      <c r="DD201" s="485"/>
      <c r="DE201" s="485"/>
      <c r="DF201" s="485"/>
      <c r="DG201" s="485"/>
      <c r="DH201" s="485"/>
      <c r="DI201" s="485"/>
      <c r="DJ201" s="485"/>
      <c r="DK201" s="485"/>
      <c r="DL201" s="485"/>
      <c r="DM201" s="485"/>
      <c r="DN201" s="485"/>
      <c r="DO201" s="485"/>
      <c r="DP201" s="485"/>
      <c r="DQ201" s="485"/>
      <c r="DR201" s="485"/>
      <c r="DS201" s="485"/>
      <c r="DT201" s="485"/>
      <c r="DU201" s="485"/>
      <c r="DV201" s="485"/>
      <c r="DW201" s="485"/>
      <c r="DX201" s="485"/>
      <c r="DY201" s="485"/>
      <c r="DZ201" s="485"/>
      <c r="EA201" s="485"/>
      <c r="EB201" s="485"/>
      <c r="EC201" s="485"/>
      <c r="ED201" s="485"/>
      <c r="EE201" s="485"/>
      <c r="EF201" s="485"/>
      <c r="EG201" s="485"/>
      <c r="EH201" s="485"/>
      <c r="EI201" s="485"/>
      <c r="EJ201" s="485"/>
      <c r="EK201" s="485"/>
      <c r="EL201" s="485"/>
      <c r="EM201" s="485"/>
      <c r="EN201" s="485"/>
      <c r="EO201" s="485"/>
      <c r="EP201" s="485"/>
    </row>
    <row r="202" spans="1:146" ht="15.75">
      <c r="A202" s="591">
        <f t="shared" si="62"/>
        <v>932</v>
      </c>
      <c r="B202" s="630" t="s">
        <v>393</v>
      </c>
      <c r="C202" s="614">
        <v>180</v>
      </c>
      <c r="D202" s="609">
        <v>69</v>
      </c>
      <c r="E202" s="610">
        <v>7.71</v>
      </c>
      <c r="F202" s="678">
        <f t="shared" si="45"/>
        <v>7.55199</v>
      </c>
      <c r="G202" s="683">
        <v>1</v>
      </c>
      <c r="H202" s="664">
        <f t="shared" si="55"/>
        <v>828</v>
      </c>
      <c r="I202" s="444">
        <f t="shared" si="63"/>
        <v>92.52</v>
      </c>
      <c r="J202" s="444"/>
      <c r="K202" s="616">
        <v>0.20699999999999999</v>
      </c>
      <c r="L202" s="616">
        <f t="shared" si="57"/>
        <v>0.20699999999999999</v>
      </c>
      <c r="M202" s="616"/>
      <c r="N202" s="609">
        <v>69</v>
      </c>
      <c r="O202" s="610">
        <v>7.7096879496309434</v>
      </c>
      <c r="P202" s="617" t="str">
        <f t="shared" si="58"/>
        <v>---</v>
      </c>
      <c r="Q202" s="618">
        <f t="shared" si="59"/>
        <v>-3.1205036905657124E-4</v>
      </c>
      <c r="R202" s="615"/>
      <c r="S202" s="614" t="str">
        <f t="shared" si="60"/>
        <v>OK</v>
      </c>
      <c r="T202" s="451">
        <f>IF(+'2012 Rates'!O410&lt;'2012 Rates'!$B$11,'2012 Rates'!$B$11,+'2012 Rates'!O410)</f>
        <v>8.2999999999999989</v>
      </c>
      <c r="U202" s="447">
        <f t="shared" si="53"/>
        <v>9.9048065476781577E-2</v>
      </c>
      <c r="V202" s="445" t="s">
        <v>363</v>
      </c>
      <c r="W202" s="623">
        <f t="shared" si="64"/>
        <v>99.6</v>
      </c>
      <c r="X202" s="485"/>
      <c r="Y202" s="485"/>
      <c r="Z202" s="485"/>
      <c r="AA202" s="485"/>
      <c r="AB202" s="485"/>
      <c r="AC202" s="485"/>
      <c r="AD202" s="485"/>
      <c r="AE202" s="485"/>
      <c r="AF202" s="485"/>
      <c r="AG202" s="485"/>
      <c r="AH202" s="485"/>
      <c r="AI202" s="485"/>
      <c r="AJ202" s="485"/>
      <c r="AK202" s="485"/>
      <c r="AL202" s="485"/>
      <c r="AM202" s="485"/>
      <c r="AN202" s="485"/>
      <c r="AO202" s="485"/>
      <c r="AP202" s="485"/>
      <c r="AQ202" s="485"/>
      <c r="AR202" s="485"/>
      <c r="AS202" s="485"/>
      <c r="AT202" s="485"/>
      <c r="AU202" s="485"/>
      <c r="AV202" s="485"/>
      <c r="AW202" s="485"/>
      <c r="AX202" s="485"/>
      <c r="AY202" s="485"/>
      <c r="AZ202" s="485"/>
      <c r="BA202" s="485"/>
      <c r="BB202" s="485"/>
      <c r="BC202" s="485"/>
      <c r="BD202" s="485"/>
      <c r="BE202" s="485"/>
      <c r="BF202" s="485"/>
      <c r="BG202" s="485"/>
      <c r="BH202" s="485"/>
      <c r="BI202" s="485"/>
      <c r="BJ202" s="485"/>
      <c r="BK202" s="485"/>
      <c r="BL202" s="485"/>
      <c r="BM202" s="485"/>
      <c r="BN202" s="485"/>
      <c r="BO202" s="485"/>
      <c r="BP202" s="485"/>
      <c r="BQ202" s="485"/>
      <c r="BR202" s="485"/>
      <c r="BS202" s="485"/>
      <c r="BT202" s="485"/>
      <c r="BU202" s="485"/>
      <c r="BV202" s="485"/>
      <c r="BW202" s="485"/>
      <c r="BX202" s="485"/>
      <c r="BY202" s="485"/>
      <c r="BZ202" s="485"/>
      <c r="CA202" s="485"/>
      <c r="CB202" s="485"/>
      <c r="CC202" s="485"/>
      <c r="CD202" s="485"/>
      <c r="CE202" s="485"/>
      <c r="CF202" s="485"/>
      <c r="CG202" s="485"/>
      <c r="CH202" s="485"/>
      <c r="CI202" s="485"/>
      <c r="CJ202" s="485"/>
      <c r="CK202" s="485"/>
      <c r="CL202" s="485"/>
      <c r="CM202" s="485"/>
      <c r="CN202" s="485"/>
      <c r="CO202" s="485"/>
      <c r="CP202" s="485"/>
      <c r="CQ202" s="485"/>
      <c r="CR202" s="485"/>
      <c r="CS202" s="485"/>
      <c r="CT202" s="485"/>
      <c r="CU202" s="485"/>
      <c r="CV202" s="485"/>
      <c r="CW202" s="485"/>
      <c r="CX202" s="485"/>
      <c r="CY202" s="485"/>
      <c r="CZ202" s="485"/>
      <c r="DA202" s="485"/>
      <c r="DB202" s="485"/>
      <c r="DC202" s="485"/>
      <c r="DD202" s="485"/>
      <c r="DE202" s="485"/>
      <c r="DF202" s="485"/>
      <c r="DG202" s="485"/>
      <c r="DH202" s="485"/>
      <c r="DI202" s="485"/>
      <c r="DJ202" s="485"/>
      <c r="DK202" s="485"/>
      <c r="DL202" s="485"/>
      <c r="DM202" s="485"/>
      <c r="DN202" s="485"/>
      <c r="DO202" s="485"/>
      <c r="DP202" s="485"/>
      <c r="DQ202" s="485"/>
      <c r="DR202" s="485"/>
      <c r="DS202" s="485"/>
      <c r="DT202" s="485"/>
      <c r="DU202" s="485"/>
      <c r="DV202" s="485"/>
      <c r="DW202" s="485"/>
      <c r="DX202" s="485"/>
      <c r="DY202" s="485"/>
      <c r="DZ202" s="485"/>
      <c r="EA202" s="485"/>
      <c r="EB202" s="485"/>
      <c r="EC202" s="485"/>
      <c r="ED202" s="485"/>
      <c r="EE202" s="485"/>
      <c r="EF202" s="485"/>
      <c r="EG202" s="485"/>
      <c r="EH202" s="485"/>
      <c r="EI202" s="485"/>
      <c r="EJ202" s="485"/>
      <c r="EK202" s="485"/>
      <c r="EL202" s="485"/>
      <c r="EM202" s="485"/>
      <c r="EN202" s="485"/>
      <c r="EO202" s="485"/>
      <c r="EP202" s="485"/>
    </row>
    <row r="203" spans="1:146" ht="15.75">
      <c r="A203" s="462">
        <f t="shared" si="62"/>
        <v>933</v>
      </c>
      <c r="B203" s="629" t="s">
        <v>403</v>
      </c>
      <c r="C203" s="624">
        <v>1000</v>
      </c>
      <c r="D203" s="626">
        <v>730</v>
      </c>
      <c r="E203" s="611">
        <v>63.86</v>
      </c>
      <c r="F203" s="678">
        <f t="shared" si="45"/>
        <v>62.188299999999998</v>
      </c>
      <c r="G203" s="683">
        <v>2</v>
      </c>
      <c r="H203" s="681">
        <f t="shared" ref="H203:H234" si="65">+D203*G203*12</f>
        <v>17520</v>
      </c>
      <c r="I203" s="623">
        <f t="shared" si="63"/>
        <v>1532.6399999999999</v>
      </c>
      <c r="J203" s="623"/>
      <c r="K203" s="627">
        <v>1</v>
      </c>
      <c r="L203" s="627">
        <f t="shared" ref="L203:L234" si="66">G203*K203</f>
        <v>2</v>
      </c>
      <c r="M203" s="627">
        <f>+L203</f>
        <v>2</v>
      </c>
      <c r="N203" s="609">
        <v>730</v>
      </c>
      <c r="O203" s="610">
        <v>63.859597148269401</v>
      </c>
      <c r="P203" s="617" t="str">
        <f t="shared" ref="P203:P234" si="67">IF(N203=D203,"---",N203-D203)</f>
        <v>---</v>
      </c>
      <c r="Q203" s="618">
        <f t="shared" ref="Q203:Q234" si="68">IF(O203=E203,"---",O203-E203)</f>
        <v>-4.0285173059828594E-4</v>
      </c>
      <c r="R203" s="485"/>
      <c r="S203" s="624" t="str">
        <f t="shared" ref="S203:S234" si="69">IF(N203=D203,"OK",N203)</f>
        <v>OK</v>
      </c>
      <c r="T203" s="451">
        <f>IF(+'2012 Rates'!P411&lt;'2012 Rates'!$B$11,'2012 Rates'!$B$11,+'2012 Rates'!P411)</f>
        <v>68.28</v>
      </c>
      <c r="U203" s="447">
        <f t="shared" si="53"/>
        <v>9.7955724790676157E-2</v>
      </c>
      <c r="V203" s="485"/>
      <c r="W203" s="623">
        <f t="shared" si="64"/>
        <v>1638.72</v>
      </c>
      <c r="X203" s="485"/>
      <c r="Y203" s="485"/>
      <c r="Z203" s="485"/>
      <c r="AA203" s="485"/>
      <c r="AB203" s="485"/>
      <c r="AC203" s="485"/>
      <c r="AD203" s="485"/>
      <c r="AE203" s="485"/>
      <c r="AF203" s="485"/>
      <c r="AG203" s="485"/>
      <c r="AH203" s="485"/>
      <c r="AI203" s="485"/>
      <c r="AJ203" s="485"/>
      <c r="AK203" s="485"/>
      <c r="AL203" s="485"/>
      <c r="AM203" s="485"/>
      <c r="AN203" s="485"/>
      <c r="AO203" s="485"/>
      <c r="AP203" s="485"/>
      <c r="AQ203" s="485"/>
      <c r="AR203" s="485"/>
      <c r="AS203" s="485"/>
      <c r="AT203" s="485"/>
      <c r="AU203" s="485"/>
      <c r="AV203" s="485"/>
      <c r="AW203" s="485"/>
      <c r="AX203" s="485"/>
      <c r="AY203" s="485"/>
      <c r="AZ203" s="485"/>
      <c r="BA203" s="485"/>
      <c r="BB203" s="485"/>
      <c r="BC203" s="485"/>
      <c r="BD203" s="485"/>
      <c r="BE203" s="485"/>
      <c r="BF203" s="485"/>
      <c r="BG203" s="485"/>
      <c r="BH203" s="485"/>
      <c r="BI203" s="485"/>
      <c r="BJ203" s="485"/>
      <c r="BK203" s="485"/>
      <c r="BL203" s="485"/>
      <c r="BM203" s="485"/>
      <c r="BN203" s="485"/>
      <c r="BO203" s="485"/>
      <c r="BP203" s="485"/>
      <c r="BQ203" s="485"/>
      <c r="BR203" s="485"/>
      <c r="BS203" s="485"/>
      <c r="BT203" s="485"/>
      <c r="BU203" s="485"/>
      <c r="BV203" s="485"/>
      <c r="BW203" s="485"/>
      <c r="BX203" s="485"/>
      <c r="BY203" s="485"/>
      <c r="BZ203" s="485"/>
      <c r="CA203" s="485"/>
      <c r="CB203" s="485"/>
      <c r="CC203" s="485"/>
      <c r="CD203" s="485"/>
      <c r="CE203" s="485"/>
      <c r="CF203" s="485"/>
      <c r="CG203" s="485"/>
      <c r="CH203" s="485"/>
      <c r="CI203" s="485"/>
      <c r="CJ203" s="485"/>
      <c r="CK203" s="485"/>
      <c r="CL203" s="485"/>
      <c r="CM203" s="485"/>
      <c r="CN203" s="485"/>
      <c r="CO203" s="485"/>
      <c r="CP203" s="485"/>
      <c r="CQ203" s="485"/>
      <c r="CR203" s="485"/>
      <c r="CS203" s="485"/>
      <c r="CT203" s="485"/>
      <c r="CU203" s="485"/>
      <c r="CV203" s="485"/>
      <c r="CW203" s="485"/>
      <c r="CX203" s="485"/>
      <c r="CY203" s="485"/>
      <c r="CZ203" s="485"/>
      <c r="DA203" s="485"/>
      <c r="DB203" s="485"/>
      <c r="DC203" s="485"/>
      <c r="DD203" s="485"/>
      <c r="DE203" s="485"/>
      <c r="DF203" s="485"/>
      <c r="DG203" s="485"/>
      <c r="DH203" s="485"/>
      <c r="DI203" s="485"/>
      <c r="DJ203" s="485"/>
      <c r="DK203" s="485"/>
      <c r="DL203" s="485"/>
      <c r="DM203" s="485"/>
      <c r="DN203" s="485"/>
      <c r="DO203" s="485"/>
      <c r="DP203" s="485"/>
      <c r="DQ203" s="485"/>
      <c r="DR203" s="485"/>
      <c r="DS203" s="485"/>
      <c r="DT203" s="485"/>
      <c r="DU203" s="485"/>
      <c r="DV203" s="485"/>
      <c r="DW203" s="485"/>
      <c r="DX203" s="485"/>
      <c r="DY203" s="485"/>
      <c r="DZ203" s="485"/>
      <c r="EA203" s="485"/>
      <c r="EB203" s="485"/>
      <c r="EC203" s="485"/>
      <c r="ED203" s="485"/>
      <c r="EE203" s="485"/>
      <c r="EF203" s="485"/>
      <c r="EG203" s="485"/>
      <c r="EH203" s="485"/>
      <c r="EI203" s="485"/>
      <c r="EJ203" s="485"/>
      <c r="EK203" s="485"/>
      <c r="EL203" s="485"/>
      <c r="EM203" s="485"/>
      <c r="EN203" s="485"/>
      <c r="EO203" s="485"/>
      <c r="EP203" s="485"/>
    </row>
    <row r="204" spans="1:146" ht="15.75">
      <c r="A204" s="462">
        <f t="shared" ref="A204:A235" si="70">+A203+1</f>
        <v>934</v>
      </c>
      <c r="B204" s="629" t="s">
        <v>403</v>
      </c>
      <c r="C204" s="624">
        <v>55</v>
      </c>
      <c r="D204" s="626">
        <v>56</v>
      </c>
      <c r="E204" s="611">
        <v>4.88</v>
      </c>
      <c r="F204" s="678">
        <f t="shared" si="45"/>
        <v>4.75176</v>
      </c>
      <c r="G204" s="683"/>
      <c r="H204" s="681">
        <f t="shared" si="65"/>
        <v>0</v>
      </c>
      <c r="I204" s="623">
        <f t="shared" si="63"/>
        <v>0</v>
      </c>
      <c r="J204" s="623"/>
      <c r="K204" s="627">
        <v>7.6999999999999999E-2</v>
      </c>
      <c r="L204" s="627">
        <f t="shared" si="66"/>
        <v>0</v>
      </c>
      <c r="M204" s="627"/>
      <c r="N204" s="609">
        <v>56</v>
      </c>
      <c r="O204" s="610">
        <v>4.8838047127439559</v>
      </c>
      <c r="P204" s="617" t="str">
        <f t="shared" si="67"/>
        <v>---</v>
      </c>
      <c r="Q204" s="618">
        <f t="shared" si="68"/>
        <v>3.8047127439559958E-3</v>
      </c>
      <c r="R204" s="485"/>
      <c r="S204" s="624" t="str">
        <f t="shared" si="69"/>
        <v>OK</v>
      </c>
      <c r="T204" s="451">
        <f>IF(+'2012 Rates'!P412&lt;'2012 Rates'!$B$11,'2012 Rates'!$B$11,+'2012 Rates'!P412)</f>
        <v>5.23</v>
      </c>
      <c r="U204" s="447">
        <f t="shared" si="53"/>
        <v>0.10064481371113021</v>
      </c>
      <c r="V204" s="485"/>
      <c r="W204" s="623">
        <f t="shared" si="64"/>
        <v>0</v>
      </c>
      <c r="X204" s="623"/>
      <c r="Y204" s="485"/>
      <c r="Z204" s="485"/>
      <c r="AA204" s="485"/>
      <c r="AB204" s="485"/>
      <c r="AC204" s="485"/>
      <c r="AD204" s="485"/>
      <c r="AE204" s="485"/>
      <c r="AF204" s="485"/>
      <c r="AG204" s="485"/>
      <c r="AH204" s="485"/>
      <c r="AI204" s="485"/>
      <c r="AJ204" s="485"/>
      <c r="AK204" s="485"/>
      <c r="AL204" s="485"/>
      <c r="AM204" s="485"/>
      <c r="AN204" s="485"/>
      <c r="AO204" s="485"/>
      <c r="AP204" s="485"/>
      <c r="AQ204" s="485"/>
      <c r="AR204" s="485"/>
      <c r="AS204" s="485"/>
      <c r="AT204" s="485"/>
      <c r="AU204" s="485"/>
      <c r="AV204" s="485"/>
      <c r="AW204" s="485"/>
      <c r="AX204" s="485"/>
      <c r="AY204" s="485"/>
      <c r="AZ204" s="485"/>
      <c r="BA204" s="485"/>
      <c r="BB204" s="485"/>
      <c r="BC204" s="485"/>
      <c r="BD204" s="485"/>
      <c r="BE204" s="485"/>
      <c r="BF204" s="485"/>
      <c r="BG204" s="485"/>
      <c r="BH204" s="485"/>
      <c r="BI204" s="485"/>
      <c r="BJ204" s="485"/>
      <c r="BK204" s="485"/>
      <c r="BL204" s="485"/>
      <c r="BM204" s="485"/>
      <c r="BN204" s="485"/>
      <c r="BO204" s="485"/>
      <c r="BP204" s="485"/>
      <c r="BQ204" s="485"/>
      <c r="BR204" s="485"/>
      <c r="BS204" s="485"/>
      <c r="BT204" s="485"/>
      <c r="BU204" s="485"/>
      <c r="BV204" s="485"/>
      <c r="BW204" s="485"/>
      <c r="BX204" s="485"/>
      <c r="BY204" s="485"/>
      <c r="BZ204" s="485"/>
      <c r="CA204" s="485"/>
      <c r="CB204" s="485"/>
      <c r="CC204" s="485"/>
      <c r="CD204" s="485"/>
      <c r="CE204" s="485"/>
      <c r="CF204" s="485"/>
      <c r="CG204" s="485"/>
      <c r="CH204" s="485"/>
      <c r="CI204" s="485"/>
      <c r="CJ204" s="485"/>
      <c r="CK204" s="485"/>
      <c r="CL204" s="485"/>
      <c r="CM204" s="485"/>
      <c r="CN204" s="485"/>
      <c r="CO204" s="485"/>
      <c r="CP204" s="485"/>
      <c r="CQ204" s="485"/>
      <c r="CR204" s="485"/>
      <c r="CS204" s="485"/>
      <c r="CT204" s="485"/>
      <c r="CU204" s="485"/>
      <c r="CV204" s="485"/>
      <c r="CW204" s="485"/>
      <c r="CX204" s="485"/>
      <c r="CY204" s="485"/>
      <c r="CZ204" s="485"/>
      <c r="DA204" s="485"/>
      <c r="DB204" s="485"/>
      <c r="DC204" s="485"/>
      <c r="DD204" s="485"/>
      <c r="DE204" s="485"/>
      <c r="DF204" s="485"/>
      <c r="DG204" s="485"/>
      <c r="DH204" s="485"/>
      <c r="DI204" s="485"/>
      <c r="DJ204" s="485"/>
      <c r="DK204" s="485"/>
      <c r="DL204" s="485"/>
      <c r="DM204" s="485"/>
      <c r="DN204" s="485"/>
      <c r="DO204" s="485"/>
      <c r="DP204" s="485"/>
      <c r="DQ204" s="485"/>
      <c r="DR204" s="485"/>
      <c r="DS204" s="485"/>
      <c r="DT204" s="485"/>
      <c r="DU204" s="485"/>
      <c r="DV204" s="485"/>
      <c r="DW204" s="485"/>
      <c r="DX204" s="485"/>
      <c r="DY204" s="485"/>
      <c r="DZ204" s="485"/>
      <c r="EA204" s="485"/>
      <c r="EB204" s="485"/>
      <c r="EC204" s="485"/>
      <c r="ED204" s="485"/>
      <c r="EE204" s="485"/>
      <c r="EF204" s="485"/>
      <c r="EG204" s="485"/>
      <c r="EH204" s="485"/>
      <c r="EI204" s="485"/>
      <c r="EJ204" s="485"/>
      <c r="EK204" s="485"/>
      <c r="EL204" s="485"/>
      <c r="EM204" s="485"/>
      <c r="EN204" s="485"/>
      <c r="EO204" s="485"/>
      <c r="EP204" s="485"/>
    </row>
    <row r="205" spans="1:146" ht="18">
      <c r="A205" s="462">
        <f t="shared" si="70"/>
        <v>935</v>
      </c>
      <c r="B205" s="645" t="s">
        <v>437</v>
      </c>
      <c r="C205" s="624">
        <v>1000</v>
      </c>
      <c r="D205" s="626">
        <v>367</v>
      </c>
      <c r="E205" s="611">
        <v>55.29</v>
      </c>
      <c r="F205" s="678">
        <f t="shared" si="45"/>
        <v>54.449570000000001</v>
      </c>
      <c r="G205" s="683">
        <v>26</v>
      </c>
      <c r="H205" s="681">
        <f t="shared" si="65"/>
        <v>114504</v>
      </c>
      <c r="I205" s="623">
        <f t="shared" si="63"/>
        <v>17250.48</v>
      </c>
      <c r="J205" s="623"/>
      <c r="K205" s="627">
        <v>1.1000000000000001</v>
      </c>
      <c r="L205" s="627">
        <f t="shared" si="66"/>
        <v>28.6</v>
      </c>
      <c r="M205" s="627"/>
      <c r="N205" s="609">
        <v>367</v>
      </c>
      <c r="O205" s="610">
        <v>55.289934456732716</v>
      </c>
      <c r="P205" s="617" t="str">
        <f t="shared" si="67"/>
        <v>---</v>
      </c>
      <c r="Q205" s="618">
        <f t="shared" si="68"/>
        <v>-6.554326728291926E-5</v>
      </c>
      <c r="R205" s="485"/>
      <c r="S205" s="624" t="str">
        <f t="shared" si="69"/>
        <v>OK</v>
      </c>
      <c r="T205" s="469">
        <f>+'2012 Rates'!O413+'Schedule 2'!H15+'Schedule 4'!K43</f>
        <v>55.572220745048554</v>
      </c>
      <c r="U205" s="447">
        <f t="shared" si="53"/>
        <v>2.0618174671508838E-2</v>
      </c>
      <c r="V205" s="642" t="s">
        <v>372</v>
      </c>
      <c r="W205" s="623">
        <f>(+G205*T205*12)-X205</f>
        <v>13787.279999999995</v>
      </c>
      <c r="X205" s="444">
        <f>(+G205*('Schedule 4'!K43+'Schedule 2'!H15)*12)</f>
        <v>3551.2528724551512</v>
      </c>
      <c r="Y205" s="485"/>
      <c r="Z205" s="485"/>
      <c r="AA205" s="485"/>
      <c r="AB205" s="485"/>
      <c r="AC205" s="485"/>
      <c r="AD205" s="485"/>
      <c r="AE205" s="485"/>
      <c r="AF205" s="485"/>
      <c r="AG205" s="485"/>
      <c r="AH205" s="485"/>
      <c r="AI205" s="485"/>
      <c r="AJ205" s="485"/>
      <c r="AK205" s="485"/>
      <c r="AL205" s="485"/>
      <c r="AM205" s="485"/>
      <c r="AN205" s="485"/>
      <c r="AO205" s="485"/>
      <c r="AP205" s="485"/>
      <c r="AQ205" s="485"/>
      <c r="AR205" s="485"/>
      <c r="AS205" s="485"/>
      <c r="AT205" s="485"/>
      <c r="AU205" s="485"/>
      <c r="AV205" s="485"/>
      <c r="AW205" s="485"/>
      <c r="AX205" s="485"/>
      <c r="AY205" s="485"/>
      <c r="AZ205" s="485"/>
      <c r="BA205" s="485"/>
      <c r="BB205" s="485"/>
      <c r="BC205" s="485"/>
      <c r="BD205" s="485"/>
      <c r="BE205" s="485"/>
      <c r="BF205" s="485"/>
      <c r="BG205" s="485"/>
      <c r="BH205" s="485"/>
      <c r="BI205" s="485"/>
      <c r="BJ205" s="485"/>
      <c r="BK205" s="485"/>
      <c r="BL205" s="485"/>
      <c r="BM205" s="485"/>
      <c r="BN205" s="485"/>
      <c r="BO205" s="485"/>
      <c r="BP205" s="485"/>
      <c r="BQ205" s="485"/>
      <c r="BR205" s="485"/>
      <c r="BS205" s="485"/>
      <c r="BT205" s="485"/>
      <c r="BU205" s="485"/>
      <c r="BV205" s="485"/>
      <c r="BW205" s="485"/>
      <c r="BX205" s="485"/>
      <c r="BY205" s="485"/>
      <c r="BZ205" s="485"/>
      <c r="CA205" s="485"/>
      <c r="CB205" s="485"/>
      <c r="CC205" s="485"/>
      <c r="CD205" s="485"/>
      <c r="CE205" s="485"/>
      <c r="CF205" s="485"/>
      <c r="CG205" s="485"/>
      <c r="CH205" s="485"/>
      <c r="CI205" s="485"/>
      <c r="CJ205" s="485"/>
      <c r="CK205" s="485"/>
      <c r="CL205" s="485"/>
      <c r="CM205" s="485"/>
      <c r="CN205" s="485"/>
      <c r="CO205" s="485"/>
      <c r="CP205" s="485"/>
      <c r="CQ205" s="485"/>
      <c r="CR205" s="485"/>
      <c r="CS205" s="485"/>
      <c r="CT205" s="485"/>
      <c r="CU205" s="485"/>
      <c r="CV205" s="485"/>
      <c r="CW205" s="485"/>
      <c r="CX205" s="485"/>
      <c r="CY205" s="485"/>
      <c r="CZ205" s="485"/>
      <c r="DA205" s="485"/>
      <c r="DB205" s="485"/>
      <c r="DC205" s="485"/>
      <c r="DD205" s="485"/>
      <c r="DE205" s="485"/>
      <c r="DF205" s="485"/>
      <c r="DG205" s="485"/>
      <c r="DH205" s="485"/>
      <c r="DI205" s="485"/>
      <c r="DJ205" s="485"/>
      <c r="DK205" s="485"/>
      <c r="DL205" s="485"/>
      <c r="DM205" s="485"/>
      <c r="DN205" s="485"/>
      <c r="DO205" s="485"/>
      <c r="DP205" s="485"/>
      <c r="DQ205" s="485"/>
      <c r="DR205" s="485"/>
      <c r="DS205" s="485"/>
      <c r="DT205" s="485"/>
      <c r="DU205" s="485"/>
      <c r="DV205" s="485"/>
      <c r="DW205" s="485"/>
      <c r="DX205" s="485"/>
      <c r="DY205" s="485"/>
      <c r="DZ205" s="485"/>
      <c r="EA205" s="485"/>
      <c r="EB205" s="485"/>
      <c r="EC205" s="485"/>
      <c r="ED205" s="485"/>
      <c r="EE205" s="485"/>
      <c r="EF205" s="485"/>
      <c r="EG205" s="485"/>
      <c r="EH205" s="485"/>
      <c r="EI205" s="485"/>
      <c r="EJ205" s="485"/>
      <c r="EK205" s="485"/>
      <c r="EL205" s="485"/>
      <c r="EM205" s="485"/>
      <c r="EN205" s="485"/>
      <c r="EO205" s="485"/>
      <c r="EP205" s="485"/>
    </row>
    <row r="206" spans="1:146" ht="15.75">
      <c r="A206" s="462">
        <f t="shared" si="70"/>
        <v>936</v>
      </c>
      <c r="B206" s="644" t="s">
        <v>426</v>
      </c>
      <c r="C206" s="624">
        <v>125</v>
      </c>
      <c r="D206" s="626">
        <v>0</v>
      </c>
      <c r="E206" s="611">
        <v>9.36</v>
      </c>
      <c r="F206" s="678">
        <f t="shared" si="45"/>
        <v>9.36</v>
      </c>
      <c r="G206" s="683">
        <v>1</v>
      </c>
      <c r="H206" s="681">
        <f t="shared" si="65"/>
        <v>0</v>
      </c>
      <c r="I206" s="623">
        <f t="shared" si="63"/>
        <v>112.32</v>
      </c>
      <c r="J206" s="623"/>
      <c r="K206" s="627">
        <v>0.125</v>
      </c>
      <c r="L206" s="627">
        <f t="shared" si="66"/>
        <v>0.125</v>
      </c>
      <c r="M206" s="627"/>
      <c r="N206" s="609">
        <v>0</v>
      </c>
      <c r="O206" s="610">
        <v>9.36</v>
      </c>
      <c r="P206" s="617" t="str">
        <f t="shared" si="67"/>
        <v>---</v>
      </c>
      <c r="Q206" s="618" t="str">
        <f t="shared" si="68"/>
        <v>---</v>
      </c>
      <c r="R206" s="485"/>
      <c r="S206" s="624" t="str">
        <f t="shared" si="69"/>
        <v>OK</v>
      </c>
      <c r="T206" s="451">
        <f>IF(+'2012 Rates'!O414&lt;'2012 Rates'!$B$11,'2012 Rates'!$B$11,+'2012 Rates'!O414)</f>
        <v>8.4850132890563668</v>
      </c>
      <c r="U206" s="447">
        <f t="shared" si="53"/>
        <v>-9.3481486211926534E-2</v>
      </c>
      <c r="V206" s="485" t="s">
        <v>438</v>
      </c>
      <c r="W206" s="623">
        <f>(+G206*T206*12)-X206</f>
        <v>0</v>
      </c>
      <c r="X206" s="444">
        <f>+G206*T206*12</f>
        <v>101.82015946867639</v>
      </c>
      <c r="Y206" s="485"/>
      <c r="Z206" s="485"/>
      <c r="AA206" s="485"/>
      <c r="AB206" s="485"/>
      <c r="AC206" s="485"/>
      <c r="AD206" s="485"/>
      <c r="AE206" s="485"/>
      <c r="AF206" s="485"/>
      <c r="AG206" s="485"/>
      <c r="AH206" s="485"/>
      <c r="AI206" s="485"/>
      <c r="AJ206" s="485"/>
      <c r="AK206" s="485"/>
      <c r="AL206" s="485"/>
      <c r="AM206" s="485"/>
      <c r="AN206" s="485"/>
      <c r="AO206" s="485"/>
      <c r="AP206" s="485"/>
      <c r="AQ206" s="485"/>
      <c r="AR206" s="485"/>
      <c r="AS206" s="485"/>
      <c r="AT206" s="485"/>
      <c r="AU206" s="485"/>
      <c r="AV206" s="485"/>
      <c r="AW206" s="485"/>
      <c r="AX206" s="485"/>
      <c r="AY206" s="485"/>
      <c r="AZ206" s="485"/>
      <c r="BA206" s="485"/>
      <c r="BB206" s="485"/>
      <c r="BC206" s="485"/>
      <c r="BD206" s="485"/>
      <c r="BE206" s="485"/>
      <c r="BF206" s="485"/>
      <c r="BG206" s="485"/>
      <c r="BH206" s="485"/>
      <c r="BI206" s="485"/>
      <c r="BJ206" s="485"/>
      <c r="BK206" s="485"/>
      <c r="BL206" s="485"/>
      <c r="BM206" s="485"/>
      <c r="BN206" s="485"/>
      <c r="BO206" s="485"/>
      <c r="BP206" s="485"/>
      <c r="BQ206" s="485"/>
      <c r="BR206" s="485"/>
      <c r="BS206" s="485"/>
      <c r="BT206" s="485"/>
      <c r="BU206" s="485"/>
      <c r="BV206" s="485"/>
      <c r="BW206" s="485"/>
      <c r="BX206" s="485"/>
      <c r="BY206" s="485"/>
      <c r="BZ206" s="485"/>
      <c r="CA206" s="485"/>
      <c r="CB206" s="485"/>
      <c r="CC206" s="485"/>
      <c r="CD206" s="485"/>
      <c r="CE206" s="485"/>
      <c r="CF206" s="485"/>
      <c r="CG206" s="485"/>
      <c r="CH206" s="485"/>
      <c r="CI206" s="485"/>
      <c r="CJ206" s="485"/>
      <c r="CK206" s="485"/>
      <c r="CL206" s="485"/>
      <c r="CM206" s="485"/>
      <c r="CN206" s="485"/>
      <c r="CO206" s="485"/>
      <c r="CP206" s="485"/>
      <c r="CQ206" s="485"/>
      <c r="CR206" s="485"/>
      <c r="CS206" s="485"/>
      <c r="CT206" s="485"/>
      <c r="CU206" s="485"/>
      <c r="CV206" s="485"/>
      <c r="CW206" s="485"/>
      <c r="CX206" s="485"/>
      <c r="CY206" s="485"/>
      <c r="CZ206" s="485"/>
      <c r="DA206" s="485"/>
      <c r="DB206" s="485"/>
      <c r="DC206" s="485"/>
      <c r="DD206" s="485"/>
      <c r="DE206" s="485"/>
      <c r="DF206" s="485"/>
      <c r="DG206" s="485"/>
      <c r="DH206" s="485"/>
      <c r="DI206" s="485"/>
      <c r="DJ206" s="485"/>
      <c r="DK206" s="485"/>
      <c r="DL206" s="485"/>
      <c r="DM206" s="485"/>
      <c r="DN206" s="485"/>
      <c r="DO206" s="485"/>
      <c r="DP206" s="485"/>
      <c r="DQ206" s="485"/>
      <c r="DR206" s="485"/>
      <c r="DS206" s="485"/>
      <c r="DT206" s="485"/>
      <c r="DU206" s="485"/>
      <c r="DV206" s="485"/>
      <c r="DW206" s="485"/>
      <c r="DX206" s="485"/>
      <c r="DY206" s="485"/>
      <c r="DZ206" s="485"/>
      <c r="EA206" s="485"/>
      <c r="EB206" s="485"/>
      <c r="EC206" s="485"/>
      <c r="ED206" s="485"/>
      <c r="EE206" s="485"/>
      <c r="EF206" s="485"/>
      <c r="EG206" s="485"/>
      <c r="EH206" s="485"/>
      <c r="EI206" s="485"/>
      <c r="EJ206" s="485"/>
      <c r="EK206" s="485"/>
      <c r="EL206" s="485"/>
      <c r="EM206" s="485"/>
      <c r="EN206" s="485"/>
      <c r="EO206" s="485"/>
      <c r="EP206" s="485"/>
    </row>
    <row r="207" spans="1:146" ht="15.75">
      <c r="A207" s="462">
        <f t="shared" si="70"/>
        <v>937</v>
      </c>
      <c r="B207" s="629" t="s">
        <v>393</v>
      </c>
      <c r="C207" s="624">
        <v>528</v>
      </c>
      <c r="D207" s="626">
        <v>176</v>
      </c>
      <c r="E207" s="611">
        <v>19.72</v>
      </c>
      <c r="F207" s="678">
        <f t="shared" ref="F207:F269" si="71">E207-(D207*$C$10)</f>
        <v>19.316959999999998</v>
      </c>
      <c r="G207" s="683">
        <v>9</v>
      </c>
      <c r="H207" s="681">
        <f t="shared" si="65"/>
        <v>19008</v>
      </c>
      <c r="I207" s="623">
        <f t="shared" si="63"/>
        <v>2129.7599999999998</v>
      </c>
      <c r="J207" s="623">
        <f>+E207*G207*12</f>
        <v>2129.7599999999998</v>
      </c>
      <c r="K207" s="627">
        <v>0.52800000000000002</v>
      </c>
      <c r="L207" s="627">
        <f t="shared" si="66"/>
        <v>4.7520000000000007</v>
      </c>
      <c r="M207" s="627"/>
      <c r="N207" s="609">
        <v>176</v>
      </c>
      <c r="O207" s="610">
        <v>19.721957668623858</v>
      </c>
      <c r="P207" s="617" t="str">
        <f t="shared" si="67"/>
        <v>---</v>
      </c>
      <c r="Q207" s="618">
        <f t="shared" si="68"/>
        <v>1.9576686238593766E-3</v>
      </c>
      <c r="R207" s="485"/>
      <c r="S207" s="624" t="str">
        <f t="shared" si="69"/>
        <v>OK</v>
      </c>
      <c r="T207" s="451">
        <f>IF(+'2012 Rates'!O415&lt;'2012 Rates'!$B$11,'2012 Rates'!$B$11,+'2012 Rates'!O415)</f>
        <v>21.21</v>
      </c>
      <c r="U207" s="447">
        <f t="shared" ref="U207:U269" si="72">+T207/F207-1</f>
        <v>9.7998856963000591E-2</v>
      </c>
      <c r="V207" s="485"/>
      <c r="W207" s="623">
        <f t="shared" ref="W207:W223" si="73">+G207*T207*12</f>
        <v>2290.6800000000003</v>
      </c>
      <c r="X207" s="485"/>
      <c r="Y207" s="485"/>
      <c r="Z207" s="485"/>
      <c r="AA207" s="485"/>
      <c r="AB207" s="485"/>
      <c r="AC207" s="485"/>
      <c r="AD207" s="485"/>
      <c r="AE207" s="485"/>
      <c r="AF207" s="485"/>
      <c r="AG207" s="485"/>
      <c r="AH207" s="485"/>
      <c r="AI207" s="485"/>
      <c r="AJ207" s="485"/>
      <c r="AK207" s="485"/>
      <c r="AL207" s="485"/>
      <c r="AM207" s="485"/>
      <c r="AN207" s="485"/>
      <c r="AO207" s="485"/>
      <c r="AP207" s="485"/>
      <c r="AQ207" s="485"/>
      <c r="AR207" s="485"/>
      <c r="AS207" s="485"/>
      <c r="AT207" s="485"/>
      <c r="AU207" s="485"/>
      <c r="AV207" s="485"/>
      <c r="AW207" s="485"/>
      <c r="AX207" s="485"/>
      <c r="AY207" s="485"/>
      <c r="AZ207" s="485"/>
      <c r="BA207" s="485"/>
      <c r="BB207" s="485"/>
      <c r="BC207" s="485"/>
      <c r="BD207" s="485"/>
      <c r="BE207" s="485"/>
      <c r="BF207" s="485"/>
      <c r="BG207" s="485"/>
      <c r="BH207" s="485"/>
      <c r="BI207" s="485"/>
      <c r="BJ207" s="485"/>
      <c r="BK207" s="485"/>
      <c r="BL207" s="485"/>
      <c r="BM207" s="485"/>
      <c r="BN207" s="485"/>
      <c r="BO207" s="485"/>
      <c r="BP207" s="485"/>
      <c r="BQ207" s="485"/>
      <c r="BR207" s="485"/>
      <c r="BS207" s="485"/>
      <c r="BT207" s="485"/>
      <c r="BU207" s="485"/>
      <c r="BV207" s="485"/>
      <c r="BW207" s="485"/>
      <c r="BX207" s="485"/>
      <c r="BY207" s="485"/>
      <c r="BZ207" s="485"/>
      <c r="CA207" s="485"/>
      <c r="CB207" s="485"/>
      <c r="CC207" s="485"/>
      <c r="CD207" s="485"/>
      <c r="CE207" s="485"/>
      <c r="CF207" s="485"/>
      <c r="CG207" s="485"/>
      <c r="CH207" s="485"/>
      <c r="CI207" s="485"/>
      <c r="CJ207" s="485"/>
      <c r="CK207" s="485"/>
      <c r="CL207" s="485"/>
      <c r="CM207" s="485"/>
      <c r="CN207" s="485"/>
      <c r="CO207" s="485"/>
      <c r="CP207" s="485"/>
      <c r="CQ207" s="485"/>
      <c r="CR207" s="485"/>
      <c r="CS207" s="485"/>
      <c r="CT207" s="485"/>
      <c r="CU207" s="485"/>
      <c r="CV207" s="485"/>
      <c r="CW207" s="485"/>
      <c r="CX207" s="485"/>
      <c r="CY207" s="485"/>
      <c r="CZ207" s="485"/>
      <c r="DA207" s="485"/>
      <c r="DB207" s="485"/>
      <c r="DC207" s="485"/>
      <c r="DD207" s="485"/>
      <c r="DE207" s="485"/>
      <c r="DF207" s="485"/>
      <c r="DG207" s="485"/>
      <c r="DH207" s="485"/>
      <c r="DI207" s="485"/>
      <c r="DJ207" s="485"/>
      <c r="DK207" s="485"/>
      <c r="DL207" s="485"/>
      <c r="DM207" s="485"/>
      <c r="DN207" s="485"/>
      <c r="DO207" s="485"/>
      <c r="DP207" s="485"/>
      <c r="DQ207" s="485"/>
      <c r="DR207" s="485"/>
      <c r="DS207" s="485"/>
      <c r="DT207" s="485"/>
      <c r="DU207" s="485"/>
      <c r="DV207" s="485"/>
      <c r="DW207" s="485"/>
      <c r="DX207" s="485"/>
      <c r="DY207" s="485"/>
      <c r="DZ207" s="485"/>
      <c r="EA207" s="485"/>
      <c r="EB207" s="485"/>
      <c r="EC207" s="485"/>
      <c r="ED207" s="485"/>
      <c r="EE207" s="485"/>
      <c r="EF207" s="485"/>
      <c r="EG207" s="485"/>
      <c r="EH207" s="485"/>
      <c r="EI207" s="485"/>
      <c r="EJ207" s="485"/>
      <c r="EK207" s="485"/>
      <c r="EL207" s="485"/>
      <c r="EM207" s="485"/>
      <c r="EN207" s="485"/>
      <c r="EO207" s="485"/>
      <c r="EP207" s="485"/>
    </row>
    <row r="208" spans="1:146" ht="15.75">
      <c r="A208" s="462">
        <f t="shared" si="70"/>
        <v>938</v>
      </c>
      <c r="B208" s="629" t="s">
        <v>393</v>
      </c>
      <c r="C208" s="624">
        <v>360</v>
      </c>
      <c r="D208" s="626">
        <v>120</v>
      </c>
      <c r="E208" s="611">
        <v>13.44</v>
      </c>
      <c r="F208" s="678">
        <f t="shared" si="71"/>
        <v>13.165199999999999</v>
      </c>
      <c r="G208" s="683">
        <v>1</v>
      </c>
      <c r="H208" s="681">
        <f t="shared" si="65"/>
        <v>1440</v>
      </c>
      <c r="I208" s="623">
        <f t="shared" ref="I208:I223" si="74">+E208*G208*12</f>
        <v>161.28</v>
      </c>
      <c r="J208" s="623"/>
      <c r="K208" s="627">
        <v>0.36</v>
      </c>
      <c r="L208" s="627">
        <f t="shared" si="66"/>
        <v>0.36</v>
      </c>
      <c r="M208" s="627"/>
      <c r="N208" s="609">
        <v>120</v>
      </c>
      <c r="O208" s="610">
        <v>13.438152955879906</v>
      </c>
      <c r="P208" s="617" t="str">
        <f t="shared" si="67"/>
        <v>---</v>
      </c>
      <c r="Q208" s="618">
        <f t="shared" si="68"/>
        <v>-1.8470441200939547E-3</v>
      </c>
      <c r="R208" s="485"/>
      <c r="S208" s="624" t="str">
        <f t="shared" si="69"/>
        <v>OK</v>
      </c>
      <c r="T208" s="451">
        <f>IF(+'2012 Rates'!O416&lt;'2012 Rates'!$B$11,'2012 Rates'!$B$11,+'2012 Rates'!O416)</f>
        <v>14.450000000000001</v>
      </c>
      <c r="U208" s="447">
        <f t="shared" si="72"/>
        <v>9.75906176890593E-2</v>
      </c>
      <c r="V208" s="485"/>
      <c r="W208" s="623">
        <f t="shared" si="73"/>
        <v>173.4</v>
      </c>
      <c r="X208" s="623"/>
      <c r="Y208" s="485"/>
      <c r="Z208" s="485"/>
      <c r="AA208" s="485"/>
      <c r="AB208" s="485"/>
      <c r="AC208" s="485"/>
      <c r="AD208" s="485"/>
      <c r="AE208" s="485"/>
      <c r="AF208" s="485"/>
      <c r="AG208" s="485"/>
      <c r="AH208" s="485"/>
      <c r="AI208" s="485"/>
      <c r="AJ208" s="485"/>
      <c r="AK208" s="485"/>
      <c r="AL208" s="485"/>
      <c r="AM208" s="485"/>
      <c r="AN208" s="485"/>
      <c r="AO208" s="485"/>
      <c r="AP208" s="485"/>
      <c r="AQ208" s="485"/>
      <c r="AR208" s="485"/>
      <c r="AS208" s="485"/>
      <c r="AT208" s="485"/>
      <c r="AU208" s="485"/>
      <c r="AV208" s="485"/>
      <c r="AW208" s="485"/>
      <c r="AX208" s="485"/>
      <c r="AY208" s="485"/>
      <c r="AZ208" s="485"/>
      <c r="BA208" s="485"/>
      <c r="BB208" s="485"/>
      <c r="BC208" s="485"/>
      <c r="BD208" s="485"/>
      <c r="BE208" s="485"/>
      <c r="BF208" s="485"/>
      <c r="BG208" s="485"/>
      <c r="BH208" s="485"/>
      <c r="BI208" s="485"/>
      <c r="BJ208" s="485"/>
      <c r="BK208" s="485"/>
      <c r="BL208" s="485"/>
      <c r="BM208" s="485"/>
      <c r="BN208" s="485"/>
      <c r="BO208" s="485"/>
      <c r="BP208" s="485"/>
      <c r="BQ208" s="485"/>
      <c r="BR208" s="485"/>
      <c r="BS208" s="485"/>
      <c r="BT208" s="485"/>
      <c r="BU208" s="485"/>
      <c r="BV208" s="485"/>
      <c r="BW208" s="485"/>
      <c r="BX208" s="485"/>
      <c r="BY208" s="485"/>
      <c r="BZ208" s="485"/>
      <c r="CA208" s="485"/>
      <c r="CB208" s="485"/>
      <c r="CC208" s="485"/>
      <c r="CD208" s="485"/>
      <c r="CE208" s="485"/>
      <c r="CF208" s="485"/>
      <c r="CG208" s="485"/>
      <c r="CH208" s="485"/>
      <c r="CI208" s="485"/>
      <c r="CJ208" s="485"/>
      <c r="CK208" s="485"/>
      <c r="CL208" s="485"/>
      <c r="CM208" s="485"/>
      <c r="CN208" s="485"/>
      <c r="CO208" s="485"/>
      <c r="CP208" s="485"/>
      <c r="CQ208" s="485"/>
      <c r="CR208" s="485"/>
      <c r="CS208" s="485"/>
      <c r="CT208" s="485"/>
      <c r="CU208" s="485"/>
      <c r="CV208" s="485"/>
      <c r="CW208" s="485"/>
      <c r="CX208" s="485"/>
      <c r="CY208" s="485"/>
      <c r="CZ208" s="485"/>
      <c r="DA208" s="485"/>
      <c r="DB208" s="485"/>
      <c r="DC208" s="485"/>
      <c r="DD208" s="485"/>
      <c r="DE208" s="485"/>
      <c r="DF208" s="485"/>
      <c r="DG208" s="485"/>
      <c r="DH208" s="485"/>
      <c r="DI208" s="485"/>
      <c r="DJ208" s="485"/>
      <c r="DK208" s="485"/>
      <c r="DL208" s="485"/>
      <c r="DM208" s="485"/>
      <c r="DN208" s="485"/>
      <c r="DO208" s="485"/>
      <c r="DP208" s="485"/>
      <c r="DQ208" s="485"/>
      <c r="DR208" s="485"/>
      <c r="DS208" s="485"/>
      <c r="DT208" s="485"/>
      <c r="DU208" s="485"/>
      <c r="DV208" s="485"/>
      <c r="DW208" s="485"/>
      <c r="DX208" s="485"/>
      <c r="DY208" s="485"/>
      <c r="DZ208" s="485"/>
      <c r="EA208" s="485"/>
      <c r="EB208" s="485"/>
      <c r="EC208" s="485"/>
      <c r="ED208" s="485"/>
      <c r="EE208" s="485"/>
      <c r="EF208" s="485"/>
      <c r="EG208" s="485"/>
      <c r="EH208" s="485"/>
      <c r="EI208" s="485"/>
      <c r="EJ208" s="485"/>
      <c r="EK208" s="485"/>
      <c r="EL208" s="485"/>
      <c r="EM208" s="485"/>
      <c r="EN208" s="485"/>
      <c r="EO208" s="485"/>
      <c r="EP208" s="485"/>
    </row>
    <row r="209" spans="1:146" ht="15.75">
      <c r="A209" s="462">
        <f t="shared" si="70"/>
        <v>939</v>
      </c>
      <c r="B209" s="629" t="s">
        <v>403</v>
      </c>
      <c r="C209" s="624">
        <v>150</v>
      </c>
      <c r="D209" s="626">
        <v>110</v>
      </c>
      <c r="E209" s="611">
        <v>9.6199999999999992</v>
      </c>
      <c r="F209" s="678">
        <f t="shared" si="71"/>
        <v>9.3680999999999983</v>
      </c>
      <c r="G209" s="683">
        <v>2</v>
      </c>
      <c r="H209" s="681">
        <f t="shared" si="65"/>
        <v>2640</v>
      </c>
      <c r="I209" s="623">
        <f t="shared" si="74"/>
        <v>230.88</v>
      </c>
      <c r="J209" s="623"/>
      <c r="K209" s="627">
        <v>0.15</v>
      </c>
      <c r="L209" s="627">
        <f t="shared" si="66"/>
        <v>0.3</v>
      </c>
      <c r="M209" s="627">
        <f>+L209</f>
        <v>0.3</v>
      </c>
      <c r="N209" s="609">
        <v>110</v>
      </c>
      <c r="O209" s="610">
        <v>9.6174735428899112</v>
      </c>
      <c r="P209" s="617" t="str">
        <f t="shared" si="67"/>
        <v>---</v>
      </c>
      <c r="Q209" s="618">
        <f t="shared" si="68"/>
        <v>-2.5264571100880318E-3</v>
      </c>
      <c r="R209" s="485"/>
      <c r="S209" s="624" t="str">
        <f t="shared" si="69"/>
        <v>OK</v>
      </c>
      <c r="T209" s="451">
        <f>IF(+'2012 Rates'!P417&lt;'2012 Rates'!$B$11,'2012 Rates'!$B$11,+'2012 Rates'!P417)</f>
        <v>10.27</v>
      </c>
      <c r="U209" s="447">
        <f t="shared" si="72"/>
        <v>9.62735239803163E-2</v>
      </c>
      <c r="V209" s="485"/>
      <c r="W209" s="623">
        <f t="shared" si="73"/>
        <v>246.48</v>
      </c>
      <c r="X209" s="623"/>
      <c r="Y209" s="485"/>
      <c r="Z209" s="485"/>
      <c r="AA209" s="485"/>
      <c r="AB209" s="485"/>
      <c r="AC209" s="485"/>
      <c r="AD209" s="485"/>
      <c r="AE209" s="485"/>
      <c r="AF209" s="485"/>
      <c r="AG209" s="485"/>
      <c r="AH209" s="485"/>
      <c r="AI209" s="485"/>
      <c r="AJ209" s="485"/>
      <c r="AK209" s="485"/>
      <c r="AL209" s="485"/>
      <c r="AM209" s="485"/>
      <c r="AN209" s="485"/>
      <c r="AO209" s="485"/>
      <c r="AP209" s="485"/>
      <c r="AQ209" s="485"/>
      <c r="AR209" s="485"/>
      <c r="AS209" s="485"/>
      <c r="AT209" s="485"/>
      <c r="AU209" s="485"/>
      <c r="AV209" s="485"/>
      <c r="AW209" s="485"/>
      <c r="AX209" s="485"/>
      <c r="AY209" s="485"/>
      <c r="AZ209" s="485"/>
      <c r="BA209" s="485"/>
      <c r="BB209" s="485"/>
      <c r="BC209" s="485"/>
      <c r="BD209" s="485"/>
      <c r="BE209" s="485"/>
      <c r="BF209" s="485"/>
      <c r="BG209" s="485"/>
      <c r="BH209" s="485"/>
      <c r="BI209" s="485"/>
      <c r="BJ209" s="485"/>
      <c r="BK209" s="485"/>
      <c r="BL209" s="485"/>
      <c r="BM209" s="485"/>
      <c r="BN209" s="485"/>
      <c r="BO209" s="485"/>
      <c r="BP209" s="485"/>
      <c r="BQ209" s="485"/>
      <c r="BR209" s="485"/>
      <c r="BS209" s="485"/>
      <c r="BT209" s="485"/>
      <c r="BU209" s="485"/>
      <c r="BV209" s="485"/>
      <c r="BW209" s="485"/>
      <c r="BX209" s="485"/>
      <c r="BY209" s="485"/>
      <c r="BZ209" s="485"/>
      <c r="CA209" s="485"/>
      <c r="CB209" s="485"/>
      <c r="CC209" s="485"/>
      <c r="CD209" s="485"/>
      <c r="CE209" s="485"/>
      <c r="CF209" s="485"/>
      <c r="CG209" s="485"/>
      <c r="CH209" s="485"/>
      <c r="CI209" s="485"/>
      <c r="CJ209" s="485"/>
      <c r="CK209" s="485"/>
      <c r="CL209" s="485"/>
      <c r="CM209" s="485"/>
      <c r="CN209" s="485"/>
      <c r="CO209" s="485"/>
      <c r="CP209" s="485"/>
      <c r="CQ209" s="485"/>
      <c r="CR209" s="485"/>
      <c r="CS209" s="485"/>
      <c r="CT209" s="485"/>
      <c r="CU209" s="485"/>
      <c r="CV209" s="485"/>
      <c r="CW209" s="485"/>
      <c r="CX209" s="485"/>
      <c r="CY209" s="485"/>
      <c r="CZ209" s="485"/>
      <c r="DA209" s="485"/>
      <c r="DB209" s="485"/>
      <c r="DC209" s="485"/>
      <c r="DD209" s="485"/>
      <c r="DE209" s="485"/>
      <c r="DF209" s="485"/>
      <c r="DG209" s="485"/>
      <c r="DH209" s="485"/>
      <c r="DI209" s="485"/>
      <c r="DJ209" s="485"/>
      <c r="DK209" s="485"/>
      <c r="DL209" s="485"/>
      <c r="DM209" s="485"/>
      <c r="DN209" s="485"/>
      <c r="DO209" s="485"/>
      <c r="DP209" s="485"/>
      <c r="DQ209" s="485"/>
      <c r="DR209" s="485"/>
      <c r="DS209" s="485"/>
      <c r="DT209" s="485"/>
      <c r="DU209" s="485"/>
      <c r="DV209" s="485"/>
      <c r="DW209" s="485"/>
      <c r="DX209" s="485"/>
      <c r="DY209" s="485"/>
      <c r="DZ209" s="485"/>
      <c r="EA209" s="485"/>
      <c r="EB209" s="485"/>
      <c r="EC209" s="485"/>
      <c r="ED209" s="485"/>
      <c r="EE209" s="485"/>
      <c r="EF209" s="485"/>
      <c r="EG209" s="485"/>
      <c r="EH209" s="485"/>
      <c r="EI209" s="485"/>
      <c r="EJ209" s="485"/>
      <c r="EK209" s="485"/>
      <c r="EL209" s="485"/>
      <c r="EM209" s="485"/>
      <c r="EN209" s="485"/>
      <c r="EO209" s="485"/>
      <c r="EP209" s="485"/>
    </row>
    <row r="210" spans="1:146" ht="15.75">
      <c r="A210" s="462">
        <f t="shared" si="70"/>
        <v>940</v>
      </c>
      <c r="B210" s="629" t="s">
        <v>393</v>
      </c>
      <c r="C210" s="624">
        <v>675</v>
      </c>
      <c r="D210" s="626">
        <v>225</v>
      </c>
      <c r="E210" s="611">
        <v>25.2</v>
      </c>
      <c r="F210" s="678">
        <f t="shared" si="71"/>
        <v>24.684750000000001</v>
      </c>
      <c r="G210" s="683">
        <v>6</v>
      </c>
      <c r="H210" s="681">
        <f t="shared" si="65"/>
        <v>16200</v>
      </c>
      <c r="I210" s="623">
        <f t="shared" si="74"/>
        <v>1814.3999999999999</v>
      </c>
      <c r="J210" s="623"/>
      <c r="K210" s="627">
        <v>0.67500000000000004</v>
      </c>
      <c r="L210" s="627">
        <f t="shared" si="66"/>
        <v>4.0500000000000007</v>
      </c>
      <c r="M210" s="627"/>
      <c r="N210" s="609">
        <v>225</v>
      </c>
      <c r="O210" s="610">
        <v>25.200286792274817</v>
      </c>
      <c r="P210" s="617" t="str">
        <f t="shared" si="67"/>
        <v>---</v>
      </c>
      <c r="Q210" s="618">
        <f t="shared" si="68"/>
        <v>2.8679227481731573E-4</v>
      </c>
      <c r="R210" s="485"/>
      <c r="S210" s="624" t="str">
        <f t="shared" si="69"/>
        <v>OK</v>
      </c>
      <c r="T210" s="613">
        <f>+'2012 Rates'!O418</f>
        <v>27.099999999999998</v>
      </c>
      <c r="U210" s="447">
        <f t="shared" si="72"/>
        <v>9.7843810449771418E-2</v>
      </c>
      <c r="V210" s="485"/>
      <c r="W210" s="623">
        <f t="shared" si="73"/>
        <v>1951.1999999999998</v>
      </c>
      <c r="X210" s="623"/>
      <c r="Y210" s="485"/>
      <c r="Z210" s="485"/>
      <c r="AA210" s="485"/>
      <c r="AB210" s="485"/>
      <c r="AC210" s="485"/>
      <c r="AD210" s="485"/>
      <c r="AE210" s="485"/>
      <c r="AF210" s="485"/>
      <c r="AG210" s="485"/>
      <c r="AH210" s="485"/>
      <c r="AI210" s="485"/>
      <c r="AJ210" s="485"/>
      <c r="AK210" s="485"/>
      <c r="AL210" s="485"/>
      <c r="AM210" s="485"/>
      <c r="AN210" s="485"/>
      <c r="AO210" s="485"/>
      <c r="AP210" s="485"/>
      <c r="AQ210" s="485"/>
      <c r="AR210" s="485"/>
      <c r="AS210" s="485"/>
      <c r="AT210" s="485"/>
      <c r="AU210" s="485"/>
      <c r="AV210" s="485"/>
      <c r="AW210" s="485"/>
      <c r="AX210" s="485"/>
      <c r="AY210" s="485"/>
      <c r="AZ210" s="485"/>
      <c r="BA210" s="485"/>
      <c r="BB210" s="485"/>
      <c r="BC210" s="485"/>
      <c r="BD210" s="485"/>
      <c r="BE210" s="485"/>
      <c r="BF210" s="485"/>
      <c r="BG210" s="485"/>
      <c r="BH210" s="485"/>
      <c r="BI210" s="485"/>
      <c r="BJ210" s="485"/>
      <c r="BK210" s="485"/>
      <c r="BL210" s="485"/>
      <c r="BM210" s="485"/>
      <c r="BN210" s="485"/>
      <c r="BO210" s="485"/>
      <c r="BP210" s="485"/>
      <c r="BQ210" s="485"/>
      <c r="BR210" s="485"/>
      <c r="BS210" s="485"/>
      <c r="BT210" s="485"/>
      <c r="BU210" s="485"/>
      <c r="BV210" s="485"/>
      <c r="BW210" s="485"/>
      <c r="BX210" s="485"/>
      <c r="BY210" s="485"/>
      <c r="BZ210" s="485"/>
      <c r="CA210" s="485"/>
      <c r="CB210" s="485"/>
      <c r="CC210" s="485"/>
      <c r="CD210" s="485"/>
      <c r="CE210" s="485"/>
      <c r="CF210" s="485"/>
      <c r="CG210" s="485"/>
      <c r="CH210" s="485"/>
      <c r="CI210" s="485"/>
      <c r="CJ210" s="485"/>
      <c r="CK210" s="485"/>
      <c r="CL210" s="485"/>
      <c r="CM210" s="485"/>
      <c r="CN210" s="485"/>
      <c r="CO210" s="485"/>
      <c r="CP210" s="485"/>
      <c r="CQ210" s="485"/>
      <c r="CR210" s="485"/>
      <c r="CS210" s="485"/>
      <c r="CT210" s="485"/>
      <c r="CU210" s="485"/>
      <c r="CV210" s="485"/>
      <c r="CW210" s="485"/>
      <c r="CX210" s="485"/>
      <c r="CY210" s="485"/>
      <c r="CZ210" s="485"/>
      <c r="DA210" s="485"/>
      <c r="DB210" s="485"/>
      <c r="DC210" s="485"/>
      <c r="DD210" s="485"/>
      <c r="DE210" s="485"/>
      <c r="DF210" s="485"/>
      <c r="DG210" s="485"/>
      <c r="DH210" s="485"/>
      <c r="DI210" s="485"/>
      <c r="DJ210" s="485"/>
      <c r="DK210" s="485"/>
      <c r="DL210" s="485"/>
      <c r="DM210" s="485"/>
      <c r="DN210" s="485"/>
      <c r="DO210" s="485"/>
      <c r="DP210" s="485"/>
      <c r="DQ210" s="485"/>
      <c r="DR210" s="485"/>
      <c r="DS210" s="485"/>
      <c r="DT210" s="485"/>
      <c r="DU210" s="485"/>
      <c r="DV210" s="485"/>
      <c r="DW210" s="485"/>
      <c r="DX210" s="485"/>
      <c r="DY210" s="485"/>
      <c r="DZ210" s="485"/>
      <c r="EA210" s="485"/>
      <c r="EB210" s="485"/>
      <c r="EC210" s="485"/>
      <c r="ED210" s="485"/>
      <c r="EE210" s="485"/>
      <c r="EF210" s="485"/>
      <c r="EG210" s="485"/>
      <c r="EH210" s="485"/>
      <c r="EI210" s="485"/>
      <c r="EJ210" s="485"/>
      <c r="EK210" s="485"/>
      <c r="EL210" s="485"/>
      <c r="EM210" s="485"/>
      <c r="EN210" s="485"/>
      <c r="EO210" s="485"/>
      <c r="EP210" s="485"/>
    </row>
    <row r="211" spans="1:146" ht="15.75">
      <c r="A211" s="462">
        <f t="shared" si="70"/>
        <v>941</v>
      </c>
      <c r="B211" s="629" t="s">
        <v>393</v>
      </c>
      <c r="C211" s="624">
        <v>7440</v>
      </c>
      <c r="D211" s="626">
        <v>2480</v>
      </c>
      <c r="E211" s="611">
        <v>277.74</v>
      </c>
      <c r="F211" s="678">
        <f t="shared" si="71"/>
        <v>272.06080000000003</v>
      </c>
      <c r="G211" s="683"/>
      <c r="H211" s="681">
        <f t="shared" si="65"/>
        <v>0</v>
      </c>
      <c r="I211" s="623">
        <f t="shared" si="74"/>
        <v>0</v>
      </c>
      <c r="J211" s="623"/>
      <c r="K211" s="627">
        <v>7.44</v>
      </c>
      <c r="L211" s="627">
        <f t="shared" si="66"/>
        <v>0</v>
      </c>
      <c r="M211" s="627"/>
      <c r="N211" s="609">
        <v>2480</v>
      </c>
      <c r="O211" s="610">
        <v>277.738494421518</v>
      </c>
      <c r="P211" s="617" t="str">
        <f t="shared" si="67"/>
        <v>---</v>
      </c>
      <c r="Q211" s="618">
        <f t="shared" si="68"/>
        <v>-1.5055784820106055E-3</v>
      </c>
      <c r="R211" s="485"/>
      <c r="S211" s="450" t="str">
        <f t="shared" si="69"/>
        <v>OK</v>
      </c>
      <c r="T211" s="451">
        <f>IF(+'2012 Rates'!O419&lt;'2012 Rates'!$B$11,'2012 Rates'!$B$11,+'2012 Rates'!O419)</f>
        <v>298.75</v>
      </c>
      <c r="U211" s="447">
        <f t="shared" si="72"/>
        <v>9.8100130559051424E-2</v>
      </c>
      <c r="V211" s="445"/>
      <c r="W211" s="623">
        <f t="shared" si="73"/>
        <v>0</v>
      </c>
      <c r="X211" s="623"/>
      <c r="Y211" s="485"/>
      <c r="Z211" s="485"/>
      <c r="AA211" s="485"/>
      <c r="AB211" s="485"/>
      <c r="AC211" s="485"/>
      <c r="AD211" s="485"/>
      <c r="AE211" s="485"/>
      <c r="AF211" s="485"/>
      <c r="AG211" s="485"/>
      <c r="AH211" s="485"/>
      <c r="AI211" s="485"/>
      <c r="AJ211" s="485"/>
      <c r="AK211" s="485"/>
      <c r="AL211" s="485"/>
      <c r="AM211" s="485"/>
      <c r="AN211" s="485"/>
      <c r="AO211" s="485"/>
      <c r="AP211" s="485"/>
      <c r="AQ211" s="485"/>
      <c r="AR211" s="485"/>
      <c r="AS211" s="485"/>
      <c r="AT211" s="485"/>
      <c r="AU211" s="485"/>
      <c r="AV211" s="485"/>
      <c r="AW211" s="485"/>
      <c r="AX211" s="485"/>
      <c r="AY211" s="485"/>
      <c r="AZ211" s="485"/>
      <c r="BA211" s="485"/>
      <c r="BB211" s="485"/>
      <c r="BC211" s="485"/>
      <c r="BD211" s="485"/>
      <c r="BE211" s="485"/>
      <c r="BF211" s="485"/>
      <c r="BG211" s="485"/>
      <c r="BH211" s="485"/>
      <c r="BI211" s="485"/>
      <c r="BJ211" s="485"/>
      <c r="BK211" s="485"/>
      <c r="BL211" s="485"/>
      <c r="BM211" s="485"/>
      <c r="BN211" s="485"/>
      <c r="BO211" s="485"/>
      <c r="BP211" s="485"/>
      <c r="BQ211" s="485"/>
      <c r="BR211" s="485"/>
      <c r="BS211" s="485"/>
      <c r="BT211" s="485"/>
      <c r="BU211" s="485"/>
      <c r="BV211" s="485"/>
      <c r="BW211" s="485"/>
      <c r="BX211" s="485"/>
      <c r="BY211" s="485"/>
      <c r="BZ211" s="485"/>
      <c r="CA211" s="485"/>
      <c r="CB211" s="485"/>
      <c r="CC211" s="485"/>
      <c r="CD211" s="485"/>
      <c r="CE211" s="485"/>
      <c r="CF211" s="485"/>
      <c r="CG211" s="485"/>
      <c r="CH211" s="485"/>
      <c r="CI211" s="485"/>
      <c r="CJ211" s="485"/>
      <c r="CK211" s="485"/>
      <c r="CL211" s="485"/>
      <c r="CM211" s="485"/>
      <c r="CN211" s="485"/>
      <c r="CO211" s="485"/>
      <c r="CP211" s="485"/>
      <c r="CQ211" s="485"/>
      <c r="CR211" s="485"/>
      <c r="CS211" s="485"/>
      <c r="CT211" s="485"/>
      <c r="CU211" s="485"/>
      <c r="CV211" s="485"/>
      <c r="CW211" s="485"/>
      <c r="CX211" s="485"/>
      <c r="CY211" s="485"/>
      <c r="CZ211" s="485"/>
      <c r="DA211" s="485"/>
      <c r="DB211" s="485"/>
      <c r="DC211" s="485"/>
      <c r="DD211" s="485"/>
      <c r="DE211" s="485"/>
      <c r="DF211" s="485"/>
      <c r="DG211" s="485"/>
      <c r="DH211" s="485"/>
      <c r="DI211" s="485"/>
      <c r="DJ211" s="485"/>
      <c r="DK211" s="485"/>
      <c r="DL211" s="485"/>
      <c r="DM211" s="485"/>
      <c r="DN211" s="485"/>
      <c r="DO211" s="485"/>
      <c r="DP211" s="485"/>
      <c r="DQ211" s="485"/>
      <c r="DR211" s="485"/>
      <c r="DS211" s="485"/>
      <c r="DT211" s="485"/>
      <c r="DU211" s="485"/>
      <c r="DV211" s="485"/>
      <c r="DW211" s="485"/>
      <c r="DX211" s="485"/>
      <c r="DY211" s="485"/>
      <c r="DZ211" s="485"/>
      <c r="EA211" s="485"/>
      <c r="EB211" s="485"/>
      <c r="EC211" s="485"/>
      <c r="ED211" s="485"/>
      <c r="EE211" s="485"/>
      <c r="EF211" s="485"/>
      <c r="EG211" s="485"/>
      <c r="EH211" s="485"/>
      <c r="EI211" s="485"/>
      <c r="EJ211" s="485"/>
      <c r="EK211" s="485"/>
      <c r="EL211" s="485"/>
      <c r="EM211" s="485"/>
      <c r="EN211" s="485"/>
      <c r="EO211" s="485"/>
      <c r="EP211" s="485"/>
    </row>
    <row r="212" spans="1:146" ht="15.75">
      <c r="A212" s="462">
        <f t="shared" si="70"/>
        <v>942</v>
      </c>
      <c r="B212" s="629" t="s">
        <v>393</v>
      </c>
      <c r="C212" s="624">
        <v>2200</v>
      </c>
      <c r="D212" s="626">
        <v>733</v>
      </c>
      <c r="E212" s="611">
        <v>82.1</v>
      </c>
      <c r="F212" s="678">
        <f t="shared" si="71"/>
        <v>80.421430000000001</v>
      </c>
      <c r="G212" s="683">
        <v>1</v>
      </c>
      <c r="H212" s="681">
        <f t="shared" si="65"/>
        <v>8796</v>
      </c>
      <c r="I212" s="623">
        <f t="shared" si="74"/>
        <v>985.19999999999993</v>
      </c>
      <c r="J212" s="623"/>
      <c r="K212" s="627">
        <v>2.2000000000000002</v>
      </c>
      <c r="L212" s="627">
        <f t="shared" si="66"/>
        <v>2.2000000000000002</v>
      </c>
      <c r="M212" s="627"/>
      <c r="N212" s="609">
        <v>733</v>
      </c>
      <c r="O212" s="610">
        <v>82.104800972166387</v>
      </c>
      <c r="P212" s="617" t="str">
        <f t="shared" si="67"/>
        <v>---</v>
      </c>
      <c r="Q212" s="618">
        <f t="shared" si="68"/>
        <v>4.8009721663930804E-3</v>
      </c>
      <c r="R212" s="485"/>
      <c r="S212" s="624" t="str">
        <f t="shared" si="69"/>
        <v>OK</v>
      </c>
      <c r="T212" s="451">
        <f>IF(+'2012 Rates'!O420&lt;'2012 Rates'!$B$11,'2012 Rates'!$B$11,+'2012 Rates'!O420)</f>
        <v>88.320000000000007</v>
      </c>
      <c r="U212" s="447">
        <f t="shared" si="72"/>
        <v>9.8214742015902967E-2</v>
      </c>
      <c r="V212" s="485"/>
      <c r="W212" s="623">
        <f t="shared" si="73"/>
        <v>1059.8400000000001</v>
      </c>
      <c r="X212" s="623"/>
      <c r="Y212" s="485"/>
      <c r="Z212" s="485"/>
      <c r="AA212" s="485"/>
      <c r="AB212" s="485"/>
      <c r="AC212" s="485"/>
      <c r="AD212" s="485"/>
      <c r="AE212" s="485"/>
      <c r="AF212" s="485"/>
      <c r="AG212" s="485"/>
      <c r="AH212" s="485"/>
      <c r="AI212" s="485"/>
      <c r="AJ212" s="485"/>
      <c r="AK212" s="485"/>
      <c r="AL212" s="485"/>
      <c r="AM212" s="485"/>
      <c r="AN212" s="485"/>
      <c r="AO212" s="485"/>
      <c r="AP212" s="485"/>
      <c r="AQ212" s="485"/>
      <c r="AR212" s="485"/>
      <c r="AS212" s="485"/>
      <c r="AT212" s="485"/>
      <c r="AU212" s="485"/>
      <c r="AV212" s="485"/>
      <c r="AW212" s="485"/>
      <c r="AX212" s="485"/>
      <c r="AY212" s="485"/>
      <c r="AZ212" s="485"/>
      <c r="BA212" s="485"/>
      <c r="BB212" s="485"/>
      <c r="BC212" s="485"/>
      <c r="BD212" s="485"/>
      <c r="BE212" s="485"/>
      <c r="BF212" s="485"/>
      <c r="BG212" s="485"/>
      <c r="BH212" s="485"/>
      <c r="BI212" s="485"/>
      <c r="BJ212" s="485"/>
      <c r="BK212" s="485"/>
      <c r="BL212" s="485"/>
      <c r="BM212" s="485"/>
      <c r="BN212" s="485"/>
      <c r="BO212" s="485"/>
      <c r="BP212" s="485"/>
      <c r="BQ212" s="485"/>
      <c r="BR212" s="485"/>
      <c r="BS212" s="485"/>
      <c r="BT212" s="485"/>
      <c r="BU212" s="485"/>
      <c r="BV212" s="485"/>
      <c r="BW212" s="485"/>
      <c r="BX212" s="485"/>
      <c r="BY212" s="485"/>
      <c r="BZ212" s="485"/>
      <c r="CA212" s="485"/>
      <c r="CB212" s="485"/>
      <c r="CC212" s="485"/>
      <c r="CD212" s="485"/>
      <c r="CE212" s="485"/>
      <c r="CF212" s="485"/>
      <c r="CG212" s="485"/>
      <c r="CH212" s="485"/>
      <c r="CI212" s="485"/>
      <c r="CJ212" s="485"/>
      <c r="CK212" s="485"/>
      <c r="CL212" s="485"/>
      <c r="CM212" s="485"/>
      <c r="CN212" s="485"/>
      <c r="CO212" s="485"/>
      <c r="CP212" s="485"/>
      <c r="CQ212" s="485"/>
      <c r="CR212" s="485"/>
      <c r="CS212" s="485"/>
      <c r="CT212" s="485"/>
      <c r="CU212" s="485"/>
      <c r="CV212" s="485"/>
      <c r="CW212" s="485"/>
      <c r="CX212" s="485"/>
      <c r="CY212" s="485"/>
      <c r="CZ212" s="485"/>
      <c r="DA212" s="485"/>
      <c r="DB212" s="485"/>
      <c r="DC212" s="485"/>
      <c r="DD212" s="485"/>
      <c r="DE212" s="485"/>
      <c r="DF212" s="485"/>
      <c r="DG212" s="485"/>
      <c r="DH212" s="485"/>
      <c r="DI212" s="485"/>
      <c r="DJ212" s="485"/>
      <c r="DK212" s="485"/>
      <c r="DL212" s="485"/>
      <c r="DM212" s="485"/>
      <c r="DN212" s="485"/>
      <c r="DO212" s="485"/>
      <c r="DP212" s="485"/>
      <c r="DQ212" s="485"/>
      <c r="DR212" s="485"/>
      <c r="DS212" s="485"/>
      <c r="DT212" s="485"/>
      <c r="DU212" s="485"/>
      <c r="DV212" s="485"/>
      <c r="DW212" s="485"/>
      <c r="DX212" s="485"/>
      <c r="DY212" s="485"/>
      <c r="DZ212" s="485"/>
      <c r="EA212" s="485"/>
      <c r="EB212" s="485"/>
      <c r="EC212" s="485"/>
      <c r="ED212" s="485"/>
      <c r="EE212" s="485"/>
      <c r="EF212" s="485"/>
      <c r="EG212" s="485"/>
      <c r="EH212" s="485"/>
      <c r="EI212" s="485"/>
      <c r="EJ212" s="485"/>
      <c r="EK212" s="485"/>
      <c r="EL212" s="485"/>
      <c r="EM212" s="485"/>
      <c r="EN212" s="485"/>
      <c r="EO212" s="485"/>
      <c r="EP212" s="485"/>
    </row>
    <row r="213" spans="1:146" ht="15.75">
      <c r="A213" s="462">
        <f t="shared" si="70"/>
        <v>943</v>
      </c>
      <c r="B213" s="629" t="s">
        <v>393</v>
      </c>
      <c r="C213" s="624">
        <v>1290</v>
      </c>
      <c r="D213" s="626">
        <v>430</v>
      </c>
      <c r="E213" s="611">
        <v>48.16</v>
      </c>
      <c r="F213" s="678">
        <f t="shared" si="71"/>
        <v>47.1753</v>
      </c>
      <c r="G213" s="683">
        <v>1</v>
      </c>
      <c r="H213" s="681">
        <f t="shared" si="65"/>
        <v>5160</v>
      </c>
      <c r="I213" s="623">
        <f t="shared" si="74"/>
        <v>577.91999999999996</v>
      </c>
      <c r="J213" s="623"/>
      <c r="K213" s="627">
        <v>1.29</v>
      </c>
      <c r="L213" s="627">
        <f t="shared" si="66"/>
        <v>1.29</v>
      </c>
      <c r="M213" s="627"/>
      <c r="N213" s="609">
        <v>430</v>
      </c>
      <c r="O213" s="610">
        <v>48.159214758569654</v>
      </c>
      <c r="P213" s="617" t="str">
        <f t="shared" si="67"/>
        <v>---</v>
      </c>
      <c r="Q213" s="618">
        <f t="shared" si="68"/>
        <v>-7.8524143034286453E-4</v>
      </c>
      <c r="R213" s="485"/>
      <c r="S213" s="624" t="str">
        <f t="shared" si="69"/>
        <v>OK</v>
      </c>
      <c r="T213" s="451">
        <f>IF(+'2012 Rates'!O421&lt;'2012 Rates'!$B$11,'2012 Rates'!$B$11,+'2012 Rates'!O421)</f>
        <v>51.81</v>
      </c>
      <c r="U213" s="447">
        <f t="shared" si="72"/>
        <v>9.8244208303921887E-2</v>
      </c>
      <c r="V213" s="485"/>
      <c r="W213" s="623">
        <f t="shared" si="73"/>
        <v>621.72</v>
      </c>
      <c r="X213" s="623"/>
      <c r="Y213" s="485"/>
      <c r="Z213" s="485"/>
      <c r="AA213" s="485"/>
      <c r="AB213" s="485"/>
      <c r="AC213" s="485"/>
      <c r="AD213" s="485"/>
      <c r="AE213" s="485"/>
      <c r="AF213" s="485"/>
      <c r="AG213" s="485"/>
      <c r="AH213" s="485"/>
      <c r="AI213" s="485"/>
      <c r="AJ213" s="485"/>
      <c r="AK213" s="485"/>
      <c r="AL213" s="485"/>
      <c r="AM213" s="485"/>
      <c r="AN213" s="485"/>
      <c r="AO213" s="485"/>
      <c r="AP213" s="485"/>
      <c r="AQ213" s="485"/>
      <c r="AR213" s="485"/>
      <c r="AS213" s="485"/>
      <c r="AT213" s="485"/>
      <c r="AU213" s="485"/>
      <c r="AV213" s="485"/>
      <c r="AW213" s="485"/>
      <c r="AX213" s="485"/>
      <c r="AY213" s="485"/>
      <c r="AZ213" s="485"/>
      <c r="BA213" s="485"/>
      <c r="BB213" s="485"/>
      <c r="BC213" s="485"/>
      <c r="BD213" s="485"/>
      <c r="BE213" s="485"/>
      <c r="BF213" s="485"/>
      <c r="BG213" s="485"/>
      <c r="BH213" s="485"/>
      <c r="BI213" s="485"/>
      <c r="BJ213" s="485"/>
      <c r="BK213" s="485"/>
      <c r="BL213" s="485"/>
      <c r="BM213" s="485"/>
      <c r="BN213" s="485"/>
      <c r="BO213" s="485"/>
      <c r="BP213" s="485"/>
      <c r="BQ213" s="485"/>
      <c r="BR213" s="485"/>
      <c r="BS213" s="485"/>
      <c r="BT213" s="485"/>
      <c r="BU213" s="485"/>
      <c r="BV213" s="485"/>
      <c r="BW213" s="485"/>
      <c r="BX213" s="485"/>
      <c r="BY213" s="485"/>
      <c r="BZ213" s="485"/>
      <c r="CA213" s="485"/>
      <c r="CB213" s="485"/>
      <c r="CC213" s="485"/>
      <c r="CD213" s="485"/>
      <c r="CE213" s="485"/>
      <c r="CF213" s="485"/>
      <c r="CG213" s="485"/>
      <c r="CH213" s="485"/>
      <c r="CI213" s="485"/>
      <c r="CJ213" s="485"/>
      <c r="CK213" s="485"/>
      <c r="CL213" s="485"/>
      <c r="CM213" s="485"/>
      <c r="CN213" s="485"/>
      <c r="CO213" s="485"/>
      <c r="CP213" s="485"/>
      <c r="CQ213" s="485"/>
      <c r="CR213" s="485"/>
      <c r="CS213" s="485"/>
      <c r="CT213" s="485"/>
      <c r="CU213" s="485"/>
      <c r="CV213" s="485"/>
      <c r="CW213" s="485"/>
      <c r="CX213" s="485"/>
      <c r="CY213" s="485"/>
      <c r="CZ213" s="485"/>
      <c r="DA213" s="485"/>
      <c r="DB213" s="485"/>
      <c r="DC213" s="485"/>
      <c r="DD213" s="485"/>
      <c r="DE213" s="485"/>
      <c r="DF213" s="485"/>
      <c r="DG213" s="485"/>
      <c r="DH213" s="485"/>
      <c r="DI213" s="485"/>
      <c r="DJ213" s="485"/>
      <c r="DK213" s="485"/>
      <c r="DL213" s="485"/>
      <c r="DM213" s="485"/>
      <c r="DN213" s="485"/>
      <c r="DO213" s="485"/>
      <c r="DP213" s="485"/>
      <c r="DQ213" s="485"/>
      <c r="DR213" s="485"/>
      <c r="DS213" s="485"/>
      <c r="DT213" s="485"/>
      <c r="DU213" s="485"/>
      <c r="DV213" s="485"/>
      <c r="DW213" s="485"/>
      <c r="DX213" s="485"/>
      <c r="DY213" s="485"/>
      <c r="DZ213" s="485"/>
      <c r="EA213" s="485"/>
      <c r="EB213" s="485"/>
      <c r="EC213" s="485"/>
      <c r="ED213" s="485"/>
      <c r="EE213" s="485"/>
      <c r="EF213" s="485"/>
      <c r="EG213" s="485"/>
      <c r="EH213" s="485"/>
      <c r="EI213" s="485"/>
      <c r="EJ213" s="485"/>
      <c r="EK213" s="485"/>
      <c r="EL213" s="485"/>
      <c r="EM213" s="485"/>
      <c r="EN213" s="485"/>
      <c r="EO213" s="485"/>
      <c r="EP213" s="485"/>
    </row>
    <row r="214" spans="1:146" ht="15.75">
      <c r="A214" s="462">
        <f t="shared" si="70"/>
        <v>944</v>
      </c>
      <c r="B214" s="629" t="s">
        <v>403</v>
      </c>
      <c r="C214" s="624">
        <v>200</v>
      </c>
      <c r="D214" s="626">
        <v>146</v>
      </c>
      <c r="E214" s="611">
        <v>12.77</v>
      </c>
      <c r="F214" s="678">
        <f t="shared" si="71"/>
        <v>12.43566</v>
      </c>
      <c r="G214" s="683">
        <v>14</v>
      </c>
      <c r="H214" s="681">
        <f t="shared" si="65"/>
        <v>24528</v>
      </c>
      <c r="I214" s="623">
        <f t="shared" si="74"/>
        <v>2145.36</v>
      </c>
      <c r="J214" s="623"/>
      <c r="K214" s="627">
        <v>0.2</v>
      </c>
      <c r="L214" s="627">
        <f t="shared" si="66"/>
        <v>2.8000000000000003</v>
      </c>
      <c r="M214" s="627">
        <f>+L214</f>
        <v>2.8000000000000003</v>
      </c>
      <c r="N214" s="609">
        <v>146</v>
      </c>
      <c r="O214" s="610">
        <v>12.76991942965388</v>
      </c>
      <c r="P214" s="617" t="str">
        <f t="shared" si="67"/>
        <v>---</v>
      </c>
      <c r="Q214" s="618">
        <f t="shared" si="68"/>
        <v>-8.0570346119301917E-5</v>
      </c>
      <c r="R214" s="485"/>
      <c r="S214" s="624" t="str">
        <f t="shared" si="69"/>
        <v>OK</v>
      </c>
      <c r="T214" s="451">
        <f>IF(+'2012 Rates'!P422&lt;'2012 Rates'!$B$11,'2012 Rates'!$B$11,+'2012 Rates'!P422)</f>
        <v>13.66</v>
      </c>
      <c r="U214" s="447">
        <f t="shared" si="72"/>
        <v>9.8453962234412939E-2</v>
      </c>
      <c r="V214" s="485"/>
      <c r="W214" s="623">
        <f t="shared" si="73"/>
        <v>2294.88</v>
      </c>
      <c r="X214" s="623"/>
      <c r="Y214" s="485"/>
      <c r="Z214" s="485"/>
      <c r="AA214" s="485"/>
      <c r="AB214" s="485"/>
      <c r="AC214" s="485"/>
      <c r="AD214" s="485"/>
      <c r="AE214" s="485"/>
      <c r="AF214" s="485"/>
      <c r="AG214" s="485"/>
      <c r="AH214" s="485"/>
      <c r="AI214" s="485"/>
      <c r="AJ214" s="485"/>
      <c r="AK214" s="485"/>
      <c r="AL214" s="485"/>
      <c r="AM214" s="485"/>
      <c r="AN214" s="485"/>
      <c r="AO214" s="485"/>
      <c r="AP214" s="485"/>
      <c r="AQ214" s="485"/>
      <c r="AR214" s="485"/>
      <c r="AS214" s="485"/>
      <c r="AT214" s="485"/>
      <c r="AU214" s="485"/>
      <c r="AV214" s="485"/>
      <c r="AW214" s="485"/>
      <c r="AX214" s="485"/>
      <c r="AY214" s="485"/>
      <c r="AZ214" s="485"/>
      <c r="BA214" s="485"/>
      <c r="BB214" s="485"/>
      <c r="BC214" s="485"/>
      <c r="BD214" s="485"/>
      <c r="BE214" s="485"/>
      <c r="BF214" s="485"/>
      <c r="BG214" s="485"/>
      <c r="BH214" s="485"/>
      <c r="BI214" s="485"/>
      <c r="BJ214" s="485"/>
      <c r="BK214" s="485"/>
      <c r="BL214" s="485"/>
      <c r="BM214" s="485"/>
      <c r="BN214" s="485"/>
      <c r="BO214" s="485"/>
      <c r="BP214" s="485"/>
      <c r="BQ214" s="485"/>
      <c r="BR214" s="485"/>
      <c r="BS214" s="485"/>
      <c r="BT214" s="485"/>
      <c r="BU214" s="485"/>
      <c r="BV214" s="485"/>
      <c r="BW214" s="485"/>
      <c r="BX214" s="485"/>
      <c r="BY214" s="485"/>
      <c r="BZ214" s="485"/>
      <c r="CA214" s="485"/>
      <c r="CB214" s="485"/>
      <c r="CC214" s="485"/>
      <c r="CD214" s="485"/>
      <c r="CE214" s="485"/>
      <c r="CF214" s="485"/>
      <c r="CG214" s="485"/>
      <c r="CH214" s="485"/>
      <c r="CI214" s="485"/>
      <c r="CJ214" s="485"/>
      <c r="CK214" s="485"/>
      <c r="CL214" s="485"/>
      <c r="CM214" s="485"/>
      <c r="CN214" s="485"/>
      <c r="CO214" s="485"/>
      <c r="CP214" s="485"/>
      <c r="CQ214" s="485"/>
      <c r="CR214" s="485"/>
      <c r="CS214" s="485"/>
      <c r="CT214" s="485"/>
      <c r="CU214" s="485"/>
      <c r="CV214" s="485"/>
      <c r="CW214" s="485"/>
      <c r="CX214" s="485"/>
      <c r="CY214" s="485"/>
      <c r="CZ214" s="485"/>
      <c r="DA214" s="485"/>
      <c r="DB214" s="485"/>
      <c r="DC214" s="485"/>
      <c r="DD214" s="485"/>
      <c r="DE214" s="485"/>
      <c r="DF214" s="485"/>
      <c r="DG214" s="485"/>
      <c r="DH214" s="485"/>
      <c r="DI214" s="485"/>
      <c r="DJ214" s="485"/>
      <c r="DK214" s="485"/>
      <c r="DL214" s="485"/>
      <c r="DM214" s="485"/>
      <c r="DN214" s="485"/>
      <c r="DO214" s="485"/>
      <c r="DP214" s="485"/>
      <c r="DQ214" s="485"/>
      <c r="DR214" s="485"/>
      <c r="DS214" s="485"/>
      <c r="DT214" s="485"/>
      <c r="DU214" s="485"/>
      <c r="DV214" s="485"/>
      <c r="DW214" s="485"/>
      <c r="DX214" s="485"/>
      <c r="DY214" s="485"/>
      <c r="DZ214" s="485"/>
      <c r="EA214" s="485"/>
      <c r="EB214" s="485"/>
      <c r="EC214" s="485"/>
      <c r="ED214" s="485"/>
      <c r="EE214" s="485"/>
      <c r="EF214" s="485"/>
      <c r="EG214" s="485"/>
      <c r="EH214" s="485"/>
      <c r="EI214" s="485"/>
      <c r="EJ214" s="485"/>
      <c r="EK214" s="485"/>
      <c r="EL214" s="485"/>
      <c r="EM214" s="485"/>
      <c r="EN214" s="485"/>
      <c r="EO214" s="485"/>
      <c r="EP214" s="485"/>
    </row>
    <row r="215" spans="1:146" ht="15.75">
      <c r="A215" s="591">
        <f t="shared" si="70"/>
        <v>945</v>
      </c>
      <c r="B215" s="630" t="s">
        <v>439</v>
      </c>
      <c r="C215" s="614">
        <v>1380</v>
      </c>
      <c r="D215" s="609">
        <v>34</v>
      </c>
      <c r="E215" s="610">
        <v>2.96</v>
      </c>
      <c r="F215" s="678">
        <f>E215</f>
        <v>2.96</v>
      </c>
      <c r="G215" s="683">
        <v>2</v>
      </c>
      <c r="H215" s="664">
        <f t="shared" si="65"/>
        <v>816</v>
      </c>
      <c r="I215" s="444">
        <f t="shared" si="74"/>
        <v>71.039999999999992</v>
      </c>
      <c r="J215" s="444"/>
      <c r="K215" s="616">
        <v>1.38</v>
      </c>
      <c r="L215" s="616">
        <f t="shared" si="66"/>
        <v>2.76</v>
      </c>
      <c r="M215" s="616"/>
      <c r="N215" s="609">
        <v>34</v>
      </c>
      <c r="O215" s="610">
        <v>2.9637800000000003</v>
      </c>
      <c r="P215" s="617" t="str">
        <f t="shared" si="67"/>
        <v>---</v>
      </c>
      <c r="Q215" s="618">
        <f t="shared" si="68"/>
        <v>3.7800000000003386E-3</v>
      </c>
      <c r="R215" s="615"/>
      <c r="S215" s="614" t="str">
        <f t="shared" si="69"/>
        <v>OK</v>
      </c>
      <c r="T215" s="451">
        <f>IF(+'2012 Rates'!O423&lt;'2012 Rates'!$B$11,'2012 Rates'!$B$11,+'2012 Rates'!O423)</f>
        <v>13.100000000000001</v>
      </c>
      <c r="U215" s="447">
        <f t="shared" si="72"/>
        <v>3.4256756756756763</v>
      </c>
      <c r="V215" s="485" t="s">
        <v>440</v>
      </c>
      <c r="W215" s="623">
        <f t="shared" si="73"/>
        <v>314.40000000000003</v>
      </c>
      <c r="X215" s="485"/>
      <c r="Y215" s="485"/>
      <c r="Z215" s="485"/>
      <c r="AA215" s="485"/>
      <c r="AB215" s="485"/>
      <c r="AC215" s="485"/>
      <c r="AD215" s="485"/>
      <c r="AE215" s="485"/>
      <c r="AF215" s="485"/>
      <c r="AG215" s="485"/>
      <c r="AH215" s="485"/>
      <c r="AI215" s="485"/>
      <c r="AJ215" s="485"/>
      <c r="AK215" s="485"/>
      <c r="AL215" s="485"/>
      <c r="AM215" s="485"/>
      <c r="AN215" s="485"/>
      <c r="AO215" s="485"/>
      <c r="AP215" s="485"/>
      <c r="AQ215" s="485"/>
      <c r="AR215" s="485"/>
      <c r="AS215" s="485"/>
      <c r="AT215" s="485"/>
      <c r="AU215" s="485"/>
      <c r="AV215" s="485"/>
      <c r="AW215" s="485"/>
      <c r="AX215" s="485"/>
      <c r="AY215" s="485"/>
      <c r="AZ215" s="485"/>
      <c r="BA215" s="485"/>
      <c r="BB215" s="485"/>
      <c r="BC215" s="485"/>
      <c r="BD215" s="485"/>
      <c r="BE215" s="485"/>
      <c r="BF215" s="485"/>
      <c r="BG215" s="485"/>
      <c r="BH215" s="485"/>
      <c r="BI215" s="485"/>
      <c r="BJ215" s="485"/>
      <c r="BK215" s="485"/>
      <c r="BL215" s="485"/>
      <c r="BM215" s="485"/>
      <c r="BN215" s="485"/>
      <c r="BO215" s="485"/>
      <c r="BP215" s="485"/>
      <c r="BQ215" s="485"/>
      <c r="BR215" s="485"/>
      <c r="BS215" s="485"/>
      <c r="BT215" s="485"/>
      <c r="BU215" s="485"/>
      <c r="BV215" s="485"/>
      <c r="BW215" s="485"/>
      <c r="BX215" s="485"/>
      <c r="BY215" s="485"/>
      <c r="BZ215" s="485"/>
      <c r="CA215" s="485"/>
      <c r="CB215" s="485"/>
      <c r="CC215" s="485"/>
      <c r="CD215" s="485"/>
      <c r="CE215" s="485"/>
      <c r="CF215" s="485"/>
      <c r="CG215" s="485"/>
      <c r="CH215" s="485"/>
      <c r="CI215" s="485"/>
      <c r="CJ215" s="485"/>
      <c r="CK215" s="485"/>
      <c r="CL215" s="485"/>
      <c r="CM215" s="485"/>
      <c r="CN215" s="485"/>
      <c r="CO215" s="485"/>
      <c r="CP215" s="485"/>
      <c r="CQ215" s="485"/>
      <c r="CR215" s="485"/>
      <c r="CS215" s="485"/>
      <c r="CT215" s="485"/>
      <c r="CU215" s="485"/>
      <c r="CV215" s="485"/>
      <c r="CW215" s="485"/>
      <c r="CX215" s="485"/>
      <c r="CY215" s="485"/>
      <c r="CZ215" s="485"/>
      <c r="DA215" s="485"/>
      <c r="DB215" s="485"/>
      <c r="DC215" s="485"/>
      <c r="DD215" s="485"/>
      <c r="DE215" s="485"/>
      <c r="DF215" s="485"/>
      <c r="DG215" s="485"/>
      <c r="DH215" s="485"/>
      <c r="DI215" s="485"/>
      <c r="DJ215" s="485"/>
      <c r="DK215" s="485"/>
      <c r="DL215" s="485"/>
      <c r="DM215" s="485"/>
      <c r="DN215" s="485"/>
      <c r="DO215" s="485"/>
      <c r="DP215" s="485"/>
      <c r="DQ215" s="485"/>
      <c r="DR215" s="485"/>
      <c r="DS215" s="485"/>
      <c r="DT215" s="485"/>
      <c r="DU215" s="485"/>
      <c r="DV215" s="485"/>
      <c r="DW215" s="485"/>
      <c r="DX215" s="485"/>
      <c r="DY215" s="485"/>
      <c r="DZ215" s="485"/>
      <c r="EA215" s="485"/>
      <c r="EB215" s="485"/>
      <c r="EC215" s="485"/>
      <c r="ED215" s="485"/>
      <c r="EE215" s="485"/>
      <c r="EF215" s="485"/>
      <c r="EG215" s="485"/>
      <c r="EH215" s="485"/>
      <c r="EI215" s="485"/>
      <c r="EJ215" s="485"/>
      <c r="EK215" s="485"/>
      <c r="EL215" s="485"/>
      <c r="EM215" s="485"/>
      <c r="EN215" s="485"/>
      <c r="EO215" s="485"/>
      <c r="EP215" s="485"/>
    </row>
    <row r="216" spans="1:146" ht="15.75">
      <c r="A216" s="462">
        <f t="shared" si="70"/>
        <v>946</v>
      </c>
      <c r="B216" s="629" t="s">
        <v>393</v>
      </c>
      <c r="C216" s="624">
        <v>1800</v>
      </c>
      <c r="D216" s="626">
        <v>660</v>
      </c>
      <c r="E216" s="611">
        <v>73.91</v>
      </c>
      <c r="F216" s="678">
        <f t="shared" si="71"/>
        <v>72.398600000000002</v>
      </c>
      <c r="G216" s="683">
        <v>4</v>
      </c>
      <c r="H216" s="681">
        <f t="shared" si="65"/>
        <v>31680</v>
      </c>
      <c r="I216" s="623">
        <f t="shared" si="74"/>
        <v>3547.68</v>
      </c>
      <c r="J216" s="623"/>
      <c r="K216" s="627">
        <v>1.98</v>
      </c>
      <c r="L216" s="627">
        <f t="shared" si="66"/>
        <v>7.92</v>
      </c>
      <c r="M216" s="627"/>
      <c r="N216" s="609">
        <v>660</v>
      </c>
      <c r="O216" s="610">
        <v>73.914841257339447</v>
      </c>
      <c r="P216" s="617" t="str">
        <f t="shared" si="67"/>
        <v>---</v>
      </c>
      <c r="Q216" s="618">
        <f t="shared" si="68"/>
        <v>4.8412573394500669E-3</v>
      </c>
      <c r="R216" s="485"/>
      <c r="S216" s="624" t="str">
        <f t="shared" si="69"/>
        <v>OK</v>
      </c>
      <c r="T216" s="451">
        <f>IF(+'2012 Rates'!O424&lt;'2012 Rates'!$B$11,'2012 Rates'!$B$11,+'2012 Rates'!O424)</f>
        <v>79.5</v>
      </c>
      <c r="U216" s="447">
        <f t="shared" si="72"/>
        <v>9.8087532079349504E-2</v>
      </c>
      <c r="V216" s="485"/>
      <c r="W216" s="623">
        <f t="shared" si="73"/>
        <v>3816</v>
      </c>
      <c r="X216" s="485"/>
      <c r="Y216" s="485"/>
      <c r="Z216" s="485"/>
      <c r="AA216" s="485"/>
      <c r="AB216" s="485"/>
      <c r="AC216" s="485"/>
      <c r="AD216" s="485"/>
      <c r="AE216" s="485"/>
      <c r="AF216" s="485"/>
      <c r="AG216" s="485"/>
      <c r="AH216" s="485"/>
      <c r="AI216" s="485"/>
      <c r="AJ216" s="485"/>
      <c r="AK216" s="485"/>
      <c r="AL216" s="485"/>
      <c r="AM216" s="485"/>
      <c r="AN216" s="485"/>
      <c r="AO216" s="485"/>
      <c r="AP216" s="485"/>
      <c r="AQ216" s="485"/>
      <c r="AR216" s="485"/>
      <c r="AS216" s="485"/>
      <c r="AT216" s="485"/>
      <c r="AU216" s="485"/>
      <c r="AV216" s="485"/>
      <c r="AW216" s="485"/>
      <c r="AX216" s="485"/>
      <c r="AY216" s="485"/>
      <c r="AZ216" s="485"/>
      <c r="BA216" s="485"/>
      <c r="BB216" s="485"/>
      <c r="BC216" s="485"/>
      <c r="BD216" s="485"/>
      <c r="BE216" s="485"/>
      <c r="BF216" s="485"/>
      <c r="BG216" s="485"/>
      <c r="BH216" s="485"/>
      <c r="BI216" s="485"/>
      <c r="BJ216" s="485"/>
      <c r="BK216" s="485"/>
      <c r="BL216" s="485"/>
      <c r="BM216" s="485"/>
      <c r="BN216" s="485"/>
      <c r="BO216" s="485"/>
      <c r="BP216" s="485"/>
      <c r="BQ216" s="485"/>
      <c r="BR216" s="485"/>
      <c r="BS216" s="485"/>
      <c r="BT216" s="485"/>
      <c r="BU216" s="485"/>
      <c r="BV216" s="485"/>
      <c r="BW216" s="485"/>
      <c r="BX216" s="485"/>
      <c r="BY216" s="485"/>
      <c r="BZ216" s="485"/>
      <c r="CA216" s="485"/>
      <c r="CB216" s="485"/>
      <c r="CC216" s="485"/>
      <c r="CD216" s="485"/>
      <c r="CE216" s="485"/>
      <c r="CF216" s="485"/>
      <c r="CG216" s="485"/>
      <c r="CH216" s="485"/>
      <c r="CI216" s="485"/>
      <c r="CJ216" s="485"/>
      <c r="CK216" s="485"/>
      <c r="CL216" s="485"/>
      <c r="CM216" s="485"/>
      <c r="CN216" s="485"/>
      <c r="CO216" s="485"/>
      <c r="CP216" s="485"/>
      <c r="CQ216" s="485"/>
      <c r="CR216" s="485"/>
      <c r="CS216" s="485"/>
      <c r="CT216" s="485"/>
      <c r="CU216" s="485"/>
      <c r="CV216" s="485"/>
      <c r="CW216" s="485"/>
      <c r="CX216" s="485"/>
      <c r="CY216" s="485"/>
      <c r="CZ216" s="485"/>
      <c r="DA216" s="485"/>
      <c r="DB216" s="485"/>
      <c r="DC216" s="485"/>
      <c r="DD216" s="485"/>
      <c r="DE216" s="485"/>
      <c r="DF216" s="485"/>
      <c r="DG216" s="485"/>
      <c r="DH216" s="485"/>
      <c r="DI216" s="485"/>
      <c r="DJ216" s="485"/>
      <c r="DK216" s="485"/>
      <c r="DL216" s="485"/>
      <c r="DM216" s="485"/>
      <c r="DN216" s="485"/>
      <c r="DO216" s="485"/>
      <c r="DP216" s="485"/>
      <c r="DQ216" s="485"/>
      <c r="DR216" s="485"/>
      <c r="DS216" s="485"/>
      <c r="DT216" s="485"/>
      <c r="DU216" s="485"/>
      <c r="DV216" s="485"/>
      <c r="DW216" s="485"/>
      <c r="DX216" s="485"/>
      <c r="DY216" s="485"/>
      <c r="DZ216" s="485"/>
      <c r="EA216" s="485"/>
      <c r="EB216" s="485"/>
      <c r="EC216" s="485"/>
      <c r="ED216" s="485"/>
      <c r="EE216" s="485"/>
      <c r="EF216" s="485"/>
      <c r="EG216" s="485"/>
      <c r="EH216" s="485"/>
      <c r="EI216" s="485"/>
      <c r="EJ216" s="485"/>
      <c r="EK216" s="485"/>
      <c r="EL216" s="485"/>
      <c r="EM216" s="485"/>
      <c r="EN216" s="485"/>
      <c r="EO216" s="485"/>
      <c r="EP216" s="485"/>
    </row>
    <row r="217" spans="1:146" ht="15.75">
      <c r="A217" s="591">
        <f t="shared" si="70"/>
        <v>947</v>
      </c>
      <c r="B217" s="630" t="s">
        <v>436</v>
      </c>
      <c r="C217" s="614">
        <v>300</v>
      </c>
      <c r="D217" s="609">
        <v>34</v>
      </c>
      <c r="E217" s="610">
        <v>2.96</v>
      </c>
      <c r="F217" s="678">
        <f>E217</f>
        <v>2.96</v>
      </c>
      <c r="G217" s="683">
        <v>2</v>
      </c>
      <c r="H217" s="664">
        <f t="shared" si="65"/>
        <v>816</v>
      </c>
      <c r="I217" s="444">
        <f t="shared" si="74"/>
        <v>71.039999999999992</v>
      </c>
      <c r="J217" s="444"/>
      <c r="K217" s="616">
        <v>0.3</v>
      </c>
      <c r="L217" s="616">
        <f t="shared" si="66"/>
        <v>0.6</v>
      </c>
      <c r="M217" s="616"/>
      <c r="N217" s="609">
        <v>34</v>
      </c>
      <c r="O217" s="610">
        <v>2.9637800000000003</v>
      </c>
      <c r="P217" s="617" t="str">
        <f t="shared" si="67"/>
        <v>---</v>
      </c>
      <c r="Q217" s="618">
        <f t="shared" si="68"/>
        <v>3.7800000000003386E-3</v>
      </c>
      <c r="R217" s="615"/>
      <c r="S217" s="614" t="str">
        <f t="shared" si="69"/>
        <v>OK</v>
      </c>
      <c r="T217" s="451">
        <f>IF(+'2012 Rates'!O425&lt;'2012 Rates'!$B$11,'2012 Rates'!$B$11,+'2012 Rates'!O425)</f>
        <v>3.2504153814512136</v>
      </c>
      <c r="U217" s="447">
        <f t="shared" si="72"/>
        <v>9.8113304544328983E-2</v>
      </c>
      <c r="V217" s="485" t="s">
        <v>340</v>
      </c>
      <c r="W217" s="623">
        <f t="shared" si="73"/>
        <v>78.009969154829122</v>
      </c>
      <c r="X217" s="485"/>
      <c r="Y217" s="485"/>
      <c r="Z217" s="485"/>
      <c r="AA217" s="485"/>
      <c r="AB217" s="485"/>
      <c r="AC217" s="485"/>
      <c r="AD217" s="485"/>
      <c r="AE217" s="485"/>
      <c r="AF217" s="485"/>
      <c r="AG217" s="485"/>
      <c r="AH217" s="485"/>
      <c r="AI217" s="485"/>
      <c r="AJ217" s="485"/>
      <c r="AK217" s="485"/>
      <c r="AL217" s="485"/>
      <c r="AM217" s="485"/>
      <c r="AN217" s="485"/>
      <c r="AO217" s="485"/>
      <c r="AP217" s="485"/>
      <c r="AQ217" s="485"/>
      <c r="AR217" s="485"/>
      <c r="AS217" s="485"/>
      <c r="AT217" s="485"/>
      <c r="AU217" s="485"/>
      <c r="AV217" s="485"/>
      <c r="AW217" s="485"/>
      <c r="AX217" s="485"/>
      <c r="AY217" s="485"/>
      <c r="AZ217" s="485"/>
      <c r="BA217" s="485"/>
      <c r="BB217" s="485"/>
      <c r="BC217" s="485"/>
      <c r="BD217" s="485"/>
      <c r="BE217" s="485"/>
      <c r="BF217" s="485"/>
      <c r="BG217" s="485"/>
      <c r="BH217" s="485"/>
      <c r="BI217" s="485"/>
      <c r="BJ217" s="485"/>
      <c r="BK217" s="485"/>
      <c r="BL217" s="485"/>
      <c r="BM217" s="485"/>
      <c r="BN217" s="485"/>
      <c r="BO217" s="485"/>
      <c r="BP217" s="485"/>
      <c r="BQ217" s="485"/>
      <c r="BR217" s="485"/>
      <c r="BS217" s="485"/>
      <c r="BT217" s="485"/>
      <c r="BU217" s="485"/>
      <c r="BV217" s="485"/>
      <c r="BW217" s="485"/>
      <c r="BX217" s="485"/>
      <c r="BY217" s="485"/>
      <c r="BZ217" s="485"/>
      <c r="CA217" s="485"/>
      <c r="CB217" s="485"/>
      <c r="CC217" s="485"/>
      <c r="CD217" s="485"/>
      <c r="CE217" s="485"/>
      <c r="CF217" s="485"/>
      <c r="CG217" s="485"/>
      <c r="CH217" s="485"/>
      <c r="CI217" s="485"/>
      <c r="CJ217" s="485"/>
      <c r="CK217" s="485"/>
      <c r="CL217" s="485"/>
      <c r="CM217" s="485"/>
      <c r="CN217" s="485"/>
      <c r="CO217" s="485"/>
      <c r="CP217" s="485"/>
      <c r="CQ217" s="485"/>
      <c r="CR217" s="485"/>
      <c r="CS217" s="485"/>
      <c r="CT217" s="485"/>
      <c r="CU217" s="485"/>
      <c r="CV217" s="485"/>
      <c r="CW217" s="485"/>
      <c r="CX217" s="485"/>
      <c r="CY217" s="485"/>
      <c r="CZ217" s="485"/>
      <c r="DA217" s="485"/>
      <c r="DB217" s="485"/>
      <c r="DC217" s="485"/>
      <c r="DD217" s="485"/>
      <c r="DE217" s="485"/>
      <c r="DF217" s="485"/>
      <c r="DG217" s="485"/>
      <c r="DH217" s="485"/>
      <c r="DI217" s="485"/>
      <c r="DJ217" s="485"/>
      <c r="DK217" s="485"/>
      <c r="DL217" s="485"/>
      <c r="DM217" s="485"/>
      <c r="DN217" s="485"/>
      <c r="DO217" s="485"/>
      <c r="DP217" s="485"/>
      <c r="DQ217" s="485"/>
      <c r="DR217" s="485"/>
      <c r="DS217" s="485"/>
      <c r="DT217" s="485"/>
      <c r="DU217" s="485"/>
      <c r="DV217" s="485"/>
      <c r="DW217" s="485"/>
      <c r="DX217" s="485"/>
      <c r="DY217" s="485"/>
      <c r="DZ217" s="485"/>
      <c r="EA217" s="485"/>
      <c r="EB217" s="485"/>
      <c r="EC217" s="485"/>
      <c r="ED217" s="485"/>
      <c r="EE217" s="485"/>
      <c r="EF217" s="485"/>
      <c r="EG217" s="485"/>
      <c r="EH217" s="485"/>
      <c r="EI217" s="485"/>
      <c r="EJ217" s="485"/>
      <c r="EK217" s="485"/>
      <c r="EL217" s="485"/>
      <c r="EM217" s="485"/>
      <c r="EN217" s="485"/>
      <c r="EO217" s="485"/>
      <c r="EP217" s="485"/>
    </row>
    <row r="218" spans="1:146" ht="15.75">
      <c r="A218" s="462">
        <f t="shared" si="70"/>
        <v>948</v>
      </c>
      <c r="B218" s="629" t="s">
        <v>393</v>
      </c>
      <c r="C218" s="624">
        <v>1344</v>
      </c>
      <c r="D218" s="626">
        <v>448</v>
      </c>
      <c r="E218" s="611">
        <v>50.18</v>
      </c>
      <c r="F218" s="678">
        <f t="shared" si="71"/>
        <v>49.15408</v>
      </c>
      <c r="G218" s="683">
        <v>3</v>
      </c>
      <c r="H218" s="681">
        <f t="shared" si="65"/>
        <v>16128</v>
      </c>
      <c r="I218" s="623">
        <f t="shared" si="74"/>
        <v>1806.48</v>
      </c>
      <c r="J218" s="623"/>
      <c r="K218" s="627">
        <v>1.3440000000000001</v>
      </c>
      <c r="L218" s="627">
        <f t="shared" si="66"/>
        <v>4.032</v>
      </c>
      <c r="M218" s="627"/>
      <c r="N218" s="609">
        <v>448</v>
      </c>
      <c r="O218" s="610">
        <v>50.180437701951639</v>
      </c>
      <c r="P218" s="617" t="str">
        <f t="shared" si="67"/>
        <v>---</v>
      </c>
      <c r="Q218" s="618">
        <f t="shared" si="68"/>
        <v>4.3770195163972403E-4</v>
      </c>
      <c r="R218" s="485"/>
      <c r="S218" s="624" t="str">
        <f t="shared" si="69"/>
        <v>OK</v>
      </c>
      <c r="T218" s="451">
        <f>IF(+'2012 Rates'!O426&lt;'2012 Rates'!$B$11,'2012 Rates'!$B$11,+'2012 Rates'!O426)</f>
        <v>53.97</v>
      </c>
      <c r="U218" s="447">
        <f t="shared" si="72"/>
        <v>9.7975997109497337E-2</v>
      </c>
      <c r="V218" s="485"/>
      <c r="W218" s="623">
        <f t="shared" si="73"/>
        <v>1942.92</v>
      </c>
      <c r="X218" s="485"/>
      <c r="Y218" s="485"/>
      <c r="Z218" s="485"/>
      <c r="AA218" s="485"/>
      <c r="AB218" s="485"/>
      <c r="AC218" s="485"/>
      <c r="AD218" s="485"/>
      <c r="AE218" s="485"/>
      <c r="AF218" s="485"/>
      <c r="AG218" s="485"/>
      <c r="AH218" s="485"/>
      <c r="AI218" s="485"/>
      <c r="AJ218" s="485"/>
      <c r="AK218" s="485"/>
      <c r="AL218" s="485"/>
      <c r="AM218" s="485"/>
      <c r="AN218" s="485"/>
      <c r="AO218" s="485"/>
      <c r="AP218" s="485"/>
      <c r="AQ218" s="485"/>
      <c r="AR218" s="485"/>
      <c r="AS218" s="485"/>
      <c r="AT218" s="485"/>
      <c r="AU218" s="485"/>
      <c r="AV218" s="485"/>
      <c r="AW218" s="485"/>
      <c r="AX218" s="485"/>
      <c r="AY218" s="485"/>
      <c r="AZ218" s="485"/>
      <c r="BA218" s="485"/>
      <c r="BB218" s="485"/>
      <c r="BC218" s="485"/>
      <c r="BD218" s="485"/>
      <c r="BE218" s="485"/>
      <c r="BF218" s="485"/>
      <c r="BG218" s="485"/>
      <c r="BH218" s="485"/>
      <c r="BI218" s="485"/>
      <c r="BJ218" s="485"/>
      <c r="BK218" s="485"/>
      <c r="BL218" s="485"/>
      <c r="BM218" s="485"/>
      <c r="BN218" s="485"/>
      <c r="BO218" s="485"/>
      <c r="BP218" s="485"/>
      <c r="BQ218" s="485"/>
      <c r="BR218" s="485"/>
      <c r="BS218" s="485"/>
      <c r="BT218" s="485"/>
      <c r="BU218" s="485"/>
      <c r="BV218" s="485"/>
      <c r="BW218" s="485"/>
      <c r="BX218" s="485"/>
      <c r="BY218" s="485"/>
      <c r="BZ218" s="485"/>
      <c r="CA218" s="485"/>
      <c r="CB218" s="485"/>
      <c r="CC218" s="485"/>
      <c r="CD218" s="485"/>
      <c r="CE218" s="485"/>
      <c r="CF218" s="485"/>
      <c r="CG218" s="485"/>
      <c r="CH218" s="485"/>
      <c r="CI218" s="485"/>
      <c r="CJ218" s="485"/>
      <c r="CK218" s="485"/>
      <c r="CL218" s="485"/>
      <c r="CM218" s="485"/>
      <c r="CN218" s="485"/>
      <c r="CO218" s="485"/>
      <c r="CP218" s="485"/>
      <c r="CQ218" s="485"/>
      <c r="CR218" s="485"/>
      <c r="CS218" s="485"/>
      <c r="CT218" s="485"/>
      <c r="CU218" s="485"/>
      <c r="CV218" s="485"/>
      <c r="CW218" s="485"/>
      <c r="CX218" s="485"/>
      <c r="CY218" s="485"/>
      <c r="CZ218" s="485"/>
      <c r="DA218" s="485"/>
      <c r="DB218" s="485"/>
      <c r="DC218" s="485"/>
      <c r="DD218" s="485"/>
      <c r="DE218" s="485"/>
      <c r="DF218" s="485"/>
      <c r="DG218" s="485"/>
      <c r="DH218" s="485"/>
      <c r="DI218" s="485"/>
      <c r="DJ218" s="485"/>
      <c r="DK218" s="485"/>
      <c r="DL218" s="485"/>
      <c r="DM218" s="485"/>
      <c r="DN218" s="485"/>
      <c r="DO218" s="485"/>
      <c r="DP218" s="485"/>
      <c r="DQ218" s="485"/>
      <c r="DR218" s="485"/>
      <c r="DS218" s="485"/>
      <c r="DT218" s="485"/>
      <c r="DU218" s="485"/>
      <c r="DV218" s="485"/>
      <c r="DW218" s="485"/>
      <c r="DX218" s="485"/>
      <c r="DY218" s="485"/>
      <c r="DZ218" s="485"/>
      <c r="EA218" s="485"/>
      <c r="EB218" s="485"/>
      <c r="EC218" s="485"/>
      <c r="ED218" s="485"/>
      <c r="EE218" s="485"/>
      <c r="EF218" s="485"/>
      <c r="EG218" s="485"/>
      <c r="EH218" s="485"/>
      <c r="EI218" s="485"/>
      <c r="EJ218" s="485"/>
      <c r="EK218" s="485"/>
      <c r="EL218" s="485"/>
      <c r="EM218" s="485"/>
      <c r="EN218" s="485"/>
      <c r="EO218" s="485"/>
      <c r="EP218" s="485"/>
    </row>
    <row r="219" spans="1:146" ht="15.75">
      <c r="A219" s="591">
        <f t="shared" si="70"/>
        <v>949</v>
      </c>
      <c r="B219" s="630" t="s">
        <v>393</v>
      </c>
      <c r="C219" s="614">
        <v>75</v>
      </c>
      <c r="D219" s="609">
        <v>34</v>
      </c>
      <c r="E219" s="610">
        <v>2.96</v>
      </c>
      <c r="F219" s="678">
        <f>E219</f>
        <v>2.96</v>
      </c>
      <c r="G219" s="683">
        <v>31</v>
      </c>
      <c r="H219" s="664">
        <f t="shared" si="65"/>
        <v>12648</v>
      </c>
      <c r="I219" s="444">
        <f t="shared" si="74"/>
        <v>1101.1200000000001</v>
      </c>
      <c r="J219" s="444"/>
      <c r="K219" s="616">
        <v>7.4999999999999997E-2</v>
      </c>
      <c r="L219" s="616">
        <f t="shared" si="66"/>
        <v>2.3249999999999997</v>
      </c>
      <c r="M219" s="616"/>
      <c r="N219" s="609">
        <v>34</v>
      </c>
      <c r="O219" s="610">
        <v>2.9637800000000003</v>
      </c>
      <c r="P219" s="617" t="str">
        <f t="shared" si="67"/>
        <v>---</v>
      </c>
      <c r="Q219" s="618">
        <f t="shared" si="68"/>
        <v>3.7800000000003386E-3</v>
      </c>
      <c r="R219" s="615"/>
      <c r="S219" s="614" t="str">
        <f t="shared" si="69"/>
        <v>OK</v>
      </c>
      <c r="T219" s="451">
        <f>IF(+'2012 Rates'!O427&lt;'2012 Rates'!$B$11,'2012 Rates'!$B$11,+'2012 Rates'!O427)</f>
        <v>3.2504153814512136</v>
      </c>
      <c r="U219" s="447">
        <f t="shared" si="72"/>
        <v>9.8113304544328983E-2</v>
      </c>
      <c r="V219" s="485" t="s">
        <v>340</v>
      </c>
      <c r="W219" s="623">
        <f t="shared" si="73"/>
        <v>1209.1545218998513</v>
      </c>
      <c r="X219" s="485"/>
      <c r="Y219" s="485"/>
      <c r="Z219" s="485"/>
      <c r="AA219" s="485"/>
      <c r="AB219" s="485"/>
      <c r="AC219" s="485"/>
      <c r="AD219" s="485"/>
      <c r="AE219" s="485"/>
      <c r="AF219" s="485"/>
      <c r="AG219" s="485"/>
      <c r="AH219" s="485"/>
      <c r="AI219" s="485"/>
      <c r="AJ219" s="485"/>
      <c r="AK219" s="485"/>
      <c r="AL219" s="485"/>
      <c r="AM219" s="485"/>
      <c r="AN219" s="485"/>
      <c r="AO219" s="485"/>
      <c r="AP219" s="485"/>
      <c r="AQ219" s="485"/>
      <c r="AR219" s="485"/>
      <c r="AS219" s="485"/>
      <c r="AT219" s="485"/>
      <c r="AU219" s="485"/>
      <c r="AV219" s="485"/>
      <c r="AW219" s="485"/>
      <c r="AX219" s="485"/>
      <c r="AY219" s="485"/>
      <c r="AZ219" s="485"/>
      <c r="BA219" s="485"/>
      <c r="BB219" s="485"/>
      <c r="BC219" s="485"/>
      <c r="BD219" s="485"/>
      <c r="BE219" s="485"/>
      <c r="BF219" s="485"/>
      <c r="BG219" s="485"/>
      <c r="BH219" s="485"/>
      <c r="BI219" s="485"/>
      <c r="BJ219" s="485"/>
      <c r="BK219" s="485"/>
      <c r="BL219" s="485"/>
      <c r="BM219" s="485"/>
      <c r="BN219" s="485"/>
      <c r="BO219" s="485"/>
      <c r="BP219" s="485"/>
      <c r="BQ219" s="485"/>
      <c r="BR219" s="485"/>
      <c r="BS219" s="485"/>
      <c r="BT219" s="485"/>
      <c r="BU219" s="485"/>
      <c r="BV219" s="485"/>
      <c r="BW219" s="485"/>
      <c r="BX219" s="485"/>
      <c r="BY219" s="485"/>
      <c r="BZ219" s="485"/>
      <c r="CA219" s="485"/>
      <c r="CB219" s="485"/>
      <c r="CC219" s="485"/>
      <c r="CD219" s="485"/>
      <c r="CE219" s="485"/>
      <c r="CF219" s="485"/>
      <c r="CG219" s="485"/>
      <c r="CH219" s="485"/>
      <c r="CI219" s="485"/>
      <c r="CJ219" s="485"/>
      <c r="CK219" s="485"/>
      <c r="CL219" s="485"/>
      <c r="CM219" s="485"/>
      <c r="CN219" s="485"/>
      <c r="CO219" s="485"/>
      <c r="CP219" s="485"/>
      <c r="CQ219" s="485"/>
      <c r="CR219" s="485"/>
      <c r="CS219" s="485"/>
      <c r="CT219" s="485"/>
      <c r="CU219" s="485"/>
      <c r="CV219" s="485"/>
      <c r="CW219" s="485"/>
      <c r="CX219" s="485"/>
      <c r="CY219" s="485"/>
      <c r="CZ219" s="485"/>
      <c r="DA219" s="485"/>
      <c r="DB219" s="485"/>
      <c r="DC219" s="485"/>
      <c r="DD219" s="485"/>
      <c r="DE219" s="485"/>
      <c r="DF219" s="485"/>
      <c r="DG219" s="485"/>
      <c r="DH219" s="485"/>
      <c r="DI219" s="485"/>
      <c r="DJ219" s="485"/>
      <c r="DK219" s="485"/>
      <c r="DL219" s="485"/>
      <c r="DM219" s="485"/>
      <c r="DN219" s="485"/>
      <c r="DO219" s="485"/>
      <c r="DP219" s="485"/>
      <c r="DQ219" s="485"/>
      <c r="DR219" s="485"/>
      <c r="DS219" s="485"/>
      <c r="DT219" s="485"/>
      <c r="DU219" s="485"/>
      <c r="DV219" s="485"/>
      <c r="DW219" s="485"/>
      <c r="DX219" s="485"/>
      <c r="DY219" s="485"/>
      <c r="DZ219" s="485"/>
      <c r="EA219" s="485"/>
      <c r="EB219" s="485"/>
      <c r="EC219" s="485"/>
      <c r="ED219" s="485"/>
      <c r="EE219" s="485"/>
      <c r="EF219" s="485"/>
      <c r="EG219" s="485"/>
      <c r="EH219" s="485"/>
      <c r="EI219" s="485"/>
      <c r="EJ219" s="485"/>
      <c r="EK219" s="485"/>
      <c r="EL219" s="485"/>
      <c r="EM219" s="485"/>
      <c r="EN219" s="485"/>
      <c r="EO219" s="485"/>
      <c r="EP219" s="485"/>
    </row>
    <row r="220" spans="1:146" ht="15.75">
      <c r="A220" s="462">
        <f t="shared" si="70"/>
        <v>950</v>
      </c>
      <c r="B220" s="629" t="s">
        <v>403</v>
      </c>
      <c r="C220" s="624">
        <v>1440</v>
      </c>
      <c r="D220" s="626">
        <v>1051</v>
      </c>
      <c r="E220" s="611">
        <v>91.94</v>
      </c>
      <c r="F220" s="678">
        <f t="shared" si="71"/>
        <v>89.533209999999997</v>
      </c>
      <c r="G220" s="683"/>
      <c r="H220" s="681">
        <f t="shared" si="65"/>
        <v>0</v>
      </c>
      <c r="I220" s="623">
        <f t="shared" si="74"/>
        <v>0</v>
      </c>
      <c r="J220" s="623"/>
      <c r="K220" s="627">
        <v>1.44</v>
      </c>
      <c r="L220" s="627">
        <f t="shared" si="66"/>
        <v>0</v>
      </c>
      <c r="M220" s="627">
        <f>+L220</f>
        <v>0</v>
      </c>
      <c r="N220" s="609">
        <v>1051</v>
      </c>
      <c r="O220" s="610">
        <v>91.936406305248155</v>
      </c>
      <c r="P220" s="617" t="str">
        <f t="shared" si="67"/>
        <v>---</v>
      </c>
      <c r="Q220" s="618">
        <f t="shared" si="68"/>
        <v>-3.5936947518422357E-3</v>
      </c>
      <c r="R220" s="485"/>
      <c r="S220" s="624" t="str">
        <f t="shared" si="69"/>
        <v>OK</v>
      </c>
      <c r="T220" s="451">
        <f>IF(+'2012 Rates'!P428&lt;'2012 Rates'!$B$11,'2012 Rates'!$B$11,+'2012 Rates'!P428)</f>
        <v>98.31</v>
      </c>
      <c r="U220" s="447">
        <f t="shared" si="72"/>
        <v>9.8028318207288745E-2</v>
      </c>
      <c r="V220" s="485"/>
      <c r="W220" s="623">
        <f t="shared" si="73"/>
        <v>0</v>
      </c>
      <c r="X220" s="485"/>
      <c r="Y220" s="485"/>
      <c r="Z220" s="485"/>
      <c r="AA220" s="485"/>
      <c r="AB220" s="485"/>
      <c r="AC220" s="485"/>
      <c r="AD220" s="485"/>
      <c r="AE220" s="485"/>
      <c r="AF220" s="485"/>
      <c r="AG220" s="485"/>
      <c r="AH220" s="485"/>
      <c r="AI220" s="485"/>
      <c r="AJ220" s="485"/>
      <c r="AK220" s="485"/>
      <c r="AL220" s="485"/>
      <c r="AM220" s="485"/>
      <c r="AN220" s="485"/>
      <c r="AO220" s="485"/>
      <c r="AP220" s="485"/>
      <c r="AQ220" s="485"/>
      <c r="AR220" s="485"/>
      <c r="AS220" s="485"/>
      <c r="AT220" s="485"/>
      <c r="AU220" s="485"/>
      <c r="AV220" s="485"/>
      <c r="AW220" s="485"/>
      <c r="AX220" s="485"/>
      <c r="AY220" s="485"/>
      <c r="AZ220" s="485"/>
      <c r="BA220" s="485"/>
      <c r="BB220" s="485"/>
      <c r="BC220" s="485"/>
      <c r="BD220" s="485"/>
      <c r="BE220" s="485"/>
      <c r="BF220" s="485"/>
      <c r="BG220" s="485"/>
      <c r="BH220" s="485"/>
      <c r="BI220" s="485"/>
      <c r="BJ220" s="485"/>
      <c r="BK220" s="485"/>
      <c r="BL220" s="485"/>
      <c r="BM220" s="485"/>
      <c r="BN220" s="485"/>
      <c r="BO220" s="485"/>
      <c r="BP220" s="485"/>
      <c r="BQ220" s="485"/>
      <c r="BR220" s="485"/>
      <c r="BS220" s="485"/>
      <c r="BT220" s="485"/>
      <c r="BU220" s="485"/>
      <c r="BV220" s="485"/>
      <c r="BW220" s="485"/>
      <c r="BX220" s="485"/>
      <c r="BY220" s="485"/>
      <c r="BZ220" s="485"/>
      <c r="CA220" s="485"/>
      <c r="CB220" s="485"/>
      <c r="CC220" s="485"/>
      <c r="CD220" s="485"/>
      <c r="CE220" s="485"/>
      <c r="CF220" s="485"/>
      <c r="CG220" s="485"/>
      <c r="CH220" s="485"/>
      <c r="CI220" s="485"/>
      <c r="CJ220" s="485"/>
      <c r="CK220" s="485"/>
      <c r="CL220" s="485"/>
      <c r="CM220" s="485"/>
      <c r="CN220" s="485"/>
      <c r="CO220" s="485"/>
      <c r="CP220" s="485"/>
      <c r="CQ220" s="485"/>
      <c r="CR220" s="485"/>
      <c r="CS220" s="485"/>
      <c r="CT220" s="485"/>
      <c r="CU220" s="485"/>
      <c r="CV220" s="485"/>
      <c r="CW220" s="485"/>
      <c r="CX220" s="485"/>
      <c r="CY220" s="485"/>
      <c r="CZ220" s="485"/>
      <c r="DA220" s="485"/>
      <c r="DB220" s="485"/>
      <c r="DC220" s="485"/>
      <c r="DD220" s="485"/>
      <c r="DE220" s="485"/>
      <c r="DF220" s="485"/>
      <c r="DG220" s="485"/>
      <c r="DH220" s="485"/>
      <c r="DI220" s="485"/>
      <c r="DJ220" s="485"/>
      <c r="DK220" s="485"/>
      <c r="DL220" s="485"/>
      <c r="DM220" s="485"/>
      <c r="DN220" s="485"/>
      <c r="DO220" s="485"/>
      <c r="DP220" s="485"/>
      <c r="DQ220" s="485"/>
      <c r="DR220" s="485"/>
      <c r="DS220" s="485"/>
      <c r="DT220" s="485"/>
      <c r="DU220" s="485"/>
      <c r="DV220" s="485"/>
      <c r="DW220" s="485"/>
      <c r="DX220" s="485"/>
      <c r="DY220" s="485"/>
      <c r="DZ220" s="485"/>
      <c r="EA220" s="485"/>
      <c r="EB220" s="485"/>
      <c r="EC220" s="485"/>
      <c r="ED220" s="485"/>
      <c r="EE220" s="485"/>
      <c r="EF220" s="485"/>
      <c r="EG220" s="485"/>
      <c r="EH220" s="485"/>
      <c r="EI220" s="485"/>
      <c r="EJ220" s="485"/>
      <c r="EK220" s="485"/>
      <c r="EL220" s="485"/>
      <c r="EM220" s="485"/>
      <c r="EN220" s="485"/>
      <c r="EO220" s="485"/>
      <c r="EP220" s="485"/>
    </row>
    <row r="221" spans="1:146" ht="15.75">
      <c r="A221" s="462">
        <f t="shared" si="70"/>
        <v>951</v>
      </c>
      <c r="B221" s="629" t="s">
        <v>393</v>
      </c>
      <c r="C221" s="624">
        <v>2000</v>
      </c>
      <c r="D221" s="626">
        <v>667</v>
      </c>
      <c r="E221" s="611">
        <v>74.680000000000007</v>
      </c>
      <c r="F221" s="678">
        <f t="shared" si="71"/>
        <v>73.152570000000011</v>
      </c>
      <c r="G221" s="683">
        <v>2</v>
      </c>
      <c r="H221" s="681">
        <f t="shared" si="65"/>
        <v>16008</v>
      </c>
      <c r="I221" s="623">
        <f t="shared" si="74"/>
        <v>1792.3200000000002</v>
      </c>
      <c r="J221" s="623"/>
      <c r="K221" s="627">
        <v>2</v>
      </c>
      <c r="L221" s="627">
        <f t="shared" si="66"/>
        <v>4</v>
      </c>
      <c r="M221" s="627"/>
      <c r="N221" s="609">
        <v>667</v>
      </c>
      <c r="O221" s="610">
        <v>74.680316846432447</v>
      </c>
      <c r="P221" s="617" t="str">
        <f t="shared" si="67"/>
        <v>---</v>
      </c>
      <c r="Q221" s="618">
        <f t="shared" si="68"/>
        <v>3.1684643244034305E-4</v>
      </c>
      <c r="R221" s="485"/>
      <c r="S221" s="624" t="str">
        <f t="shared" si="69"/>
        <v>OK</v>
      </c>
      <c r="T221" s="451">
        <f>IF(+'2012 Rates'!O429&lt;'2012 Rates'!$B$11,'2012 Rates'!$B$11,+'2012 Rates'!O429)</f>
        <v>80.33</v>
      </c>
      <c r="U221" s="447">
        <f t="shared" si="72"/>
        <v>9.8115896680048165E-2</v>
      </c>
      <c r="V221" s="485"/>
      <c r="W221" s="623">
        <f t="shared" si="73"/>
        <v>1927.92</v>
      </c>
      <c r="X221" s="485"/>
      <c r="Y221" s="485"/>
      <c r="Z221" s="485"/>
      <c r="AA221" s="485"/>
      <c r="AB221" s="485"/>
      <c r="AC221" s="485"/>
      <c r="AD221" s="485"/>
      <c r="AE221" s="485"/>
      <c r="AF221" s="485"/>
      <c r="AG221" s="485"/>
      <c r="AH221" s="485"/>
      <c r="AI221" s="485"/>
      <c r="AJ221" s="485"/>
      <c r="AK221" s="485"/>
      <c r="AL221" s="485"/>
      <c r="AM221" s="485"/>
      <c r="AN221" s="485"/>
      <c r="AO221" s="485"/>
      <c r="AP221" s="485"/>
      <c r="AQ221" s="485"/>
      <c r="AR221" s="485"/>
      <c r="AS221" s="485"/>
      <c r="AT221" s="485"/>
      <c r="AU221" s="485"/>
      <c r="AV221" s="485"/>
      <c r="AW221" s="485"/>
      <c r="AX221" s="485"/>
      <c r="AY221" s="485"/>
      <c r="AZ221" s="485"/>
      <c r="BA221" s="485"/>
      <c r="BB221" s="485"/>
      <c r="BC221" s="485"/>
      <c r="BD221" s="485"/>
      <c r="BE221" s="485"/>
      <c r="BF221" s="485"/>
      <c r="BG221" s="485"/>
      <c r="BH221" s="485"/>
      <c r="BI221" s="485"/>
      <c r="BJ221" s="485"/>
      <c r="BK221" s="485"/>
      <c r="BL221" s="485"/>
      <c r="BM221" s="485"/>
      <c r="BN221" s="485"/>
      <c r="BO221" s="485"/>
      <c r="BP221" s="485"/>
      <c r="BQ221" s="485"/>
      <c r="BR221" s="485"/>
      <c r="BS221" s="485"/>
      <c r="BT221" s="485"/>
      <c r="BU221" s="485"/>
      <c r="BV221" s="485"/>
      <c r="BW221" s="485"/>
      <c r="BX221" s="485"/>
      <c r="BY221" s="485"/>
      <c r="BZ221" s="485"/>
      <c r="CA221" s="485"/>
      <c r="CB221" s="485"/>
      <c r="CC221" s="485"/>
      <c r="CD221" s="485"/>
      <c r="CE221" s="485"/>
      <c r="CF221" s="485"/>
      <c r="CG221" s="485"/>
      <c r="CH221" s="485"/>
      <c r="CI221" s="485"/>
      <c r="CJ221" s="485"/>
      <c r="CK221" s="485"/>
      <c r="CL221" s="485"/>
      <c r="CM221" s="485"/>
      <c r="CN221" s="485"/>
      <c r="CO221" s="485"/>
      <c r="CP221" s="485"/>
      <c r="CQ221" s="485"/>
      <c r="CR221" s="485"/>
      <c r="CS221" s="485"/>
      <c r="CT221" s="485"/>
      <c r="CU221" s="485"/>
      <c r="CV221" s="485"/>
      <c r="CW221" s="485"/>
      <c r="CX221" s="485"/>
      <c r="CY221" s="485"/>
      <c r="CZ221" s="485"/>
      <c r="DA221" s="485"/>
      <c r="DB221" s="485"/>
      <c r="DC221" s="485"/>
      <c r="DD221" s="485"/>
      <c r="DE221" s="485"/>
      <c r="DF221" s="485"/>
      <c r="DG221" s="485"/>
      <c r="DH221" s="485"/>
      <c r="DI221" s="485"/>
      <c r="DJ221" s="485"/>
      <c r="DK221" s="485"/>
      <c r="DL221" s="485"/>
      <c r="DM221" s="485"/>
      <c r="DN221" s="485"/>
      <c r="DO221" s="485"/>
      <c r="DP221" s="485"/>
      <c r="DQ221" s="485"/>
      <c r="DR221" s="485"/>
      <c r="DS221" s="485"/>
      <c r="DT221" s="485"/>
      <c r="DU221" s="485"/>
      <c r="DV221" s="485"/>
      <c r="DW221" s="485"/>
      <c r="DX221" s="485"/>
      <c r="DY221" s="485"/>
      <c r="DZ221" s="485"/>
      <c r="EA221" s="485"/>
      <c r="EB221" s="485"/>
      <c r="EC221" s="485"/>
      <c r="ED221" s="485"/>
      <c r="EE221" s="485"/>
      <c r="EF221" s="485"/>
      <c r="EG221" s="485"/>
      <c r="EH221" s="485"/>
      <c r="EI221" s="485"/>
      <c r="EJ221" s="485"/>
      <c r="EK221" s="485"/>
      <c r="EL221" s="485"/>
      <c r="EM221" s="485"/>
      <c r="EN221" s="485"/>
      <c r="EO221" s="485"/>
      <c r="EP221" s="485"/>
    </row>
    <row r="222" spans="1:146" ht="15.75">
      <c r="A222" s="462">
        <f t="shared" si="70"/>
        <v>952</v>
      </c>
      <c r="B222" s="640" t="s">
        <v>441</v>
      </c>
      <c r="C222" s="641">
        <v>1119</v>
      </c>
      <c r="D222" s="626">
        <v>0</v>
      </c>
      <c r="E222" s="611">
        <v>9.52</v>
      </c>
      <c r="F222" s="678">
        <f t="shared" si="71"/>
        <v>9.52</v>
      </c>
      <c r="G222" s="683">
        <v>6</v>
      </c>
      <c r="H222" s="681">
        <f t="shared" si="65"/>
        <v>0</v>
      </c>
      <c r="I222" s="623">
        <f t="shared" si="74"/>
        <v>685.43999999999994</v>
      </c>
      <c r="J222" s="485"/>
      <c r="K222" s="627">
        <v>1.119</v>
      </c>
      <c r="L222" s="627">
        <f t="shared" si="66"/>
        <v>6.7140000000000004</v>
      </c>
      <c r="M222" s="627"/>
      <c r="N222" s="609">
        <v>0</v>
      </c>
      <c r="O222" s="610">
        <v>9.52</v>
      </c>
      <c r="P222" s="617" t="str">
        <f t="shared" si="67"/>
        <v>---</v>
      </c>
      <c r="Q222" s="618" t="str">
        <f t="shared" si="68"/>
        <v>---</v>
      </c>
      <c r="R222" s="485"/>
      <c r="S222" s="624" t="str">
        <f t="shared" si="69"/>
        <v>OK</v>
      </c>
      <c r="T222" s="451">
        <f>IF(+'2012 Rates'!O430&lt;'2012 Rates'!$B$11,'2012 Rates'!$B$11,+'2012 Rates'!O430)</f>
        <v>10.45</v>
      </c>
      <c r="U222" s="447">
        <f t="shared" si="72"/>
        <v>9.7689075630251976E-2</v>
      </c>
      <c r="V222" s="485"/>
      <c r="W222" s="623">
        <f t="shared" si="73"/>
        <v>752.4</v>
      </c>
      <c r="X222" s="485"/>
      <c r="Y222" s="485"/>
      <c r="Z222" s="485"/>
      <c r="AA222" s="485"/>
      <c r="AB222" s="485"/>
      <c r="AC222" s="485"/>
      <c r="AD222" s="485"/>
      <c r="AE222" s="485"/>
      <c r="AF222" s="485"/>
      <c r="AG222" s="485"/>
      <c r="AH222" s="485"/>
      <c r="AI222" s="485"/>
      <c r="AJ222" s="485"/>
      <c r="AK222" s="485"/>
      <c r="AL222" s="485"/>
      <c r="AM222" s="485"/>
      <c r="AN222" s="485"/>
      <c r="AO222" s="485"/>
      <c r="AP222" s="485"/>
      <c r="AQ222" s="485"/>
      <c r="AR222" s="485"/>
      <c r="AS222" s="485"/>
      <c r="AT222" s="485"/>
      <c r="AU222" s="485"/>
      <c r="AV222" s="485"/>
      <c r="AW222" s="485"/>
      <c r="AX222" s="485"/>
      <c r="AY222" s="485"/>
      <c r="AZ222" s="485"/>
      <c r="BA222" s="485"/>
      <c r="BB222" s="485"/>
      <c r="BC222" s="485"/>
      <c r="BD222" s="485"/>
      <c r="BE222" s="485"/>
      <c r="BF222" s="485"/>
      <c r="BG222" s="485"/>
      <c r="BH222" s="485"/>
      <c r="BI222" s="485"/>
      <c r="BJ222" s="485"/>
      <c r="BK222" s="485"/>
      <c r="BL222" s="485"/>
      <c r="BM222" s="485"/>
      <c r="BN222" s="485"/>
      <c r="BO222" s="485"/>
      <c r="BP222" s="485"/>
      <c r="BQ222" s="485"/>
      <c r="BR222" s="485"/>
      <c r="BS222" s="485"/>
      <c r="BT222" s="485"/>
      <c r="BU222" s="485"/>
      <c r="BV222" s="485"/>
      <c r="BW222" s="485"/>
      <c r="BX222" s="485"/>
      <c r="BY222" s="485"/>
      <c r="BZ222" s="485"/>
      <c r="CA222" s="485"/>
      <c r="CB222" s="485"/>
      <c r="CC222" s="485"/>
      <c r="CD222" s="485"/>
      <c r="CE222" s="485"/>
      <c r="CF222" s="485"/>
      <c r="CG222" s="485"/>
      <c r="CH222" s="485"/>
      <c r="CI222" s="485"/>
      <c r="CJ222" s="485"/>
      <c r="CK222" s="485"/>
      <c r="CL222" s="485"/>
      <c r="CM222" s="485"/>
      <c r="CN222" s="485"/>
      <c r="CO222" s="485"/>
      <c r="CP222" s="485"/>
      <c r="CQ222" s="485"/>
      <c r="CR222" s="485"/>
      <c r="CS222" s="485"/>
      <c r="CT222" s="485"/>
      <c r="CU222" s="485"/>
      <c r="CV222" s="485"/>
      <c r="CW222" s="485"/>
      <c r="CX222" s="485"/>
      <c r="CY222" s="485"/>
      <c r="CZ222" s="485"/>
      <c r="DA222" s="485"/>
      <c r="DB222" s="485"/>
      <c r="DC222" s="485"/>
      <c r="DD222" s="485"/>
      <c r="DE222" s="485"/>
      <c r="DF222" s="485"/>
      <c r="DG222" s="485"/>
      <c r="DH222" s="485"/>
      <c r="DI222" s="485"/>
      <c r="DJ222" s="485"/>
      <c r="DK222" s="485"/>
      <c r="DL222" s="485"/>
      <c r="DM222" s="485"/>
      <c r="DN222" s="485"/>
      <c r="DO222" s="485"/>
      <c r="DP222" s="485"/>
      <c r="DQ222" s="485"/>
      <c r="DR222" s="485"/>
      <c r="DS222" s="485"/>
      <c r="DT222" s="485"/>
      <c r="DU222" s="485"/>
      <c r="DV222" s="485"/>
      <c r="DW222" s="485"/>
      <c r="DX222" s="485"/>
      <c r="DY222" s="485"/>
      <c r="DZ222" s="485"/>
      <c r="EA222" s="485"/>
      <c r="EB222" s="485"/>
      <c r="EC222" s="485"/>
      <c r="ED222" s="485"/>
      <c r="EE222" s="485"/>
      <c r="EF222" s="485"/>
      <c r="EG222" s="485"/>
      <c r="EH222" s="485"/>
      <c r="EI222" s="485"/>
      <c r="EJ222" s="485"/>
      <c r="EK222" s="485"/>
      <c r="EL222" s="485"/>
      <c r="EM222" s="485"/>
      <c r="EN222" s="485"/>
      <c r="EO222" s="485"/>
      <c r="EP222" s="485"/>
    </row>
    <row r="223" spans="1:146" ht="15.75">
      <c r="A223" s="462">
        <f t="shared" si="70"/>
        <v>953</v>
      </c>
      <c r="B223" s="629" t="s">
        <v>403</v>
      </c>
      <c r="C223" s="624">
        <v>1548</v>
      </c>
      <c r="D223" s="626">
        <v>1130</v>
      </c>
      <c r="E223" s="611">
        <v>98.86</v>
      </c>
      <c r="F223" s="678">
        <f t="shared" si="71"/>
        <v>96.272300000000001</v>
      </c>
      <c r="G223" s="683">
        <v>2</v>
      </c>
      <c r="H223" s="681">
        <f t="shared" si="65"/>
        <v>27120</v>
      </c>
      <c r="I223" s="623">
        <f t="shared" si="74"/>
        <v>2372.64</v>
      </c>
      <c r="J223" s="623"/>
      <c r="K223" s="627">
        <v>1.548</v>
      </c>
      <c r="L223" s="627">
        <f t="shared" si="66"/>
        <v>3.0960000000000001</v>
      </c>
      <c r="M223" s="627">
        <f>+L223</f>
        <v>3.0960000000000001</v>
      </c>
      <c r="N223" s="609">
        <v>1130</v>
      </c>
      <c r="O223" s="610">
        <v>98.856773667869092</v>
      </c>
      <c r="P223" s="617" t="str">
        <f t="shared" si="67"/>
        <v>---</v>
      </c>
      <c r="Q223" s="618">
        <f t="shared" si="68"/>
        <v>-3.2263321309073945E-3</v>
      </c>
      <c r="R223" s="485"/>
      <c r="S223" s="624" t="str">
        <f t="shared" si="69"/>
        <v>OK</v>
      </c>
      <c r="T223" s="451">
        <f>IF(+'2012 Rates'!P431&lt;'2012 Rates'!$B$11,'2012 Rates'!$B$11,+'2012 Rates'!P431)</f>
        <v>105.71000000000001</v>
      </c>
      <c r="U223" s="447">
        <f t="shared" si="72"/>
        <v>9.8031313264563158E-2</v>
      </c>
      <c r="V223" s="485"/>
      <c r="W223" s="623">
        <f t="shared" si="73"/>
        <v>2537.04</v>
      </c>
      <c r="X223" s="623"/>
      <c r="Y223" s="485"/>
      <c r="Z223" s="485"/>
      <c r="AA223" s="485"/>
      <c r="AB223" s="485"/>
      <c r="AC223" s="485"/>
      <c r="AD223" s="485"/>
      <c r="AE223" s="485"/>
      <c r="AF223" s="485"/>
      <c r="AG223" s="485"/>
      <c r="AH223" s="485"/>
      <c r="AI223" s="485"/>
      <c r="AJ223" s="485"/>
      <c r="AK223" s="485"/>
      <c r="AL223" s="485"/>
      <c r="AM223" s="485"/>
      <c r="AN223" s="485"/>
      <c r="AO223" s="485"/>
      <c r="AP223" s="485"/>
      <c r="AQ223" s="485"/>
      <c r="AR223" s="485"/>
      <c r="AS223" s="485"/>
      <c r="AT223" s="485"/>
      <c r="AU223" s="485"/>
      <c r="AV223" s="485"/>
      <c r="AW223" s="485"/>
      <c r="AX223" s="485"/>
      <c r="AY223" s="485"/>
      <c r="AZ223" s="485"/>
      <c r="BA223" s="485"/>
      <c r="BB223" s="485"/>
      <c r="BC223" s="485"/>
      <c r="BD223" s="485"/>
      <c r="BE223" s="485"/>
      <c r="BF223" s="485"/>
      <c r="BG223" s="485"/>
      <c r="BH223" s="485"/>
      <c r="BI223" s="485"/>
      <c r="BJ223" s="485"/>
      <c r="BK223" s="485"/>
      <c r="BL223" s="485"/>
      <c r="BM223" s="485"/>
      <c r="BN223" s="485"/>
      <c r="BO223" s="485"/>
      <c r="BP223" s="485"/>
      <c r="BQ223" s="485"/>
      <c r="BR223" s="485"/>
      <c r="BS223" s="485"/>
      <c r="BT223" s="485"/>
      <c r="BU223" s="485"/>
      <c r="BV223" s="485"/>
      <c r="BW223" s="485"/>
      <c r="BX223" s="485"/>
      <c r="BY223" s="485"/>
      <c r="BZ223" s="485"/>
      <c r="CA223" s="485"/>
      <c r="CB223" s="485"/>
      <c r="CC223" s="485"/>
      <c r="CD223" s="485"/>
      <c r="CE223" s="485"/>
      <c r="CF223" s="485"/>
      <c r="CG223" s="485"/>
      <c r="CH223" s="485"/>
      <c r="CI223" s="485"/>
      <c r="CJ223" s="485"/>
      <c r="CK223" s="485"/>
      <c r="CL223" s="485"/>
      <c r="CM223" s="485"/>
      <c r="CN223" s="485"/>
      <c r="CO223" s="485"/>
      <c r="CP223" s="485"/>
      <c r="CQ223" s="485"/>
      <c r="CR223" s="485"/>
      <c r="CS223" s="485"/>
      <c r="CT223" s="485"/>
      <c r="CU223" s="485"/>
      <c r="CV223" s="485"/>
      <c r="CW223" s="485"/>
      <c r="CX223" s="485"/>
      <c r="CY223" s="485"/>
      <c r="CZ223" s="485"/>
      <c r="DA223" s="485"/>
      <c r="DB223" s="485"/>
      <c r="DC223" s="485"/>
      <c r="DD223" s="485"/>
      <c r="DE223" s="485"/>
      <c r="DF223" s="485"/>
      <c r="DG223" s="485"/>
      <c r="DH223" s="485"/>
      <c r="DI223" s="485"/>
      <c r="DJ223" s="485"/>
      <c r="DK223" s="485"/>
      <c r="DL223" s="485"/>
      <c r="DM223" s="485"/>
      <c r="DN223" s="485"/>
      <c r="DO223" s="485"/>
      <c r="DP223" s="485"/>
      <c r="DQ223" s="485"/>
      <c r="DR223" s="485"/>
      <c r="DS223" s="485"/>
      <c r="DT223" s="485"/>
      <c r="DU223" s="485"/>
      <c r="DV223" s="485"/>
      <c r="DW223" s="485"/>
      <c r="DX223" s="485"/>
      <c r="DY223" s="485"/>
      <c r="DZ223" s="485"/>
      <c r="EA223" s="485"/>
      <c r="EB223" s="485"/>
      <c r="EC223" s="485"/>
      <c r="ED223" s="485"/>
      <c r="EE223" s="485"/>
      <c r="EF223" s="485"/>
      <c r="EG223" s="485"/>
      <c r="EH223" s="485"/>
      <c r="EI223" s="485"/>
      <c r="EJ223" s="485"/>
      <c r="EK223" s="485"/>
      <c r="EL223" s="485"/>
      <c r="EM223" s="485"/>
      <c r="EN223" s="485"/>
      <c r="EO223" s="485"/>
      <c r="EP223" s="485"/>
    </row>
    <row r="224" spans="1:146" ht="15.75">
      <c r="A224" s="462">
        <f t="shared" si="70"/>
        <v>954</v>
      </c>
      <c r="B224" s="644" t="s">
        <v>426</v>
      </c>
      <c r="C224" s="624">
        <v>175</v>
      </c>
      <c r="D224" s="626">
        <v>0</v>
      </c>
      <c r="E224" s="611">
        <v>8.2899999999999991</v>
      </c>
      <c r="F224" s="678">
        <f t="shared" si="71"/>
        <v>8.2899999999999991</v>
      </c>
      <c r="G224" s="683"/>
      <c r="H224" s="681">
        <f t="shared" si="65"/>
        <v>0</v>
      </c>
      <c r="I224" s="623"/>
      <c r="J224" s="623">
        <f>+E224*G224*12</f>
        <v>0</v>
      </c>
      <c r="K224" s="627">
        <v>0.17499999999999999</v>
      </c>
      <c r="L224" s="627">
        <f t="shared" si="66"/>
        <v>0</v>
      </c>
      <c r="M224" s="627"/>
      <c r="N224" s="609">
        <v>0</v>
      </c>
      <c r="O224" s="610">
        <v>8.2899999999999991</v>
      </c>
      <c r="P224" s="617" t="str">
        <f t="shared" si="67"/>
        <v>---</v>
      </c>
      <c r="Q224" s="618" t="str">
        <f t="shared" si="68"/>
        <v>---</v>
      </c>
      <c r="R224" s="485"/>
      <c r="S224" s="624" t="str">
        <f t="shared" si="69"/>
        <v>OK</v>
      </c>
      <c r="T224" s="451">
        <f>IF(+'2012 Rates'!O432&lt;'2012 Rates'!$B$11,'2012 Rates'!$B$11,+'2012 Rates'!O432)</f>
        <v>7.2335831051822943</v>
      </c>
      <c r="U224" s="447">
        <f t="shared" si="72"/>
        <v>-0.12743267730008501</v>
      </c>
      <c r="V224" s="485" t="s">
        <v>442</v>
      </c>
      <c r="W224" s="623"/>
      <c r="X224" s="444">
        <f>+G224*T224*12</f>
        <v>0</v>
      </c>
      <c r="Y224" s="485"/>
      <c r="Z224" s="485"/>
      <c r="AA224" s="485"/>
      <c r="AB224" s="485"/>
      <c r="AC224" s="485"/>
      <c r="AD224" s="485"/>
      <c r="AE224" s="485"/>
      <c r="AF224" s="485"/>
      <c r="AG224" s="485"/>
      <c r="AH224" s="485"/>
      <c r="AI224" s="485"/>
      <c r="AJ224" s="485"/>
      <c r="AK224" s="485"/>
      <c r="AL224" s="485"/>
      <c r="AM224" s="485"/>
      <c r="AN224" s="485"/>
      <c r="AO224" s="485"/>
      <c r="AP224" s="485"/>
      <c r="AQ224" s="485"/>
      <c r="AR224" s="485"/>
      <c r="AS224" s="485"/>
      <c r="AT224" s="485"/>
      <c r="AU224" s="485"/>
      <c r="AV224" s="485"/>
      <c r="AW224" s="485"/>
      <c r="AX224" s="485"/>
      <c r="AY224" s="485"/>
      <c r="AZ224" s="485"/>
      <c r="BA224" s="485"/>
      <c r="BB224" s="485"/>
      <c r="BC224" s="485"/>
      <c r="BD224" s="485"/>
      <c r="BE224" s="485"/>
      <c r="BF224" s="485"/>
      <c r="BG224" s="485"/>
      <c r="BH224" s="485"/>
      <c r="BI224" s="485"/>
      <c r="BJ224" s="485"/>
      <c r="BK224" s="485"/>
      <c r="BL224" s="485"/>
      <c r="BM224" s="485"/>
      <c r="BN224" s="485"/>
      <c r="BO224" s="485"/>
      <c r="BP224" s="485"/>
      <c r="BQ224" s="485"/>
      <c r="BR224" s="485"/>
      <c r="BS224" s="485"/>
      <c r="BT224" s="485"/>
      <c r="BU224" s="485"/>
      <c r="BV224" s="485"/>
      <c r="BW224" s="485"/>
      <c r="BX224" s="485"/>
      <c r="BY224" s="485"/>
      <c r="BZ224" s="485"/>
      <c r="CA224" s="485"/>
      <c r="CB224" s="485"/>
      <c r="CC224" s="485"/>
      <c r="CD224" s="485"/>
      <c r="CE224" s="485"/>
      <c r="CF224" s="485"/>
      <c r="CG224" s="485"/>
      <c r="CH224" s="485"/>
      <c r="CI224" s="485"/>
      <c r="CJ224" s="485"/>
      <c r="CK224" s="485"/>
      <c r="CL224" s="485"/>
      <c r="CM224" s="485"/>
      <c r="CN224" s="485"/>
      <c r="CO224" s="485"/>
      <c r="CP224" s="485"/>
      <c r="CQ224" s="485"/>
      <c r="CR224" s="485"/>
      <c r="CS224" s="485"/>
      <c r="CT224" s="485"/>
      <c r="CU224" s="485"/>
      <c r="CV224" s="485"/>
      <c r="CW224" s="485"/>
      <c r="CX224" s="485"/>
      <c r="CY224" s="485"/>
      <c r="CZ224" s="485"/>
      <c r="DA224" s="485"/>
      <c r="DB224" s="485"/>
      <c r="DC224" s="485"/>
      <c r="DD224" s="485"/>
      <c r="DE224" s="485"/>
      <c r="DF224" s="485"/>
      <c r="DG224" s="485"/>
      <c r="DH224" s="485"/>
      <c r="DI224" s="485"/>
      <c r="DJ224" s="485"/>
      <c r="DK224" s="485"/>
      <c r="DL224" s="485"/>
      <c r="DM224" s="485"/>
      <c r="DN224" s="485"/>
      <c r="DO224" s="485"/>
      <c r="DP224" s="485"/>
      <c r="DQ224" s="485"/>
      <c r="DR224" s="485"/>
      <c r="DS224" s="485"/>
      <c r="DT224" s="485"/>
      <c r="DU224" s="485"/>
      <c r="DV224" s="485"/>
      <c r="DW224" s="485"/>
      <c r="DX224" s="485"/>
      <c r="DY224" s="485"/>
      <c r="DZ224" s="485"/>
      <c r="EA224" s="485"/>
      <c r="EB224" s="485"/>
      <c r="EC224" s="485"/>
      <c r="ED224" s="485"/>
      <c r="EE224" s="485"/>
      <c r="EF224" s="485"/>
      <c r="EG224" s="485"/>
      <c r="EH224" s="485"/>
      <c r="EI224" s="485"/>
      <c r="EJ224" s="485"/>
      <c r="EK224" s="485"/>
      <c r="EL224" s="485"/>
      <c r="EM224" s="485"/>
      <c r="EN224" s="485"/>
      <c r="EO224" s="485"/>
      <c r="EP224" s="485"/>
    </row>
    <row r="225" spans="1:146" ht="15.75">
      <c r="A225" s="462">
        <f t="shared" si="70"/>
        <v>955</v>
      </c>
      <c r="B225" s="644" t="s">
        <v>426</v>
      </c>
      <c r="C225" s="624">
        <v>100</v>
      </c>
      <c r="D225" s="626">
        <v>0</v>
      </c>
      <c r="E225" s="611">
        <v>8.17</v>
      </c>
      <c r="F225" s="678">
        <f t="shared" si="71"/>
        <v>8.17</v>
      </c>
      <c r="G225" s="683">
        <v>3</v>
      </c>
      <c r="H225" s="681">
        <f t="shared" si="65"/>
        <v>0</v>
      </c>
      <c r="I225" s="623"/>
      <c r="J225" s="623">
        <f>+E225*G225*12</f>
        <v>294.12</v>
      </c>
      <c r="K225" s="627">
        <v>0.1</v>
      </c>
      <c r="L225" s="627">
        <f t="shared" si="66"/>
        <v>0.30000000000000004</v>
      </c>
      <c r="M225" s="627"/>
      <c r="N225" s="609">
        <v>0</v>
      </c>
      <c r="O225" s="610">
        <v>8.17</v>
      </c>
      <c r="P225" s="617" t="str">
        <f t="shared" si="67"/>
        <v>---</v>
      </c>
      <c r="Q225" s="618" t="str">
        <f t="shared" si="68"/>
        <v>---</v>
      </c>
      <c r="R225" s="485"/>
      <c r="S225" s="624" t="str">
        <f t="shared" si="69"/>
        <v>OK</v>
      </c>
      <c r="T225" s="451">
        <f>IF(+'2012 Rates'!O433&lt;'2012 Rates'!$B$11,'2012 Rates'!$B$11,+'2012 Rates'!O433)</f>
        <v>7.3274636985513695</v>
      </c>
      <c r="U225" s="447">
        <f t="shared" si="72"/>
        <v>-0.10312561829236599</v>
      </c>
      <c r="V225" s="485" t="s">
        <v>443</v>
      </c>
      <c r="W225" s="623"/>
      <c r="X225" s="444">
        <f>+G225*T225*12</f>
        <v>263.7886931478493</v>
      </c>
      <c r="Y225" s="485"/>
      <c r="Z225" s="485"/>
      <c r="AA225" s="485"/>
      <c r="AB225" s="485"/>
      <c r="AC225" s="485"/>
      <c r="AD225" s="485"/>
      <c r="AE225" s="485"/>
      <c r="AF225" s="485"/>
      <c r="AG225" s="485"/>
      <c r="AH225" s="485"/>
      <c r="AI225" s="485"/>
      <c r="AJ225" s="485"/>
      <c r="AK225" s="485"/>
      <c r="AL225" s="485"/>
      <c r="AM225" s="485"/>
      <c r="AN225" s="485"/>
      <c r="AO225" s="485"/>
      <c r="AP225" s="485"/>
      <c r="AQ225" s="485"/>
      <c r="AR225" s="485"/>
      <c r="AS225" s="485"/>
      <c r="AT225" s="485"/>
      <c r="AU225" s="485"/>
      <c r="AV225" s="485"/>
      <c r="AW225" s="485"/>
      <c r="AX225" s="485"/>
      <c r="AY225" s="485"/>
      <c r="AZ225" s="485"/>
      <c r="BA225" s="485"/>
      <c r="BB225" s="485"/>
      <c r="BC225" s="485"/>
      <c r="BD225" s="485"/>
      <c r="BE225" s="485"/>
      <c r="BF225" s="485"/>
      <c r="BG225" s="485"/>
      <c r="BH225" s="485"/>
      <c r="BI225" s="485"/>
      <c r="BJ225" s="485"/>
      <c r="BK225" s="485"/>
      <c r="BL225" s="485"/>
      <c r="BM225" s="485"/>
      <c r="BN225" s="485"/>
      <c r="BO225" s="485"/>
      <c r="BP225" s="485"/>
      <c r="BQ225" s="485"/>
      <c r="BR225" s="485"/>
      <c r="BS225" s="485"/>
      <c r="BT225" s="485"/>
      <c r="BU225" s="485"/>
      <c r="BV225" s="485"/>
      <c r="BW225" s="485"/>
      <c r="BX225" s="485"/>
      <c r="BY225" s="485"/>
      <c r="BZ225" s="485"/>
      <c r="CA225" s="485"/>
      <c r="CB225" s="485"/>
      <c r="CC225" s="485"/>
      <c r="CD225" s="485"/>
      <c r="CE225" s="485"/>
      <c r="CF225" s="485"/>
      <c r="CG225" s="485"/>
      <c r="CH225" s="485"/>
      <c r="CI225" s="485"/>
      <c r="CJ225" s="485"/>
      <c r="CK225" s="485"/>
      <c r="CL225" s="485"/>
      <c r="CM225" s="485"/>
      <c r="CN225" s="485"/>
      <c r="CO225" s="485"/>
      <c r="CP225" s="485"/>
      <c r="CQ225" s="485"/>
      <c r="CR225" s="485"/>
      <c r="CS225" s="485"/>
      <c r="CT225" s="485"/>
      <c r="CU225" s="485"/>
      <c r="CV225" s="485"/>
      <c r="CW225" s="485"/>
      <c r="CX225" s="485"/>
      <c r="CY225" s="485"/>
      <c r="CZ225" s="485"/>
      <c r="DA225" s="485"/>
      <c r="DB225" s="485"/>
      <c r="DC225" s="485"/>
      <c r="DD225" s="485"/>
      <c r="DE225" s="485"/>
      <c r="DF225" s="485"/>
      <c r="DG225" s="485"/>
      <c r="DH225" s="485"/>
      <c r="DI225" s="485"/>
      <c r="DJ225" s="485"/>
      <c r="DK225" s="485"/>
      <c r="DL225" s="485"/>
      <c r="DM225" s="485"/>
      <c r="DN225" s="485"/>
      <c r="DO225" s="485"/>
      <c r="DP225" s="485"/>
      <c r="DQ225" s="485"/>
      <c r="DR225" s="485"/>
      <c r="DS225" s="485"/>
      <c r="DT225" s="485"/>
      <c r="DU225" s="485"/>
      <c r="DV225" s="485"/>
      <c r="DW225" s="485"/>
      <c r="DX225" s="485"/>
      <c r="DY225" s="485"/>
      <c r="DZ225" s="485"/>
      <c r="EA225" s="485"/>
      <c r="EB225" s="485"/>
      <c r="EC225" s="485"/>
      <c r="ED225" s="485"/>
      <c r="EE225" s="485"/>
      <c r="EF225" s="485"/>
      <c r="EG225" s="485"/>
      <c r="EH225" s="485"/>
      <c r="EI225" s="485"/>
      <c r="EJ225" s="485"/>
      <c r="EK225" s="485"/>
      <c r="EL225" s="485"/>
      <c r="EM225" s="485"/>
      <c r="EN225" s="485"/>
      <c r="EO225" s="485"/>
      <c r="EP225" s="485"/>
    </row>
    <row r="226" spans="1:146" ht="15.75">
      <c r="A226" s="462">
        <f t="shared" si="70"/>
        <v>956</v>
      </c>
      <c r="B226" s="629" t="s">
        <v>403</v>
      </c>
      <c r="C226" s="624">
        <v>250</v>
      </c>
      <c r="D226" s="626">
        <v>183</v>
      </c>
      <c r="E226" s="611">
        <v>16</v>
      </c>
      <c r="F226" s="678">
        <f t="shared" si="71"/>
        <v>15.58093</v>
      </c>
      <c r="G226" s="683">
        <v>29</v>
      </c>
      <c r="H226" s="681">
        <f t="shared" si="65"/>
        <v>63684</v>
      </c>
      <c r="I226" s="623">
        <f t="shared" ref="I226:I269" si="75">+E226*G226*12</f>
        <v>5568</v>
      </c>
      <c r="J226" s="623"/>
      <c r="K226" s="627">
        <v>0.25</v>
      </c>
      <c r="L226" s="627">
        <f t="shared" si="66"/>
        <v>7.25</v>
      </c>
      <c r="M226" s="627">
        <f>+L226</f>
        <v>7.25</v>
      </c>
      <c r="N226" s="609">
        <v>183</v>
      </c>
      <c r="O226" s="610">
        <v>15.997433257716851</v>
      </c>
      <c r="P226" s="617" t="str">
        <f t="shared" si="67"/>
        <v>---</v>
      </c>
      <c r="Q226" s="618">
        <f t="shared" si="68"/>
        <v>-2.5667422831485709E-3</v>
      </c>
      <c r="R226" s="485"/>
      <c r="S226" s="450" t="str">
        <f t="shared" si="69"/>
        <v>OK</v>
      </c>
      <c r="T226" s="451">
        <f>IF(+'2012 Rates'!P434&lt;'2012 Rates'!$B$11,'2012 Rates'!$B$11,+'2012 Rates'!P434)</f>
        <v>17.100000000000001</v>
      </c>
      <c r="U226" s="447">
        <f t="shared" si="72"/>
        <v>9.7495464006320587E-2</v>
      </c>
      <c r="V226" s="445"/>
      <c r="W226" s="623">
        <f t="shared" ref="W226:W269" si="76">+G226*T226*12</f>
        <v>5950.8</v>
      </c>
      <c r="X226" s="623"/>
      <c r="Y226" s="485"/>
      <c r="Z226" s="485"/>
      <c r="AA226" s="485"/>
      <c r="AB226" s="485"/>
      <c r="AC226" s="485"/>
      <c r="AD226" s="485"/>
      <c r="AE226" s="485"/>
      <c r="AF226" s="485"/>
      <c r="AG226" s="485"/>
      <c r="AH226" s="485"/>
      <c r="AI226" s="485"/>
      <c r="AJ226" s="485"/>
      <c r="AK226" s="485"/>
      <c r="AL226" s="485"/>
      <c r="AM226" s="485"/>
      <c r="AN226" s="485"/>
      <c r="AO226" s="485"/>
      <c r="AP226" s="485"/>
      <c r="AQ226" s="485"/>
      <c r="AR226" s="485"/>
      <c r="AS226" s="485"/>
      <c r="AT226" s="485"/>
      <c r="AU226" s="485"/>
      <c r="AV226" s="485"/>
      <c r="AW226" s="485"/>
      <c r="AX226" s="485"/>
      <c r="AY226" s="485"/>
      <c r="AZ226" s="485"/>
      <c r="BA226" s="485"/>
      <c r="BB226" s="485"/>
      <c r="BC226" s="485"/>
      <c r="BD226" s="485"/>
      <c r="BE226" s="485"/>
      <c r="BF226" s="485"/>
      <c r="BG226" s="485"/>
      <c r="BH226" s="485"/>
      <c r="BI226" s="485"/>
      <c r="BJ226" s="485"/>
      <c r="BK226" s="485"/>
      <c r="BL226" s="485"/>
      <c r="BM226" s="485"/>
      <c r="BN226" s="485"/>
      <c r="BO226" s="485"/>
      <c r="BP226" s="485"/>
      <c r="BQ226" s="485"/>
      <c r="BR226" s="485"/>
      <c r="BS226" s="485"/>
      <c r="BT226" s="485"/>
      <c r="BU226" s="485"/>
      <c r="BV226" s="485"/>
      <c r="BW226" s="485"/>
      <c r="BX226" s="485"/>
      <c r="BY226" s="485"/>
      <c r="BZ226" s="485"/>
      <c r="CA226" s="485"/>
      <c r="CB226" s="485"/>
      <c r="CC226" s="485"/>
      <c r="CD226" s="485"/>
      <c r="CE226" s="485"/>
      <c r="CF226" s="485"/>
      <c r="CG226" s="485"/>
      <c r="CH226" s="485"/>
      <c r="CI226" s="485"/>
      <c r="CJ226" s="485"/>
      <c r="CK226" s="485"/>
      <c r="CL226" s="485"/>
      <c r="CM226" s="485"/>
      <c r="CN226" s="485"/>
      <c r="CO226" s="485"/>
      <c r="CP226" s="485"/>
      <c r="CQ226" s="485"/>
      <c r="CR226" s="485"/>
      <c r="CS226" s="485"/>
      <c r="CT226" s="485"/>
      <c r="CU226" s="485"/>
      <c r="CV226" s="485"/>
      <c r="CW226" s="485"/>
      <c r="CX226" s="485"/>
      <c r="CY226" s="485"/>
      <c r="CZ226" s="485"/>
      <c r="DA226" s="485"/>
      <c r="DB226" s="485"/>
      <c r="DC226" s="485"/>
      <c r="DD226" s="485"/>
      <c r="DE226" s="485"/>
      <c r="DF226" s="485"/>
      <c r="DG226" s="485"/>
      <c r="DH226" s="485"/>
      <c r="DI226" s="485"/>
      <c r="DJ226" s="485"/>
      <c r="DK226" s="485"/>
      <c r="DL226" s="485"/>
      <c r="DM226" s="485"/>
      <c r="DN226" s="485"/>
      <c r="DO226" s="485"/>
      <c r="DP226" s="485"/>
      <c r="DQ226" s="485"/>
      <c r="DR226" s="485"/>
      <c r="DS226" s="485"/>
      <c r="DT226" s="485"/>
      <c r="DU226" s="485"/>
      <c r="DV226" s="485"/>
      <c r="DW226" s="485"/>
      <c r="DX226" s="485"/>
      <c r="DY226" s="485"/>
      <c r="DZ226" s="485"/>
      <c r="EA226" s="485"/>
      <c r="EB226" s="485"/>
      <c r="EC226" s="485"/>
      <c r="ED226" s="485"/>
      <c r="EE226" s="485"/>
      <c r="EF226" s="485"/>
      <c r="EG226" s="485"/>
      <c r="EH226" s="485"/>
      <c r="EI226" s="485"/>
      <c r="EJ226" s="485"/>
      <c r="EK226" s="485"/>
      <c r="EL226" s="485"/>
      <c r="EM226" s="485"/>
      <c r="EN226" s="485"/>
      <c r="EO226" s="485"/>
      <c r="EP226" s="485"/>
    </row>
    <row r="227" spans="1:146" ht="15.75">
      <c r="A227" s="591">
        <f t="shared" si="70"/>
        <v>957</v>
      </c>
      <c r="B227" s="630" t="s">
        <v>393</v>
      </c>
      <c r="C227" s="614">
        <v>90</v>
      </c>
      <c r="D227" s="609">
        <v>33</v>
      </c>
      <c r="E227" s="610">
        <v>3.7</v>
      </c>
      <c r="F227" s="678">
        <f t="shared" si="71"/>
        <v>3.6244300000000003</v>
      </c>
      <c r="G227" s="683">
        <v>8</v>
      </c>
      <c r="H227" s="664">
        <f t="shared" si="65"/>
        <v>3168</v>
      </c>
      <c r="I227" s="444">
        <f t="shared" si="75"/>
        <v>355.20000000000005</v>
      </c>
      <c r="J227" s="444"/>
      <c r="K227" s="616">
        <v>9.9000000000000005E-2</v>
      </c>
      <c r="L227" s="616">
        <f t="shared" si="66"/>
        <v>0.79200000000000004</v>
      </c>
      <c r="M227" s="616"/>
      <c r="N227" s="609">
        <v>33</v>
      </c>
      <c r="O227" s="610">
        <v>3.6972420628669731</v>
      </c>
      <c r="P227" s="617" t="str">
        <f t="shared" si="67"/>
        <v>---</v>
      </c>
      <c r="Q227" s="618">
        <f t="shared" si="68"/>
        <v>-2.7579371330270774E-3</v>
      </c>
      <c r="R227" s="615"/>
      <c r="S227" s="614" t="str">
        <f t="shared" si="69"/>
        <v>OK</v>
      </c>
      <c r="T227" s="451">
        <f>IF(+'2012 Rates'!O435&lt;'2012 Rates'!$B$11,'2012 Rates'!$B$11,+'2012 Rates'!O435)</f>
        <v>3.98</v>
      </c>
      <c r="U227" s="447">
        <f t="shared" si="72"/>
        <v>9.8103701823458955E-2</v>
      </c>
      <c r="V227" s="445" t="s">
        <v>363</v>
      </c>
      <c r="W227" s="623">
        <f t="shared" si="76"/>
        <v>382.08</v>
      </c>
      <c r="X227" s="485"/>
      <c r="Y227" s="485"/>
      <c r="Z227" s="485"/>
      <c r="AA227" s="485"/>
      <c r="AB227" s="485"/>
      <c r="AC227" s="485"/>
      <c r="AD227" s="485"/>
      <c r="AE227" s="485"/>
      <c r="AF227" s="485"/>
      <c r="AG227" s="485"/>
      <c r="AH227" s="485"/>
      <c r="AI227" s="485"/>
      <c r="AJ227" s="485"/>
      <c r="AK227" s="485"/>
      <c r="AL227" s="485"/>
      <c r="AM227" s="485"/>
      <c r="AN227" s="485"/>
      <c r="AO227" s="485"/>
      <c r="AP227" s="485"/>
      <c r="AQ227" s="485"/>
      <c r="AR227" s="485"/>
      <c r="AS227" s="485"/>
      <c r="AT227" s="485"/>
      <c r="AU227" s="485"/>
      <c r="AV227" s="485"/>
      <c r="AW227" s="485"/>
      <c r="AX227" s="485"/>
      <c r="AY227" s="485"/>
      <c r="AZ227" s="485"/>
      <c r="BA227" s="485"/>
      <c r="BB227" s="485"/>
      <c r="BC227" s="485"/>
      <c r="BD227" s="485"/>
      <c r="BE227" s="485"/>
      <c r="BF227" s="485"/>
      <c r="BG227" s="485"/>
      <c r="BH227" s="485"/>
      <c r="BI227" s="485"/>
      <c r="BJ227" s="485"/>
      <c r="BK227" s="485"/>
      <c r="BL227" s="485"/>
      <c r="BM227" s="485"/>
      <c r="BN227" s="485"/>
      <c r="BO227" s="485"/>
      <c r="BP227" s="485"/>
      <c r="BQ227" s="485"/>
      <c r="BR227" s="485"/>
      <c r="BS227" s="485"/>
      <c r="BT227" s="485"/>
      <c r="BU227" s="485"/>
      <c r="BV227" s="485"/>
      <c r="BW227" s="485"/>
      <c r="BX227" s="485"/>
      <c r="BY227" s="485"/>
      <c r="BZ227" s="485"/>
      <c r="CA227" s="485"/>
      <c r="CB227" s="485"/>
      <c r="CC227" s="485"/>
      <c r="CD227" s="485"/>
      <c r="CE227" s="485"/>
      <c r="CF227" s="485"/>
      <c r="CG227" s="485"/>
      <c r="CH227" s="485"/>
      <c r="CI227" s="485"/>
      <c r="CJ227" s="485"/>
      <c r="CK227" s="485"/>
      <c r="CL227" s="485"/>
      <c r="CM227" s="485"/>
      <c r="CN227" s="485"/>
      <c r="CO227" s="485"/>
      <c r="CP227" s="485"/>
      <c r="CQ227" s="485"/>
      <c r="CR227" s="485"/>
      <c r="CS227" s="485"/>
      <c r="CT227" s="485"/>
      <c r="CU227" s="485"/>
      <c r="CV227" s="485"/>
      <c r="CW227" s="485"/>
      <c r="CX227" s="485"/>
      <c r="CY227" s="485"/>
      <c r="CZ227" s="485"/>
      <c r="DA227" s="485"/>
      <c r="DB227" s="485"/>
      <c r="DC227" s="485"/>
      <c r="DD227" s="485"/>
      <c r="DE227" s="485"/>
      <c r="DF227" s="485"/>
      <c r="DG227" s="485"/>
      <c r="DH227" s="485"/>
      <c r="DI227" s="485"/>
      <c r="DJ227" s="485"/>
      <c r="DK227" s="485"/>
      <c r="DL227" s="485"/>
      <c r="DM227" s="485"/>
      <c r="DN227" s="485"/>
      <c r="DO227" s="485"/>
      <c r="DP227" s="485"/>
      <c r="DQ227" s="485"/>
      <c r="DR227" s="485"/>
      <c r="DS227" s="485"/>
      <c r="DT227" s="485"/>
      <c r="DU227" s="485"/>
      <c r="DV227" s="485"/>
      <c r="DW227" s="485"/>
      <c r="DX227" s="485"/>
      <c r="DY227" s="485"/>
      <c r="DZ227" s="485"/>
      <c r="EA227" s="485"/>
      <c r="EB227" s="485"/>
      <c r="EC227" s="485"/>
      <c r="ED227" s="485"/>
      <c r="EE227" s="485"/>
      <c r="EF227" s="485"/>
      <c r="EG227" s="485"/>
      <c r="EH227" s="485"/>
      <c r="EI227" s="485"/>
      <c r="EJ227" s="485"/>
      <c r="EK227" s="485"/>
      <c r="EL227" s="485"/>
      <c r="EM227" s="485"/>
      <c r="EN227" s="485"/>
      <c r="EO227" s="485"/>
      <c r="EP227" s="485"/>
    </row>
    <row r="228" spans="1:146" ht="15.75">
      <c r="A228" s="462">
        <f t="shared" si="70"/>
        <v>958</v>
      </c>
      <c r="B228" s="629" t="s">
        <v>393</v>
      </c>
      <c r="C228" s="624">
        <v>850</v>
      </c>
      <c r="D228" s="626">
        <v>283</v>
      </c>
      <c r="E228" s="611">
        <v>31.71</v>
      </c>
      <c r="F228" s="678">
        <f t="shared" si="71"/>
        <v>31.06193</v>
      </c>
      <c r="G228" s="683">
        <v>7</v>
      </c>
      <c r="H228" s="681">
        <f t="shared" si="65"/>
        <v>23772</v>
      </c>
      <c r="I228" s="623">
        <f t="shared" si="75"/>
        <v>2663.64</v>
      </c>
      <c r="J228" s="623"/>
      <c r="K228" s="627">
        <v>0.85</v>
      </c>
      <c r="L228" s="627">
        <f t="shared" si="66"/>
        <v>5.95</v>
      </c>
      <c r="M228" s="627"/>
      <c r="N228" s="609">
        <v>283</v>
      </c>
      <c r="O228" s="610">
        <v>31.714227387616777</v>
      </c>
      <c r="P228" s="617" t="str">
        <f t="shared" si="67"/>
        <v>---</v>
      </c>
      <c r="Q228" s="618">
        <f t="shared" si="68"/>
        <v>4.2273876167762126E-3</v>
      </c>
      <c r="R228" s="485"/>
      <c r="S228" s="624" t="str">
        <f t="shared" si="69"/>
        <v>OK</v>
      </c>
      <c r="T228" s="451">
        <f>IF(+'2012 Rates'!O436&lt;'2012 Rates'!$B$11,'2012 Rates'!$B$11,+'2012 Rates'!O436)</f>
        <v>34.11</v>
      </c>
      <c r="U228" s="447">
        <f t="shared" si="72"/>
        <v>9.8128802685473859E-2</v>
      </c>
      <c r="V228" s="485"/>
      <c r="W228" s="623">
        <f t="shared" si="76"/>
        <v>2865.24</v>
      </c>
      <c r="X228" s="485"/>
      <c r="Y228" s="485"/>
      <c r="Z228" s="485"/>
      <c r="AA228" s="485"/>
      <c r="AB228" s="485"/>
      <c r="AC228" s="485"/>
      <c r="AD228" s="485"/>
      <c r="AE228" s="485"/>
      <c r="AF228" s="485"/>
      <c r="AG228" s="485"/>
      <c r="AH228" s="485"/>
      <c r="AI228" s="485"/>
      <c r="AJ228" s="485"/>
      <c r="AK228" s="485"/>
      <c r="AL228" s="485"/>
      <c r="AM228" s="485"/>
      <c r="AN228" s="485"/>
      <c r="AO228" s="485"/>
      <c r="AP228" s="485"/>
      <c r="AQ228" s="485"/>
      <c r="AR228" s="485"/>
      <c r="AS228" s="485"/>
      <c r="AT228" s="485"/>
      <c r="AU228" s="485"/>
      <c r="AV228" s="485"/>
      <c r="AW228" s="485"/>
      <c r="AX228" s="485"/>
      <c r="AY228" s="485"/>
      <c r="AZ228" s="485"/>
      <c r="BA228" s="485"/>
      <c r="BB228" s="485"/>
      <c r="BC228" s="485"/>
      <c r="BD228" s="485"/>
      <c r="BE228" s="485"/>
      <c r="BF228" s="485"/>
      <c r="BG228" s="485"/>
      <c r="BH228" s="485"/>
      <c r="BI228" s="485"/>
      <c r="BJ228" s="485"/>
      <c r="BK228" s="485"/>
      <c r="BL228" s="485"/>
      <c r="BM228" s="485"/>
      <c r="BN228" s="485"/>
      <c r="BO228" s="485"/>
      <c r="BP228" s="485"/>
      <c r="BQ228" s="485"/>
      <c r="BR228" s="485"/>
      <c r="BS228" s="485"/>
      <c r="BT228" s="485"/>
      <c r="BU228" s="485"/>
      <c r="BV228" s="485"/>
      <c r="BW228" s="485"/>
      <c r="BX228" s="485"/>
      <c r="BY228" s="485"/>
      <c r="BZ228" s="485"/>
      <c r="CA228" s="485"/>
      <c r="CB228" s="485"/>
      <c r="CC228" s="485"/>
      <c r="CD228" s="485"/>
      <c r="CE228" s="485"/>
      <c r="CF228" s="485"/>
      <c r="CG228" s="485"/>
      <c r="CH228" s="485"/>
      <c r="CI228" s="485"/>
      <c r="CJ228" s="485"/>
      <c r="CK228" s="485"/>
      <c r="CL228" s="485"/>
      <c r="CM228" s="485"/>
      <c r="CN228" s="485"/>
      <c r="CO228" s="485"/>
      <c r="CP228" s="485"/>
      <c r="CQ228" s="485"/>
      <c r="CR228" s="485"/>
      <c r="CS228" s="485"/>
      <c r="CT228" s="485"/>
      <c r="CU228" s="485"/>
      <c r="CV228" s="485"/>
      <c r="CW228" s="485"/>
      <c r="CX228" s="485"/>
      <c r="CY228" s="485"/>
      <c r="CZ228" s="485"/>
      <c r="DA228" s="485"/>
      <c r="DB228" s="485"/>
      <c r="DC228" s="485"/>
      <c r="DD228" s="485"/>
      <c r="DE228" s="485"/>
      <c r="DF228" s="485"/>
      <c r="DG228" s="485"/>
      <c r="DH228" s="485"/>
      <c r="DI228" s="485"/>
      <c r="DJ228" s="485"/>
      <c r="DK228" s="485"/>
      <c r="DL228" s="485"/>
      <c r="DM228" s="485"/>
      <c r="DN228" s="485"/>
      <c r="DO228" s="485"/>
      <c r="DP228" s="485"/>
      <c r="DQ228" s="485"/>
      <c r="DR228" s="485"/>
      <c r="DS228" s="485"/>
      <c r="DT228" s="485"/>
      <c r="DU228" s="485"/>
      <c r="DV228" s="485"/>
      <c r="DW228" s="485"/>
      <c r="DX228" s="485"/>
      <c r="DY228" s="485"/>
      <c r="DZ228" s="485"/>
      <c r="EA228" s="485"/>
      <c r="EB228" s="485"/>
      <c r="EC228" s="485"/>
      <c r="ED228" s="485"/>
      <c r="EE228" s="485"/>
      <c r="EF228" s="485"/>
      <c r="EG228" s="485"/>
      <c r="EH228" s="485"/>
      <c r="EI228" s="485"/>
      <c r="EJ228" s="485"/>
      <c r="EK228" s="485"/>
      <c r="EL228" s="485"/>
      <c r="EM228" s="485"/>
      <c r="EN228" s="485"/>
      <c r="EO228" s="485"/>
      <c r="EP228" s="485"/>
    </row>
    <row r="229" spans="1:146" ht="15.75">
      <c r="A229" s="462">
        <f t="shared" si="70"/>
        <v>959</v>
      </c>
      <c r="B229" s="629" t="s">
        <v>393</v>
      </c>
      <c r="C229" s="624">
        <v>980</v>
      </c>
      <c r="D229" s="626">
        <v>327</v>
      </c>
      <c r="E229" s="611">
        <v>36.6</v>
      </c>
      <c r="F229" s="678">
        <f t="shared" si="71"/>
        <v>35.851170000000003</v>
      </c>
      <c r="G229" s="683">
        <v>1</v>
      </c>
      <c r="H229" s="681">
        <f t="shared" si="65"/>
        <v>3924</v>
      </c>
      <c r="I229" s="623">
        <f t="shared" si="75"/>
        <v>439.20000000000005</v>
      </c>
      <c r="J229" s="623"/>
      <c r="K229" s="627">
        <v>0.98</v>
      </c>
      <c r="L229" s="627">
        <f t="shared" si="66"/>
        <v>0.98</v>
      </c>
      <c r="M229" s="627"/>
      <c r="N229" s="609">
        <v>327</v>
      </c>
      <c r="O229" s="610">
        <v>36.597216804772735</v>
      </c>
      <c r="P229" s="617" t="str">
        <f t="shared" si="67"/>
        <v>---</v>
      </c>
      <c r="Q229" s="618">
        <f t="shared" si="68"/>
        <v>-2.7831952272663329E-3</v>
      </c>
      <c r="R229" s="485"/>
      <c r="S229" s="624" t="str">
        <f t="shared" si="69"/>
        <v>OK</v>
      </c>
      <c r="T229" s="451">
        <f>IF(+'2012 Rates'!O437&lt;'2012 Rates'!$B$11,'2012 Rates'!$B$11,+'2012 Rates'!O437)</f>
        <v>39.369999999999997</v>
      </c>
      <c r="U229" s="447">
        <f t="shared" si="72"/>
        <v>9.8151050579381227E-2</v>
      </c>
      <c r="V229" s="485"/>
      <c r="W229" s="623">
        <f t="shared" si="76"/>
        <v>472.43999999999994</v>
      </c>
      <c r="X229" s="485"/>
      <c r="Y229" s="485"/>
      <c r="Z229" s="485"/>
      <c r="AA229" s="485"/>
      <c r="AB229" s="485"/>
      <c r="AC229" s="485"/>
      <c r="AD229" s="485"/>
      <c r="AE229" s="485"/>
      <c r="AF229" s="485"/>
      <c r="AG229" s="485"/>
      <c r="AH229" s="485"/>
      <c r="AI229" s="485"/>
      <c r="AJ229" s="485"/>
      <c r="AK229" s="485"/>
      <c r="AL229" s="485"/>
      <c r="AM229" s="485"/>
      <c r="AN229" s="485"/>
      <c r="AO229" s="485"/>
      <c r="AP229" s="485"/>
      <c r="AQ229" s="485"/>
      <c r="AR229" s="485"/>
      <c r="AS229" s="485"/>
      <c r="AT229" s="485"/>
      <c r="AU229" s="485"/>
      <c r="AV229" s="485"/>
      <c r="AW229" s="485"/>
      <c r="AX229" s="485"/>
      <c r="AY229" s="485"/>
      <c r="AZ229" s="485"/>
      <c r="BA229" s="485"/>
      <c r="BB229" s="485"/>
      <c r="BC229" s="485"/>
      <c r="BD229" s="485"/>
      <c r="BE229" s="485"/>
      <c r="BF229" s="485"/>
      <c r="BG229" s="485"/>
      <c r="BH229" s="485"/>
      <c r="BI229" s="485"/>
      <c r="BJ229" s="485"/>
      <c r="BK229" s="485"/>
      <c r="BL229" s="485"/>
      <c r="BM229" s="485"/>
      <c r="BN229" s="485"/>
      <c r="BO229" s="485"/>
      <c r="BP229" s="485"/>
      <c r="BQ229" s="485"/>
      <c r="BR229" s="485"/>
      <c r="BS229" s="485"/>
      <c r="BT229" s="485"/>
      <c r="BU229" s="485"/>
      <c r="BV229" s="485"/>
      <c r="BW229" s="485"/>
      <c r="BX229" s="485"/>
      <c r="BY229" s="485"/>
      <c r="BZ229" s="485"/>
      <c r="CA229" s="485"/>
      <c r="CB229" s="485"/>
      <c r="CC229" s="485"/>
      <c r="CD229" s="485"/>
      <c r="CE229" s="485"/>
      <c r="CF229" s="485"/>
      <c r="CG229" s="485"/>
      <c r="CH229" s="485"/>
      <c r="CI229" s="485"/>
      <c r="CJ229" s="485"/>
      <c r="CK229" s="485"/>
      <c r="CL229" s="485"/>
      <c r="CM229" s="485"/>
      <c r="CN229" s="485"/>
      <c r="CO229" s="485"/>
      <c r="CP229" s="485"/>
      <c r="CQ229" s="485"/>
      <c r="CR229" s="485"/>
      <c r="CS229" s="485"/>
      <c r="CT229" s="485"/>
      <c r="CU229" s="485"/>
      <c r="CV229" s="485"/>
      <c r="CW229" s="485"/>
      <c r="CX229" s="485"/>
      <c r="CY229" s="485"/>
      <c r="CZ229" s="485"/>
      <c r="DA229" s="485"/>
      <c r="DB229" s="485"/>
      <c r="DC229" s="485"/>
      <c r="DD229" s="485"/>
      <c r="DE229" s="485"/>
      <c r="DF229" s="485"/>
      <c r="DG229" s="485"/>
      <c r="DH229" s="485"/>
      <c r="DI229" s="485"/>
      <c r="DJ229" s="485"/>
      <c r="DK229" s="485"/>
      <c r="DL229" s="485"/>
      <c r="DM229" s="485"/>
      <c r="DN229" s="485"/>
      <c r="DO229" s="485"/>
      <c r="DP229" s="485"/>
      <c r="DQ229" s="485"/>
      <c r="DR229" s="485"/>
      <c r="DS229" s="485"/>
      <c r="DT229" s="485"/>
      <c r="DU229" s="485"/>
      <c r="DV229" s="485"/>
      <c r="DW229" s="485"/>
      <c r="DX229" s="485"/>
      <c r="DY229" s="485"/>
      <c r="DZ229" s="485"/>
      <c r="EA229" s="485"/>
      <c r="EB229" s="485"/>
      <c r="EC229" s="485"/>
      <c r="ED229" s="485"/>
      <c r="EE229" s="485"/>
      <c r="EF229" s="485"/>
      <c r="EG229" s="485"/>
      <c r="EH229" s="485"/>
      <c r="EI229" s="485"/>
      <c r="EJ229" s="485"/>
      <c r="EK229" s="485"/>
      <c r="EL229" s="485"/>
      <c r="EM229" s="485"/>
      <c r="EN229" s="485"/>
      <c r="EO229" s="485"/>
      <c r="EP229" s="485"/>
    </row>
    <row r="230" spans="1:146" ht="15.75">
      <c r="A230" s="462">
        <f t="shared" si="70"/>
        <v>960</v>
      </c>
      <c r="B230" s="629" t="s">
        <v>403</v>
      </c>
      <c r="C230" s="624">
        <v>2400</v>
      </c>
      <c r="D230" s="626">
        <v>1752</v>
      </c>
      <c r="E230" s="611">
        <v>153.24</v>
      </c>
      <c r="F230" s="678">
        <f t="shared" si="71"/>
        <v>149.22792000000001</v>
      </c>
      <c r="G230" s="683">
        <v>1</v>
      </c>
      <c r="H230" s="681">
        <f t="shared" si="65"/>
        <v>21024</v>
      </c>
      <c r="I230" s="623">
        <f t="shared" si="75"/>
        <v>1838.88</v>
      </c>
      <c r="J230" s="623"/>
      <c r="K230" s="627">
        <v>2.4</v>
      </c>
      <c r="L230" s="627">
        <f t="shared" si="66"/>
        <v>2.4</v>
      </c>
      <c r="M230" s="627">
        <f>+L230</f>
        <v>2.4</v>
      </c>
      <c r="N230" s="609">
        <v>1752</v>
      </c>
      <c r="O230" s="610">
        <v>153.23903315584661</v>
      </c>
      <c r="P230" s="617" t="str">
        <f t="shared" si="67"/>
        <v>---</v>
      </c>
      <c r="Q230" s="618">
        <f t="shared" si="68"/>
        <v>-9.6684415339609586E-4</v>
      </c>
      <c r="R230" s="485"/>
      <c r="S230" s="624" t="str">
        <f t="shared" si="69"/>
        <v>OK</v>
      </c>
      <c r="T230" s="451">
        <f>IF(+'2012 Rates'!P438&lt;'2012 Rates'!$B$11,'2012 Rates'!$B$11,+'2012 Rates'!P438)</f>
        <v>163.87</v>
      </c>
      <c r="U230" s="447">
        <f t="shared" si="72"/>
        <v>9.8118904290832365E-2</v>
      </c>
      <c r="V230" s="485"/>
      <c r="W230" s="623">
        <f t="shared" si="76"/>
        <v>1966.44</v>
      </c>
      <c r="X230" s="485"/>
      <c r="Y230" s="485"/>
      <c r="Z230" s="485"/>
      <c r="AA230" s="485"/>
      <c r="AB230" s="485"/>
      <c r="AC230" s="485"/>
      <c r="AD230" s="485"/>
      <c r="AE230" s="485"/>
      <c r="AF230" s="485"/>
      <c r="AG230" s="485"/>
      <c r="AH230" s="485"/>
      <c r="AI230" s="485"/>
      <c r="AJ230" s="485"/>
      <c r="AK230" s="485"/>
      <c r="AL230" s="485"/>
      <c r="AM230" s="485"/>
      <c r="AN230" s="485"/>
      <c r="AO230" s="485"/>
      <c r="AP230" s="485"/>
      <c r="AQ230" s="485"/>
      <c r="AR230" s="485"/>
      <c r="AS230" s="485"/>
      <c r="AT230" s="485"/>
      <c r="AU230" s="485"/>
      <c r="AV230" s="485"/>
      <c r="AW230" s="485"/>
      <c r="AX230" s="485"/>
      <c r="AY230" s="485"/>
      <c r="AZ230" s="485"/>
      <c r="BA230" s="485"/>
      <c r="BB230" s="485"/>
      <c r="BC230" s="485"/>
      <c r="BD230" s="485"/>
      <c r="BE230" s="485"/>
      <c r="BF230" s="485"/>
      <c r="BG230" s="485"/>
      <c r="BH230" s="485"/>
      <c r="BI230" s="485"/>
      <c r="BJ230" s="485"/>
      <c r="BK230" s="485"/>
      <c r="BL230" s="485"/>
      <c r="BM230" s="485"/>
      <c r="BN230" s="485"/>
      <c r="BO230" s="485"/>
      <c r="BP230" s="485"/>
      <c r="BQ230" s="485"/>
      <c r="BR230" s="485"/>
      <c r="BS230" s="485"/>
      <c r="BT230" s="485"/>
      <c r="BU230" s="485"/>
      <c r="BV230" s="485"/>
      <c r="BW230" s="485"/>
      <c r="BX230" s="485"/>
      <c r="BY230" s="485"/>
      <c r="BZ230" s="485"/>
      <c r="CA230" s="485"/>
      <c r="CB230" s="485"/>
      <c r="CC230" s="485"/>
      <c r="CD230" s="485"/>
      <c r="CE230" s="485"/>
      <c r="CF230" s="485"/>
      <c r="CG230" s="485"/>
      <c r="CH230" s="485"/>
      <c r="CI230" s="485"/>
      <c r="CJ230" s="485"/>
      <c r="CK230" s="485"/>
      <c r="CL230" s="485"/>
      <c r="CM230" s="485"/>
      <c r="CN230" s="485"/>
      <c r="CO230" s="485"/>
      <c r="CP230" s="485"/>
      <c r="CQ230" s="485"/>
      <c r="CR230" s="485"/>
      <c r="CS230" s="485"/>
      <c r="CT230" s="485"/>
      <c r="CU230" s="485"/>
      <c r="CV230" s="485"/>
      <c r="CW230" s="485"/>
      <c r="CX230" s="485"/>
      <c r="CY230" s="485"/>
      <c r="CZ230" s="485"/>
      <c r="DA230" s="485"/>
      <c r="DB230" s="485"/>
      <c r="DC230" s="485"/>
      <c r="DD230" s="485"/>
      <c r="DE230" s="485"/>
      <c r="DF230" s="485"/>
      <c r="DG230" s="485"/>
      <c r="DH230" s="485"/>
      <c r="DI230" s="485"/>
      <c r="DJ230" s="485"/>
      <c r="DK230" s="485"/>
      <c r="DL230" s="485"/>
      <c r="DM230" s="485"/>
      <c r="DN230" s="485"/>
      <c r="DO230" s="485"/>
      <c r="DP230" s="485"/>
      <c r="DQ230" s="485"/>
      <c r="DR230" s="485"/>
      <c r="DS230" s="485"/>
      <c r="DT230" s="485"/>
      <c r="DU230" s="485"/>
      <c r="DV230" s="485"/>
      <c r="DW230" s="485"/>
      <c r="DX230" s="485"/>
      <c r="DY230" s="485"/>
      <c r="DZ230" s="485"/>
      <c r="EA230" s="485"/>
      <c r="EB230" s="485"/>
      <c r="EC230" s="485"/>
      <c r="ED230" s="485"/>
      <c r="EE230" s="485"/>
      <c r="EF230" s="485"/>
      <c r="EG230" s="485"/>
      <c r="EH230" s="485"/>
      <c r="EI230" s="485"/>
      <c r="EJ230" s="485"/>
      <c r="EK230" s="485"/>
      <c r="EL230" s="485"/>
      <c r="EM230" s="485"/>
      <c r="EN230" s="485"/>
      <c r="EO230" s="485"/>
      <c r="EP230" s="485"/>
    </row>
    <row r="231" spans="1:146" ht="15.75">
      <c r="A231" s="591">
        <f t="shared" si="70"/>
        <v>961</v>
      </c>
      <c r="B231" s="630" t="s">
        <v>403</v>
      </c>
      <c r="C231" s="614">
        <v>5</v>
      </c>
      <c r="D231" s="609">
        <v>34</v>
      </c>
      <c r="E231" s="610">
        <v>2.96</v>
      </c>
      <c r="F231" s="678">
        <f>E231</f>
        <v>2.96</v>
      </c>
      <c r="G231" s="683">
        <v>4</v>
      </c>
      <c r="H231" s="664">
        <f t="shared" si="65"/>
        <v>1632</v>
      </c>
      <c r="I231" s="444">
        <f t="shared" si="75"/>
        <v>142.07999999999998</v>
      </c>
      <c r="J231" s="444"/>
      <c r="K231" s="616">
        <v>5.0000000000000001E-3</v>
      </c>
      <c r="L231" s="616">
        <f t="shared" si="66"/>
        <v>0.02</v>
      </c>
      <c r="M231" s="616">
        <f>+L231</f>
        <v>0.02</v>
      </c>
      <c r="N231" s="609">
        <v>34</v>
      </c>
      <c r="O231" s="610">
        <v>2.9637800000000003</v>
      </c>
      <c r="P231" s="617" t="str">
        <f t="shared" si="67"/>
        <v>---</v>
      </c>
      <c r="Q231" s="618">
        <f t="shared" si="68"/>
        <v>3.7800000000003386E-3</v>
      </c>
      <c r="R231" s="615"/>
      <c r="S231" s="614" t="str">
        <f t="shared" si="69"/>
        <v>OK</v>
      </c>
      <c r="T231" s="619">
        <f>IF(+'2012 Rates'!P439&lt;'2012 Rates'!$B$11,'2012 Rates'!$B$11,+'2012 Rates'!P439)</f>
        <v>3.2504153814512136</v>
      </c>
      <c r="U231" s="447">
        <f t="shared" si="72"/>
        <v>9.8113304544328983E-2</v>
      </c>
      <c r="V231" s="485" t="s">
        <v>340</v>
      </c>
      <c r="W231" s="623">
        <f t="shared" si="76"/>
        <v>156.01993830965824</v>
      </c>
      <c r="X231" s="485"/>
      <c r="Y231" s="485"/>
      <c r="Z231" s="485"/>
      <c r="AA231" s="485"/>
      <c r="AB231" s="485"/>
      <c r="AC231" s="485"/>
      <c r="AD231" s="485"/>
      <c r="AE231" s="485"/>
      <c r="AF231" s="485"/>
      <c r="AG231" s="485"/>
      <c r="AH231" s="485"/>
      <c r="AI231" s="485"/>
      <c r="AJ231" s="485"/>
      <c r="AK231" s="485"/>
      <c r="AL231" s="485"/>
      <c r="AM231" s="485"/>
      <c r="AN231" s="485"/>
      <c r="AO231" s="485"/>
      <c r="AP231" s="485"/>
      <c r="AQ231" s="485"/>
      <c r="AR231" s="485"/>
      <c r="AS231" s="485"/>
      <c r="AT231" s="485"/>
      <c r="AU231" s="485"/>
      <c r="AV231" s="485"/>
      <c r="AW231" s="485"/>
      <c r="AX231" s="485"/>
      <c r="AY231" s="485"/>
      <c r="AZ231" s="485"/>
      <c r="BA231" s="485"/>
      <c r="BB231" s="485"/>
      <c r="BC231" s="485"/>
      <c r="BD231" s="485"/>
      <c r="BE231" s="485"/>
      <c r="BF231" s="485"/>
      <c r="BG231" s="485"/>
      <c r="BH231" s="485"/>
      <c r="BI231" s="485"/>
      <c r="BJ231" s="485"/>
      <c r="BK231" s="485"/>
      <c r="BL231" s="485"/>
      <c r="BM231" s="485"/>
      <c r="BN231" s="485"/>
      <c r="BO231" s="485"/>
      <c r="BP231" s="485"/>
      <c r="BQ231" s="485"/>
      <c r="BR231" s="485"/>
      <c r="BS231" s="485"/>
      <c r="BT231" s="485"/>
      <c r="BU231" s="485"/>
      <c r="BV231" s="485"/>
      <c r="BW231" s="485"/>
      <c r="BX231" s="485"/>
      <c r="BY231" s="485"/>
      <c r="BZ231" s="485"/>
      <c r="CA231" s="485"/>
      <c r="CB231" s="485"/>
      <c r="CC231" s="485"/>
      <c r="CD231" s="485"/>
      <c r="CE231" s="485"/>
      <c r="CF231" s="485"/>
      <c r="CG231" s="485"/>
      <c r="CH231" s="485"/>
      <c r="CI231" s="485"/>
      <c r="CJ231" s="485"/>
      <c r="CK231" s="485"/>
      <c r="CL231" s="485"/>
      <c r="CM231" s="485"/>
      <c r="CN231" s="485"/>
      <c r="CO231" s="485"/>
      <c r="CP231" s="485"/>
      <c r="CQ231" s="485"/>
      <c r="CR231" s="485"/>
      <c r="CS231" s="485"/>
      <c r="CT231" s="485"/>
      <c r="CU231" s="485"/>
      <c r="CV231" s="485"/>
      <c r="CW231" s="485"/>
      <c r="CX231" s="485"/>
      <c r="CY231" s="485"/>
      <c r="CZ231" s="485"/>
      <c r="DA231" s="485"/>
      <c r="DB231" s="485"/>
      <c r="DC231" s="485"/>
      <c r="DD231" s="485"/>
      <c r="DE231" s="485"/>
      <c r="DF231" s="485"/>
      <c r="DG231" s="485"/>
      <c r="DH231" s="485"/>
      <c r="DI231" s="485"/>
      <c r="DJ231" s="485"/>
      <c r="DK231" s="485"/>
      <c r="DL231" s="485"/>
      <c r="DM231" s="485"/>
      <c r="DN231" s="485"/>
      <c r="DO231" s="485"/>
      <c r="DP231" s="485"/>
      <c r="DQ231" s="485"/>
      <c r="DR231" s="485"/>
      <c r="DS231" s="485"/>
      <c r="DT231" s="485"/>
      <c r="DU231" s="485"/>
      <c r="DV231" s="485"/>
      <c r="DW231" s="485"/>
      <c r="DX231" s="485"/>
      <c r="DY231" s="485"/>
      <c r="DZ231" s="485"/>
      <c r="EA231" s="485"/>
      <c r="EB231" s="485"/>
      <c r="EC231" s="485"/>
      <c r="ED231" s="485"/>
      <c r="EE231" s="485"/>
      <c r="EF231" s="485"/>
      <c r="EG231" s="485"/>
      <c r="EH231" s="485"/>
      <c r="EI231" s="485"/>
      <c r="EJ231" s="485"/>
      <c r="EK231" s="485"/>
      <c r="EL231" s="485"/>
      <c r="EM231" s="485"/>
      <c r="EN231" s="485"/>
      <c r="EO231" s="485"/>
      <c r="EP231" s="485"/>
    </row>
    <row r="232" spans="1:146" ht="15.75">
      <c r="A232" s="591">
        <f t="shared" si="70"/>
        <v>962</v>
      </c>
      <c r="B232" s="630" t="s">
        <v>444</v>
      </c>
      <c r="C232" s="614">
        <v>100</v>
      </c>
      <c r="D232" s="609">
        <v>0</v>
      </c>
      <c r="E232" s="610">
        <v>2.96</v>
      </c>
      <c r="F232" s="678">
        <f>E232</f>
        <v>2.96</v>
      </c>
      <c r="G232" s="683"/>
      <c r="H232" s="664">
        <f t="shared" si="65"/>
        <v>0</v>
      </c>
      <c r="I232" s="444">
        <f t="shared" si="75"/>
        <v>0</v>
      </c>
      <c r="J232" s="444"/>
      <c r="K232" s="616">
        <v>0.1</v>
      </c>
      <c r="L232" s="616">
        <f t="shared" si="66"/>
        <v>0</v>
      </c>
      <c r="M232" s="616"/>
      <c r="N232" s="609">
        <v>0</v>
      </c>
      <c r="O232" s="610">
        <v>2.96</v>
      </c>
      <c r="P232" s="617" t="str">
        <f t="shared" si="67"/>
        <v>---</v>
      </c>
      <c r="Q232" s="618" t="str">
        <f t="shared" si="68"/>
        <v>---</v>
      </c>
      <c r="R232" s="615"/>
      <c r="S232" s="614" t="str">
        <f t="shared" si="69"/>
        <v>OK</v>
      </c>
      <c r="T232" s="619">
        <f>IF(+'2012 Rates'!O440&lt;'2012 Rates'!$B$11,'2012 Rates'!$B$11,+'2012 Rates'!O440)</f>
        <v>3.2504153814512136</v>
      </c>
      <c r="U232" s="447">
        <f t="shared" si="72"/>
        <v>9.8113304544328983E-2</v>
      </c>
      <c r="V232" s="485" t="s">
        <v>340</v>
      </c>
      <c r="W232" s="623">
        <f t="shared" si="76"/>
        <v>0</v>
      </c>
      <c r="X232" s="485"/>
      <c r="Y232" s="485"/>
      <c r="Z232" s="485"/>
      <c r="AA232" s="485"/>
      <c r="AB232" s="485"/>
      <c r="AC232" s="485"/>
      <c r="AD232" s="485"/>
      <c r="AE232" s="485"/>
      <c r="AF232" s="485"/>
      <c r="AG232" s="485"/>
      <c r="AH232" s="485"/>
      <c r="AI232" s="485"/>
      <c r="AJ232" s="485"/>
      <c r="AK232" s="485"/>
      <c r="AL232" s="485"/>
      <c r="AM232" s="485"/>
      <c r="AN232" s="485"/>
      <c r="AO232" s="485"/>
      <c r="AP232" s="485"/>
      <c r="AQ232" s="485"/>
      <c r="AR232" s="485"/>
      <c r="AS232" s="485"/>
      <c r="AT232" s="485"/>
      <c r="AU232" s="485"/>
      <c r="AV232" s="485"/>
      <c r="AW232" s="485"/>
      <c r="AX232" s="485"/>
      <c r="AY232" s="485"/>
      <c r="AZ232" s="485"/>
      <c r="BA232" s="485"/>
      <c r="BB232" s="485"/>
      <c r="BC232" s="485"/>
      <c r="BD232" s="485"/>
      <c r="BE232" s="485"/>
      <c r="BF232" s="485"/>
      <c r="BG232" s="485"/>
      <c r="BH232" s="485"/>
      <c r="BI232" s="485"/>
      <c r="BJ232" s="485"/>
      <c r="BK232" s="485"/>
      <c r="BL232" s="485"/>
      <c r="BM232" s="485"/>
      <c r="BN232" s="485"/>
      <c r="BO232" s="485"/>
      <c r="BP232" s="485"/>
      <c r="BQ232" s="485"/>
      <c r="BR232" s="485"/>
      <c r="BS232" s="485"/>
      <c r="BT232" s="485"/>
      <c r="BU232" s="485"/>
      <c r="BV232" s="485"/>
      <c r="BW232" s="485"/>
      <c r="BX232" s="485"/>
      <c r="BY232" s="485"/>
      <c r="BZ232" s="485"/>
      <c r="CA232" s="485"/>
      <c r="CB232" s="485"/>
      <c r="CC232" s="485"/>
      <c r="CD232" s="485"/>
      <c r="CE232" s="485"/>
      <c r="CF232" s="485"/>
      <c r="CG232" s="485"/>
      <c r="CH232" s="485"/>
      <c r="CI232" s="485"/>
      <c r="CJ232" s="485"/>
      <c r="CK232" s="485"/>
      <c r="CL232" s="485"/>
      <c r="CM232" s="485"/>
      <c r="CN232" s="485"/>
      <c r="CO232" s="485"/>
      <c r="CP232" s="485"/>
      <c r="CQ232" s="485"/>
      <c r="CR232" s="485"/>
      <c r="CS232" s="485"/>
      <c r="CT232" s="485"/>
      <c r="CU232" s="485"/>
      <c r="CV232" s="485"/>
      <c r="CW232" s="485"/>
      <c r="CX232" s="485"/>
      <c r="CY232" s="485"/>
      <c r="CZ232" s="485"/>
      <c r="DA232" s="485"/>
      <c r="DB232" s="485"/>
      <c r="DC232" s="485"/>
      <c r="DD232" s="485"/>
      <c r="DE232" s="485"/>
      <c r="DF232" s="485"/>
      <c r="DG232" s="485"/>
      <c r="DH232" s="485"/>
      <c r="DI232" s="485"/>
      <c r="DJ232" s="485"/>
      <c r="DK232" s="485"/>
      <c r="DL232" s="485"/>
      <c r="DM232" s="485"/>
      <c r="DN232" s="485"/>
      <c r="DO232" s="485"/>
      <c r="DP232" s="485"/>
      <c r="DQ232" s="485"/>
      <c r="DR232" s="485"/>
      <c r="DS232" s="485"/>
      <c r="DT232" s="485"/>
      <c r="DU232" s="485"/>
      <c r="DV232" s="485"/>
      <c r="DW232" s="485"/>
      <c r="DX232" s="485"/>
      <c r="DY232" s="485"/>
      <c r="DZ232" s="485"/>
      <c r="EA232" s="485"/>
      <c r="EB232" s="485"/>
      <c r="EC232" s="485"/>
      <c r="ED232" s="485"/>
      <c r="EE232" s="485"/>
      <c r="EF232" s="485"/>
      <c r="EG232" s="485"/>
      <c r="EH232" s="485"/>
      <c r="EI232" s="485"/>
      <c r="EJ232" s="485"/>
      <c r="EK232" s="485"/>
      <c r="EL232" s="485"/>
      <c r="EM232" s="485"/>
      <c r="EN232" s="485"/>
      <c r="EO232" s="485"/>
      <c r="EP232" s="485"/>
    </row>
    <row r="233" spans="1:146" ht="15.75">
      <c r="A233" s="591">
        <f t="shared" si="70"/>
        <v>963</v>
      </c>
      <c r="B233" s="630" t="s">
        <v>445</v>
      </c>
      <c r="C233" s="614">
        <v>249</v>
      </c>
      <c r="D233" s="609">
        <v>1</v>
      </c>
      <c r="E233" s="610">
        <v>2.96</v>
      </c>
      <c r="F233" s="678">
        <f>E233</f>
        <v>2.96</v>
      </c>
      <c r="G233" s="683"/>
      <c r="H233" s="664">
        <f t="shared" si="65"/>
        <v>0</v>
      </c>
      <c r="I233" s="444">
        <f t="shared" si="75"/>
        <v>0</v>
      </c>
      <c r="J233" s="444"/>
      <c r="K233" s="616">
        <v>0.249</v>
      </c>
      <c r="L233" s="616">
        <f t="shared" si="66"/>
        <v>0</v>
      </c>
      <c r="M233" s="616"/>
      <c r="N233" s="609">
        <v>1</v>
      </c>
      <c r="O233" s="610">
        <v>2.96217</v>
      </c>
      <c r="P233" s="617" t="str">
        <f t="shared" si="67"/>
        <v>---</v>
      </c>
      <c r="Q233" s="618">
        <f t="shared" si="68"/>
        <v>2.1700000000000053E-3</v>
      </c>
      <c r="R233" s="615"/>
      <c r="S233" s="614" t="str">
        <f t="shared" si="69"/>
        <v>OK</v>
      </c>
      <c r="T233" s="619">
        <f>IF(+'2012 Rates'!O441&lt;'2012 Rates'!$B$11,'2012 Rates'!$B$11,+'2012 Rates'!O441)</f>
        <v>3.2504153814512136</v>
      </c>
      <c r="U233" s="447">
        <f t="shared" si="72"/>
        <v>9.8113304544328983E-2</v>
      </c>
      <c r="V233" s="485" t="s">
        <v>340</v>
      </c>
      <c r="W233" s="623">
        <f t="shared" si="76"/>
        <v>0</v>
      </c>
      <c r="X233" s="485"/>
      <c r="Y233" s="485"/>
      <c r="Z233" s="485"/>
      <c r="AA233" s="485"/>
      <c r="AB233" s="485"/>
      <c r="AC233" s="485"/>
      <c r="AD233" s="485"/>
      <c r="AE233" s="485"/>
      <c r="AF233" s="485"/>
      <c r="AG233" s="485"/>
      <c r="AH233" s="485"/>
      <c r="AI233" s="485"/>
      <c r="AJ233" s="485"/>
      <c r="AK233" s="485"/>
      <c r="AL233" s="485"/>
      <c r="AM233" s="485"/>
      <c r="AN233" s="485"/>
      <c r="AO233" s="485"/>
      <c r="AP233" s="485"/>
      <c r="AQ233" s="485"/>
      <c r="AR233" s="485"/>
      <c r="AS233" s="485"/>
      <c r="AT233" s="485"/>
      <c r="AU233" s="485"/>
      <c r="AV233" s="485"/>
      <c r="AW233" s="485"/>
      <c r="AX233" s="485"/>
      <c r="AY233" s="485"/>
      <c r="AZ233" s="485"/>
      <c r="BA233" s="485"/>
      <c r="BB233" s="485"/>
      <c r="BC233" s="485"/>
      <c r="BD233" s="485"/>
      <c r="BE233" s="485"/>
      <c r="BF233" s="485"/>
      <c r="BG233" s="485"/>
      <c r="BH233" s="485"/>
      <c r="BI233" s="485"/>
      <c r="BJ233" s="485"/>
      <c r="BK233" s="485"/>
      <c r="BL233" s="485"/>
      <c r="BM233" s="485"/>
      <c r="BN233" s="485"/>
      <c r="BO233" s="485"/>
      <c r="BP233" s="485"/>
      <c r="BQ233" s="485"/>
      <c r="BR233" s="485"/>
      <c r="BS233" s="485"/>
      <c r="BT233" s="485"/>
      <c r="BU233" s="485"/>
      <c r="BV233" s="485"/>
      <c r="BW233" s="485"/>
      <c r="BX233" s="485"/>
      <c r="BY233" s="485"/>
      <c r="BZ233" s="485"/>
      <c r="CA233" s="485"/>
      <c r="CB233" s="485"/>
      <c r="CC233" s="485"/>
      <c r="CD233" s="485"/>
      <c r="CE233" s="485"/>
      <c r="CF233" s="485"/>
      <c r="CG233" s="485"/>
      <c r="CH233" s="485"/>
      <c r="CI233" s="485"/>
      <c r="CJ233" s="485"/>
      <c r="CK233" s="485"/>
      <c r="CL233" s="485"/>
      <c r="CM233" s="485"/>
      <c r="CN233" s="485"/>
      <c r="CO233" s="485"/>
      <c r="CP233" s="485"/>
      <c r="CQ233" s="485"/>
      <c r="CR233" s="485"/>
      <c r="CS233" s="485"/>
      <c r="CT233" s="485"/>
      <c r="CU233" s="485"/>
      <c r="CV233" s="485"/>
      <c r="CW233" s="485"/>
      <c r="CX233" s="485"/>
      <c r="CY233" s="485"/>
      <c r="CZ233" s="485"/>
      <c r="DA233" s="485"/>
      <c r="DB233" s="485"/>
      <c r="DC233" s="485"/>
      <c r="DD233" s="485"/>
      <c r="DE233" s="485"/>
      <c r="DF233" s="485"/>
      <c r="DG233" s="485"/>
      <c r="DH233" s="485"/>
      <c r="DI233" s="485"/>
      <c r="DJ233" s="485"/>
      <c r="DK233" s="485"/>
      <c r="DL233" s="485"/>
      <c r="DM233" s="485"/>
      <c r="DN233" s="485"/>
      <c r="DO233" s="485"/>
      <c r="DP233" s="485"/>
      <c r="DQ233" s="485"/>
      <c r="DR233" s="485"/>
      <c r="DS233" s="485"/>
      <c r="DT233" s="485"/>
      <c r="DU233" s="485"/>
      <c r="DV233" s="485"/>
      <c r="DW233" s="485"/>
      <c r="DX233" s="485"/>
      <c r="DY233" s="485"/>
      <c r="DZ233" s="485"/>
      <c r="EA233" s="485"/>
      <c r="EB233" s="485"/>
      <c r="EC233" s="485"/>
      <c r="ED233" s="485"/>
      <c r="EE233" s="485"/>
      <c r="EF233" s="485"/>
      <c r="EG233" s="485"/>
      <c r="EH233" s="485"/>
      <c r="EI233" s="485"/>
      <c r="EJ233" s="485"/>
      <c r="EK233" s="485"/>
      <c r="EL233" s="485"/>
      <c r="EM233" s="485"/>
      <c r="EN233" s="485"/>
      <c r="EO233" s="485"/>
      <c r="EP233" s="485"/>
    </row>
    <row r="234" spans="1:146" ht="15.75">
      <c r="A234" s="591">
        <f t="shared" si="70"/>
        <v>964</v>
      </c>
      <c r="B234" s="630" t="s">
        <v>393</v>
      </c>
      <c r="C234" s="614">
        <v>319</v>
      </c>
      <c r="D234" s="609">
        <v>117</v>
      </c>
      <c r="E234" s="610">
        <v>13.1</v>
      </c>
      <c r="F234" s="678">
        <f t="shared" si="71"/>
        <v>12.83207</v>
      </c>
      <c r="G234" s="683">
        <v>21</v>
      </c>
      <c r="H234" s="664">
        <f t="shared" si="65"/>
        <v>29484</v>
      </c>
      <c r="I234" s="444">
        <f t="shared" si="75"/>
        <v>3301.2</v>
      </c>
      <c r="J234" s="444"/>
      <c r="K234" s="616">
        <v>0.35099999999999998</v>
      </c>
      <c r="L234" s="616">
        <f t="shared" si="66"/>
        <v>7.3709999999999996</v>
      </c>
      <c r="M234" s="616"/>
      <c r="N234" s="609">
        <v>117</v>
      </c>
      <c r="O234" s="610">
        <v>13.102949131982905</v>
      </c>
      <c r="P234" s="617" t="str">
        <f t="shared" si="67"/>
        <v>---</v>
      </c>
      <c r="Q234" s="618">
        <f t="shared" si="68"/>
        <v>2.949131982905584E-3</v>
      </c>
      <c r="R234" s="615"/>
      <c r="S234" s="614" t="str">
        <f t="shared" si="69"/>
        <v>OK</v>
      </c>
      <c r="T234" s="451">
        <f>IF(+'2012 Rates'!O442&lt;'2012 Rates'!$B$11,'2012 Rates'!$B$11,+'2012 Rates'!O442)</f>
        <v>14.09</v>
      </c>
      <c r="U234" s="447">
        <f t="shared" si="72"/>
        <v>9.8030169723201332E-2</v>
      </c>
      <c r="V234" s="445" t="s">
        <v>363</v>
      </c>
      <c r="W234" s="623">
        <f t="shared" si="76"/>
        <v>3550.68</v>
      </c>
      <c r="X234" s="485"/>
      <c r="Y234" s="485"/>
      <c r="Z234" s="485"/>
      <c r="AA234" s="485"/>
      <c r="AB234" s="485"/>
      <c r="AC234" s="485"/>
      <c r="AD234" s="485"/>
      <c r="AE234" s="485"/>
      <c r="AF234" s="485"/>
      <c r="AG234" s="485"/>
      <c r="AH234" s="485"/>
      <c r="AI234" s="485"/>
      <c r="AJ234" s="485"/>
      <c r="AK234" s="485"/>
      <c r="AL234" s="485"/>
      <c r="AM234" s="485"/>
      <c r="AN234" s="485"/>
      <c r="AO234" s="485"/>
      <c r="AP234" s="485"/>
      <c r="AQ234" s="485"/>
      <c r="AR234" s="485"/>
      <c r="AS234" s="485"/>
      <c r="AT234" s="485"/>
      <c r="AU234" s="485"/>
      <c r="AV234" s="485"/>
      <c r="AW234" s="485"/>
      <c r="AX234" s="485"/>
      <c r="AY234" s="485"/>
      <c r="AZ234" s="485"/>
      <c r="BA234" s="485"/>
      <c r="BB234" s="485"/>
      <c r="BC234" s="485"/>
      <c r="BD234" s="485"/>
      <c r="BE234" s="485"/>
      <c r="BF234" s="485"/>
      <c r="BG234" s="485"/>
      <c r="BH234" s="485"/>
      <c r="BI234" s="485"/>
      <c r="BJ234" s="485"/>
      <c r="BK234" s="485"/>
      <c r="BL234" s="485"/>
      <c r="BM234" s="485"/>
      <c r="BN234" s="485"/>
      <c r="BO234" s="485"/>
      <c r="BP234" s="485"/>
      <c r="BQ234" s="485"/>
      <c r="BR234" s="485"/>
      <c r="BS234" s="485"/>
      <c r="BT234" s="485"/>
      <c r="BU234" s="485"/>
      <c r="BV234" s="485"/>
      <c r="BW234" s="485"/>
      <c r="BX234" s="485"/>
      <c r="BY234" s="485"/>
      <c r="BZ234" s="485"/>
      <c r="CA234" s="485"/>
      <c r="CB234" s="485"/>
      <c r="CC234" s="485"/>
      <c r="CD234" s="485"/>
      <c r="CE234" s="485"/>
      <c r="CF234" s="485"/>
      <c r="CG234" s="485"/>
      <c r="CH234" s="485"/>
      <c r="CI234" s="485"/>
      <c r="CJ234" s="485"/>
      <c r="CK234" s="485"/>
      <c r="CL234" s="485"/>
      <c r="CM234" s="485"/>
      <c r="CN234" s="485"/>
      <c r="CO234" s="485"/>
      <c r="CP234" s="485"/>
      <c r="CQ234" s="485"/>
      <c r="CR234" s="485"/>
      <c r="CS234" s="485"/>
      <c r="CT234" s="485"/>
      <c r="CU234" s="485"/>
      <c r="CV234" s="485"/>
      <c r="CW234" s="485"/>
      <c r="CX234" s="485"/>
      <c r="CY234" s="485"/>
      <c r="CZ234" s="485"/>
      <c r="DA234" s="485"/>
      <c r="DB234" s="485"/>
      <c r="DC234" s="485"/>
      <c r="DD234" s="485"/>
      <c r="DE234" s="485"/>
      <c r="DF234" s="485"/>
      <c r="DG234" s="485"/>
      <c r="DH234" s="485"/>
      <c r="DI234" s="485"/>
      <c r="DJ234" s="485"/>
      <c r="DK234" s="485"/>
      <c r="DL234" s="485"/>
      <c r="DM234" s="485"/>
      <c r="DN234" s="485"/>
      <c r="DO234" s="485"/>
      <c r="DP234" s="485"/>
      <c r="DQ234" s="485"/>
      <c r="DR234" s="485"/>
      <c r="DS234" s="485"/>
      <c r="DT234" s="485"/>
      <c r="DU234" s="485"/>
      <c r="DV234" s="485"/>
      <c r="DW234" s="485"/>
      <c r="DX234" s="485"/>
      <c r="DY234" s="485"/>
      <c r="DZ234" s="485"/>
      <c r="EA234" s="485"/>
      <c r="EB234" s="485"/>
      <c r="EC234" s="485"/>
      <c r="ED234" s="485"/>
      <c r="EE234" s="485"/>
      <c r="EF234" s="485"/>
      <c r="EG234" s="485"/>
      <c r="EH234" s="485"/>
      <c r="EI234" s="485"/>
      <c r="EJ234" s="485"/>
      <c r="EK234" s="485"/>
      <c r="EL234" s="485"/>
      <c r="EM234" s="485"/>
      <c r="EN234" s="485"/>
      <c r="EO234" s="485"/>
      <c r="EP234" s="485"/>
    </row>
    <row r="235" spans="1:146" ht="15.75">
      <c r="A235" s="462">
        <f t="shared" si="70"/>
        <v>965</v>
      </c>
      <c r="B235" s="629" t="s">
        <v>393</v>
      </c>
      <c r="C235" s="624">
        <v>2420</v>
      </c>
      <c r="D235" s="626">
        <v>807</v>
      </c>
      <c r="E235" s="611">
        <v>90.36</v>
      </c>
      <c r="F235" s="678">
        <f t="shared" si="71"/>
        <v>88.511970000000005</v>
      </c>
      <c r="G235" s="683">
        <v>4</v>
      </c>
      <c r="H235" s="681">
        <f t="shared" ref="H235:H266" si="77">+D235*G235*12</f>
        <v>38736</v>
      </c>
      <c r="I235" s="623">
        <f t="shared" si="75"/>
        <v>4337.28</v>
      </c>
      <c r="J235" s="623"/>
      <c r="K235" s="627">
        <v>2.42</v>
      </c>
      <c r="L235" s="627">
        <f t="shared" ref="L235:L266" si="78">G235*K235</f>
        <v>9.68</v>
      </c>
      <c r="M235" s="627"/>
      <c r="N235" s="609">
        <v>807</v>
      </c>
      <c r="O235" s="610">
        <v>90.359828628292334</v>
      </c>
      <c r="P235" s="617" t="str">
        <f t="shared" ref="P235:P269" si="79">IF(N235=D235,"---",N235-D235)</f>
        <v>---</v>
      </c>
      <c r="Q235" s="618">
        <f t="shared" ref="Q235:Q269" si="80">IF(O235=E235,"---",O235-E235)</f>
        <v>-1.7137170766545751E-4</v>
      </c>
      <c r="R235" s="485"/>
      <c r="S235" s="450" t="str">
        <f t="shared" ref="S235:S269" si="81">IF(N235=D235,"OK",N235)</f>
        <v>OK</v>
      </c>
      <c r="T235" s="451">
        <f>IF(+'2012 Rates'!O443&lt;'2012 Rates'!$B$11,'2012 Rates'!$B$11,+'2012 Rates'!O443)</f>
        <v>97.19</v>
      </c>
      <c r="U235" s="447">
        <f t="shared" si="72"/>
        <v>9.8043575349187062E-2</v>
      </c>
      <c r="V235" s="445"/>
      <c r="W235" s="623">
        <f t="shared" si="76"/>
        <v>4665.12</v>
      </c>
      <c r="X235" s="485"/>
      <c r="Y235" s="485"/>
      <c r="Z235" s="485"/>
      <c r="AA235" s="485"/>
      <c r="AB235" s="485"/>
      <c r="AC235" s="485"/>
      <c r="AD235" s="485"/>
      <c r="AE235" s="485"/>
      <c r="AF235" s="485"/>
      <c r="AG235" s="485"/>
      <c r="AH235" s="485"/>
      <c r="AI235" s="485"/>
      <c r="AJ235" s="485"/>
      <c r="AK235" s="485"/>
      <c r="AL235" s="485"/>
      <c r="AM235" s="485"/>
      <c r="AN235" s="485"/>
      <c r="AO235" s="485"/>
      <c r="AP235" s="485"/>
      <c r="AQ235" s="485"/>
      <c r="AR235" s="485"/>
      <c r="AS235" s="485"/>
      <c r="AT235" s="485"/>
      <c r="AU235" s="485"/>
      <c r="AV235" s="485"/>
      <c r="AW235" s="485"/>
      <c r="AX235" s="485"/>
      <c r="AY235" s="485"/>
      <c r="AZ235" s="485"/>
      <c r="BA235" s="485"/>
      <c r="BB235" s="485"/>
      <c r="BC235" s="485"/>
      <c r="BD235" s="485"/>
      <c r="BE235" s="485"/>
      <c r="BF235" s="485"/>
      <c r="BG235" s="485"/>
      <c r="BH235" s="485"/>
      <c r="BI235" s="485"/>
      <c r="BJ235" s="485"/>
      <c r="BK235" s="485"/>
      <c r="BL235" s="485"/>
      <c r="BM235" s="485"/>
      <c r="BN235" s="485"/>
      <c r="BO235" s="485"/>
      <c r="BP235" s="485"/>
      <c r="BQ235" s="485"/>
      <c r="BR235" s="485"/>
      <c r="BS235" s="485"/>
      <c r="BT235" s="485"/>
      <c r="BU235" s="485"/>
      <c r="BV235" s="485"/>
      <c r="BW235" s="485"/>
      <c r="BX235" s="485"/>
      <c r="BY235" s="485"/>
      <c r="BZ235" s="485"/>
      <c r="CA235" s="485"/>
      <c r="CB235" s="485"/>
      <c r="CC235" s="485"/>
      <c r="CD235" s="485"/>
      <c r="CE235" s="485"/>
      <c r="CF235" s="485"/>
      <c r="CG235" s="485"/>
      <c r="CH235" s="485"/>
      <c r="CI235" s="485"/>
      <c r="CJ235" s="485"/>
      <c r="CK235" s="485"/>
      <c r="CL235" s="485"/>
      <c r="CM235" s="485"/>
      <c r="CN235" s="485"/>
      <c r="CO235" s="485"/>
      <c r="CP235" s="485"/>
      <c r="CQ235" s="485"/>
      <c r="CR235" s="485"/>
      <c r="CS235" s="485"/>
      <c r="CT235" s="485"/>
      <c r="CU235" s="485"/>
      <c r="CV235" s="485"/>
      <c r="CW235" s="485"/>
      <c r="CX235" s="485"/>
      <c r="CY235" s="485"/>
      <c r="CZ235" s="485"/>
      <c r="DA235" s="485"/>
      <c r="DB235" s="485"/>
      <c r="DC235" s="485"/>
      <c r="DD235" s="485"/>
      <c r="DE235" s="485"/>
      <c r="DF235" s="485"/>
      <c r="DG235" s="485"/>
      <c r="DH235" s="485"/>
      <c r="DI235" s="485"/>
      <c r="DJ235" s="485"/>
      <c r="DK235" s="485"/>
      <c r="DL235" s="485"/>
      <c r="DM235" s="485"/>
      <c r="DN235" s="485"/>
      <c r="DO235" s="485"/>
      <c r="DP235" s="485"/>
      <c r="DQ235" s="485"/>
      <c r="DR235" s="485"/>
      <c r="DS235" s="485"/>
      <c r="DT235" s="485"/>
      <c r="DU235" s="485"/>
      <c r="DV235" s="485"/>
      <c r="DW235" s="485"/>
      <c r="DX235" s="485"/>
      <c r="DY235" s="485"/>
      <c r="DZ235" s="485"/>
      <c r="EA235" s="485"/>
      <c r="EB235" s="485"/>
      <c r="EC235" s="485"/>
      <c r="ED235" s="485"/>
      <c r="EE235" s="485"/>
      <c r="EF235" s="485"/>
      <c r="EG235" s="485"/>
      <c r="EH235" s="485"/>
      <c r="EI235" s="485"/>
      <c r="EJ235" s="485"/>
      <c r="EK235" s="485"/>
      <c r="EL235" s="485"/>
      <c r="EM235" s="485"/>
      <c r="EN235" s="485"/>
      <c r="EO235" s="485"/>
      <c r="EP235" s="485"/>
    </row>
    <row r="236" spans="1:146" ht="15.75">
      <c r="A236" s="462">
        <f t="shared" ref="A236:A269" si="82">+A235+1</f>
        <v>966</v>
      </c>
      <c r="B236" s="467" t="s">
        <v>446</v>
      </c>
      <c r="C236" s="624">
        <v>6500</v>
      </c>
      <c r="D236" s="626">
        <v>845</v>
      </c>
      <c r="E236" s="611">
        <v>139.4</v>
      </c>
      <c r="F236" s="678">
        <f t="shared" si="71"/>
        <v>137.46495000000002</v>
      </c>
      <c r="G236" s="683">
        <v>1</v>
      </c>
      <c r="H236" s="681">
        <f t="shared" si="77"/>
        <v>10140</v>
      </c>
      <c r="I236" s="623">
        <f t="shared" si="75"/>
        <v>1672.8000000000002</v>
      </c>
      <c r="J236" s="623"/>
      <c r="K236" s="627">
        <v>6.5</v>
      </c>
      <c r="L236" s="627">
        <f t="shared" si="78"/>
        <v>6.5</v>
      </c>
      <c r="M236" s="627"/>
      <c r="N236" s="609">
        <v>845</v>
      </c>
      <c r="O236" s="610">
        <v>139.40241039765434</v>
      </c>
      <c r="P236" s="617" t="str">
        <f t="shared" si="79"/>
        <v>---</v>
      </c>
      <c r="Q236" s="618">
        <f t="shared" si="80"/>
        <v>2.4103976543301542E-3</v>
      </c>
      <c r="R236" s="485"/>
      <c r="S236" s="624" t="str">
        <f t="shared" si="81"/>
        <v>OK</v>
      </c>
      <c r="T236" s="451">
        <f>IF(+'2012 Rates'!O444&lt;'2012 Rates'!$B$11,'2012 Rates'!$B$11,+'2012 Rates'!O444)</f>
        <v>150.96</v>
      </c>
      <c r="U236" s="447">
        <f t="shared" si="72"/>
        <v>9.8170842822115745E-2</v>
      </c>
      <c r="V236" s="485"/>
      <c r="W236" s="623">
        <f t="shared" si="76"/>
        <v>1811.52</v>
      </c>
      <c r="X236" s="485"/>
      <c r="Y236" s="485"/>
      <c r="Z236" s="485"/>
      <c r="AA236" s="485"/>
      <c r="AB236" s="485"/>
      <c r="AC236" s="485"/>
      <c r="AD236" s="485"/>
      <c r="AE236" s="485"/>
      <c r="AF236" s="485"/>
      <c r="AG236" s="485"/>
      <c r="AH236" s="485"/>
      <c r="AI236" s="485"/>
      <c r="AJ236" s="485"/>
      <c r="AK236" s="485"/>
      <c r="AL236" s="485"/>
      <c r="AM236" s="485"/>
      <c r="AN236" s="485"/>
      <c r="AO236" s="485"/>
      <c r="AP236" s="485"/>
      <c r="AQ236" s="485"/>
      <c r="AR236" s="485"/>
      <c r="AS236" s="485"/>
      <c r="AT236" s="485"/>
      <c r="AU236" s="485"/>
      <c r="AV236" s="485"/>
      <c r="AW236" s="485"/>
      <c r="AX236" s="485"/>
      <c r="AY236" s="485"/>
      <c r="AZ236" s="485"/>
      <c r="BA236" s="485"/>
      <c r="BB236" s="485"/>
      <c r="BC236" s="485"/>
      <c r="BD236" s="485"/>
      <c r="BE236" s="485"/>
      <c r="BF236" s="485"/>
      <c r="BG236" s="485"/>
      <c r="BH236" s="485"/>
      <c r="BI236" s="485"/>
      <c r="BJ236" s="485"/>
      <c r="BK236" s="485"/>
      <c r="BL236" s="485"/>
      <c r="BM236" s="485"/>
      <c r="BN236" s="485"/>
      <c r="BO236" s="485"/>
      <c r="BP236" s="485"/>
      <c r="BQ236" s="485"/>
      <c r="BR236" s="485"/>
      <c r="BS236" s="485"/>
      <c r="BT236" s="485"/>
      <c r="BU236" s="485"/>
      <c r="BV236" s="485"/>
      <c r="BW236" s="485"/>
      <c r="BX236" s="485"/>
      <c r="BY236" s="485"/>
      <c r="BZ236" s="485"/>
      <c r="CA236" s="485"/>
      <c r="CB236" s="485"/>
      <c r="CC236" s="485"/>
      <c r="CD236" s="485"/>
      <c r="CE236" s="485"/>
      <c r="CF236" s="485"/>
      <c r="CG236" s="485"/>
      <c r="CH236" s="485"/>
      <c r="CI236" s="485"/>
      <c r="CJ236" s="485"/>
      <c r="CK236" s="485"/>
      <c r="CL236" s="485"/>
      <c r="CM236" s="485"/>
      <c r="CN236" s="485"/>
      <c r="CO236" s="485"/>
      <c r="CP236" s="485"/>
      <c r="CQ236" s="485"/>
      <c r="CR236" s="485"/>
      <c r="CS236" s="485"/>
      <c r="CT236" s="485"/>
      <c r="CU236" s="485"/>
      <c r="CV236" s="485"/>
      <c r="CW236" s="485"/>
      <c r="CX236" s="485"/>
      <c r="CY236" s="485"/>
      <c r="CZ236" s="485"/>
      <c r="DA236" s="485"/>
      <c r="DB236" s="485"/>
      <c r="DC236" s="485"/>
      <c r="DD236" s="485"/>
      <c r="DE236" s="485"/>
      <c r="DF236" s="485"/>
      <c r="DG236" s="485"/>
      <c r="DH236" s="485"/>
      <c r="DI236" s="485"/>
      <c r="DJ236" s="485"/>
      <c r="DK236" s="485"/>
      <c r="DL236" s="485"/>
      <c r="DM236" s="485"/>
      <c r="DN236" s="485"/>
      <c r="DO236" s="485"/>
      <c r="DP236" s="485"/>
      <c r="DQ236" s="485"/>
      <c r="DR236" s="485"/>
      <c r="DS236" s="485"/>
      <c r="DT236" s="485"/>
      <c r="DU236" s="485"/>
      <c r="DV236" s="485"/>
      <c r="DW236" s="485"/>
      <c r="DX236" s="485"/>
      <c r="DY236" s="485"/>
      <c r="DZ236" s="485"/>
      <c r="EA236" s="485"/>
      <c r="EB236" s="485"/>
      <c r="EC236" s="485"/>
      <c r="ED236" s="485"/>
      <c r="EE236" s="485"/>
      <c r="EF236" s="485"/>
      <c r="EG236" s="485"/>
      <c r="EH236" s="485"/>
      <c r="EI236" s="485"/>
      <c r="EJ236" s="485"/>
      <c r="EK236" s="485"/>
      <c r="EL236" s="485"/>
      <c r="EM236" s="485"/>
      <c r="EN236" s="485"/>
      <c r="EO236" s="485"/>
      <c r="EP236" s="485"/>
    </row>
    <row r="237" spans="1:146" ht="15.75">
      <c r="A237" s="462">
        <f t="shared" si="82"/>
        <v>967</v>
      </c>
      <c r="B237" s="467" t="s">
        <v>447</v>
      </c>
      <c r="C237" s="624">
        <v>2500</v>
      </c>
      <c r="D237" s="626">
        <v>1320</v>
      </c>
      <c r="E237" s="611">
        <v>125.87</v>
      </c>
      <c r="F237" s="678">
        <f t="shared" si="71"/>
        <v>122.8472</v>
      </c>
      <c r="G237" s="683"/>
      <c r="H237" s="681">
        <f t="shared" si="77"/>
        <v>0</v>
      </c>
      <c r="I237" s="623">
        <f t="shared" si="75"/>
        <v>0</v>
      </c>
      <c r="J237" s="623"/>
      <c r="K237" s="627">
        <v>2.5</v>
      </c>
      <c r="L237" s="627">
        <f t="shared" si="78"/>
        <v>0</v>
      </c>
      <c r="M237" s="627"/>
      <c r="N237" s="609">
        <v>1320</v>
      </c>
      <c r="O237" s="610">
        <v>125.86968251467896</v>
      </c>
      <c r="P237" s="617" t="str">
        <f t="shared" si="79"/>
        <v>---</v>
      </c>
      <c r="Q237" s="618">
        <f t="shared" si="80"/>
        <v>-3.1748532104813876E-4</v>
      </c>
      <c r="R237" s="485"/>
      <c r="S237" s="624" t="str">
        <f t="shared" si="81"/>
        <v>OK</v>
      </c>
      <c r="T237" s="451">
        <f>IF(+'2012 Rates'!P445&lt;'2012 Rates'!$B$11,'2012 Rates'!$B$11,+'2012 Rates'!P445)</f>
        <v>134.88999999999999</v>
      </c>
      <c r="U237" s="447">
        <f t="shared" si="72"/>
        <v>9.8030724346993559E-2</v>
      </c>
      <c r="V237" s="485"/>
      <c r="W237" s="623">
        <f t="shared" si="76"/>
        <v>0</v>
      </c>
      <c r="X237" s="485"/>
      <c r="Y237" s="485"/>
      <c r="Z237" s="485"/>
      <c r="AA237" s="485"/>
      <c r="AB237" s="485"/>
      <c r="AC237" s="485"/>
      <c r="AD237" s="485"/>
      <c r="AE237" s="485"/>
      <c r="AF237" s="485"/>
      <c r="AG237" s="485"/>
      <c r="AH237" s="485"/>
      <c r="AI237" s="485"/>
      <c r="AJ237" s="485"/>
      <c r="AK237" s="485"/>
      <c r="AL237" s="485"/>
      <c r="AM237" s="485"/>
      <c r="AN237" s="485"/>
      <c r="AO237" s="485"/>
      <c r="AP237" s="485"/>
      <c r="AQ237" s="485"/>
      <c r="AR237" s="485"/>
      <c r="AS237" s="485"/>
      <c r="AT237" s="485"/>
      <c r="AU237" s="485"/>
      <c r="AV237" s="485"/>
      <c r="AW237" s="485"/>
      <c r="AX237" s="485"/>
      <c r="AY237" s="485"/>
      <c r="AZ237" s="485"/>
      <c r="BA237" s="485"/>
      <c r="BB237" s="485"/>
      <c r="BC237" s="485"/>
      <c r="BD237" s="485"/>
      <c r="BE237" s="485"/>
      <c r="BF237" s="485"/>
      <c r="BG237" s="485"/>
      <c r="BH237" s="485"/>
      <c r="BI237" s="485"/>
      <c r="BJ237" s="485"/>
      <c r="BK237" s="485"/>
      <c r="BL237" s="485"/>
      <c r="BM237" s="485"/>
      <c r="BN237" s="485"/>
      <c r="BO237" s="485"/>
      <c r="BP237" s="485"/>
      <c r="BQ237" s="485"/>
      <c r="BR237" s="485"/>
      <c r="BS237" s="485"/>
      <c r="BT237" s="485"/>
      <c r="BU237" s="485"/>
      <c r="BV237" s="485"/>
      <c r="BW237" s="485"/>
      <c r="BX237" s="485"/>
      <c r="BY237" s="485"/>
      <c r="BZ237" s="485"/>
      <c r="CA237" s="485"/>
      <c r="CB237" s="485"/>
      <c r="CC237" s="485"/>
      <c r="CD237" s="485"/>
      <c r="CE237" s="485"/>
      <c r="CF237" s="485"/>
      <c r="CG237" s="485"/>
      <c r="CH237" s="485"/>
      <c r="CI237" s="485"/>
      <c r="CJ237" s="485"/>
      <c r="CK237" s="485"/>
      <c r="CL237" s="485"/>
      <c r="CM237" s="485"/>
      <c r="CN237" s="485"/>
      <c r="CO237" s="485"/>
      <c r="CP237" s="485"/>
      <c r="CQ237" s="485"/>
      <c r="CR237" s="485"/>
      <c r="CS237" s="485"/>
      <c r="CT237" s="485"/>
      <c r="CU237" s="485"/>
      <c r="CV237" s="485"/>
      <c r="CW237" s="485"/>
      <c r="CX237" s="485"/>
      <c r="CY237" s="485"/>
      <c r="CZ237" s="485"/>
      <c r="DA237" s="485"/>
      <c r="DB237" s="485"/>
      <c r="DC237" s="485"/>
      <c r="DD237" s="485"/>
      <c r="DE237" s="485"/>
      <c r="DF237" s="485"/>
      <c r="DG237" s="485"/>
      <c r="DH237" s="485"/>
      <c r="DI237" s="485"/>
      <c r="DJ237" s="485"/>
      <c r="DK237" s="485"/>
      <c r="DL237" s="485"/>
      <c r="DM237" s="485"/>
      <c r="DN237" s="485"/>
      <c r="DO237" s="485"/>
      <c r="DP237" s="485"/>
      <c r="DQ237" s="485"/>
      <c r="DR237" s="485"/>
      <c r="DS237" s="485"/>
      <c r="DT237" s="485"/>
      <c r="DU237" s="485"/>
      <c r="DV237" s="485"/>
      <c r="DW237" s="485"/>
      <c r="DX237" s="485"/>
      <c r="DY237" s="485"/>
      <c r="DZ237" s="485"/>
      <c r="EA237" s="485"/>
      <c r="EB237" s="485"/>
      <c r="EC237" s="485"/>
      <c r="ED237" s="485"/>
      <c r="EE237" s="485"/>
      <c r="EF237" s="485"/>
      <c r="EG237" s="485"/>
      <c r="EH237" s="485"/>
      <c r="EI237" s="485"/>
      <c r="EJ237" s="485"/>
      <c r="EK237" s="485"/>
      <c r="EL237" s="485"/>
      <c r="EM237" s="485"/>
      <c r="EN237" s="485"/>
      <c r="EO237" s="485"/>
      <c r="EP237" s="485"/>
    </row>
    <row r="238" spans="1:146" ht="15.75">
      <c r="A238" s="462">
        <f t="shared" si="82"/>
        <v>968</v>
      </c>
      <c r="B238" s="629" t="s">
        <v>403</v>
      </c>
      <c r="C238" s="624">
        <v>473</v>
      </c>
      <c r="D238" s="626">
        <v>345</v>
      </c>
      <c r="E238" s="611">
        <v>30.19</v>
      </c>
      <c r="F238" s="678">
        <f t="shared" si="71"/>
        <v>29.39995</v>
      </c>
      <c r="G238" s="683">
        <v>5</v>
      </c>
      <c r="H238" s="681">
        <f t="shared" si="77"/>
        <v>20700</v>
      </c>
      <c r="I238" s="623">
        <f t="shared" si="75"/>
        <v>1811.4</v>
      </c>
      <c r="J238" s="623"/>
      <c r="K238" s="627">
        <v>0.47299999999999998</v>
      </c>
      <c r="L238" s="627">
        <f t="shared" si="78"/>
        <v>2.3649999999999998</v>
      </c>
      <c r="M238" s="627">
        <f>+L238</f>
        <v>2.3649999999999998</v>
      </c>
      <c r="N238" s="609">
        <v>345</v>
      </c>
      <c r="O238" s="610">
        <v>30.188439748154725</v>
      </c>
      <c r="P238" s="617" t="str">
        <f t="shared" si="79"/>
        <v>---</v>
      </c>
      <c r="Q238" s="618">
        <f t="shared" si="80"/>
        <v>-1.560251845276639E-3</v>
      </c>
      <c r="R238" s="485"/>
      <c r="S238" s="624" t="str">
        <f t="shared" si="81"/>
        <v>OK</v>
      </c>
      <c r="T238" s="451">
        <f>IF(+'2012 Rates'!P446&lt;'2012 Rates'!$B$11,'2012 Rates'!$B$11,+'2012 Rates'!P446)</f>
        <v>32.299999999999997</v>
      </c>
      <c r="U238" s="447">
        <f t="shared" si="72"/>
        <v>9.8641324219939097E-2</v>
      </c>
      <c r="V238" s="485"/>
      <c r="W238" s="623">
        <f t="shared" si="76"/>
        <v>1938</v>
      </c>
      <c r="X238" s="485"/>
      <c r="Y238" s="485"/>
      <c r="Z238" s="485"/>
      <c r="AA238" s="485"/>
      <c r="AB238" s="485"/>
      <c r="AC238" s="485"/>
      <c r="AD238" s="485"/>
      <c r="AE238" s="485"/>
      <c r="AF238" s="485"/>
      <c r="AG238" s="485"/>
      <c r="AH238" s="485"/>
      <c r="AI238" s="485"/>
      <c r="AJ238" s="485"/>
      <c r="AK238" s="485"/>
      <c r="AL238" s="485"/>
      <c r="AM238" s="485"/>
      <c r="AN238" s="485"/>
      <c r="AO238" s="485"/>
      <c r="AP238" s="485"/>
      <c r="AQ238" s="485"/>
      <c r="AR238" s="485"/>
      <c r="AS238" s="485"/>
      <c r="AT238" s="485"/>
      <c r="AU238" s="485"/>
      <c r="AV238" s="485"/>
      <c r="AW238" s="485"/>
      <c r="AX238" s="485"/>
      <c r="AY238" s="485"/>
      <c r="AZ238" s="485"/>
      <c r="BA238" s="485"/>
      <c r="BB238" s="485"/>
      <c r="BC238" s="485"/>
      <c r="BD238" s="485"/>
      <c r="BE238" s="485"/>
      <c r="BF238" s="485"/>
      <c r="BG238" s="485"/>
      <c r="BH238" s="485"/>
      <c r="BI238" s="485"/>
      <c r="BJ238" s="485"/>
      <c r="BK238" s="485"/>
      <c r="BL238" s="485"/>
      <c r="BM238" s="485"/>
      <c r="BN238" s="485"/>
      <c r="BO238" s="485"/>
      <c r="BP238" s="485"/>
      <c r="BQ238" s="485"/>
      <c r="BR238" s="485"/>
      <c r="BS238" s="485"/>
      <c r="BT238" s="485"/>
      <c r="BU238" s="485"/>
      <c r="BV238" s="485"/>
      <c r="BW238" s="485"/>
      <c r="BX238" s="485"/>
      <c r="BY238" s="485"/>
      <c r="BZ238" s="485"/>
      <c r="CA238" s="485"/>
      <c r="CB238" s="485"/>
      <c r="CC238" s="485"/>
      <c r="CD238" s="485"/>
      <c r="CE238" s="485"/>
      <c r="CF238" s="485"/>
      <c r="CG238" s="485"/>
      <c r="CH238" s="485"/>
      <c r="CI238" s="485"/>
      <c r="CJ238" s="485"/>
      <c r="CK238" s="485"/>
      <c r="CL238" s="485"/>
      <c r="CM238" s="485"/>
      <c r="CN238" s="485"/>
      <c r="CO238" s="485"/>
      <c r="CP238" s="485"/>
      <c r="CQ238" s="485"/>
      <c r="CR238" s="485"/>
      <c r="CS238" s="485"/>
      <c r="CT238" s="485"/>
      <c r="CU238" s="485"/>
      <c r="CV238" s="485"/>
      <c r="CW238" s="485"/>
      <c r="CX238" s="485"/>
      <c r="CY238" s="485"/>
      <c r="CZ238" s="485"/>
      <c r="DA238" s="485"/>
      <c r="DB238" s="485"/>
      <c r="DC238" s="485"/>
      <c r="DD238" s="485"/>
      <c r="DE238" s="485"/>
      <c r="DF238" s="485"/>
      <c r="DG238" s="485"/>
      <c r="DH238" s="485"/>
      <c r="DI238" s="485"/>
      <c r="DJ238" s="485"/>
      <c r="DK238" s="485"/>
      <c r="DL238" s="485"/>
      <c r="DM238" s="485"/>
      <c r="DN238" s="485"/>
      <c r="DO238" s="485"/>
      <c r="DP238" s="485"/>
      <c r="DQ238" s="485"/>
      <c r="DR238" s="485"/>
      <c r="DS238" s="485"/>
      <c r="DT238" s="485"/>
      <c r="DU238" s="485"/>
      <c r="DV238" s="485"/>
      <c r="DW238" s="485"/>
      <c r="DX238" s="485"/>
      <c r="DY238" s="485"/>
      <c r="DZ238" s="485"/>
      <c r="EA238" s="485"/>
      <c r="EB238" s="485"/>
      <c r="EC238" s="485"/>
      <c r="ED238" s="485"/>
      <c r="EE238" s="485"/>
      <c r="EF238" s="485"/>
      <c r="EG238" s="485"/>
      <c r="EH238" s="485"/>
      <c r="EI238" s="485"/>
      <c r="EJ238" s="485"/>
      <c r="EK238" s="485"/>
      <c r="EL238" s="485"/>
      <c r="EM238" s="485"/>
      <c r="EN238" s="485"/>
      <c r="EO238" s="485"/>
      <c r="EP238" s="485"/>
    </row>
    <row r="239" spans="1:146" ht="15.75">
      <c r="A239" s="462">
        <f t="shared" si="82"/>
        <v>969</v>
      </c>
      <c r="B239" s="629" t="s">
        <v>393</v>
      </c>
      <c r="C239" s="624">
        <v>1488</v>
      </c>
      <c r="D239" s="626">
        <v>496</v>
      </c>
      <c r="E239" s="611">
        <v>55.55</v>
      </c>
      <c r="F239" s="678">
        <f t="shared" si="71"/>
        <v>54.414159999999995</v>
      </c>
      <c r="G239" s="683">
        <v>3</v>
      </c>
      <c r="H239" s="681">
        <f t="shared" si="77"/>
        <v>17856</v>
      </c>
      <c r="I239" s="623">
        <f t="shared" si="75"/>
        <v>1999.7999999999997</v>
      </c>
      <c r="J239" s="623"/>
      <c r="K239" s="627">
        <v>1.488</v>
      </c>
      <c r="L239" s="627">
        <f t="shared" si="78"/>
        <v>4.4640000000000004</v>
      </c>
      <c r="M239" s="627"/>
      <c r="N239" s="609">
        <v>496</v>
      </c>
      <c r="O239" s="610">
        <v>55.5536988843036</v>
      </c>
      <c r="P239" s="617" t="str">
        <f t="shared" si="79"/>
        <v>---</v>
      </c>
      <c r="Q239" s="618">
        <f t="shared" si="80"/>
        <v>3.6988843036027674E-3</v>
      </c>
      <c r="R239" s="485"/>
      <c r="S239" s="624" t="str">
        <f t="shared" si="81"/>
        <v>OK</v>
      </c>
      <c r="T239" s="451">
        <f>IF(+'2012 Rates'!O447&lt;'2012 Rates'!$B$11,'2012 Rates'!$B$11,+'2012 Rates'!O447)</f>
        <v>59.769999999999996</v>
      </c>
      <c r="U239" s="447">
        <f t="shared" si="72"/>
        <v>9.8427321123766287E-2</v>
      </c>
      <c r="V239" s="485"/>
      <c r="W239" s="623">
        <f t="shared" si="76"/>
        <v>2151.7200000000003</v>
      </c>
      <c r="X239" s="485"/>
      <c r="Y239" s="485"/>
      <c r="Z239" s="485"/>
      <c r="AA239" s="485"/>
      <c r="AB239" s="485"/>
      <c r="AC239" s="485"/>
      <c r="AD239" s="485"/>
      <c r="AE239" s="485"/>
      <c r="AF239" s="485"/>
      <c r="AG239" s="485"/>
      <c r="AH239" s="485"/>
      <c r="AI239" s="485"/>
      <c r="AJ239" s="485"/>
      <c r="AK239" s="485"/>
      <c r="AL239" s="485"/>
      <c r="AM239" s="485"/>
      <c r="AN239" s="485"/>
      <c r="AO239" s="485"/>
      <c r="AP239" s="485"/>
      <c r="AQ239" s="485"/>
      <c r="AR239" s="485"/>
      <c r="AS239" s="485"/>
      <c r="AT239" s="485"/>
      <c r="AU239" s="485"/>
      <c r="AV239" s="485"/>
      <c r="AW239" s="485"/>
      <c r="AX239" s="485"/>
      <c r="AY239" s="485"/>
      <c r="AZ239" s="485"/>
      <c r="BA239" s="485"/>
      <c r="BB239" s="485"/>
      <c r="BC239" s="485"/>
      <c r="BD239" s="485"/>
      <c r="BE239" s="485"/>
      <c r="BF239" s="485"/>
      <c r="BG239" s="485"/>
      <c r="BH239" s="485"/>
      <c r="BI239" s="485"/>
      <c r="BJ239" s="485"/>
      <c r="BK239" s="485"/>
      <c r="BL239" s="485"/>
      <c r="BM239" s="485"/>
      <c r="BN239" s="485"/>
      <c r="BO239" s="485"/>
      <c r="BP239" s="485"/>
      <c r="BQ239" s="485"/>
      <c r="BR239" s="485"/>
      <c r="BS239" s="485"/>
      <c r="BT239" s="485"/>
      <c r="BU239" s="485"/>
      <c r="BV239" s="485"/>
      <c r="BW239" s="485"/>
      <c r="BX239" s="485"/>
      <c r="BY239" s="485"/>
      <c r="BZ239" s="485"/>
      <c r="CA239" s="485"/>
      <c r="CB239" s="485"/>
      <c r="CC239" s="485"/>
      <c r="CD239" s="485"/>
      <c r="CE239" s="485"/>
      <c r="CF239" s="485"/>
      <c r="CG239" s="485"/>
      <c r="CH239" s="485"/>
      <c r="CI239" s="485"/>
      <c r="CJ239" s="485"/>
      <c r="CK239" s="485"/>
      <c r="CL239" s="485"/>
      <c r="CM239" s="485"/>
      <c r="CN239" s="485"/>
      <c r="CO239" s="485"/>
      <c r="CP239" s="485"/>
      <c r="CQ239" s="485"/>
      <c r="CR239" s="485"/>
      <c r="CS239" s="485"/>
      <c r="CT239" s="485"/>
      <c r="CU239" s="485"/>
      <c r="CV239" s="485"/>
      <c r="CW239" s="485"/>
      <c r="CX239" s="485"/>
      <c r="CY239" s="485"/>
      <c r="CZ239" s="485"/>
      <c r="DA239" s="485"/>
      <c r="DB239" s="485"/>
      <c r="DC239" s="485"/>
      <c r="DD239" s="485"/>
      <c r="DE239" s="485"/>
      <c r="DF239" s="485"/>
      <c r="DG239" s="485"/>
      <c r="DH239" s="485"/>
      <c r="DI239" s="485"/>
      <c r="DJ239" s="485"/>
      <c r="DK239" s="485"/>
      <c r="DL239" s="485"/>
      <c r="DM239" s="485"/>
      <c r="DN239" s="485"/>
      <c r="DO239" s="485"/>
      <c r="DP239" s="485"/>
      <c r="DQ239" s="485"/>
      <c r="DR239" s="485"/>
      <c r="DS239" s="485"/>
      <c r="DT239" s="485"/>
      <c r="DU239" s="485"/>
      <c r="DV239" s="485"/>
      <c r="DW239" s="485"/>
      <c r="DX239" s="485"/>
      <c r="DY239" s="485"/>
      <c r="DZ239" s="485"/>
      <c r="EA239" s="485"/>
      <c r="EB239" s="485"/>
      <c r="EC239" s="485"/>
      <c r="ED239" s="485"/>
      <c r="EE239" s="485"/>
      <c r="EF239" s="485"/>
      <c r="EG239" s="485"/>
      <c r="EH239" s="485"/>
      <c r="EI239" s="485"/>
      <c r="EJ239" s="485"/>
      <c r="EK239" s="485"/>
      <c r="EL239" s="485"/>
      <c r="EM239" s="485"/>
      <c r="EN239" s="485"/>
      <c r="EO239" s="485"/>
      <c r="EP239" s="485"/>
    </row>
    <row r="240" spans="1:146" ht="15.75">
      <c r="A240" s="462">
        <f t="shared" si="82"/>
        <v>970</v>
      </c>
      <c r="B240" s="629" t="s">
        <v>393</v>
      </c>
      <c r="C240" s="624">
        <v>3200</v>
      </c>
      <c r="D240" s="626">
        <v>1067</v>
      </c>
      <c r="E240" s="611">
        <v>119.48</v>
      </c>
      <c r="F240" s="678">
        <f t="shared" si="71"/>
        <v>117.03657</v>
      </c>
      <c r="G240" s="683">
        <v>2</v>
      </c>
      <c r="H240" s="681">
        <f t="shared" si="77"/>
        <v>25608</v>
      </c>
      <c r="I240" s="623">
        <f t="shared" si="75"/>
        <v>2867.52</v>
      </c>
      <c r="J240" s="623"/>
      <c r="K240" s="627">
        <v>3.2</v>
      </c>
      <c r="L240" s="627">
        <f t="shared" si="78"/>
        <v>6.4</v>
      </c>
      <c r="M240" s="627"/>
      <c r="N240" s="609">
        <v>1067</v>
      </c>
      <c r="O240" s="610">
        <v>119.47749336603215</v>
      </c>
      <c r="P240" s="617" t="str">
        <f t="shared" si="79"/>
        <v>---</v>
      </c>
      <c r="Q240" s="618">
        <f t="shared" si="80"/>
        <v>-2.5066339678545546E-3</v>
      </c>
      <c r="R240" s="485"/>
      <c r="S240" s="624" t="str">
        <f t="shared" si="81"/>
        <v>OK</v>
      </c>
      <c r="T240" s="451">
        <f>IF(+'2012 Rates'!O448&lt;'2012 Rates'!$B$11,'2012 Rates'!$B$11,+'2012 Rates'!O448)</f>
        <v>128.51999999999998</v>
      </c>
      <c r="U240" s="447">
        <f t="shared" si="72"/>
        <v>9.8118306098683439E-2</v>
      </c>
      <c r="V240" s="485"/>
      <c r="W240" s="623">
        <f t="shared" si="76"/>
        <v>3084.4799999999996</v>
      </c>
      <c r="X240" s="485"/>
      <c r="Y240" s="485"/>
      <c r="Z240" s="485"/>
      <c r="AA240" s="485"/>
      <c r="AB240" s="485"/>
      <c r="AC240" s="485"/>
      <c r="AD240" s="485"/>
      <c r="AE240" s="485"/>
      <c r="AF240" s="485"/>
      <c r="AG240" s="485"/>
      <c r="AH240" s="485"/>
      <c r="AI240" s="485"/>
      <c r="AJ240" s="485"/>
      <c r="AK240" s="485"/>
      <c r="AL240" s="485"/>
      <c r="AM240" s="485"/>
      <c r="AN240" s="485"/>
      <c r="AO240" s="485"/>
      <c r="AP240" s="485"/>
      <c r="AQ240" s="485"/>
      <c r="AR240" s="485"/>
      <c r="AS240" s="485"/>
      <c r="AT240" s="485"/>
      <c r="AU240" s="485"/>
      <c r="AV240" s="485"/>
      <c r="AW240" s="485"/>
      <c r="AX240" s="485"/>
      <c r="AY240" s="485"/>
      <c r="AZ240" s="485"/>
      <c r="BA240" s="485"/>
      <c r="BB240" s="485"/>
      <c r="BC240" s="485"/>
      <c r="BD240" s="485"/>
      <c r="BE240" s="485"/>
      <c r="BF240" s="485"/>
      <c r="BG240" s="485"/>
      <c r="BH240" s="485"/>
      <c r="BI240" s="485"/>
      <c r="BJ240" s="485"/>
      <c r="BK240" s="485"/>
      <c r="BL240" s="485"/>
      <c r="BM240" s="485"/>
      <c r="BN240" s="485"/>
      <c r="BO240" s="485"/>
      <c r="BP240" s="485"/>
      <c r="BQ240" s="485"/>
      <c r="BR240" s="485"/>
      <c r="BS240" s="485"/>
      <c r="BT240" s="485"/>
      <c r="BU240" s="485"/>
      <c r="BV240" s="485"/>
      <c r="BW240" s="485"/>
      <c r="BX240" s="485"/>
      <c r="BY240" s="485"/>
      <c r="BZ240" s="485"/>
      <c r="CA240" s="485"/>
      <c r="CB240" s="485"/>
      <c r="CC240" s="485"/>
      <c r="CD240" s="485"/>
      <c r="CE240" s="485"/>
      <c r="CF240" s="485"/>
      <c r="CG240" s="485"/>
      <c r="CH240" s="485"/>
      <c r="CI240" s="485"/>
      <c r="CJ240" s="485"/>
      <c r="CK240" s="485"/>
      <c r="CL240" s="485"/>
      <c r="CM240" s="485"/>
      <c r="CN240" s="485"/>
      <c r="CO240" s="485"/>
      <c r="CP240" s="485"/>
      <c r="CQ240" s="485"/>
      <c r="CR240" s="485"/>
      <c r="CS240" s="485"/>
      <c r="CT240" s="485"/>
      <c r="CU240" s="485"/>
      <c r="CV240" s="485"/>
      <c r="CW240" s="485"/>
      <c r="CX240" s="485"/>
      <c r="CY240" s="485"/>
      <c r="CZ240" s="485"/>
      <c r="DA240" s="485"/>
      <c r="DB240" s="485"/>
      <c r="DC240" s="485"/>
      <c r="DD240" s="485"/>
      <c r="DE240" s="485"/>
      <c r="DF240" s="485"/>
      <c r="DG240" s="485"/>
      <c r="DH240" s="485"/>
      <c r="DI240" s="485"/>
      <c r="DJ240" s="485"/>
      <c r="DK240" s="485"/>
      <c r="DL240" s="485"/>
      <c r="DM240" s="485"/>
      <c r="DN240" s="485"/>
      <c r="DO240" s="485"/>
      <c r="DP240" s="485"/>
      <c r="DQ240" s="485"/>
      <c r="DR240" s="485"/>
      <c r="DS240" s="485"/>
      <c r="DT240" s="485"/>
      <c r="DU240" s="485"/>
      <c r="DV240" s="485"/>
      <c r="DW240" s="485"/>
      <c r="DX240" s="485"/>
      <c r="DY240" s="485"/>
      <c r="DZ240" s="485"/>
      <c r="EA240" s="485"/>
      <c r="EB240" s="485"/>
      <c r="EC240" s="485"/>
      <c r="ED240" s="485"/>
      <c r="EE240" s="485"/>
      <c r="EF240" s="485"/>
      <c r="EG240" s="485"/>
      <c r="EH240" s="485"/>
      <c r="EI240" s="485"/>
      <c r="EJ240" s="485"/>
      <c r="EK240" s="485"/>
      <c r="EL240" s="485"/>
      <c r="EM240" s="485"/>
      <c r="EN240" s="485"/>
      <c r="EO240" s="485"/>
      <c r="EP240" s="485"/>
    </row>
    <row r="241" spans="1:146" ht="15.75">
      <c r="A241" s="591">
        <f t="shared" si="82"/>
        <v>971</v>
      </c>
      <c r="B241" s="630" t="s">
        <v>393</v>
      </c>
      <c r="C241" s="614">
        <v>49</v>
      </c>
      <c r="D241" s="609">
        <v>34</v>
      </c>
      <c r="E241" s="610">
        <v>2.96</v>
      </c>
      <c r="F241" s="678">
        <f>E241</f>
        <v>2.96</v>
      </c>
      <c r="G241" s="683">
        <v>14</v>
      </c>
      <c r="H241" s="664">
        <f t="shared" si="77"/>
        <v>5712</v>
      </c>
      <c r="I241" s="444">
        <f t="shared" si="75"/>
        <v>497.28</v>
      </c>
      <c r="J241" s="444"/>
      <c r="K241" s="616">
        <v>4.9000000000000002E-2</v>
      </c>
      <c r="L241" s="616">
        <f t="shared" si="78"/>
        <v>0.68600000000000005</v>
      </c>
      <c r="M241" s="616"/>
      <c r="N241" s="609">
        <v>34</v>
      </c>
      <c r="O241" s="610">
        <v>2.9637800000000003</v>
      </c>
      <c r="P241" s="617" t="str">
        <f t="shared" si="79"/>
        <v>---</v>
      </c>
      <c r="Q241" s="618">
        <f t="shared" si="80"/>
        <v>3.7800000000003386E-3</v>
      </c>
      <c r="R241" s="615"/>
      <c r="S241" s="614" t="str">
        <f t="shared" si="81"/>
        <v>OK</v>
      </c>
      <c r="T241" s="451">
        <f>IF(+'2012 Rates'!O449&lt;'2012 Rates'!$B$11,'2012 Rates'!$B$11,+'2012 Rates'!O449)</f>
        <v>3.2504153814512136</v>
      </c>
      <c r="U241" s="447">
        <f t="shared" si="72"/>
        <v>9.8113304544328983E-2</v>
      </c>
      <c r="V241" s="485" t="s">
        <v>340</v>
      </c>
      <c r="W241" s="623">
        <f t="shared" si="76"/>
        <v>546.06978408380394</v>
      </c>
      <c r="X241" s="485"/>
      <c r="Y241" s="485"/>
      <c r="Z241" s="485"/>
      <c r="AA241" s="485"/>
      <c r="AB241" s="485"/>
      <c r="AC241" s="485"/>
      <c r="AD241" s="485"/>
      <c r="AE241" s="485"/>
      <c r="AF241" s="485"/>
      <c r="AG241" s="485"/>
      <c r="AH241" s="485"/>
      <c r="AI241" s="485"/>
      <c r="AJ241" s="485"/>
      <c r="AK241" s="485"/>
      <c r="AL241" s="485"/>
      <c r="AM241" s="485"/>
      <c r="AN241" s="485"/>
      <c r="AO241" s="485"/>
      <c r="AP241" s="485"/>
      <c r="AQ241" s="485"/>
      <c r="AR241" s="485"/>
      <c r="AS241" s="485"/>
      <c r="AT241" s="485"/>
      <c r="AU241" s="485"/>
      <c r="AV241" s="485"/>
      <c r="AW241" s="485"/>
      <c r="AX241" s="485"/>
      <c r="AY241" s="485"/>
      <c r="AZ241" s="485"/>
      <c r="BA241" s="485"/>
      <c r="BB241" s="485"/>
      <c r="BC241" s="485"/>
      <c r="BD241" s="485"/>
      <c r="BE241" s="485"/>
      <c r="BF241" s="485"/>
      <c r="BG241" s="485"/>
      <c r="BH241" s="485"/>
      <c r="BI241" s="485"/>
      <c r="BJ241" s="485"/>
      <c r="BK241" s="485"/>
      <c r="BL241" s="485"/>
      <c r="BM241" s="485"/>
      <c r="BN241" s="485"/>
      <c r="BO241" s="485"/>
      <c r="BP241" s="485"/>
      <c r="BQ241" s="485"/>
      <c r="BR241" s="485"/>
      <c r="BS241" s="485"/>
      <c r="BT241" s="485"/>
      <c r="BU241" s="485"/>
      <c r="BV241" s="485"/>
      <c r="BW241" s="485"/>
      <c r="BX241" s="485"/>
      <c r="BY241" s="485"/>
      <c r="BZ241" s="485"/>
      <c r="CA241" s="485"/>
      <c r="CB241" s="485"/>
      <c r="CC241" s="485"/>
      <c r="CD241" s="485"/>
      <c r="CE241" s="485"/>
      <c r="CF241" s="485"/>
      <c r="CG241" s="485"/>
      <c r="CH241" s="485"/>
      <c r="CI241" s="485"/>
      <c r="CJ241" s="485"/>
      <c r="CK241" s="485"/>
      <c r="CL241" s="485"/>
      <c r="CM241" s="485"/>
      <c r="CN241" s="485"/>
      <c r="CO241" s="485"/>
      <c r="CP241" s="485"/>
      <c r="CQ241" s="485"/>
      <c r="CR241" s="485"/>
      <c r="CS241" s="485"/>
      <c r="CT241" s="485"/>
      <c r="CU241" s="485"/>
      <c r="CV241" s="485"/>
      <c r="CW241" s="485"/>
      <c r="CX241" s="485"/>
      <c r="CY241" s="485"/>
      <c r="CZ241" s="485"/>
      <c r="DA241" s="485"/>
      <c r="DB241" s="485"/>
      <c r="DC241" s="485"/>
      <c r="DD241" s="485"/>
      <c r="DE241" s="485"/>
      <c r="DF241" s="485"/>
      <c r="DG241" s="485"/>
      <c r="DH241" s="485"/>
      <c r="DI241" s="485"/>
      <c r="DJ241" s="485"/>
      <c r="DK241" s="485"/>
      <c r="DL241" s="485"/>
      <c r="DM241" s="485"/>
      <c r="DN241" s="485"/>
      <c r="DO241" s="485"/>
      <c r="DP241" s="485"/>
      <c r="DQ241" s="485"/>
      <c r="DR241" s="485"/>
      <c r="DS241" s="485"/>
      <c r="DT241" s="485"/>
      <c r="DU241" s="485"/>
      <c r="DV241" s="485"/>
      <c r="DW241" s="485"/>
      <c r="DX241" s="485"/>
      <c r="DY241" s="485"/>
      <c r="DZ241" s="485"/>
      <c r="EA241" s="485"/>
      <c r="EB241" s="485"/>
      <c r="EC241" s="485"/>
      <c r="ED241" s="485"/>
      <c r="EE241" s="485"/>
      <c r="EF241" s="485"/>
      <c r="EG241" s="485"/>
      <c r="EH241" s="485"/>
      <c r="EI241" s="485"/>
      <c r="EJ241" s="485"/>
      <c r="EK241" s="485"/>
      <c r="EL241" s="485"/>
      <c r="EM241" s="485"/>
      <c r="EN241" s="485"/>
      <c r="EO241" s="485"/>
      <c r="EP241" s="485"/>
    </row>
    <row r="242" spans="1:146" ht="15.75">
      <c r="A242" s="591">
        <f t="shared" si="82"/>
        <v>972</v>
      </c>
      <c r="B242" s="630" t="s">
        <v>403</v>
      </c>
      <c r="C242" s="614">
        <v>25</v>
      </c>
      <c r="D242" s="609">
        <v>34</v>
      </c>
      <c r="E242" s="610">
        <v>2.96</v>
      </c>
      <c r="F242" s="678">
        <f>E242</f>
        <v>2.96</v>
      </c>
      <c r="G242" s="683">
        <v>15</v>
      </c>
      <c r="H242" s="664">
        <f t="shared" si="77"/>
        <v>6120</v>
      </c>
      <c r="I242" s="444">
        <f t="shared" si="75"/>
        <v>532.79999999999995</v>
      </c>
      <c r="J242" s="444"/>
      <c r="K242" s="616">
        <v>2.5000000000000001E-2</v>
      </c>
      <c r="L242" s="616">
        <f t="shared" si="78"/>
        <v>0.375</v>
      </c>
      <c r="M242" s="616">
        <f>+L242</f>
        <v>0.375</v>
      </c>
      <c r="N242" s="609">
        <v>34</v>
      </c>
      <c r="O242" s="610">
        <v>2.9637800000000003</v>
      </c>
      <c r="P242" s="617" t="str">
        <f t="shared" si="79"/>
        <v>---</v>
      </c>
      <c r="Q242" s="618">
        <f t="shared" si="80"/>
        <v>3.7800000000003386E-3</v>
      </c>
      <c r="R242" s="615"/>
      <c r="S242" s="614" t="str">
        <f t="shared" si="81"/>
        <v>OK</v>
      </c>
      <c r="T242" s="451">
        <f>IF(+'2012 Rates'!O450&lt;'2012 Rates'!$B$11,'2012 Rates'!$B$11,+'2012 Rates'!O450)</f>
        <v>3.2504153814512136</v>
      </c>
      <c r="U242" s="447">
        <f t="shared" si="72"/>
        <v>9.8113304544328983E-2</v>
      </c>
      <c r="V242" s="485" t="s">
        <v>340</v>
      </c>
      <c r="W242" s="623">
        <f t="shared" si="76"/>
        <v>585.07476866121851</v>
      </c>
      <c r="X242" s="485"/>
      <c r="Y242" s="485"/>
      <c r="Z242" s="485"/>
      <c r="AA242" s="485"/>
      <c r="AB242" s="485"/>
      <c r="AC242" s="485"/>
      <c r="AD242" s="485"/>
      <c r="AE242" s="485"/>
      <c r="AF242" s="485"/>
      <c r="AG242" s="485"/>
      <c r="AH242" s="485"/>
      <c r="AI242" s="485"/>
      <c r="AJ242" s="485"/>
      <c r="AK242" s="485"/>
      <c r="AL242" s="485"/>
      <c r="AM242" s="485"/>
      <c r="AN242" s="485"/>
      <c r="AO242" s="485"/>
      <c r="AP242" s="485"/>
      <c r="AQ242" s="485"/>
      <c r="AR242" s="485"/>
      <c r="AS242" s="485"/>
      <c r="AT242" s="485"/>
      <c r="AU242" s="485"/>
      <c r="AV242" s="485"/>
      <c r="AW242" s="485"/>
      <c r="AX242" s="485"/>
      <c r="AY242" s="485"/>
      <c r="AZ242" s="485"/>
      <c r="BA242" s="485"/>
      <c r="BB242" s="485"/>
      <c r="BC242" s="485"/>
      <c r="BD242" s="485"/>
      <c r="BE242" s="485"/>
      <c r="BF242" s="485"/>
      <c r="BG242" s="485"/>
      <c r="BH242" s="485"/>
      <c r="BI242" s="485"/>
      <c r="BJ242" s="485"/>
      <c r="BK242" s="485"/>
      <c r="BL242" s="485"/>
      <c r="BM242" s="485"/>
      <c r="BN242" s="485"/>
      <c r="BO242" s="485"/>
      <c r="BP242" s="485"/>
      <c r="BQ242" s="485"/>
      <c r="BR242" s="485"/>
      <c r="BS242" s="485"/>
      <c r="BT242" s="485"/>
      <c r="BU242" s="485"/>
      <c r="BV242" s="485"/>
      <c r="BW242" s="485"/>
      <c r="BX242" s="485"/>
      <c r="BY242" s="485"/>
      <c r="BZ242" s="485"/>
      <c r="CA242" s="485"/>
      <c r="CB242" s="485"/>
      <c r="CC242" s="485"/>
      <c r="CD242" s="485"/>
      <c r="CE242" s="485"/>
      <c r="CF242" s="485"/>
      <c r="CG242" s="485"/>
      <c r="CH242" s="485"/>
      <c r="CI242" s="485"/>
      <c r="CJ242" s="485"/>
      <c r="CK242" s="485"/>
      <c r="CL242" s="485"/>
      <c r="CM242" s="485"/>
      <c r="CN242" s="485"/>
      <c r="CO242" s="485"/>
      <c r="CP242" s="485"/>
      <c r="CQ242" s="485"/>
      <c r="CR242" s="485"/>
      <c r="CS242" s="485"/>
      <c r="CT242" s="485"/>
      <c r="CU242" s="485"/>
      <c r="CV242" s="485"/>
      <c r="CW242" s="485"/>
      <c r="CX242" s="485"/>
      <c r="CY242" s="485"/>
      <c r="CZ242" s="485"/>
      <c r="DA242" s="485"/>
      <c r="DB242" s="485"/>
      <c r="DC242" s="485"/>
      <c r="DD242" s="485"/>
      <c r="DE242" s="485"/>
      <c r="DF242" s="485"/>
      <c r="DG242" s="485"/>
      <c r="DH242" s="485"/>
      <c r="DI242" s="485"/>
      <c r="DJ242" s="485"/>
      <c r="DK242" s="485"/>
      <c r="DL242" s="485"/>
      <c r="DM242" s="485"/>
      <c r="DN242" s="485"/>
      <c r="DO242" s="485"/>
      <c r="DP242" s="485"/>
      <c r="DQ242" s="485"/>
      <c r="DR242" s="485"/>
      <c r="DS242" s="485"/>
      <c r="DT242" s="485"/>
      <c r="DU242" s="485"/>
      <c r="DV242" s="485"/>
      <c r="DW242" s="485"/>
      <c r="DX242" s="485"/>
      <c r="DY242" s="485"/>
      <c r="DZ242" s="485"/>
      <c r="EA242" s="485"/>
      <c r="EB242" s="485"/>
      <c r="EC242" s="485"/>
      <c r="ED242" s="485"/>
      <c r="EE242" s="485"/>
      <c r="EF242" s="485"/>
      <c r="EG242" s="485"/>
      <c r="EH242" s="485"/>
      <c r="EI242" s="485"/>
      <c r="EJ242" s="485"/>
      <c r="EK242" s="485"/>
      <c r="EL242" s="485"/>
      <c r="EM242" s="485"/>
      <c r="EN242" s="485"/>
      <c r="EO242" s="485"/>
      <c r="EP242" s="485"/>
    </row>
    <row r="243" spans="1:146" ht="15.75">
      <c r="A243" s="591">
        <f t="shared" si="82"/>
        <v>973</v>
      </c>
      <c r="B243" s="630" t="s">
        <v>393</v>
      </c>
      <c r="C243" s="614">
        <v>180</v>
      </c>
      <c r="D243" s="609">
        <v>66</v>
      </c>
      <c r="E243" s="610">
        <v>7.4</v>
      </c>
      <c r="F243" s="678">
        <f t="shared" si="71"/>
        <v>7.2488600000000005</v>
      </c>
      <c r="G243" s="683">
        <v>17</v>
      </c>
      <c r="H243" s="664">
        <f t="shared" si="77"/>
        <v>13464</v>
      </c>
      <c r="I243" s="444">
        <f t="shared" si="75"/>
        <v>1509.6000000000001</v>
      </c>
      <c r="J243" s="444"/>
      <c r="K243" s="616">
        <v>0.19800000000000001</v>
      </c>
      <c r="L243" s="616">
        <f t="shared" si="78"/>
        <v>3.3660000000000001</v>
      </c>
      <c r="M243" s="616"/>
      <c r="N243" s="609">
        <v>66</v>
      </c>
      <c r="O243" s="610">
        <v>7.4044841257339478</v>
      </c>
      <c r="P243" s="617" t="str">
        <f t="shared" si="79"/>
        <v>---</v>
      </c>
      <c r="Q243" s="618">
        <f t="shared" si="80"/>
        <v>4.4841257339474083E-3</v>
      </c>
      <c r="R243" s="615"/>
      <c r="S243" s="614" t="str">
        <f t="shared" si="81"/>
        <v>OK</v>
      </c>
      <c r="T243" s="451">
        <f>IF(+'2012 Rates'!O451&lt;'2012 Rates'!$B$11,'2012 Rates'!$B$11,+'2012 Rates'!O451)</f>
        <v>7.9599999999999991</v>
      </c>
      <c r="U243" s="447">
        <f t="shared" si="72"/>
        <v>9.8103701823458955E-2</v>
      </c>
      <c r="V243" s="445" t="s">
        <v>363</v>
      </c>
      <c r="W243" s="623">
        <f t="shared" si="76"/>
        <v>1623.84</v>
      </c>
      <c r="X243" s="485"/>
      <c r="Y243" s="485"/>
      <c r="Z243" s="485"/>
      <c r="AA243" s="485"/>
      <c r="AB243" s="485"/>
      <c r="AC243" s="485"/>
      <c r="AD243" s="485"/>
      <c r="AE243" s="485"/>
      <c r="AF243" s="485"/>
      <c r="AG243" s="485"/>
      <c r="AH243" s="485"/>
      <c r="AI243" s="485"/>
      <c r="AJ243" s="485"/>
      <c r="AK243" s="485"/>
      <c r="AL243" s="485"/>
      <c r="AM243" s="485"/>
      <c r="AN243" s="485"/>
      <c r="AO243" s="485"/>
      <c r="AP243" s="485"/>
      <c r="AQ243" s="485"/>
      <c r="AR243" s="485"/>
      <c r="AS243" s="485"/>
      <c r="AT243" s="485"/>
      <c r="AU243" s="485"/>
      <c r="AV243" s="485"/>
      <c r="AW243" s="485"/>
      <c r="AX243" s="485"/>
      <c r="AY243" s="485"/>
      <c r="AZ243" s="485"/>
      <c r="BA243" s="485"/>
      <c r="BB243" s="485"/>
      <c r="BC243" s="485"/>
      <c r="BD243" s="485"/>
      <c r="BE243" s="485"/>
      <c r="BF243" s="485"/>
      <c r="BG243" s="485"/>
      <c r="BH243" s="485"/>
      <c r="BI243" s="485"/>
      <c r="BJ243" s="485"/>
      <c r="BK243" s="485"/>
      <c r="BL243" s="485"/>
      <c r="BM243" s="485"/>
      <c r="BN243" s="485"/>
      <c r="BO243" s="485"/>
      <c r="BP243" s="485"/>
      <c r="BQ243" s="485"/>
      <c r="BR243" s="485"/>
      <c r="BS243" s="485"/>
      <c r="BT243" s="485"/>
      <c r="BU243" s="485"/>
      <c r="BV243" s="485"/>
      <c r="BW243" s="485"/>
      <c r="BX243" s="485"/>
      <c r="BY243" s="485"/>
      <c r="BZ243" s="485"/>
      <c r="CA243" s="485"/>
      <c r="CB243" s="485"/>
      <c r="CC243" s="485"/>
      <c r="CD243" s="485"/>
      <c r="CE243" s="485"/>
      <c r="CF243" s="485"/>
      <c r="CG243" s="485"/>
      <c r="CH243" s="485"/>
      <c r="CI243" s="485"/>
      <c r="CJ243" s="485"/>
      <c r="CK243" s="485"/>
      <c r="CL243" s="485"/>
      <c r="CM243" s="485"/>
      <c r="CN243" s="485"/>
      <c r="CO243" s="485"/>
      <c r="CP243" s="485"/>
      <c r="CQ243" s="485"/>
      <c r="CR243" s="485"/>
      <c r="CS243" s="485"/>
      <c r="CT243" s="485"/>
      <c r="CU243" s="485"/>
      <c r="CV243" s="485"/>
      <c r="CW243" s="485"/>
      <c r="CX243" s="485"/>
      <c r="CY243" s="485"/>
      <c r="CZ243" s="485"/>
      <c r="DA243" s="485"/>
      <c r="DB243" s="485"/>
      <c r="DC243" s="485"/>
      <c r="DD243" s="485"/>
      <c r="DE243" s="485"/>
      <c r="DF243" s="485"/>
      <c r="DG243" s="485"/>
      <c r="DH243" s="485"/>
      <c r="DI243" s="485"/>
      <c r="DJ243" s="485"/>
      <c r="DK243" s="485"/>
      <c r="DL243" s="485"/>
      <c r="DM243" s="485"/>
      <c r="DN243" s="485"/>
      <c r="DO243" s="485"/>
      <c r="DP243" s="485"/>
      <c r="DQ243" s="485"/>
      <c r="DR243" s="485"/>
      <c r="DS243" s="485"/>
      <c r="DT243" s="485"/>
      <c r="DU243" s="485"/>
      <c r="DV243" s="485"/>
      <c r="DW243" s="485"/>
      <c r="DX243" s="485"/>
      <c r="DY243" s="485"/>
      <c r="DZ243" s="485"/>
      <c r="EA243" s="485"/>
      <c r="EB243" s="485"/>
      <c r="EC243" s="485"/>
      <c r="ED243" s="485"/>
      <c r="EE243" s="485"/>
      <c r="EF243" s="485"/>
      <c r="EG243" s="485"/>
      <c r="EH243" s="485"/>
      <c r="EI243" s="485"/>
      <c r="EJ243" s="485"/>
      <c r="EK243" s="485"/>
      <c r="EL243" s="485"/>
      <c r="EM243" s="485"/>
      <c r="EN243" s="485"/>
      <c r="EO243" s="485"/>
      <c r="EP243" s="485"/>
    </row>
    <row r="244" spans="1:146" ht="15.75">
      <c r="A244" s="591">
        <f t="shared" si="82"/>
        <v>974</v>
      </c>
      <c r="B244" s="630" t="s">
        <v>393</v>
      </c>
      <c r="C244" s="614">
        <v>700</v>
      </c>
      <c r="D244" s="609">
        <v>256</v>
      </c>
      <c r="E244" s="610">
        <v>28.64</v>
      </c>
      <c r="F244" s="678">
        <f t="shared" si="71"/>
        <v>28.05376</v>
      </c>
      <c r="G244" s="683"/>
      <c r="H244" s="664">
        <f t="shared" si="77"/>
        <v>0</v>
      </c>
      <c r="I244" s="444">
        <f t="shared" si="75"/>
        <v>0</v>
      </c>
      <c r="J244" s="444"/>
      <c r="K244" s="616">
        <v>0.76700000000000002</v>
      </c>
      <c r="L244" s="616">
        <f t="shared" si="78"/>
        <v>0</v>
      </c>
      <c r="M244" s="616"/>
      <c r="N244" s="609">
        <v>256</v>
      </c>
      <c r="O244" s="610">
        <v>28.637392972543797</v>
      </c>
      <c r="P244" s="617" t="str">
        <f t="shared" si="79"/>
        <v>---</v>
      </c>
      <c r="Q244" s="618">
        <f t="shared" si="80"/>
        <v>-2.607027456203781E-3</v>
      </c>
      <c r="R244" s="615"/>
      <c r="S244" s="614" t="str">
        <f t="shared" si="81"/>
        <v>OK</v>
      </c>
      <c r="T244" s="451">
        <f>IF(+'2012 Rates'!O452&lt;'2012 Rates'!$B$11,'2012 Rates'!$B$11,+'2012 Rates'!O452)</f>
        <v>30.8</v>
      </c>
      <c r="U244" s="447">
        <f t="shared" si="72"/>
        <v>9.7892047269243054E-2</v>
      </c>
      <c r="V244" s="445" t="s">
        <v>363</v>
      </c>
      <c r="W244" s="623">
        <f t="shared" si="76"/>
        <v>0</v>
      </c>
      <c r="X244" s="485"/>
      <c r="Y244" s="485"/>
      <c r="Z244" s="485"/>
      <c r="AA244" s="485"/>
      <c r="AB244" s="485"/>
      <c r="AC244" s="485"/>
      <c r="AD244" s="485"/>
      <c r="AE244" s="485"/>
      <c r="AF244" s="485"/>
      <c r="AG244" s="485"/>
      <c r="AH244" s="485"/>
      <c r="AI244" s="485"/>
      <c r="AJ244" s="485"/>
      <c r="AK244" s="485"/>
      <c r="AL244" s="485"/>
      <c r="AM244" s="485"/>
      <c r="AN244" s="485"/>
      <c r="AO244" s="485"/>
      <c r="AP244" s="485"/>
      <c r="AQ244" s="485"/>
      <c r="AR244" s="485"/>
      <c r="AS244" s="485"/>
      <c r="AT244" s="485"/>
      <c r="AU244" s="485"/>
      <c r="AV244" s="485"/>
      <c r="AW244" s="485"/>
      <c r="AX244" s="485"/>
      <c r="AY244" s="485"/>
      <c r="AZ244" s="485"/>
      <c r="BA244" s="485"/>
      <c r="BB244" s="485"/>
      <c r="BC244" s="485"/>
      <c r="BD244" s="485"/>
      <c r="BE244" s="485"/>
      <c r="BF244" s="485"/>
      <c r="BG244" s="485"/>
      <c r="BH244" s="485"/>
      <c r="BI244" s="485"/>
      <c r="BJ244" s="485"/>
      <c r="BK244" s="485"/>
      <c r="BL244" s="485"/>
      <c r="BM244" s="485"/>
      <c r="BN244" s="485"/>
      <c r="BO244" s="485"/>
      <c r="BP244" s="485"/>
      <c r="BQ244" s="485"/>
      <c r="BR244" s="485"/>
      <c r="BS244" s="485"/>
      <c r="BT244" s="485"/>
      <c r="BU244" s="485"/>
      <c r="BV244" s="485"/>
      <c r="BW244" s="485"/>
      <c r="BX244" s="485"/>
      <c r="BY244" s="485"/>
      <c r="BZ244" s="485"/>
      <c r="CA244" s="485"/>
      <c r="CB244" s="485"/>
      <c r="CC244" s="485"/>
      <c r="CD244" s="485"/>
      <c r="CE244" s="485"/>
      <c r="CF244" s="485"/>
      <c r="CG244" s="485"/>
      <c r="CH244" s="485"/>
      <c r="CI244" s="485"/>
      <c r="CJ244" s="485"/>
      <c r="CK244" s="485"/>
      <c r="CL244" s="485"/>
      <c r="CM244" s="485"/>
      <c r="CN244" s="485"/>
      <c r="CO244" s="485"/>
      <c r="CP244" s="485"/>
      <c r="CQ244" s="485"/>
      <c r="CR244" s="485"/>
      <c r="CS244" s="485"/>
      <c r="CT244" s="485"/>
      <c r="CU244" s="485"/>
      <c r="CV244" s="485"/>
      <c r="CW244" s="485"/>
      <c r="CX244" s="485"/>
      <c r="CY244" s="485"/>
      <c r="CZ244" s="485"/>
      <c r="DA244" s="485"/>
      <c r="DB244" s="485"/>
      <c r="DC244" s="485"/>
      <c r="DD244" s="485"/>
      <c r="DE244" s="485"/>
      <c r="DF244" s="485"/>
      <c r="DG244" s="485"/>
      <c r="DH244" s="485"/>
      <c r="DI244" s="485"/>
      <c r="DJ244" s="485"/>
      <c r="DK244" s="485"/>
      <c r="DL244" s="485"/>
      <c r="DM244" s="485"/>
      <c r="DN244" s="485"/>
      <c r="DO244" s="485"/>
      <c r="DP244" s="485"/>
      <c r="DQ244" s="485"/>
      <c r="DR244" s="485"/>
      <c r="DS244" s="485"/>
      <c r="DT244" s="485"/>
      <c r="DU244" s="485"/>
      <c r="DV244" s="485"/>
      <c r="DW244" s="485"/>
      <c r="DX244" s="485"/>
      <c r="DY244" s="485"/>
      <c r="DZ244" s="485"/>
      <c r="EA244" s="485"/>
      <c r="EB244" s="485"/>
      <c r="EC244" s="485"/>
      <c r="ED244" s="485"/>
      <c r="EE244" s="485"/>
      <c r="EF244" s="485"/>
      <c r="EG244" s="485"/>
      <c r="EH244" s="485"/>
      <c r="EI244" s="485"/>
      <c r="EJ244" s="485"/>
      <c r="EK244" s="485"/>
      <c r="EL244" s="485"/>
      <c r="EM244" s="485"/>
      <c r="EN244" s="485"/>
      <c r="EO244" s="485"/>
      <c r="EP244" s="485"/>
    </row>
    <row r="245" spans="1:146" ht="15.75">
      <c r="A245" s="462">
        <f t="shared" si="82"/>
        <v>975</v>
      </c>
      <c r="B245" s="629" t="s">
        <v>393</v>
      </c>
      <c r="C245" s="624">
        <v>324</v>
      </c>
      <c r="D245" s="626">
        <v>108</v>
      </c>
      <c r="E245" s="611">
        <v>12.11</v>
      </c>
      <c r="F245" s="678">
        <f t="shared" si="71"/>
        <v>11.862679999999999</v>
      </c>
      <c r="G245" s="683">
        <v>22</v>
      </c>
      <c r="H245" s="681">
        <f t="shared" si="77"/>
        <v>28512</v>
      </c>
      <c r="I245" s="623">
        <f t="shared" si="75"/>
        <v>3197.0399999999995</v>
      </c>
      <c r="J245" s="623"/>
      <c r="K245" s="627">
        <v>0.32400000000000001</v>
      </c>
      <c r="L245" s="627">
        <f t="shared" si="78"/>
        <v>7.1280000000000001</v>
      </c>
      <c r="M245" s="627"/>
      <c r="N245" s="609">
        <v>108</v>
      </c>
      <c r="O245" s="610">
        <v>12.107337660291913</v>
      </c>
      <c r="P245" s="617" t="str">
        <f t="shared" si="79"/>
        <v>---</v>
      </c>
      <c r="Q245" s="618">
        <f t="shared" si="80"/>
        <v>-2.6623397080864919E-3</v>
      </c>
      <c r="R245" s="485"/>
      <c r="S245" s="624" t="str">
        <f t="shared" si="81"/>
        <v>OK</v>
      </c>
      <c r="T245" s="451">
        <f>IF(+'2012 Rates'!O453&lt;'2012 Rates'!$B$11,'2012 Rates'!$B$11,+'2012 Rates'!O453)</f>
        <v>13.02</v>
      </c>
      <c r="U245" s="447">
        <f t="shared" si="72"/>
        <v>9.7559741980732806E-2</v>
      </c>
      <c r="V245" s="485"/>
      <c r="W245" s="623">
        <f t="shared" si="76"/>
        <v>3437.2799999999997</v>
      </c>
      <c r="X245" s="485"/>
      <c r="Y245" s="485"/>
      <c r="Z245" s="485"/>
      <c r="AA245" s="485"/>
      <c r="AB245" s="485"/>
      <c r="AC245" s="485"/>
      <c r="AD245" s="485"/>
      <c r="AE245" s="485"/>
      <c r="AF245" s="485"/>
      <c r="AG245" s="485"/>
      <c r="AH245" s="485"/>
      <c r="AI245" s="485"/>
      <c r="AJ245" s="485"/>
      <c r="AK245" s="485"/>
      <c r="AL245" s="485"/>
      <c r="AM245" s="485"/>
      <c r="AN245" s="485"/>
      <c r="AO245" s="485"/>
      <c r="AP245" s="485"/>
      <c r="AQ245" s="485"/>
      <c r="AR245" s="485"/>
      <c r="AS245" s="485"/>
      <c r="AT245" s="485"/>
      <c r="AU245" s="485"/>
      <c r="AV245" s="485"/>
      <c r="AW245" s="485"/>
      <c r="AX245" s="485"/>
      <c r="AY245" s="485"/>
      <c r="AZ245" s="485"/>
      <c r="BA245" s="485"/>
      <c r="BB245" s="485"/>
      <c r="BC245" s="485"/>
      <c r="BD245" s="485"/>
      <c r="BE245" s="485"/>
      <c r="BF245" s="485"/>
      <c r="BG245" s="485"/>
      <c r="BH245" s="485"/>
      <c r="BI245" s="485"/>
      <c r="BJ245" s="485"/>
      <c r="BK245" s="485"/>
      <c r="BL245" s="485"/>
      <c r="BM245" s="485"/>
      <c r="BN245" s="485"/>
      <c r="BO245" s="485"/>
      <c r="BP245" s="485"/>
      <c r="BQ245" s="485"/>
      <c r="BR245" s="485"/>
      <c r="BS245" s="485"/>
      <c r="BT245" s="485"/>
      <c r="BU245" s="485"/>
      <c r="BV245" s="485"/>
      <c r="BW245" s="485"/>
      <c r="BX245" s="485"/>
      <c r="BY245" s="485"/>
      <c r="BZ245" s="485"/>
      <c r="CA245" s="485"/>
      <c r="CB245" s="485"/>
      <c r="CC245" s="485"/>
      <c r="CD245" s="485"/>
      <c r="CE245" s="485"/>
      <c r="CF245" s="485"/>
      <c r="CG245" s="485"/>
      <c r="CH245" s="485"/>
      <c r="CI245" s="485"/>
      <c r="CJ245" s="485"/>
      <c r="CK245" s="485"/>
      <c r="CL245" s="485"/>
      <c r="CM245" s="485"/>
      <c r="CN245" s="485"/>
      <c r="CO245" s="485"/>
      <c r="CP245" s="485"/>
      <c r="CQ245" s="485"/>
      <c r="CR245" s="485"/>
      <c r="CS245" s="485"/>
      <c r="CT245" s="485"/>
      <c r="CU245" s="485"/>
      <c r="CV245" s="485"/>
      <c r="CW245" s="485"/>
      <c r="CX245" s="485"/>
      <c r="CY245" s="485"/>
      <c r="CZ245" s="485"/>
      <c r="DA245" s="485"/>
      <c r="DB245" s="485"/>
      <c r="DC245" s="485"/>
      <c r="DD245" s="485"/>
      <c r="DE245" s="485"/>
      <c r="DF245" s="485"/>
      <c r="DG245" s="485"/>
      <c r="DH245" s="485"/>
      <c r="DI245" s="485"/>
      <c r="DJ245" s="485"/>
      <c r="DK245" s="485"/>
      <c r="DL245" s="485"/>
      <c r="DM245" s="485"/>
      <c r="DN245" s="485"/>
      <c r="DO245" s="485"/>
      <c r="DP245" s="485"/>
      <c r="DQ245" s="485"/>
      <c r="DR245" s="485"/>
      <c r="DS245" s="485"/>
      <c r="DT245" s="485"/>
      <c r="DU245" s="485"/>
      <c r="DV245" s="485"/>
      <c r="DW245" s="485"/>
      <c r="DX245" s="485"/>
      <c r="DY245" s="485"/>
      <c r="DZ245" s="485"/>
      <c r="EA245" s="485"/>
      <c r="EB245" s="485"/>
      <c r="EC245" s="485"/>
      <c r="ED245" s="485"/>
      <c r="EE245" s="485"/>
      <c r="EF245" s="485"/>
      <c r="EG245" s="485"/>
      <c r="EH245" s="485"/>
      <c r="EI245" s="485"/>
      <c r="EJ245" s="485"/>
      <c r="EK245" s="485"/>
      <c r="EL245" s="485"/>
      <c r="EM245" s="485"/>
      <c r="EN245" s="485"/>
      <c r="EO245" s="485"/>
      <c r="EP245" s="485"/>
    </row>
    <row r="246" spans="1:146" ht="15.75">
      <c r="A246" s="462">
        <f t="shared" si="82"/>
        <v>976</v>
      </c>
      <c r="B246" s="467" t="s">
        <v>448</v>
      </c>
      <c r="C246" s="624">
        <v>300</v>
      </c>
      <c r="D246" s="626">
        <v>46</v>
      </c>
      <c r="E246" s="611">
        <v>7.13</v>
      </c>
      <c r="F246" s="678">
        <f t="shared" si="71"/>
        <v>7.0246599999999999</v>
      </c>
      <c r="G246" s="683">
        <v>10</v>
      </c>
      <c r="H246" s="681">
        <f t="shared" si="77"/>
        <v>5520</v>
      </c>
      <c r="I246" s="623">
        <f t="shared" si="75"/>
        <v>855.59999999999991</v>
      </c>
      <c r="J246" s="623"/>
      <c r="K246" s="627">
        <v>0.3</v>
      </c>
      <c r="L246" s="627">
        <f t="shared" si="78"/>
        <v>3</v>
      </c>
      <c r="M246" s="627"/>
      <c r="N246" s="609">
        <v>46</v>
      </c>
      <c r="O246" s="610">
        <v>7.1331252997539627</v>
      </c>
      <c r="P246" s="617" t="str">
        <f t="shared" si="79"/>
        <v>---</v>
      </c>
      <c r="Q246" s="618">
        <f t="shared" si="80"/>
        <v>3.1252997539628069E-3</v>
      </c>
      <c r="R246" s="485"/>
      <c r="S246" s="624" t="str">
        <f t="shared" si="81"/>
        <v>OK</v>
      </c>
      <c r="T246" s="451">
        <f>IF(+'2012 Rates'!O454&lt;'2012 Rates'!$B$11,'2012 Rates'!$B$11,+'2012 Rates'!O454)</f>
        <v>7.71</v>
      </c>
      <c r="U246" s="447">
        <f t="shared" si="72"/>
        <v>9.7562017236421328E-2</v>
      </c>
      <c r="V246" s="485"/>
      <c r="W246" s="623">
        <f t="shared" si="76"/>
        <v>925.19999999999993</v>
      </c>
      <c r="X246" s="485"/>
      <c r="Y246" s="485"/>
      <c r="Z246" s="485"/>
      <c r="AA246" s="485"/>
      <c r="AB246" s="485"/>
      <c r="AC246" s="485"/>
      <c r="AD246" s="485"/>
      <c r="AE246" s="485"/>
      <c r="AF246" s="485"/>
      <c r="AG246" s="485"/>
      <c r="AH246" s="485"/>
      <c r="AI246" s="485"/>
      <c r="AJ246" s="485"/>
      <c r="AK246" s="485"/>
      <c r="AL246" s="485"/>
      <c r="AM246" s="485"/>
      <c r="AN246" s="485"/>
      <c r="AO246" s="485"/>
      <c r="AP246" s="485"/>
      <c r="AQ246" s="485"/>
      <c r="AR246" s="485"/>
      <c r="AS246" s="485"/>
      <c r="AT246" s="485"/>
      <c r="AU246" s="485"/>
      <c r="AV246" s="485"/>
      <c r="AW246" s="485"/>
      <c r="AX246" s="485"/>
      <c r="AY246" s="485"/>
      <c r="AZ246" s="485"/>
      <c r="BA246" s="485"/>
      <c r="BB246" s="485"/>
      <c r="BC246" s="485"/>
      <c r="BD246" s="485"/>
      <c r="BE246" s="485"/>
      <c r="BF246" s="485"/>
      <c r="BG246" s="485"/>
      <c r="BH246" s="485"/>
      <c r="BI246" s="485"/>
      <c r="BJ246" s="485"/>
      <c r="BK246" s="485"/>
      <c r="BL246" s="485"/>
      <c r="BM246" s="485"/>
      <c r="BN246" s="485"/>
      <c r="BO246" s="485"/>
      <c r="BP246" s="485"/>
      <c r="BQ246" s="485"/>
      <c r="BR246" s="485"/>
      <c r="BS246" s="485"/>
      <c r="BT246" s="485"/>
      <c r="BU246" s="485"/>
      <c r="BV246" s="485"/>
      <c r="BW246" s="485"/>
      <c r="BX246" s="485"/>
      <c r="BY246" s="485"/>
      <c r="BZ246" s="485"/>
      <c r="CA246" s="485"/>
      <c r="CB246" s="485"/>
      <c r="CC246" s="485"/>
      <c r="CD246" s="485"/>
      <c r="CE246" s="485"/>
      <c r="CF246" s="485"/>
      <c r="CG246" s="485"/>
      <c r="CH246" s="485"/>
      <c r="CI246" s="485"/>
      <c r="CJ246" s="485"/>
      <c r="CK246" s="485"/>
      <c r="CL246" s="485"/>
      <c r="CM246" s="485"/>
      <c r="CN246" s="485"/>
      <c r="CO246" s="485"/>
      <c r="CP246" s="485"/>
      <c r="CQ246" s="485"/>
      <c r="CR246" s="485"/>
      <c r="CS246" s="485"/>
      <c r="CT246" s="485"/>
      <c r="CU246" s="485"/>
      <c r="CV246" s="485"/>
      <c r="CW246" s="485"/>
      <c r="CX246" s="485"/>
      <c r="CY246" s="485"/>
      <c r="CZ246" s="485"/>
      <c r="DA246" s="485"/>
      <c r="DB246" s="485"/>
      <c r="DC246" s="485"/>
      <c r="DD246" s="485"/>
      <c r="DE246" s="485"/>
      <c r="DF246" s="485"/>
      <c r="DG246" s="485"/>
      <c r="DH246" s="485"/>
      <c r="DI246" s="485"/>
      <c r="DJ246" s="485"/>
      <c r="DK246" s="485"/>
      <c r="DL246" s="485"/>
      <c r="DM246" s="485"/>
      <c r="DN246" s="485"/>
      <c r="DO246" s="485"/>
      <c r="DP246" s="485"/>
      <c r="DQ246" s="485"/>
      <c r="DR246" s="485"/>
      <c r="DS246" s="485"/>
      <c r="DT246" s="485"/>
      <c r="DU246" s="485"/>
      <c r="DV246" s="485"/>
      <c r="DW246" s="485"/>
      <c r="DX246" s="485"/>
      <c r="DY246" s="485"/>
      <c r="DZ246" s="485"/>
      <c r="EA246" s="485"/>
      <c r="EB246" s="485"/>
      <c r="EC246" s="485"/>
      <c r="ED246" s="485"/>
      <c r="EE246" s="485"/>
      <c r="EF246" s="485"/>
      <c r="EG246" s="485"/>
      <c r="EH246" s="485"/>
      <c r="EI246" s="485"/>
      <c r="EJ246" s="485"/>
      <c r="EK246" s="485"/>
      <c r="EL246" s="485"/>
      <c r="EM246" s="485"/>
      <c r="EN246" s="485"/>
      <c r="EO246" s="485"/>
      <c r="EP246" s="485"/>
    </row>
    <row r="247" spans="1:146" ht="15.75">
      <c r="A247" s="462">
        <f t="shared" si="82"/>
        <v>977</v>
      </c>
      <c r="B247" s="629" t="s">
        <v>403</v>
      </c>
      <c r="C247" s="624">
        <v>50</v>
      </c>
      <c r="D247" s="626">
        <v>37</v>
      </c>
      <c r="E247" s="611">
        <v>3.24</v>
      </c>
      <c r="F247" s="678">
        <f t="shared" si="71"/>
        <v>3.1552700000000002</v>
      </c>
      <c r="G247" s="683">
        <v>6</v>
      </c>
      <c r="H247" s="681">
        <f t="shared" si="77"/>
        <v>2664</v>
      </c>
      <c r="I247" s="623">
        <f t="shared" si="75"/>
        <v>233.28000000000003</v>
      </c>
      <c r="J247" s="623"/>
      <c r="K247" s="627">
        <v>0.05</v>
      </c>
      <c r="L247" s="627">
        <f t="shared" si="78"/>
        <v>0.30000000000000004</v>
      </c>
      <c r="M247" s="627">
        <f>+L247</f>
        <v>0.30000000000000004</v>
      </c>
      <c r="N247" s="609">
        <v>37</v>
      </c>
      <c r="O247" s="610">
        <v>3.2375138280629696</v>
      </c>
      <c r="P247" s="617" t="str">
        <f t="shared" si="79"/>
        <v>---</v>
      </c>
      <c r="Q247" s="618">
        <f t="shared" si="80"/>
        <v>-2.4861719370306012E-3</v>
      </c>
      <c r="R247" s="485"/>
      <c r="S247" s="624" t="str">
        <f t="shared" si="81"/>
        <v>OK</v>
      </c>
      <c r="T247" s="451">
        <f>IF(+'2012 Rates'!P455&lt;'2012 Rates'!$B$11,'2012 Rates'!$B$11,+'2012 Rates'!P455)</f>
        <v>3.45</v>
      </c>
      <c r="U247" s="447">
        <f t="shared" si="72"/>
        <v>9.3408804951715663E-2</v>
      </c>
      <c r="V247" s="485"/>
      <c r="W247" s="623">
        <f t="shared" si="76"/>
        <v>248.40000000000003</v>
      </c>
      <c r="X247" s="485"/>
      <c r="Y247" s="485"/>
      <c r="Z247" s="485"/>
      <c r="AA247" s="485"/>
      <c r="AB247" s="485"/>
      <c r="AC247" s="485"/>
      <c r="AD247" s="485"/>
      <c r="AE247" s="485"/>
      <c r="AF247" s="485"/>
      <c r="AG247" s="485"/>
      <c r="AH247" s="485"/>
      <c r="AI247" s="485"/>
      <c r="AJ247" s="485"/>
      <c r="AK247" s="485"/>
      <c r="AL247" s="485"/>
      <c r="AM247" s="485"/>
      <c r="AN247" s="485"/>
      <c r="AO247" s="485"/>
      <c r="AP247" s="485"/>
      <c r="AQ247" s="485"/>
      <c r="AR247" s="485"/>
      <c r="AS247" s="485"/>
      <c r="AT247" s="485"/>
      <c r="AU247" s="485"/>
      <c r="AV247" s="485"/>
      <c r="AW247" s="485"/>
      <c r="AX247" s="485"/>
      <c r="AY247" s="485"/>
      <c r="AZ247" s="485"/>
      <c r="BA247" s="485"/>
      <c r="BB247" s="485"/>
      <c r="BC247" s="485"/>
      <c r="BD247" s="485"/>
      <c r="BE247" s="485"/>
      <c r="BF247" s="485"/>
      <c r="BG247" s="485"/>
      <c r="BH247" s="485"/>
      <c r="BI247" s="485"/>
      <c r="BJ247" s="485"/>
      <c r="BK247" s="485"/>
      <c r="BL247" s="485"/>
      <c r="BM247" s="485"/>
      <c r="BN247" s="485"/>
      <c r="BO247" s="485"/>
      <c r="BP247" s="485"/>
      <c r="BQ247" s="485"/>
      <c r="BR247" s="485"/>
      <c r="BS247" s="485"/>
      <c r="BT247" s="485"/>
      <c r="BU247" s="485"/>
      <c r="BV247" s="485"/>
      <c r="BW247" s="485"/>
      <c r="BX247" s="485"/>
      <c r="BY247" s="485"/>
      <c r="BZ247" s="485"/>
      <c r="CA247" s="485"/>
      <c r="CB247" s="485"/>
      <c r="CC247" s="485"/>
      <c r="CD247" s="485"/>
      <c r="CE247" s="485"/>
      <c r="CF247" s="485"/>
      <c r="CG247" s="485"/>
      <c r="CH247" s="485"/>
      <c r="CI247" s="485"/>
      <c r="CJ247" s="485"/>
      <c r="CK247" s="485"/>
      <c r="CL247" s="485"/>
      <c r="CM247" s="485"/>
      <c r="CN247" s="485"/>
      <c r="CO247" s="485"/>
      <c r="CP247" s="485"/>
      <c r="CQ247" s="485"/>
      <c r="CR247" s="485"/>
      <c r="CS247" s="485"/>
      <c r="CT247" s="485"/>
      <c r="CU247" s="485"/>
      <c r="CV247" s="485"/>
      <c r="CW247" s="485"/>
      <c r="CX247" s="485"/>
      <c r="CY247" s="485"/>
      <c r="CZ247" s="485"/>
      <c r="DA247" s="485"/>
      <c r="DB247" s="485"/>
      <c r="DC247" s="485"/>
      <c r="DD247" s="485"/>
      <c r="DE247" s="485"/>
      <c r="DF247" s="485"/>
      <c r="DG247" s="485"/>
      <c r="DH247" s="485"/>
      <c r="DI247" s="485"/>
      <c r="DJ247" s="485"/>
      <c r="DK247" s="485"/>
      <c r="DL247" s="485"/>
      <c r="DM247" s="485"/>
      <c r="DN247" s="485"/>
      <c r="DO247" s="485"/>
      <c r="DP247" s="485"/>
      <c r="DQ247" s="485"/>
      <c r="DR247" s="485"/>
      <c r="DS247" s="485"/>
      <c r="DT247" s="485"/>
      <c r="DU247" s="485"/>
      <c r="DV247" s="485"/>
      <c r="DW247" s="485"/>
      <c r="DX247" s="485"/>
      <c r="DY247" s="485"/>
      <c r="DZ247" s="485"/>
      <c r="EA247" s="485"/>
      <c r="EB247" s="485"/>
      <c r="EC247" s="485"/>
      <c r="ED247" s="485"/>
      <c r="EE247" s="485"/>
      <c r="EF247" s="485"/>
      <c r="EG247" s="485"/>
      <c r="EH247" s="485"/>
      <c r="EI247" s="485"/>
      <c r="EJ247" s="485"/>
      <c r="EK247" s="485"/>
      <c r="EL247" s="485"/>
      <c r="EM247" s="485"/>
      <c r="EN247" s="485"/>
      <c r="EO247" s="485"/>
      <c r="EP247" s="485"/>
    </row>
    <row r="248" spans="1:146" ht="15.75">
      <c r="A248" s="462">
        <f t="shared" si="82"/>
        <v>978</v>
      </c>
      <c r="B248" s="467" t="s">
        <v>449</v>
      </c>
      <c r="C248" s="624">
        <v>648</v>
      </c>
      <c r="D248" s="626">
        <v>126</v>
      </c>
      <c r="E248" s="611">
        <v>18.059999999999999</v>
      </c>
      <c r="F248" s="678">
        <f t="shared" si="71"/>
        <v>17.771459999999998</v>
      </c>
      <c r="G248" s="683"/>
      <c r="H248" s="681">
        <f t="shared" si="77"/>
        <v>0</v>
      </c>
      <c r="I248" s="623">
        <f t="shared" si="75"/>
        <v>0</v>
      </c>
      <c r="J248" s="623"/>
      <c r="K248" s="627">
        <v>0.64800000000000002</v>
      </c>
      <c r="L248" s="627">
        <f t="shared" si="78"/>
        <v>0</v>
      </c>
      <c r="M248" s="627"/>
      <c r="N248" s="609">
        <v>126</v>
      </c>
      <c r="O248" s="610">
        <v>18.0585606036739</v>
      </c>
      <c r="P248" s="617" t="str">
        <f t="shared" si="79"/>
        <v>---</v>
      </c>
      <c r="Q248" s="618">
        <f t="shared" si="80"/>
        <v>-1.4393963260985743E-3</v>
      </c>
      <c r="R248" s="485"/>
      <c r="S248" s="624" t="str">
        <f t="shared" si="81"/>
        <v>OK</v>
      </c>
      <c r="T248" s="451">
        <f>IF(+'2012 Rates'!O456&lt;'2012 Rates'!$B$11,'2012 Rates'!$B$11,+'2012 Rates'!O456)</f>
        <v>19.510000000000002</v>
      </c>
      <c r="U248" s="447">
        <f t="shared" si="72"/>
        <v>9.7827640497742063E-2</v>
      </c>
      <c r="V248" s="485"/>
      <c r="W248" s="623">
        <f t="shared" si="76"/>
        <v>0</v>
      </c>
      <c r="X248" s="485"/>
      <c r="Y248" s="485"/>
      <c r="Z248" s="485"/>
      <c r="AA248" s="485"/>
      <c r="AB248" s="485"/>
      <c r="AC248" s="485"/>
      <c r="AD248" s="485"/>
      <c r="AE248" s="485"/>
      <c r="AF248" s="485"/>
      <c r="AG248" s="485"/>
      <c r="AH248" s="485"/>
      <c r="AI248" s="485"/>
      <c r="AJ248" s="485"/>
      <c r="AK248" s="485"/>
      <c r="AL248" s="485"/>
      <c r="AM248" s="485"/>
      <c r="AN248" s="485"/>
      <c r="AO248" s="485"/>
      <c r="AP248" s="485"/>
      <c r="AQ248" s="485"/>
      <c r="AR248" s="485"/>
      <c r="AS248" s="485"/>
      <c r="AT248" s="485"/>
      <c r="AU248" s="485"/>
      <c r="AV248" s="485"/>
      <c r="AW248" s="485"/>
      <c r="AX248" s="485"/>
      <c r="AY248" s="485"/>
      <c r="AZ248" s="485"/>
      <c r="BA248" s="485"/>
      <c r="BB248" s="485"/>
      <c r="BC248" s="485"/>
      <c r="BD248" s="485"/>
      <c r="BE248" s="485"/>
      <c r="BF248" s="485"/>
      <c r="BG248" s="485"/>
      <c r="BH248" s="485"/>
      <c r="BI248" s="485"/>
      <c r="BJ248" s="485"/>
      <c r="BK248" s="485"/>
      <c r="BL248" s="485"/>
      <c r="BM248" s="485"/>
      <c r="BN248" s="485"/>
      <c r="BO248" s="485"/>
      <c r="BP248" s="485"/>
      <c r="BQ248" s="485"/>
      <c r="BR248" s="485"/>
      <c r="BS248" s="485"/>
      <c r="BT248" s="485"/>
      <c r="BU248" s="485"/>
      <c r="BV248" s="485"/>
      <c r="BW248" s="485"/>
      <c r="BX248" s="485"/>
      <c r="BY248" s="485"/>
      <c r="BZ248" s="485"/>
      <c r="CA248" s="485"/>
      <c r="CB248" s="485"/>
      <c r="CC248" s="485"/>
      <c r="CD248" s="485"/>
      <c r="CE248" s="485"/>
      <c r="CF248" s="485"/>
      <c r="CG248" s="485"/>
      <c r="CH248" s="485"/>
      <c r="CI248" s="485"/>
      <c r="CJ248" s="485"/>
      <c r="CK248" s="485"/>
      <c r="CL248" s="485"/>
      <c r="CM248" s="485"/>
      <c r="CN248" s="485"/>
      <c r="CO248" s="485"/>
      <c r="CP248" s="485"/>
      <c r="CQ248" s="485"/>
      <c r="CR248" s="485"/>
      <c r="CS248" s="485"/>
      <c r="CT248" s="485"/>
      <c r="CU248" s="485"/>
      <c r="CV248" s="485"/>
      <c r="CW248" s="485"/>
      <c r="CX248" s="485"/>
      <c r="CY248" s="485"/>
      <c r="CZ248" s="485"/>
      <c r="DA248" s="485"/>
      <c r="DB248" s="485"/>
      <c r="DC248" s="485"/>
      <c r="DD248" s="485"/>
      <c r="DE248" s="485"/>
      <c r="DF248" s="485"/>
      <c r="DG248" s="485"/>
      <c r="DH248" s="485"/>
      <c r="DI248" s="485"/>
      <c r="DJ248" s="485"/>
      <c r="DK248" s="485"/>
      <c r="DL248" s="485"/>
      <c r="DM248" s="485"/>
      <c r="DN248" s="485"/>
      <c r="DO248" s="485"/>
      <c r="DP248" s="485"/>
      <c r="DQ248" s="485"/>
      <c r="DR248" s="485"/>
      <c r="DS248" s="485"/>
      <c r="DT248" s="485"/>
      <c r="DU248" s="485"/>
      <c r="DV248" s="485"/>
      <c r="DW248" s="485"/>
      <c r="DX248" s="485"/>
      <c r="DY248" s="485"/>
      <c r="DZ248" s="485"/>
      <c r="EA248" s="485"/>
      <c r="EB248" s="485"/>
      <c r="EC248" s="485"/>
      <c r="ED248" s="485"/>
      <c r="EE248" s="485"/>
      <c r="EF248" s="485"/>
      <c r="EG248" s="485"/>
      <c r="EH248" s="485"/>
      <c r="EI248" s="485"/>
      <c r="EJ248" s="485"/>
      <c r="EK248" s="485"/>
      <c r="EL248" s="485"/>
      <c r="EM248" s="485"/>
      <c r="EN248" s="485"/>
      <c r="EO248" s="485"/>
      <c r="EP248" s="485"/>
    </row>
    <row r="249" spans="1:146" ht="15.75">
      <c r="A249" s="462">
        <f t="shared" si="82"/>
        <v>979</v>
      </c>
      <c r="B249" s="629" t="s">
        <v>393</v>
      </c>
      <c r="C249" s="624">
        <v>1100</v>
      </c>
      <c r="D249" s="626">
        <v>367</v>
      </c>
      <c r="E249" s="611">
        <v>41.08</v>
      </c>
      <c r="F249" s="678">
        <f t="shared" si="71"/>
        <v>40.239570000000001</v>
      </c>
      <c r="G249" s="683">
        <v>3</v>
      </c>
      <c r="H249" s="681">
        <f t="shared" si="77"/>
        <v>13212</v>
      </c>
      <c r="I249" s="623">
        <f t="shared" si="75"/>
        <v>1478.8799999999999</v>
      </c>
      <c r="J249" s="623"/>
      <c r="K249" s="627">
        <v>1.1000000000000001</v>
      </c>
      <c r="L249" s="627">
        <f t="shared" si="78"/>
        <v>3.3000000000000003</v>
      </c>
      <c r="M249" s="627"/>
      <c r="N249" s="609">
        <v>367</v>
      </c>
      <c r="O249" s="610">
        <v>41.079934456732701</v>
      </c>
      <c r="P249" s="617" t="str">
        <f t="shared" si="79"/>
        <v>---</v>
      </c>
      <c r="Q249" s="618">
        <f t="shared" si="80"/>
        <v>-6.5543267297130114E-5</v>
      </c>
      <c r="R249" s="485"/>
      <c r="S249" s="624" t="str">
        <f t="shared" si="81"/>
        <v>OK</v>
      </c>
      <c r="T249" s="451">
        <f>IF(+'2012 Rates'!O457&lt;'2012 Rates'!$B$11,'2012 Rates'!$B$11,+'2012 Rates'!O457)</f>
        <v>44.19</v>
      </c>
      <c r="U249" s="447">
        <f t="shared" si="72"/>
        <v>9.817276874479508E-2</v>
      </c>
      <c r="V249" s="485"/>
      <c r="W249" s="623">
        <f t="shared" si="76"/>
        <v>1590.84</v>
      </c>
      <c r="X249" s="485"/>
      <c r="Y249" s="485"/>
      <c r="Z249" s="485"/>
      <c r="AA249" s="485"/>
      <c r="AB249" s="485"/>
      <c r="AC249" s="485"/>
      <c r="AD249" s="485"/>
      <c r="AE249" s="485"/>
      <c r="AF249" s="485"/>
      <c r="AG249" s="485"/>
      <c r="AH249" s="485"/>
      <c r="AI249" s="485"/>
      <c r="AJ249" s="485"/>
      <c r="AK249" s="485"/>
      <c r="AL249" s="485"/>
      <c r="AM249" s="485"/>
      <c r="AN249" s="485"/>
      <c r="AO249" s="485"/>
      <c r="AP249" s="485"/>
      <c r="AQ249" s="485"/>
      <c r="AR249" s="485"/>
      <c r="AS249" s="485"/>
      <c r="AT249" s="485"/>
      <c r="AU249" s="485"/>
      <c r="AV249" s="485"/>
      <c r="AW249" s="485"/>
      <c r="AX249" s="485"/>
      <c r="AY249" s="485"/>
      <c r="AZ249" s="485"/>
      <c r="BA249" s="485"/>
      <c r="BB249" s="485"/>
      <c r="BC249" s="485"/>
      <c r="BD249" s="485"/>
      <c r="BE249" s="485"/>
      <c r="BF249" s="485"/>
      <c r="BG249" s="485"/>
      <c r="BH249" s="485"/>
      <c r="BI249" s="485"/>
      <c r="BJ249" s="485"/>
      <c r="BK249" s="485"/>
      <c r="BL249" s="485"/>
      <c r="BM249" s="485"/>
      <c r="BN249" s="485"/>
      <c r="BO249" s="485"/>
      <c r="BP249" s="485"/>
      <c r="BQ249" s="485"/>
      <c r="BR249" s="485"/>
      <c r="BS249" s="485"/>
      <c r="BT249" s="485"/>
      <c r="BU249" s="485"/>
      <c r="BV249" s="485"/>
      <c r="BW249" s="485"/>
      <c r="BX249" s="485"/>
      <c r="BY249" s="485"/>
      <c r="BZ249" s="485"/>
      <c r="CA249" s="485"/>
      <c r="CB249" s="485"/>
      <c r="CC249" s="485"/>
      <c r="CD249" s="485"/>
      <c r="CE249" s="485"/>
      <c r="CF249" s="485"/>
      <c r="CG249" s="485"/>
      <c r="CH249" s="485"/>
      <c r="CI249" s="485"/>
      <c r="CJ249" s="485"/>
      <c r="CK249" s="485"/>
      <c r="CL249" s="485"/>
      <c r="CM249" s="485"/>
      <c r="CN249" s="485"/>
      <c r="CO249" s="485"/>
      <c r="CP249" s="485"/>
      <c r="CQ249" s="485"/>
      <c r="CR249" s="485"/>
      <c r="CS249" s="485"/>
      <c r="CT249" s="485"/>
      <c r="CU249" s="485"/>
      <c r="CV249" s="485"/>
      <c r="CW249" s="485"/>
      <c r="CX249" s="485"/>
      <c r="CY249" s="485"/>
      <c r="CZ249" s="485"/>
      <c r="DA249" s="485"/>
      <c r="DB249" s="485"/>
      <c r="DC249" s="485"/>
      <c r="DD249" s="485"/>
      <c r="DE249" s="485"/>
      <c r="DF249" s="485"/>
      <c r="DG249" s="485"/>
      <c r="DH249" s="485"/>
      <c r="DI249" s="485"/>
      <c r="DJ249" s="485"/>
      <c r="DK249" s="485"/>
      <c r="DL249" s="485"/>
      <c r="DM249" s="485"/>
      <c r="DN249" s="485"/>
      <c r="DO249" s="485"/>
      <c r="DP249" s="485"/>
      <c r="DQ249" s="485"/>
      <c r="DR249" s="485"/>
      <c r="DS249" s="485"/>
      <c r="DT249" s="485"/>
      <c r="DU249" s="485"/>
      <c r="DV249" s="485"/>
      <c r="DW249" s="485"/>
      <c r="DX249" s="485"/>
      <c r="DY249" s="485"/>
      <c r="DZ249" s="485"/>
      <c r="EA249" s="485"/>
      <c r="EB249" s="485"/>
      <c r="EC249" s="485"/>
      <c r="ED249" s="485"/>
      <c r="EE249" s="485"/>
      <c r="EF249" s="485"/>
      <c r="EG249" s="485"/>
      <c r="EH249" s="485"/>
      <c r="EI249" s="485"/>
      <c r="EJ249" s="485"/>
      <c r="EK249" s="485"/>
      <c r="EL249" s="485"/>
      <c r="EM249" s="485"/>
      <c r="EN249" s="485"/>
      <c r="EO249" s="485"/>
      <c r="EP249" s="485"/>
    </row>
    <row r="250" spans="1:146" ht="15.75">
      <c r="A250" s="462">
        <f t="shared" si="82"/>
        <v>980</v>
      </c>
      <c r="B250" s="629" t="s">
        <v>393</v>
      </c>
      <c r="C250" s="624">
        <v>2148</v>
      </c>
      <c r="D250" s="626">
        <v>716</v>
      </c>
      <c r="E250" s="611">
        <v>80.2</v>
      </c>
      <c r="F250" s="678">
        <f t="shared" si="71"/>
        <v>78.560360000000003</v>
      </c>
      <c r="G250" s="683">
        <v>2</v>
      </c>
      <c r="H250" s="681">
        <f t="shared" si="77"/>
        <v>17184</v>
      </c>
      <c r="I250" s="623">
        <f t="shared" si="75"/>
        <v>1924.8000000000002</v>
      </c>
      <c r="J250" s="623"/>
      <c r="K250" s="627">
        <v>2.1480000000000001</v>
      </c>
      <c r="L250" s="627">
        <f t="shared" si="78"/>
        <v>4.2960000000000003</v>
      </c>
      <c r="M250" s="627"/>
      <c r="N250" s="609">
        <v>716</v>
      </c>
      <c r="O250" s="610">
        <v>80.198645970083405</v>
      </c>
      <c r="P250" s="617" t="str">
        <f t="shared" si="79"/>
        <v>---</v>
      </c>
      <c r="Q250" s="618">
        <f t="shared" si="80"/>
        <v>-1.3540299165981651E-3</v>
      </c>
      <c r="R250" s="485"/>
      <c r="S250" s="624" t="str">
        <f t="shared" si="81"/>
        <v>OK</v>
      </c>
      <c r="T250" s="451">
        <f>IF(+'2012 Rates'!O458&lt;'2012 Rates'!$B$11,'2012 Rates'!$B$11,+'2012 Rates'!O458)</f>
        <v>86.27</v>
      </c>
      <c r="U250" s="447">
        <f t="shared" si="72"/>
        <v>9.8136515667697877E-2</v>
      </c>
      <c r="V250" s="485"/>
      <c r="W250" s="623">
        <f t="shared" si="76"/>
        <v>2070.48</v>
      </c>
      <c r="X250" s="485"/>
      <c r="Y250" s="485"/>
      <c r="Z250" s="485"/>
      <c r="AA250" s="485"/>
      <c r="AB250" s="485"/>
      <c r="AC250" s="485"/>
      <c r="AD250" s="485"/>
      <c r="AE250" s="485"/>
      <c r="AF250" s="485"/>
      <c r="AG250" s="485"/>
      <c r="AH250" s="485"/>
      <c r="AI250" s="485"/>
      <c r="AJ250" s="485"/>
      <c r="AK250" s="485"/>
      <c r="AL250" s="485"/>
      <c r="AM250" s="485"/>
      <c r="AN250" s="485"/>
      <c r="AO250" s="485"/>
      <c r="AP250" s="485"/>
      <c r="AQ250" s="485"/>
      <c r="AR250" s="485"/>
      <c r="AS250" s="485"/>
      <c r="AT250" s="485"/>
      <c r="AU250" s="485"/>
      <c r="AV250" s="485"/>
      <c r="AW250" s="485"/>
      <c r="AX250" s="485"/>
      <c r="AY250" s="485"/>
      <c r="AZ250" s="485"/>
      <c r="BA250" s="485"/>
      <c r="BB250" s="485"/>
      <c r="BC250" s="485"/>
      <c r="BD250" s="485"/>
      <c r="BE250" s="485"/>
      <c r="BF250" s="485"/>
      <c r="BG250" s="485"/>
      <c r="BH250" s="485"/>
      <c r="BI250" s="485"/>
      <c r="BJ250" s="485"/>
      <c r="BK250" s="485"/>
      <c r="BL250" s="485"/>
      <c r="BM250" s="485"/>
      <c r="BN250" s="485"/>
      <c r="BO250" s="485"/>
      <c r="BP250" s="485"/>
      <c r="BQ250" s="485"/>
      <c r="BR250" s="485"/>
      <c r="BS250" s="485"/>
      <c r="BT250" s="485"/>
      <c r="BU250" s="485"/>
      <c r="BV250" s="485"/>
      <c r="BW250" s="485"/>
      <c r="BX250" s="485"/>
      <c r="BY250" s="485"/>
      <c r="BZ250" s="485"/>
      <c r="CA250" s="485"/>
      <c r="CB250" s="485"/>
      <c r="CC250" s="485"/>
      <c r="CD250" s="485"/>
      <c r="CE250" s="485"/>
      <c r="CF250" s="485"/>
      <c r="CG250" s="485"/>
      <c r="CH250" s="485"/>
      <c r="CI250" s="485"/>
      <c r="CJ250" s="485"/>
      <c r="CK250" s="485"/>
      <c r="CL250" s="485"/>
      <c r="CM250" s="485"/>
      <c r="CN250" s="485"/>
      <c r="CO250" s="485"/>
      <c r="CP250" s="485"/>
      <c r="CQ250" s="485"/>
      <c r="CR250" s="485"/>
      <c r="CS250" s="485"/>
      <c r="CT250" s="485"/>
      <c r="CU250" s="485"/>
      <c r="CV250" s="485"/>
      <c r="CW250" s="485"/>
      <c r="CX250" s="485"/>
      <c r="CY250" s="485"/>
      <c r="CZ250" s="485"/>
      <c r="DA250" s="485"/>
      <c r="DB250" s="485"/>
      <c r="DC250" s="485"/>
      <c r="DD250" s="485"/>
      <c r="DE250" s="485"/>
      <c r="DF250" s="485"/>
      <c r="DG250" s="485"/>
      <c r="DH250" s="485"/>
      <c r="DI250" s="485"/>
      <c r="DJ250" s="485"/>
      <c r="DK250" s="485"/>
      <c r="DL250" s="485"/>
      <c r="DM250" s="485"/>
      <c r="DN250" s="485"/>
      <c r="DO250" s="485"/>
      <c r="DP250" s="485"/>
      <c r="DQ250" s="485"/>
      <c r="DR250" s="485"/>
      <c r="DS250" s="485"/>
      <c r="DT250" s="485"/>
      <c r="DU250" s="485"/>
      <c r="DV250" s="485"/>
      <c r="DW250" s="485"/>
      <c r="DX250" s="485"/>
      <c r="DY250" s="485"/>
      <c r="DZ250" s="485"/>
      <c r="EA250" s="485"/>
      <c r="EB250" s="485"/>
      <c r="EC250" s="485"/>
      <c r="ED250" s="485"/>
      <c r="EE250" s="485"/>
      <c r="EF250" s="485"/>
      <c r="EG250" s="485"/>
      <c r="EH250" s="485"/>
      <c r="EI250" s="485"/>
      <c r="EJ250" s="485"/>
      <c r="EK250" s="485"/>
      <c r="EL250" s="485"/>
      <c r="EM250" s="485"/>
      <c r="EN250" s="485"/>
      <c r="EO250" s="485"/>
      <c r="EP250" s="485"/>
    </row>
    <row r="251" spans="1:146" ht="15.75">
      <c r="A251" s="462">
        <f t="shared" si="82"/>
        <v>981</v>
      </c>
      <c r="B251" s="629" t="s">
        <v>403</v>
      </c>
      <c r="C251" s="624">
        <v>216</v>
      </c>
      <c r="D251" s="626">
        <v>158</v>
      </c>
      <c r="E251" s="611">
        <v>13.82</v>
      </c>
      <c r="F251" s="678">
        <f t="shared" si="71"/>
        <v>13.45818</v>
      </c>
      <c r="G251" s="683">
        <v>11</v>
      </c>
      <c r="H251" s="681">
        <f t="shared" si="77"/>
        <v>20856</v>
      </c>
      <c r="I251" s="623">
        <f t="shared" si="75"/>
        <v>1824.2400000000002</v>
      </c>
      <c r="J251" s="623"/>
      <c r="K251" s="627">
        <v>0.216</v>
      </c>
      <c r="L251" s="627">
        <f t="shared" si="78"/>
        <v>2.3759999999999999</v>
      </c>
      <c r="M251" s="627">
        <f>+L251</f>
        <v>2.3759999999999999</v>
      </c>
      <c r="N251" s="609">
        <v>158</v>
      </c>
      <c r="O251" s="610">
        <v>13.820734725241874</v>
      </c>
      <c r="P251" s="617" t="str">
        <f t="shared" si="79"/>
        <v>---</v>
      </c>
      <c r="Q251" s="618">
        <f t="shared" si="80"/>
        <v>7.3472524187323529E-4</v>
      </c>
      <c r="R251" s="485"/>
      <c r="S251" s="624" t="str">
        <f t="shared" si="81"/>
        <v>OK</v>
      </c>
      <c r="T251" s="451">
        <f>IF(+'2012 Rates'!P459&lt;'2012 Rates'!$B$11,'2012 Rates'!$B$11,+'2012 Rates'!P459)</f>
        <v>14.76</v>
      </c>
      <c r="U251" s="447">
        <f t="shared" si="72"/>
        <v>9.6730761514558283E-2</v>
      </c>
      <c r="V251" s="485"/>
      <c r="W251" s="623">
        <f t="shared" si="76"/>
        <v>1948.3199999999997</v>
      </c>
      <c r="X251" s="485"/>
      <c r="Y251" s="485"/>
      <c r="Z251" s="485"/>
      <c r="AA251" s="485"/>
      <c r="AB251" s="485"/>
      <c r="AC251" s="485"/>
      <c r="AD251" s="485"/>
      <c r="AE251" s="485"/>
      <c r="AF251" s="485"/>
      <c r="AG251" s="485"/>
      <c r="AH251" s="485"/>
      <c r="AI251" s="485"/>
      <c r="AJ251" s="485"/>
      <c r="AK251" s="485"/>
      <c r="AL251" s="485"/>
      <c r="AM251" s="485"/>
      <c r="AN251" s="485"/>
      <c r="AO251" s="485"/>
      <c r="AP251" s="485"/>
      <c r="AQ251" s="485"/>
      <c r="AR251" s="485"/>
      <c r="AS251" s="485"/>
      <c r="AT251" s="485"/>
      <c r="AU251" s="485"/>
      <c r="AV251" s="485"/>
      <c r="AW251" s="485"/>
      <c r="AX251" s="485"/>
      <c r="AY251" s="485"/>
      <c r="AZ251" s="485"/>
      <c r="BA251" s="485"/>
      <c r="BB251" s="485"/>
      <c r="BC251" s="485"/>
      <c r="BD251" s="485"/>
      <c r="BE251" s="485"/>
      <c r="BF251" s="485"/>
      <c r="BG251" s="485"/>
      <c r="BH251" s="485"/>
      <c r="BI251" s="485"/>
      <c r="BJ251" s="485"/>
      <c r="BK251" s="485"/>
      <c r="BL251" s="485"/>
      <c r="BM251" s="485"/>
      <c r="BN251" s="485"/>
      <c r="BO251" s="485"/>
      <c r="BP251" s="485"/>
      <c r="BQ251" s="485"/>
      <c r="BR251" s="485"/>
      <c r="BS251" s="485"/>
      <c r="BT251" s="485"/>
      <c r="BU251" s="485"/>
      <c r="BV251" s="485"/>
      <c r="BW251" s="485"/>
      <c r="BX251" s="485"/>
      <c r="BY251" s="485"/>
      <c r="BZ251" s="485"/>
      <c r="CA251" s="485"/>
      <c r="CB251" s="485"/>
      <c r="CC251" s="485"/>
      <c r="CD251" s="485"/>
      <c r="CE251" s="485"/>
      <c r="CF251" s="485"/>
      <c r="CG251" s="485"/>
      <c r="CH251" s="485"/>
      <c r="CI251" s="485"/>
      <c r="CJ251" s="485"/>
      <c r="CK251" s="485"/>
      <c r="CL251" s="485"/>
      <c r="CM251" s="485"/>
      <c r="CN251" s="485"/>
      <c r="CO251" s="485"/>
      <c r="CP251" s="485"/>
      <c r="CQ251" s="485"/>
      <c r="CR251" s="485"/>
      <c r="CS251" s="485"/>
      <c r="CT251" s="485"/>
      <c r="CU251" s="485"/>
      <c r="CV251" s="485"/>
      <c r="CW251" s="485"/>
      <c r="CX251" s="485"/>
      <c r="CY251" s="485"/>
      <c r="CZ251" s="485"/>
      <c r="DA251" s="485"/>
      <c r="DB251" s="485"/>
      <c r="DC251" s="485"/>
      <c r="DD251" s="485"/>
      <c r="DE251" s="485"/>
      <c r="DF251" s="485"/>
      <c r="DG251" s="485"/>
      <c r="DH251" s="485"/>
      <c r="DI251" s="485"/>
      <c r="DJ251" s="485"/>
      <c r="DK251" s="485"/>
      <c r="DL251" s="485"/>
      <c r="DM251" s="485"/>
      <c r="DN251" s="485"/>
      <c r="DO251" s="485"/>
      <c r="DP251" s="485"/>
      <c r="DQ251" s="485"/>
      <c r="DR251" s="485"/>
      <c r="DS251" s="485"/>
      <c r="DT251" s="485"/>
      <c r="DU251" s="485"/>
      <c r="DV251" s="485"/>
      <c r="DW251" s="485"/>
      <c r="DX251" s="485"/>
      <c r="DY251" s="485"/>
      <c r="DZ251" s="485"/>
      <c r="EA251" s="485"/>
      <c r="EB251" s="485"/>
      <c r="EC251" s="485"/>
      <c r="ED251" s="485"/>
      <c r="EE251" s="485"/>
      <c r="EF251" s="485"/>
      <c r="EG251" s="485"/>
      <c r="EH251" s="485"/>
      <c r="EI251" s="485"/>
      <c r="EJ251" s="485"/>
      <c r="EK251" s="485"/>
      <c r="EL251" s="485"/>
      <c r="EM251" s="485"/>
      <c r="EN251" s="485"/>
      <c r="EO251" s="485"/>
      <c r="EP251" s="485"/>
    </row>
    <row r="252" spans="1:146" ht="15.75">
      <c r="A252" s="462">
        <f t="shared" si="82"/>
        <v>982</v>
      </c>
      <c r="B252" s="467" t="s">
        <v>450</v>
      </c>
      <c r="C252" s="624">
        <v>400</v>
      </c>
      <c r="D252" s="626">
        <v>85</v>
      </c>
      <c r="E252" s="611">
        <v>11.7</v>
      </c>
      <c r="F252" s="678">
        <f t="shared" si="71"/>
        <v>11.50535</v>
      </c>
      <c r="G252" s="683">
        <v>25</v>
      </c>
      <c r="H252" s="681">
        <f t="shared" si="77"/>
        <v>25500</v>
      </c>
      <c r="I252" s="623">
        <f t="shared" si="75"/>
        <v>3510</v>
      </c>
      <c r="J252" s="623"/>
      <c r="K252" s="627">
        <v>0.4</v>
      </c>
      <c r="L252" s="627">
        <f t="shared" si="78"/>
        <v>10</v>
      </c>
      <c r="M252" s="627"/>
      <c r="N252" s="609">
        <v>85</v>
      </c>
      <c r="O252" s="610">
        <v>11.700775010414931</v>
      </c>
      <c r="P252" s="617" t="str">
        <f t="shared" si="79"/>
        <v>---</v>
      </c>
      <c r="Q252" s="618">
        <f t="shared" si="80"/>
        <v>7.7501041493199807E-4</v>
      </c>
      <c r="R252" s="485"/>
      <c r="S252" s="624" t="str">
        <f t="shared" si="81"/>
        <v>OK</v>
      </c>
      <c r="T252" s="451">
        <f>IF(+'2012 Rates'!O460&lt;'2012 Rates'!$B$11,'2012 Rates'!$B$11,+'2012 Rates'!O460)</f>
        <v>12.629999999999999</v>
      </c>
      <c r="U252" s="447">
        <f t="shared" si="72"/>
        <v>9.7750177091527002E-2</v>
      </c>
      <c r="V252" s="485"/>
      <c r="W252" s="623">
        <f t="shared" si="76"/>
        <v>3789</v>
      </c>
      <c r="X252" s="485"/>
      <c r="Y252" s="485"/>
      <c r="Z252" s="485"/>
      <c r="AA252" s="485"/>
      <c r="AB252" s="485"/>
      <c r="AC252" s="485"/>
      <c r="AD252" s="485"/>
      <c r="AE252" s="485"/>
      <c r="AF252" s="485"/>
      <c r="AG252" s="485"/>
      <c r="AH252" s="485"/>
      <c r="AI252" s="485"/>
      <c r="AJ252" s="485"/>
      <c r="AK252" s="485"/>
      <c r="AL252" s="485"/>
      <c r="AM252" s="485"/>
      <c r="AN252" s="485"/>
      <c r="AO252" s="485"/>
      <c r="AP252" s="485"/>
      <c r="AQ252" s="485"/>
      <c r="AR252" s="485"/>
      <c r="AS252" s="485"/>
      <c r="AT252" s="485"/>
      <c r="AU252" s="485"/>
      <c r="AV252" s="485"/>
      <c r="AW252" s="485"/>
      <c r="AX252" s="485"/>
      <c r="AY252" s="485"/>
      <c r="AZ252" s="485"/>
      <c r="BA252" s="485"/>
      <c r="BB252" s="485"/>
      <c r="BC252" s="485"/>
      <c r="BD252" s="485"/>
      <c r="BE252" s="485"/>
      <c r="BF252" s="485"/>
      <c r="BG252" s="485"/>
      <c r="BH252" s="485"/>
      <c r="BI252" s="485"/>
      <c r="BJ252" s="485"/>
      <c r="BK252" s="485"/>
      <c r="BL252" s="485"/>
      <c r="BM252" s="485"/>
      <c r="BN252" s="485"/>
      <c r="BO252" s="485"/>
      <c r="BP252" s="485"/>
      <c r="BQ252" s="485"/>
      <c r="BR252" s="485"/>
      <c r="BS252" s="485"/>
      <c r="BT252" s="485"/>
      <c r="BU252" s="485"/>
      <c r="BV252" s="485"/>
      <c r="BW252" s="485"/>
      <c r="BX252" s="485"/>
      <c r="BY252" s="485"/>
      <c r="BZ252" s="485"/>
      <c r="CA252" s="485"/>
      <c r="CB252" s="485"/>
      <c r="CC252" s="485"/>
      <c r="CD252" s="485"/>
      <c r="CE252" s="485"/>
      <c r="CF252" s="485"/>
      <c r="CG252" s="485"/>
      <c r="CH252" s="485"/>
      <c r="CI252" s="485"/>
      <c r="CJ252" s="485"/>
      <c r="CK252" s="485"/>
      <c r="CL252" s="485"/>
      <c r="CM252" s="485"/>
      <c r="CN252" s="485"/>
      <c r="CO252" s="485"/>
      <c r="CP252" s="485"/>
      <c r="CQ252" s="485"/>
      <c r="CR252" s="485"/>
      <c r="CS252" s="485"/>
      <c r="CT252" s="485"/>
      <c r="CU252" s="485"/>
      <c r="CV252" s="485"/>
      <c r="CW252" s="485"/>
      <c r="CX252" s="485"/>
      <c r="CY252" s="485"/>
      <c r="CZ252" s="485"/>
      <c r="DA252" s="485"/>
      <c r="DB252" s="485"/>
      <c r="DC252" s="485"/>
      <c r="DD252" s="485"/>
      <c r="DE252" s="485"/>
      <c r="DF252" s="485"/>
      <c r="DG252" s="485"/>
      <c r="DH252" s="485"/>
      <c r="DI252" s="485"/>
      <c r="DJ252" s="485"/>
      <c r="DK252" s="485"/>
      <c r="DL252" s="485"/>
      <c r="DM252" s="485"/>
      <c r="DN252" s="485"/>
      <c r="DO252" s="485"/>
      <c r="DP252" s="485"/>
      <c r="DQ252" s="485"/>
      <c r="DR252" s="485"/>
      <c r="DS252" s="485"/>
      <c r="DT252" s="485"/>
      <c r="DU252" s="485"/>
      <c r="DV252" s="485"/>
      <c r="DW252" s="485"/>
      <c r="DX252" s="485"/>
      <c r="DY252" s="485"/>
      <c r="DZ252" s="485"/>
      <c r="EA252" s="485"/>
      <c r="EB252" s="485"/>
      <c r="EC252" s="485"/>
      <c r="ED252" s="485"/>
      <c r="EE252" s="485"/>
      <c r="EF252" s="485"/>
      <c r="EG252" s="485"/>
      <c r="EH252" s="485"/>
      <c r="EI252" s="485"/>
      <c r="EJ252" s="485"/>
      <c r="EK252" s="485"/>
      <c r="EL252" s="485"/>
      <c r="EM252" s="485"/>
      <c r="EN252" s="485"/>
      <c r="EO252" s="485"/>
      <c r="EP252" s="485"/>
    </row>
    <row r="253" spans="1:146" ht="15.75">
      <c r="A253" s="462">
        <f t="shared" si="82"/>
        <v>983</v>
      </c>
      <c r="B253" s="629" t="s">
        <v>393</v>
      </c>
      <c r="C253" s="624">
        <v>420</v>
      </c>
      <c r="D253" s="626">
        <v>140</v>
      </c>
      <c r="E253" s="611">
        <v>15.68</v>
      </c>
      <c r="F253" s="678">
        <f t="shared" si="71"/>
        <v>15.359399999999999</v>
      </c>
      <c r="G253" s="683">
        <v>6</v>
      </c>
      <c r="H253" s="681">
        <f t="shared" si="77"/>
        <v>10080</v>
      </c>
      <c r="I253" s="623">
        <f t="shared" si="75"/>
        <v>1128.96</v>
      </c>
      <c r="J253" s="623"/>
      <c r="K253" s="627">
        <v>0.42</v>
      </c>
      <c r="L253" s="627">
        <f t="shared" si="78"/>
        <v>2.52</v>
      </c>
      <c r="M253" s="627"/>
      <c r="N253" s="609">
        <v>140</v>
      </c>
      <c r="O253" s="610">
        <v>15.679511781859887</v>
      </c>
      <c r="P253" s="617" t="str">
        <f t="shared" si="79"/>
        <v>---</v>
      </c>
      <c r="Q253" s="618">
        <f t="shared" si="80"/>
        <v>-4.8821814011290599E-4</v>
      </c>
      <c r="R253" s="485"/>
      <c r="S253" s="624" t="str">
        <f t="shared" si="81"/>
        <v>OK</v>
      </c>
      <c r="T253" s="451">
        <f>IF(+'2012 Rates'!O461&lt;'2012 Rates'!$B$11,'2012 Rates'!$B$11,+'2012 Rates'!O461)</f>
        <v>16.86</v>
      </c>
      <c r="U253" s="447">
        <f t="shared" si="72"/>
        <v>9.7699128872221541E-2</v>
      </c>
      <c r="V253" s="485"/>
      <c r="W253" s="623">
        <f t="shared" si="76"/>
        <v>1213.92</v>
      </c>
      <c r="X253" s="485"/>
      <c r="Y253" s="485"/>
      <c r="Z253" s="485"/>
      <c r="AA253" s="485"/>
      <c r="AB253" s="485"/>
      <c r="AC253" s="485"/>
      <c r="AD253" s="485"/>
      <c r="AE253" s="485"/>
      <c r="AF253" s="485"/>
      <c r="AG253" s="485"/>
      <c r="AH253" s="485"/>
      <c r="AI253" s="485"/>
      <c r="AJ253" s="485"/>
      <c r="AK253" s="485"/>
      <c r="AL253" s="485"/>
      <c r="AM253" s="485"/>
      <c r="AN253" s="485"/>
      <c r="AO253" s="485"/>
      <c r="AP253" s="485"/>
      <c r="AQ253" s="485"/>
      <c r="AR253" s="485"/>
      <c r="AS253" s="485"/>
      <c r="AT253" s="485"/>
      <c r="AU253" s="485"/>
      <c r="AV253" s="485"/>
      <c r="AW253" s="485"/>
      <c r="AX253" s="485"/>
      <c r="AY253" s="485"/>
      <c r="AZ253" s="485"/>
      <c r="BA253" s="485"/>
      <c r="BB253" s="485"/>
      <c r="BC253" s="485"/>
      <c r="BD253" s="485"/>
      <c r="BE253" s="485"/>
      <c r="BF253" s="485"/>
      <c r="BG253" s="485"/>
      <c r="BH253" s="485"/>
      <c r="BI253" s="485"/>
      <c r="BJ253" s="485"/>
      <c r="BK253" s="485"/>
      <c r="BL253" s="485"/>
      <c r="BM253" s="485"/>
      <c r="BN253" s="485"/>
      <c r="BO253" s="485"/>
      <c r="BP253" s="485"/>
      <c r="BQ253" s="485"/>
      <c r="BR253" s="485"/>
      <c r="BS253" s="485"/>
      <c r="BT253" s="485"/>
      <c r="BU253" s="485"/>
      <c r="BV253" s="485"/>
      <c r="BW253" s="485"/>
      <c r="BX253" s="485"/>
      <c r="BY253" s="485"/>
      <c r="BZ253" s="485"/>
      <c r="CA253" s="485"/>
      <c r="CB253" s="485"/>
      <c r="CC253" s="485"/>
      <c r="CD253" s="485"/>
      <c r="CE253" s="485"/>
      <c r="CF253" s="485"/>
      <c r="CG253" s="485"/>
      <c r="CH253" s="485"/>
      <c r="CI253" s="485"/>
      <c r="CJ253" s="485"/>
      <c r="CK253" s="485"/>
      <c r="CL253" s="485"/>
      <c r="CM253" s="485"/>
      <c r="CN253" s="485"/>
      <c r="CO253" s="485"/>
      <c r="CP253" s="485"/>
      <c r="CQ253" s="485"/>
      <c r="CR253" s="485"/>
      <c r="CS253" s="485"/>
      <c r="CT253" s="485"/>
      <c r="CU253" s="485"/>
      <c r="CV253" s="485"/>
      <c r="CW253" s="485"/>
      <c r="CX253" s="485"/>
      <c r="CY253" s="485"/>
      <c r="CZ253" s="485"/>
      <c r="DA253" s="485"/>
      <c r="DB253" s="485"/>
      <c r="DC253" s="485"/>
      <c r="DD253" s="485"/>
      <c r="DE253" s="485"/>
      <c r="DF253" s="485"/>
      <c r="DG253" s="485"/>
      <c r="DH253" s="485"/>
      <c r="DI253" s="485"/>
      <c r="DJ253" s="485"/>
      <c r="DK253" s="485"/>
      <c r="DL253" s="485"/>
      <c r="DM253" s="485"/>
      <c r="DN253" s="485"/>
      <c r="DO253" s="485"/>
      <c r="DP253" s="485"/>
      <c r="DQ253" s="485"/>
      <c r="DR253" s="485"/>
      <c r="DS253" s="485"/>
      <c r="DT253" s="485"/>
      <c r="DU253" s="485"/>
      <c r="DV253" s="485"/>
      <c r="DW253" s="485"/>
      <c r="DX253" s="485"/>
      <c r="DY253" s="485"/>
      <c r="DZ253" s="485"/>
      <c r="EA253" s="485"/>
      <c r="EB253" s="485"/>
      <c r="EC253" s="485"/>
      <c r="ED253" s="485"/>
      <c r="EE253" s="485"/>
      <c r="EF253" s="485"/>
      <c r="EG253" s="485"/>
      <c r="EH253" s="485"/>
      <c r="EI253" s="485"/>
      <c r="EJ253" s="485"/>
      <c r="EK253" s="485"/>
      <c r="EL253" s="485"/>
      <c r="EM253" s="485"/>
      <c r="EN253" s="485"/>
      <c r="EO253" s="485"/>
      <c r="EP253" s="485"/>
    </row>
    <row r="254" spans="1:146" ht="15.75">
      <c r="A254" s="591">
        <f t="shared" si="82"/>
        <v>984</v>
      </c>
      <c r="B254" s="630" t="s">
        <v>451</v>
      </c>
      <c r="C254" s="614">
        <v>746</v>
      </c>
      <c r="D254" s="609">
        <v>42</v>
      </c>
      <c r="E254" s="610">
        <v>10.52</v>
      </c>
      <c r="F254" s="678">
        <f t="shared" si="71"/>
        <v>10.423819999999999</v>
      </c>
      <c r="G254" s="683"/>
      <c r="H254" s="664">
        <f t="shared" si="77"/>
        <v>0</v>
      </c>
      <c r="I254" s="444">
        <f t="shared" si="75"/>
        <v>0</v>
      </c>
      <c r="J254" s="444"/>
      <c r="K254" s="616">
        <v>0.746</v>
      </c>
      <c r="L254" s="616">
        <f t="shared" si="78"/>
        <v>0</v>
      </c>
      <c r="M254" s="616"/>
      <c r="N254" s="609">
        <v>42</v>
      </c>
      <c r="O254" s="610">
        <v>10.522853534557967</v>
      </c>
      <c r="P254" s="617" t="str">
        <f t="shared" si="79"/>
        <v>---</v>
      </c>
      <c r="Q254" s="618">
        <f t="shared" si="80"/>
        <v>2.853534557967663E-3</v>
      </c>
      <c r="R254" s="615"/>
      <c r="S254" s="614" t="str">
        <f t="shared" si="81"/>
        <v>OK</v>
      </c>
      <c r="T254" s="451">
        <f>IF(+'2012 Rates'!O462&lt;'2012 Rates'!$B$11,'2012 Rates'!$B$11,+'2012 Rates'!O462)</f>
        <v>11.46</v>
      </c>
      <c r="U254" s="447">
        <f t="shared" si="72"/>
        <v>9.9405016587009509E-2</v>
      </c>
      <c r="V254" s="445" t="s">
        <v>363</v>
      </c>
      <c r="W254" s="623">
        <f t="shared" si="76"/>
        <v>0</v>
      </c>
      <c r="X254" s="485"/>
      <c r="Y254" s="485"/>
      <c r="Z254" s="485"/>
      <c r="AA254" s="485"/>
      <c r="AB254" s="485"/>
      <c r="AC254" s="485"/>
      <c r="AD254" s="485"/>
      <c r="AE254" s="485"/>
      <c r="AF254" s="485"/>
      <c r="AG254" s="485"/>
      <c r="AH254" s="485"/>
      <c r="AI254" s="485"/>
      <c r="AJ254" s="485"/>
      <c r="AK254" s="485"/>
      <c r="AL254" s="485"/>
      <c r="AM254" s="485"/>
      <c r="AN254" s="485"/>
      <c r="AO254" s="485"/>
      <c r="AP254" s="485"/>
      <c r="AQ254" s="485"/>
      <c r="AR254" s="485"/>
      <c r="AS254" s="485"/>
      <c r="AT254" s="485"/>
      <c r="AU254" s="485"/>
      <c r="AV254" s="485"/>
      <c r="AW254" s="485"/>
      <c r="AX254" s="485"/>
      <c r="AY254" s="485"/>
      <c r="AZ254" s="485"/>
      <c r="BA254" s="485"/>
      <c r="BB254" s="485"/>
      <c r="BC254" s="485"/>
      <c r="BD254" s="485"/>
      <c r="BE254" s="485"/>
      <c r="BF254" s="485"/>
      <c r="BG254" s="485"/>
      <c r="BH254" s="485"/>
      <c r="BI254" s="485"/>
      <c r="BJ254" s="485"/>
      <c r="BK254" s="485"/>
      <c r="BL254" s="485"/>
      <c r="BM254" s="485"/>
      <c r="BN254" s="485"/>
      <c r="BO254" s="485"/>
      <c r="BP254" s="485"/>
      <c r="BQ254" s="485"/>
      <c r="BR254" s="485"/>
      <c r="BS254" s="485"/>
      <c r="BT254" s="485"/>
      <c r="BU254" s="485"/>
      <c r="BV254" s="485"/>
      <c r="BW254" s="485"/>
      <c r="BX254" s="485"/>
      <c r="BY254" s="485"/>
      <c r="BZ254" s="485"/>
      <c r="CA254" s="485"/>
      <c r="CB254" s="485"/>
      <c r="CC254" s="485"/>
      <c r="CD254" s="485"/>
      <c r="CE254" s="485"/>
      <c r="CF254" s="485"/>
      <c r="CG254" s="485"/>
      <c r="CH254" s="485"/>
      <c r="CI254" s="485"/>
      <c r="CJ254" s="485"/>
      <c r="CK254" s="485"/>
      <c r="CL254" s="485"/>
      <c r="CM254" s="485"/>
      <c r="CN254" s="485"/>
      <c r="CO254" s="485"/>
      <c r="CP254" s="485"/>
      <c r="CQ254" s="485"/>
      <c r="CR254" s="485"/>
      <c r="CS254" s="485"/>
      <c r="CT254" s="485"/>
      <c r="CU254" s="485"/>
      <c r="CV254" s="485"/>
      <c r="CW254" s="485"/>
      <c r="CX254" s="485"/>
      <c r="CY254" s="485"/>
      <c r="CZ254" s="485"/>
      <c r="DA254" s="485"/>
      <c r="DB254" s="485"/>
      <c r="DC254" s="485"/>
      <c r="DD254" s="485"/>
      <c r="DE254" s="485"/>
      <c r="DF254" s="485"/>
      <c r="DG254" s="485"/>
      <c r="DH254" s="485"/>
      <c r="DI254" s="485"/>
      <c r="DJ254" s="485"/>
      <c r="DK254" s="485"/>
      <c r="DL254" s="485"/>
      <c r="DM254" s="485"/>
      <c r="DN254" s="485"/>
      <c r="DO254" s="485"/>
      <c r="DP254" s="485"/>
      <c r="DQ254" s="485"/>
      <c r="DR254" s="485"/>
      <c r="DS254" s="485"/>
      <c r="DT254" s="485"/>
      <c r="DU254" s="485"/>
      <c r="DV254" s="485"/>
      <c r="DW254" s="485"/>
      <c r="DX254" s="485"/>
      <c r="DY254" s="485"/>
      <c r="DZ254" s="485"/>
      <c r="EA254" s="485"/>
      <c r="EB254" s="485"/>
      <c r="EC254" s="485"/>
      <c r="ED254" s="485"/>
      <c r="EE254" s="485"/>
      <c r="EF254" s="485"/>
      <c r="EG254" s="485"/>
      <c r="EH254" s="485"/>
      <c r="EI254" s="485"/>
      <c r="EJ254" s="485"/>
      <c r="EK254" s="485"/>
      <c r="EL254" s="485"/>
      <c r="EM254" s="485"/>
      <c r="EN254" s="485"/>
      <c r="EO254" s="485"/>
      <c r="EP254" s="485"/>
    </row>
    <row r="255" spans="1:146" ht="15.75">
      <c r="A255" s="462">
        <f t="shared" si="82"/>
        <v>985</v>
      </c>
      <c r="B255" s="629" t="s">
        <v>393</v>
      </c>
      <c r="C255" s="624">
        <v>1200</v>
      </c>
      <c r="D255" s="626">
        <v>400</v>
      </c>
      <c r="E255" s="611">
        <v>44.8</v>
      </c>
      <c r="F255" s="678">
        <f t="shared" si="71"/>
        <v>43.884</v>
      </c>
      <c r="G255" s="683">
        <v>28</v>
      </c>
      <c r="H255" s="681">
        <f t="shared" si="77"/>
        <v>134400</v>
      </c>
      <c r="I255" s="623">
        <f t="shared" si="75"/>
        <v>15052.8</v>
      </c>
      <c r="J255" s="623"/>
      <c r="K255" s="627">
        <v>1.2</v>
      </c>
      <c r="L255" s="627">
        <f t="shared" si="78"/>
        <v>33.6</v>
      </c>
      <c r="M255" s="627"/>
      <c r="N255" s="609">
        <v>400</v>
      </c>
      <c r="O255" s="610">
        <v>44.797176519599681</v>
      </c>
      <c r="P255" s="617" t="str">
        <f t="shared" si="79"/>
        <v>---</v>
      </c>
      <c r="Q255" s="618">
        <f t="shared" si="80"/>
        <v>-2.8234804003162139E-3</v>
      </c>
      <c r="R255" s="485"/>
      <c r="S255" s="624" t="str">
        <f t="shared" si="81"/>
        <v>OK</v>
      </c>
      <c r="T255" s="451">
        <f>IF(+'2012 Rates'!O463&lt;'2012 Rates'!$B$11,'2012 Rates'!$B$11,+'2012 Rates'!O463)</f>
        <v>48.180000000000007</v>
      </c>
      <c r="U255" s="447">
        <f t="shared" si="72"/>
        <v>9.7894449001914241E-2</v>
      </c>
      <c r="V255" s="485"/>
      <c r="W255" s="623">
        <f t="shared" si="76"/>
        <v>16188.480000000003</v>
      </c>
      <c r="X255" s="485"/>
      <c r="Y255" s="485"/>
      <c r="Z255" s="485"/>
      <c r="AA255" s="485"/>
      <c r="AB255" s="485"/>
      <c r="AC255" s="485"/>
      <c r="AD255" s="485"/>
      <c r="AE255" s="485"/>
      <c r="AF255" s="485"/>
      <c r="AG255" s="485"/>
      <c r="AH255" s="485"/>
      <c r="AI255" s="485"/>
      <c r="AJ255" s="485"/>
      <c r="AK255" s="485"/>
      <c r="AL255" s="485"/>
      <c r="AM255" s="485"/>
      <c r="AN255" s="485"/>
      <c r="AO255" s="485"/>
      <c r="AP255" s="485"/>
      <c r="AQ255" s="485"/>
      <c r="AR255" s="485"/>
      <c r="AS255" s="485"/>
      <c r="AT255" s="485"/>
      <c r="AU255" s="485"/>
      <c r="AV255" s="485"/>
      <c r="AW255" s="485"/>
      <c r="AX255" s="485"/>
      <c r="AY255" s="485"/>
      <c r="AZ255" s="485"/>
      <c r="BA255" s="485"/>
      <c r="BB255" s="485"/>
      <c r="BC255" s="485"/>
      <c r="BD255" s="485"/>
      <c r="BE255" s="485"/>
      <c r="BF255" s="485"/>
      <c r="BG255" s="485"/>
      <c r="BH255" s="485"/>
      <c r="BI255" s="485"/>
      <c r="BJ255" s="485"/>
      <c r="BK255" s="485"/>
      <c r="BL255" s="485"/>
      <c r="BM255" s="485"/>
      <c r="BN255" s="485"/>
      <c r="BO255" s="485"/>
      <c r="BP255" s="485"/>
      <c r="BQ255" s="485"/>
      <c r="BR255" s="485"/>
      <c r="BS255" s="485"/>
      <c r="BT255" s="485"/>
      <c r="BU255" s="485"/>
      <c r="BV255" s="485"/>
      <c r="BW255" s="485"/>
      <c r="BX255" s="485"/>
      <c r="BY255" s="485"/>
      <c r="BZ255" s="485"/>
      <c r="CA255" s="485"/>
      <c r="CB255" s="485"/>
      <c r="CC255" s="485"/>
      <c r="CD255" s="485"/>
      <c r="CE255" s="485"/>
      <c r="CF255" s="485"/>
      <c r="CG255" s="485"/>
      <c r="CH255" s="485"/>
      <c r="CI255" s="485"/>
      <c r="CJ255" s="485"/>
      <c r="CK255" s="485"/>
      <c r="CL255" s="485"/>
      <c r="CM255" s="485"/>
      <c r="CN255" s="485"/>
      <c r="CO255" s="485"/>
      <c r="CP255" s="485"/>
      <c r="CQ255" s="485"/>
      <c r="CR255" s="485"/>
      <c r="CS255" s="485"/>
      <c r="CT255" s="485"/>
      <c r="CU255" s="485"/>
      <c r="CV255" s="485"/>
      <c r="CW255" s="485"/>
      <c r="CX255" s="485"/>
      <c r="CY255" s="485"/>
      <c r="CZ255" s="485"/>
      <c r="DA255" s="485"/>
      <c r="DB255" s="485"/>
      <c r="DC255" s="485"/>
      <c r="DD255" s="485"/>
      <c r="DE255" s="485"/>
      <c r="DF255" s="485"/>
      <c r="DG255" s="485"/>
      <c r="DH255" s="485"/>
      <c r="DI255" s="485"/>
      <c r="DJ255" s="485"/>
      <c r="DK255" s="485"/>
      <c r="DL255" s="485"/>
      <c r="DM255" s="485"/>
      <c r="DN255" s="485"/>
      <c r="DO255" s="485"/>
      <c r="DP255" s="485"/>
      <c r="DQ255" s="485"/>
      <c r="DR255" s="485"/>
      <c r="DS255" s="485"/>
      <c r="DT255" s="485"/>
      <c r="DU255" s="485"/>
      <c r="DV255" s="485"/>
      <c r="DW255" s="485"/>
      <c r="DX255" s="485"/>
      <c r="DY255" s="485"/>
      <c r="DZ255" s="485"/>
      <c r="EA255" s="485"/>
      <c r="EB255" s="485"/>
      <c r="EC255" s="485"/>
      <c r="ED255" s="485"/>
      <c r="EE255" s="485"/>
      <c r="EF255" s="485"/>
      <c r="EG255" s="485"/>
      <c r="EH255" s="485"/>
      <c r="EI255" s="485"/>
      <c r="EJ255" s="485"/>
      <c r="EK255" s="485"/>
      <c r="EL255" s="485"/>
      <c r="EM255" s="485"/>
      <c r="EN255" s="485"/>
      <c r="EO255" s="485"/>
      <c r="EP255" s="485"/>
    </row>
    <row r="256" spans="1:146" ht="15.75">
      <c r="A256" s="462">
        <f t="shared" si="82"/>
        <v>986</v>
      </c>
      <c r="B256" s="467" t="s">
        <v>452</v>
      </c>
      <c r="C256" s="624">
        <v>2300</v>
      </c>
      <c r="D256" s="626">
        <v>10</v>
      </c>
      <c r="E256" s="611">
        <v>20.56</v>
      </c>
      <c r="F256" s="678">
        <f t="shared" si="71"/>
        <v>20.537099999999999</v>
      </c>
      <c r="G256" s="683">
        <v>17</v>
      </c>
      <c r="H256" s="681">
        <f t="shared" si="77"/>
        <v>2040</v>
      </c>
      <c r="I256" s="623">
        <f t="shared" si="75"/>
        <v>4194.24</v>
      </c>
      <c r="J256" s="623"/>
      <c r="K256" s="627">
        <v>2.2999999999999998</v>
      </c>
      <c r="L256" s="627">
        <f t="shared" si="78"/>
        <v>39.099999999999994</v>
      </c>
      <c r="M256" s="627"/>
      <c r="N256" s="609">
        <v>10</v>
      </c>
      <c r="O256" s="610">
        <v>20.560679412989995</v>
      </c>
      <c r="P256" s="617" t="str">
        <f t="shared" si="79"/>
        <v>---</v>
      </c>
      <c r="Q256" s="618">
        <f t="shared" si="80"/>
        <v>6.7941298999585342E-4</v>
      </c>
      <c r="R256" s="485"/>
      <c r="S256" s="624" t="str">
        <f t="shared" si="81"/>
        <v>OK</v>
      </c>
      <c r="T256" s="451">
        <f>IF(+'2012 Rates'!O464&lt;'2012 Rates'!$B$11,'2012 Rates'!$B$11,+'2012 Rates'!O464)</f>
        <v>22.55</v>
      </c>
      <c r="U256" s="447">
        <f t="shared" si="72"/>
        <v>9.8012864523228771E-2</v>
      </c>
      <c r="V256" s="485"/>
      <c r="W256" s="623">
        <f t="shared" si="76"/>
        <v>4600.2000000000007</v>
      </c>
      <c r="X256" s="485"/>
      <c r="Y256" s="485"/>
      <c r="Z256" s="485"/>
      <c r="AA256" s="485"/>
      <c r="AB256" s="485"/>
      <c r="AC256" s="485"/>
      <c r="AD256" s="485"/>
      <c r="AE256" s="485"/>
      <c r="AF256" s="485"/>
      <c r="AG256" s="485"/>
      <c r="AH256" s="485"/>
      <c r="AI256" s="485"/>
      <c r="AJ256" s="485"/>
      <c r="AK256" s="485"/>
      <c r="AL256" s="485"/>
      <c r="AM256" s="485"/>
      <c r="AN256" s="485"/>
      <c r="AO256" s="485"/>
      <c r="AP256" s="485"/>
      <c r="AQ256" s="485"/>
      <c r="AR256" s="485"/>
      <c r="AS256" s="485"/>
      <c r="AT256" s="485"/>
      <c r="AU256" s="485"/>
      <c r="AV256" s="485"/>
      <c r="AW256" s="485"/>
      <c r="AX256" s="485"/>
      <c r="AY256" s="485"/>
      <c r="AZ256" s="485"/>
      <c r="BA256" s="485"/>
      <c r="BB256" s="485"/>
      <c r="BC256" s="485"/>
      <c r="BD256" s="485"/>
      <c r="BE256" s="485"/>
      <c r="BF256" s="485"/>
      <c r="BG256" s="485"/>
      <c r="BH256" s="485"/>
      <c r="BI256" s="485"/>
      <c r="BJ256" s="485"/>
      <c r="BK256" s="485"/>
      <c r="BL256" s="485"/>
      <c r="BM256" s="485"/>
      <c r="BN256" s="485"/>
      <c r="BO256" s="485"/>
      <c r="BP256" s="485"/>
      <c r="BQ256" s="485"/>
      <c r="BR256" s="485"/>
      <c r="BS256" s="485"/>
      <c r="BT256" s="485"/>
      <c r="BU256" s="485"/>
      <c r="BV256" s="485"/>
      <c r="BW256" s="485"/>
      <c r="BX256" s="485"/>
      <c r="BY256" s="485"/>
      <c r="BZ256" s="485"/>
      <c r="CA256" s="485"/>
      <c r="CB256" s="485"/>
      <c r="CC256" s="485"/>
      <c r="CD256" s="485"/>
      <c r="CE256" s="485"/>
      <c r="CF256" s="485"/>
      <c r="CG256" s="485"/>
      <c r="CH256" s="485"/>
      <c r="CI256" s="485"/>
      <c r="CJ256" s="485"/>
      <c r="CK256" s="485"/>
      <c r="CL256" s="485"/>
      <c r="CM256" s="485"/>
      <c r="CN256" s="485"/>
      <c r="CO256" s="485"/>
      <c r="CP256" s="485"/>
      <c r="CQ256" s="485"/>
      <c r="CR256" s="485"/>
      <c r="CS256" s="485"/>
      <c r="CT256" s="485"/>
      <c r="CU256" s="485"/>
      <c r="CV256" s="485"/>
      <c r="CW256" s="485"/>
      <c r="CX256" s="485"/>
      <c r="CY256" s="485"/>
      <c r="CZ256" s="485"/>
      <c r="DA256" s="485"/>
      <c r="DB256" s="485"/>
      <c r="DC256" s="485"/>
      <c r="DD256" s="485"/>
      <c r="DE256" s="485"/>
      <c r="DF256" s="485"/>
      <c r="DG256" s="485"/>
      <c r="DH256" s="485"/>
      <c r="DI256" s="485"/>
      <c r="DJ256" s="485"/>
      <c r="DK256" s="485"/>
      <c r="DL256" s="485"/>
      <c r="DM256" s="485"/>
      <c r="DN256" s="485"/>
      <c r="DO256" s="485"/>
      <c r="DP256" s="485"/>
      <c r="DQ256" s="485"/>
      <c r="DR256" s="485"/>
      <c r="DS256" s="485"/>
      <c r="DT256" s="485"/>
      <c r="DU256" s="485"/>
      <c r="DV256" s="485"/>
      <c r="DW256" s="485"/>
      <c r="DX256" s="485"/>
      <c r="DY256" s="485"/>
      <c r="DZ256" s="485"/>
      <c r="EA256" s="485"/>
      <c r="EB256" s="485"/>
      <c r="EC256" s="485"/>
      <c r="ED256" s="485"/>
      <c r="EE256" s="485"/>
      <c r="EF256" s="485"/>
      <c r="EG256" s="485"/>
      <c r="EH256" s="485"/>
      <c r="EI256" s="485"/>
      <c r="EJ256" s="485"/>
      <c r="EK256" s="485"/>
      <c r="EL256" s="485"/>
      <c r="EM256" s="485"/>
      <c r="EN256" s="485"/>
      <c r="EO256" s="485"/>
      <c r="EP256" s="485"/>
    </row>
    <row r="257" spans="1:146" ht="15.75">
      <c r="A257" s="462">
        <f t="shared" si="82"/>
        <v>987</v>
      </c>
      <c r="B257" s="629" t="s">
        <v>403</v>
      </c>
      <c r="C257" s="624">
        <v>1990</v>
      </c>
      <c r="D257" s="626">
        <v>1453</v>
      </c>
      <c r="E257" s="611">
        <v>127.08</v>
      </c>
      <c r="F257" s="678">
        <f t="shared" si="71"/>
        <v>123.75263</v>
      </c>
      <c r="G257" s="683"/>
      <c r="H257" s="681">
        <f t="shared" si="77"/>
        <v>0</v>
      </c>
      <c r="I257" s="623">
        <f t="shared" si="75"/>
        <v>0</v>
      </c>
      <c r="J257" s="623"/>
      <c r="K257" s="627">
        <v>1.99</v>
      </c>
      <c r="L257" s="627">
        <f t="shared" si="78"/>
        <v>0</v>
      </c>
      <c r="M257" s="627">
        <f>+L257</f>
        <v>0</v>
      </c>
      <c r="N257" s="609">
        <v>1453</v>
      </c>
      <c r="O257" s="610">
        <v>127.08371870744584</v>
      </c>
      <c r="P257" s="617" t="str">
        <f t="shared" si="79"/>
        <v>---</v>
      </c>
      <c r="Q257" s="618">
        <f t="shared" si="80"/>
        <v>3.7187074458415736E-3</v>
      </c>
      <c r="R257" s="485"/>
      <c r="S257" s="624" t="str">
        <f t="shared" si="81"/>
        <v>OK</v>
      </c>
      <c r="T257" s="451">
        <f>IF(+'2012 Rates'!P465&lt;'2012 Rates'!$B$11,'2012 Rates'!$B$11,+'2012 Rates'!P465)</f>
        <v>135.89999999999998</v>
      </c>
      <c r="U257" s="447">
        <f t="shared" si="72"/>
        <v>9.815847954100021E-2</v>
      </c>
      <c r="V257" s="485"/>
      <c r="W257" s="623">
        <f t="shared" si="76"/>
        <v>0</v>
      </c>
      <c r="X257" s="485"/>
      <c r="Y257" s="485"/>
      <c r="Z257" s="485"/>
      <c r="AA257" s="485"/>
      <c r="AB257" s="485"/>
      <c r="AC257" s="485"/>
      <c r="AD257" s="485"/>
      <c r="AE257" s="485"/>
      <c r="AF257" s="485"/>
      <c r="AG257" s="485"/>
      <c r="AH257" s="485"/>
      <c r="AI257" s="485"/>
      <c r="AJ257" s="485"/>
      <c r="AK257" s="485"/>
      <c r="AL257" s="485"/>
      <c r="AM257" s="485"/>
      <c r="AN257" s="485"/>
      <c r="AO257" s="485"/>
      <c r="AP257" s="485"/>
      <c r="AQ257" s="485"/>
      <c r="AR257" s="485"/>
      <c r="AS257" s="485"/>
      <c r="AT257" s="485"/>
      <c r="AU257" s="485"/>
      <c r="AV257" s="485"/>
      <c r="AW257" s="485"/>
      <c r="AX257" s="485"/>
      <c r="AY257" s="485"/>
      <c r="AZ257" s="485"/>
      <c r="BA257" s="485"/>
      <c r="BB257" s="485"/>
      <c r="BC257" s="485"/>
      <c r="BD257" s="485"/>
      <c r="BE257" s="485"/>
      <c r="BF257" s="485"/>
      <c r="BG257" s="485"/>
      <c r="BH257" s="485"/>
      <c r="BI257" s="485"/>
      <c r="BJ257" s="485"/>
      <c r="BK257" s="485"/>
      <c r="BL257" s="485"/>
      <c r="BM257" s="485"/>
      <c r="BN257" s="485"/>
      <c r="BO257" s="485"/>
      <c r="BP257" s="485"/>
      <c r="BQ257" s="485"/>
      <c r="BR257" s="485"/>
      <c r="BS257" s="485"/>
      <c r="BT257" s="485"/>
      <c r="BU257" s="485"/>
      <c r="BV257" s="485"/>
      <c r="BW257" s="485"/>
      <c r="BX257" s="485"/>
      <c r="BY257" s="485"/>
      <c r="BZ257" s="485"/>
      <c r="CA257" s="485"/>
      <c r="CB257" s="485"/>
      <c r="CC257" s="485"/>
      <c r="CD257" s="485"/>
      <c r="CE257" s="485"/>
      <c r="CF257" s="485"/>
      <c r="CG257" s="485"/>
      <c r="CH257" s="485"/>
      <c r="CI257" s="485"/>
      <c r="CJ257" s="485"/>
      <c r="CK257" s="485"/>
      <c r="CL257" s="485"/>
      <c r="CM257" s="485"/>
      <c r="CN257" s="485"/>
      <c r="CO257" s="485"/>
      <c r="CP257" s="485"/>
      <c r="CQ257" s="485"/>
      <c r="CR257" s="485"/>
      <c r="CS257" s="485"/>
      <c r="CT257" s="485"/>
      <c r="CU257" s="485"/>
      <c r="CV257" s="485"/>
      <c r="CW257" s="485"/>
      <c r="CX257" s="485"/>
      <c r="CY257" s="485"/>
      <c r="CZ257" s="485"/>
      <c r="DA257" s="485"/>
      <c r="DB257" s="485"/>
      <c r="DC257" s="485"/>
      <c r="DD257" s="485"/>
      <c r="DE257" s="485"/>
      <c r="DF257" s="485"/>
      <c r="DG257" s="485"/>
      <c r="DH257" s="485"/>
      <c r="DI257" s="485"/>
      <c r="DJ257" s="485"/>
      <c r="DK257" s="485"/>
      <c r="DL257" s="485"/>
      <c r="DM257" s="485"/>
      <c r="DN257" s="485"/>
      <c r="DO257" s="485"/>
      <c r="DP257" s="485"/>
      <c r="DQ257" s="485"/>
      <c r="DR257" s="485"/>
      <c r="DS257" s="485"/>
      <c r="DT257" s="485"/>
      <c r="DU257" s="485"/>
      <c r="DV257" s="485"/>
      <c r="DW257" s="485"/>
      <c r="DX257" s="485"/>
      <c r="DY257" s="485"/>
      <c r="DZ257" s="485"/>
      <c r="EA257" s="485"/>
      <c r="EB257" s="485"/>
      <c r="EC257" s="485"/>
      <c r="ED257" s="485"/>
      <c r="EE257" s="485"/>
      <c r="EF257" s="485"/>
      <c r="EG257" s="485"/>
      <c r="EH257" s="485"/>
      <c r="EI257" s="485"/>
      <c r="EJ257" s="485"/>
      <c r="EK257" s="485"/>
      <c r="EL257" s="485"/>
      <c r="EM257" s="485"/>
      <c r="EN257" s="485"/>
      <c r="EO257" s="485"/>
      <c r="EP257" s="485"/>
    </row>
    <row r="258" spans="1:146" ht="15.75">
      <c r="A258" s="462">
        <f t="shared" si="82"/>
        <v>988</v>
      </c>
      <c r="B258" s="467" t="s">
        <v>448</v>
      </c>
      <c r="C258" s="624">
        <v>176</v>
      </c>
      <c r="D258" s="626">
        <v>27</v>
      </c>
      <c r="E258" s="611">
        <v>4.1900000000000004</v>
      </c>
      <c r="F258" s="678">
        <f t="shared" si="71"/>
        <v>4.1281700000000008</v>
      </c>
      <c r="G258" s="683">
        <v>1</v>
      </c>
      <c r="H258" s="681">
        <f t="shared" si="77"/>
        <v>324</v>
      </c>
      <c r="I258" s="623">
        <f t="shared" si="75"/>
        <v>50.28</v>
      </c>
      <c r="J258" s="623"/>
      <c r="K258" s="627">
        <v>0.17599999999999999</v>
      </c>
      <c r="L258" s="627">
        <f t="shared" si="78"/>
        <v>0.17599999999999999</v>
      </c>
      <c r="M258" s="627"/>
      <c r="N258" s="609">
        <v>27</v>
      </c>
      <c r="O258" s="610">
        <v>4.1868344150729779</v>
      </c>
      <c r="P258" s="617" t="str">
        <f t="shared" si="79"/>
        <v>---</v>
      </c>
      <c r="Q258" s="618">
        <f t="shared" si="80"/>
        <v>-3.1655849270224579E-3</v>
      </c>
      <c r="R258" s="485"/>
      <c r="S258" s="624" t="str">
        <f t="shared" si="81"/>
        <v>OK</v>
      </c>
      <c r="T258" s="451">
        <f>IF(+'2012 Rates'!O466&lt;'2012 Rates'!$B$11,'2012 Rates'!$B$11,+'2012 Rates'!O466)</f>
        <v>4.5199999999999996</v>
      </c>
      <c r="U258" s="447">
        <f t="shared" si="72"/>
        <v>9.4916149286487395E-2</v>
      </c>
      <c r="V258" s="485"/>
      <c r="W258" s="623">
        <f t="shared" si="76"/>
        <v>54.239999999999995</v>
      </c>
      <c r="X258" s="485"/>
      <c r="Y258" s="485"/>
      <c r="Z258" s="485"/>
      <c r="AA258" s="485"/>
      <c r="AB258" s="485"/>
      <c r="AC258" s="485"/>
      <c r="AD258" s="485"/>
      <c r="AE258" s="485"/>
      <c r="AF258" s="485"/>
      <c r="AG258" s="485"/>
      <c r="AH258" s="485"/>
      <c r="AI258" s="485"/>
      <c r="AJ258" s="485"/>
      <c r="AK258" s="485"/>
      <c r="AL258" s="485"/>
      <c r="AM258" s="485"/>
      <c r="AN258" s="485"/>
      <c r="AO258" s="485"/>
      <c r="AP258" s="485"/>
      <c r="AQ258" s="485"/>
      <c r="AR258" s="485"/>
      <c r="AS258" s="485"/>
      <c r="AT258" s="485"/>
      <c r="AU258" s="485"/>
      <c r="AV258" s="485"/>
      <c r="AW258" s="485"/>
      <c r="AX258" s="485"/>
      <c r="AY258" s="485"/>
      <c r="AZ258" s="485"/>
      <c r="BA258" s="485"/>
      <c r="BB258" s="485"/>
      <c r="BC258" s="485"/>
      <c r="BD258" s="485"/>
      <c r="BE258" s="485"/>
      <c r="BF258" s="485"/>
      <c r="BG258" s="485"/>
      <c r="BH258" s="485"/>
      <c r="BI258" s="485"/>
      <c r="BJ258" s="485"/>
      <c r="BK258" s="485"/>
      <c r="BL258" s="485"/>
      <c r="BM258" s="485"/>
      <c r="BN258" s="485"/>
      <c r="BO258" s="485"/>
      <c r="BP258" s="485"/>
      <c r="BQ258" s="485"/>
      <c r="BR258" s="485"/>
      <c r="BS258" s="485"/>
      <c r="BT258" s="485"/>
      <c r="BU258" s="485"/>
      <c r="BV258" s="485"/>
      <c r="BW258" s="485"/>
      <c r="BX258" s="485"/>
      <c r="BY258" s="485"/>
      <c r="BZ258" s="485"/>
      <c r="CA258" s="485"/>
      <c r="CB258" s="485"/>
      <c r="CC258" s="485"/>
      <c r="CD258" s="485"/>
      <c r="CE258" s="485"/>
      <c r="CF258" s="485"/>
      <c r="CG258" s="485"/>
      <c r="CH258" s="485"/>
      <c r="CI258" s="485"/>
      <c r="CJ258" s="485"/>
      <c r="CK258" s="485"/>
      <c r="CL258" s="485"/>
      <c r="CM258" s="485"/>
      <c r="CN258" s="485"/>
      <c r="CO258" s="485"/>
      <c r="CP258" s="485"/>
      <c r="CQ258" s="485"/>
      <c r="CR258" s="485"/>
      <c r="CS258" s="485"/>
      <c r="CT258" s="485"/>
      <c r="CU258" s="485"/>
      <c r="CV258" s="485"/>
      <c r="CW258" s="485"/>
      <c r="CX258" s="485"/>
      <c r="CY258" s="485"/>
      <c r="CZ258" s="485"/>
      <c r="DA258" s="485"/>
      <c r="DB258" s="485"/>
      <c r="DC258" s="485"/>
      <c r="DD258" s="485"/>
      <c r="DE258" s="485"/>
      <c r="DF258" s="485"/>
      <c r="DG258" s="485"/>
      <c r="DH258" s="485"/>
      <c r="DI258" s="485"/>
      <c r="DJ258" s="485"/>
      <c r="DK258" s="485"/>
      <c r="DL258" s="485"/>
      <c r="DM258" s="485"/>
      <c r="DN258" s="485"/>
      <c r="DO258" s="485"/>
      <c r="DP258" s="485"/>
      <c r="DQ258" s="485"/>
      <c r="DR258" s="485"/>
      <c r="DS258" s="485"/>
      <c r="DT258" s="485"/>
      <c r="DU258" s="485"/>
      <c r="DV258" s="485"/>
      <c r="DW258" s="485"/>
      <c r="DX258" s="485"/>
      <c r="DY258" s="485"/>
      <c r="DZ258" s="485"/>
      <c r="EA258" s="485"/>
      <c r="EB258" s="485"/>
      <c r="EC258" s="485"/>
      <c r="ED258" s="485"/>
      <c r="EE258" s="485"/>
      <c r="EF258" s="485"/>
      <c r="EG258" s="485"/>
      <c r="EH258" s="485"/>
      <c r="EI258" s="485"/>
      <c r="EJ258" s="485"/>
      <c r="EK258" s="485"/>
      <c r="EL258" s="485"/>
      <c r="EM258" s="485"/>
      <c r="EN258" s="485"/>
      <c r="EO258" s="485"/>
      <c r="EP258" s="485"/>
    </row>
    <row r="259" spans="1:146" ht="15.75">
      <c r="A259" s="462">
        <f t="shared" si="82"/>
        <v>989</v>
      </c>
      <c r="B259" s="629" t="s">
        <v>393</v>
      </c>
      <c r="C259" s="624">
        <v>624</v>
      </c>
      <c r="D259" s="626">
        <v>208</v>
      </c>
      <c r="E259" s="611">
        <v>23.3</v>
      </c>
      <c r="F259" s="678">
        <f t="shared" si="71"/>
        <v>22.82368</v>
      </c>
      <c r="G259" s="683">
        <v>3</v>
      </c>
      <c r="H259" s="681">
        <f t="shared" si="77"/>
        <v>7488</v>
      </c>
      <c r="I259" s="623">
        <f t="shared" si="75"/>
        <v>838.80000000000007</v>
      </c>
      <c r="J259" s="623"/>
      <c r="K259" s="627">
        <v>0.624</v>
      </c>
      <c r="L259" s="627">
        <f t="shared" si="78"/>
        <v>1.8719999999999999</v>
      </c>
      <c r="M259" s="627"/>
      <c r="N259" s="609">
        <v>208</v>
      </c>
      <c r="O259" s="610">
        <v>23.304131790191835</v>
      </c>
      <c r="P259" s="617" t="str">
        <f t="shared" si="79"/>
        <v>---</v>
      </c>
      <c r="Q259" s="618">
        <f t="shared" si="80"/>
        <v>4.1317901918347388E-3</v>
      </c>
      <c r="R259" s="485"/>
      <c r="S259" s="624" t="str">
        <f t="shared" si="81"/>
        <v>OK</v>
      </c>
      <c r="T259" s="451">
        <f>IF(+'2012 Rates'!O467&lt;'2012 Rates'!$B$11,'2012 Rates'!$B$11,+'2012 Rates'!O467)</f>
        <v>25.07</v>
      </c>
      <c r="U259" s="447">
        <f t="shared" si="72"/>
        <v>9.8420587740452037E-2</v>
      </c>
      <c r="V259" s="485"/>
      <c r="W259" s="623">
        <f t="shared" si="76"/>
        <v>902.5200000000001</v>
      </c>
      <c r="X259" s="485"/>
      <c r="Y259" s="485"/>
      <c r="Z259" s="485"/>
      <c r="AA259" s="485"/>
      <c r="AB259" s="485"/>
      <c r="AC259" s="485"/>
      <c r="AD259" s="485"/>
      <c r="AE259" s="485"/>
      <c r="AF259" s="485"/>
      <c r="AG259" s="485"/>
      <c r="AH259" s="485"/>
      <c r="AI259" s="485"/>
      <c r="AJ259" s="485"/>
      <c r="AK259" s="485"/>
      <c r="AL259" s="485"/>
      <c r="AM259" s="485"/>
      <c r="AN259" s="485"/>
      <c r="AO259" s="485"/>
      <c r="AP259" s="485"/>
      <c r="AQ259" s="485"/>
      <c r="AR259" s="485"/>
      <c r="AS259" s="485"/>
      <c r="AT259" s="485"/>
      <c r="AU259" s="485"/>
      <c r="AV259" s="485"/>
      <c r="AW259" s="485"/>
      <c r="AX259" s="485"/>
      <c r="AY259" s="485"/>
      <c r="AZ259" s="485"/>
      <c r="BA259" s="485"/>
      <c r="BB259" s="485"/>
      <c r="BC259" s="485"/>
      <c r="BD259" s="485"/>
      <c r="BE259" s="485"/>
      <c r="BF259" s="485"/>
      <c r="BG259" s="485"/>
      <c r="BH259" s="485"/>
      <c r="BI259" s="485"/>
      <c r="BJ259" s="485"/>
      <c r="BK259" s="485"/>
      <c r="BL259" s="485"/>
      <c r="BM259" s="485"/>
      <c r="BN259" s="485"/>
      <c r="BO259" s="485"/>
      <c r="BP259" s="485"/>
      <c r="BQ259" s="485"/>
      <c r="BR259" s="485"/>
      <c r="BS259" s="485"/>
      <c r="BT259" s="485"/>
      <c r="BU259" s="485"/>
      <c r="BV259" s="485"/>
      <c r="BW259" s="485"/>
      <c r="BX259" s="485"/>
      <c r="BY259" s="485"/>
      <c r="BZ259" s="485"/>
      <c r="CA259" s="485"/>
      <c r="CB259" s="485"/>
      <c r="CC259" s="485"/>
      <c r="CD259" s="485"/>
      <c r="CE259" s="485"/>
      <c r="CF259" s="485"/>
      <c r="CG259" s="485"/>
      <c r="CH259" s="485"/>
      <c r="CI259" s="485"/>
      <c r="CJ259" s="485"/>
      <c r="CK259" s="485"/>
      <c r="CL259" s="485"/>
      <c r="CM259" s="485"/>
      <c r="CN259" s="485"/>
      <c r="CO259" s="485"/>
      <c r="CP259" s="485"/>
      <c r="CQ259" s="485"/>
      <c r="CR259" s="485"/>
      <c r="CS259" s="485"/>
      <c r="CT259" s="485"/>
      <c r="CU259" s="485"/>
      <c r="CV259" s="485"/>
      <c r="CW259" s="485"/>
      <c r="CX259" s="485"/>
      <c r="CY259" s="485"/>
      <c r="CZ259" s="485"/>
      <c r="DA259" s="485"/>
      <c r="DB259" s="485"/>
      <c r="DC259" s="485"/>
      <c r="DD259" s="485"/>
      <c r="DE259" s="485"/>
      <c r="DF259" s="485"/>
      <c r="DG259" s="485"/>
      <c r="DH259" s="485"/>
      <c r="DI259" s="485"/>
      <c r="DJ259" s="485"/>
      <c r="DK259" s="485"/>
      <c r="DL259" s="485"/>
      <c r="DM259" s="485"/>
      <c r="DN259" s="485"/>
      <c r="DO259" s="485"/>
      <c r="DP259" s="485"/>
      <c r="DQ259" s="485"/>
      <c r="DR259" s="485"/>
      <c r="DS259" s="485"/>
      <c r="DT259" s="485"/>
      <c r="DU259" s="485"/>
      <c r="DV259" s="485"/>
      <c r="DW259" s="485"/>
      <c r="DX259" s="485"/>
      <c r="DY259" s="485"/>
      <c r="DZ259" s="485"/>
      <c r="EA259" s="485"/>
      <c r="EB259" s="485"/>
      <c r="EC259" s="485"/>
      <c r="ED259" s="485"/>
      <c r="EE259" s="485"/>
      <c r="EF259" s="485"/>
      <c r="EG259" s="485"/>
      <c r="EH259" s="485"/>
      <c r="EI259" s="485"/>
      <c r="EJ259" s="485"/>
      <c r="EK259" s="485"/>
      <c r="EL259" s="485"/>
      <c r="EM259" s="485"/>
      <c r="EN259" s="485"/>
      <c r="EO259" s="485"/>
      <c r="EP259" s="485"/>
    </row>
    <row r="260" spans="1:146" ht="15.75">
      <c r="A260" s="462">
        <f t="shared" si="82"/>
        <v>990</v>
      </c>
      <c r="B260" s="629" t="s">
        <v>393</v>
      </c>
      <c r="C260" s="624">
        <v>745</v>
      </c>
      <c r="D260" s="626">
        <v>218</v>
      </c>
      <c r="E260" s="611">
        <v>25.78</v>
      </c>
      <c r="F260" s="678">
        <f t="shared" si="71"/>
        <v>25.28078</v>
      </c>
      <c r="G260" s="683">
        <v>3</v>
      </c>
      <c r="H260" s="681">
        <f t="shared" si="77"/>
        <v>7848</v>
      </c>
      <c r="I260" s="623">
        <f t="shared" si="75"/>
        <v>928.08</v>
      </c>
      <c r="J260" s="623"/>
      <c r="K260" s="627">
        <v>0.745</v>
      </c>
      <c r="L260" s="627">
        <f t="shared" si="78"/>
        <v>2.2349999999999999</v>
      </c>
      <c r="M260" s="627"/>
      <c r="N260" s="609">
        <v>218</v>
      </c>
      <c r="O260" s="610">
        <v>25.784811203181828</v>
      </c>
      <c r="P260" s="617" t="str">
        <f t="shared" si="79"/>
        <v>---</v>
      </c>
      <c r="Q260" s="618">
        <f t="shared" si="80"/>
        <v>4.8112031818270395E-3</v>
      </c>
      <c r="R260" s="485"/>
      <c r="S260" s="624" t="str">
        <f t="shared" si="81"/>
        <v>OK</v>
      </c>
      <c r="T260" s="451">
        <f>IF(+'2012 Rates'!O468&lt;'2012 Rates'!$B$11,'2012 Rates'!$B$11,+'2012 Rates'!O468)</f>
        <v>27.76</v>
      </c>
      <c r="U260" s="447">
        <f t="shared" si="72"/>
        <v>9.8067385579084343E-2</v>
      </c>
      <c r="V260" s="485"/>
      <c r="W260" s="623">
        <f t="shared" si="76"/>
        <v>999.36</v>
      </c>
      <c r="X260" s="485"/>
      <c r="Y260" s="485"/>
      <c r="Z260" s="485"/>
      <c r="AA260" s="485"/>
      <c r="AB260" s="485"/>
      <c r="AC260" s="485"/>
      <c r="AD260" s="485"/>
      <c r="AE260" s="485"/>
      <c r="AF260" s="485"/>
      <c r="AG260" s="485"/>
      <c r="AH260" s="485"/>
      <c r="AI260" s="485"/>
      <c r="AJ260" s="485"/>
      <c r="AK260" s="485"/>
      <c r="AL260" s="485"/>
      <c r="AM260" s="485"/>
      <c r="AN260" s="485"/>
      <c r="AO260" s="485"/>
      <c r="AP260" s="485"/>
      <c r="AQ260" s="485"/>
      <c r="AR260" s="485"/>
      <c r="AS260" s="485"/>
      <c r="AT260" s="485"/>
      <c r="AU260" s="485"/>
      <c r="AV260" s="485"/>
      <c r="AW260" s="485"/>
      <c r="AX260" s="485"/>
      <c r="AY260" s="485"/>
      <c r="AZ260" s="485"/>
      <c r="BA260" s="485"/>
      <c r="BB260" s="485"/>
      <c r="BC260" s="485"/>
      <c r="BD260" s="485"/>
      <c r="BE260" s="485"/>
      <c r="BF260" s="485"/>
      <c r="BG260" s="485"/>
      <c r="BH260" s="485"/>
      <c r="BI260" s="485"/>
      <c r="BJ260" s="485"/>
      <c r="BK260" s="485"/>
      <c r="BL260" s="485"/>
      <c r="BM260" s="485"/>
      <c r="BN260" s="485"/>
      <c r="BO260" s="485"/>
      <c r="BP260" s="485"/>
      <c r="BQ260" s="485"/>
      <c r="BR260" s="485"/>
      <c r="BS260" s="485"/>
      <c r="BT260" s="485"/>
      <c r="BU260" s="485"/>
      <c r="BV260" s="485"/>
      <c r="BW260" s="485"/>
      <c r="BX260" s="485"/>
      <c r="BY260" s="485"/>
      <c r="BZ260" s="485"/>
      <c r="CA260" s="485"/>
      <c r="CB260" s="485"/>
      <c r="CC260" s="485"/>
      <c r="CD260" s="485"/>
      <c r="CE260" s="485"/>
      <c r="CF260" s="485"/>
      <c r="CG260" s="485"/>
      <c r="CH260" s="485"/>
      <c r="CI260" s="485"/>
      <c r="CJ260" s="485"/>
      <c r="CK260" s="485"/>
      <c r="CL260" s="485"/>
      <c r="CM260" s="485"/>
      <c r="CN260" s="485"/>
      <c r="CO260" s="485"/>
      <c r="CP260" s="485"/>
      <c r="CQ260" s="485"/>
      <c r="CR260" s="485"/>
      <c r="CS260" s="485"/>
      <c r="CT260" s="485"/>
      <c r="CU260" s="485"/>
      <c r="CV260" s="485"/>
      <c r="CW260" s="485"/>
      <c r="CX260" s="485"/>
      <c r="CY260" s="485"/>
      <c r="CZ260" s="485"/>
      <c r="DA260" s="485"/>
      <c r="DB260" s="485"/>
      <c r="DC260" s="485"/>
      <c r="DD260" s="485"/>
      <c r="DE260" s="485"/>
      <c r="DF260" s="485"/>
      <c r="DG260" s="485"/>
      <c r="DH260" s="485"/>
      <c r="DI260" s="485"/>
      <c r="DJ260" s="485"/>
      <c r="DK260" s="485"/>
      <c r="DL260" s="485"/>
      <c r="DM260" s="485"/>
      <c r="DN260" s="485"/>
      <c r="DO260" s="485"/>
      <c r="DP260" s="485"/>
      <c r="DQ260" s="485"/>
      <c r="DR260" s="485"/>
      <c r="DS260" s="485"/>
      <c r="DT260" s="485"/>
      <c r="DU260" s="485"/>
      <c r="DV260" s="485"/>
      <c r="DW260" s="485"/>
      <c r="DX260" s="485"/>
      <c r="DY260" s="485"/>
      <c r="DZ260" s="485"/>
      <c r="EA260" s="485"/>
      <c r="EB260" s="485"/>
      <c r="EC260" s="485"/>
      <c r="ED260" s="485"/>
      <c r="EE260" s="485"/>
      <c r="EF260" s="485"/>
      <c r="EG260" s="485"/>
      <c r="EH260" s="485"/>
      <c r="EI260" s="485"/>
      <c r="EJ260" s="485"/>
      <c r="EK260" s="485"/>
      <c r="EL260" s="485"/>
      <c r="EM260" s="485"/>
      <c r="EN260" s="485"/>
      <c r="EO260" s="485"/>
      <c r="EP260" s="485"/>
    </row>
    <row r="261" spans="1:146" ht="15.75">
      <c r="A261" s="462">
        <f t="shared" si="82"/>
        <v>991</v>
      </c>
      <c r="B261" s="629" t="s">
        <v>393</v>
      </c>
      <c r="C261" s="624">
        <v>5000</v>
      </c>
      <c r="D261" s="626">
        <v>1667</v>
      </c>
      <c r="E261" s="611">
        <v>186.67</v>
      </c>
      <c r="F261" s="678">
        <f t="shared" si="71"/>
        <v>182.85256999999999</v>
      </c>
      <c r="G261" s="683">
        <v>1</v>
      </c>
      <c r="H261" s="681">
        <f t="shared" si="77"/>
        <v>20004</v>
      </c>
      <c r="I261" s="623">
        <f t="shared" si="75"/>
        <v>2240.04</v>
      </c>
      <c r="J261" s="623"/>
      <c r="K261" s="627">
        <v>5</v>
      </c>
      <c r="L261" s="627">
        <f t="shared" si="78"/>
        <v>5</v>
      </c>
      <c r="M261" s="627"/>
      <c r="N261" s="609">
        <v>1667</v>
      </c>
      <c r="O261" s="610">
        <v>186.66825814543168</v>
      </c>
      <c r="P261" s="617" t="str">
        <f t="shared" si="79"/>
        <v>---</v>
      </c>
      <c r="Q261" s="618">
        <f t="shared" si="80"/>
        <v>-1.741854568308554E-3</v>
      </c>
      <c r="R261" s="485"/>
      <c r="S261" s="624" t="str">
        <f t="shared" si="81"/>
        <v>OK</v>
      </c>
      <c r="T261" s="451">
        <f>IF(+'2012 Rates'!O469&lt;'2012 Rates'!$B$11,'2012 Rates'!$B$11,+'2012 Rates'!O469)</f>
        <v>200.79</v>
      </c>
      <c r="U261" s="447">
        <f t="shared" si="72"/>
        <v>9.8097773523226905E-2</v>
      </c>
      <c r="V261" s="485"/>
      <c r="W261" s="623">
        <f t="shared" si="76"/>
        <v>2409.48</v>
      </c>
      <c r="X261" s="485"/>
      <c r="Y261" s="485"/>
      <c r="Z261" s="485"/>
      <c r="AA261" s="485"/>
      <c r="AB261" s="485"/>
      <c r="AC261" s="485"/>
      <c r="AD261" s="485"/>
      <c r="AE261" s="485"/>
      <c r="AF261" s="485"/>
      <c r="AG261" s="485"/>
      <c r="AH261" s="485"/>
      <c r="AI261" s="485"/>
      <c r="AJ261" s="485"/>
      <c r="AK261" s="485"/>
      <c r="AL261" s="485"/>
      <c r="AM261" s="485"/>
      <c r="AN261" s="485"/>
      <c r="AO261" s="485"/>
      <c r="AP261" s="485"/>
      <c r="AQ261" s="485"/>
      <c r="AR261" s="485"/>
      <c r="AS261" s="485"/>
      <c r="AT261" s="485"/>
      <c r="AU261" s="485"/>
      <c r="AV261" s="485"/>
      <c r="AW261" s="485"/>
      <c r="AX261" s="485"/>
      <c r="AY261" s="485"/>
      <c r="AZ261" s="485"/>
      <c r="BA261" s="485"/>
      <c r="BB261" s="485"/>
      <c r="BC261" s="485"/>
      <c r="BD261" s="485"/>
      <c r="BE261" s="485"/>
      <c r="BF261" s="485"/>
      <c r="BG261" s="485"/>
      <c r="BH261" s="485"/>
      <c r="BI261" s="485"/>
      <c r="BJ261" s="485"/>
      <c r="BK261" s="485"/>
      <c r="BL261" s="485"/>
      <c r="BM261" s="485"/>
      <c r="BN261" s="485"/>
      <c r="BO261" s="485"/>
      <c r="BP261" s="485"/>
      <c r="BQ261" s="485"/>
      <c r="BR261" s="485"/>
      <c r="BS261" s="485"/>
      <c r="BT261" s="485"/>
      <c r="BU261" s="485"/>
      <c r="BV261" s="485"/>
      <c r="BW261" s="485"/>
      <c r="BX261" s="485"/>
      <c r="BY261" s="485"/>
      <c r="BZ261" s="485"/>
      <c r="CA261" s="485"/>
      <c r="CB261" s="485"/>
      <c r="CC261" s="485"/>
      <c r="CD261" s="485"/>
      <c r="CE261" s="485"/>
      <c r="CF261" s="485"/>
      <c r="CG261" s="485"/>
      <c r="CH261" s="485"/>
      <c r="CI261" s="485"/>
      <c r="CJ261" s="485"/>
      <c r="CK261" s="485"/>
      <c r="CL261" s="485"/>
      <c r="CM261" s="485"/>
      <c r="CN261" s="485"/>
      <c r="CO261" s="485"/>
      <c r="CP261" s="485"/>
      <c r="CQ261" s="485"/>
      <c r="CR261" s="485"/>
      <c r="CS261" s="485"/>
      <c r="CT261" s="485"/>
      <c r="CU261" s="485"/>
      <c r="CV261" s="485"/>
      <c r="CW261" s="485"/>
      <c r="CX261" s="485"/>
      <c r="CY261" s="485"/>
      <c r="CZ261" s="485"/>
      <c r="DA261" s="485"/>
      <c r="DB261" s="485"/>
      <c r="DC261" s="485"/>
      <c r="DD261" s="485"/>
      <c r="DE261" s="485"/>
      <c r="DF261" s="485"/>
      <c r="DG261" s="485"/>
      <c r="DH261" s="485"/>
      <c r="DI261" s="485"/>
      <c r="DJ261" s="485"/>
      <c r="DK261" s="485"/>
      <c r="DL261" s="485"/>
      <c r="DM261" s="485"/>
      <c r="DN261" s="485"/>
      <c r="DO261" s="485"/>
      <c r="DP261" s="485"/>
      <c r="DQ261" s="485"/>
      <c r="DR261" s="485"/>
      <c r="DS261" s="485"/>
      <c r="DT261" s="485"/>
      <c r="DU261" s="485"/>
      <c r="DV261" s="485"/>
      <c r="DW261" s="485"/>
      <c r="DX261" s="485"/>
      <c r="DY261" s="485"/>
      <c r="DZ261" s="485"/>
      <c r="EA261" s="485"/>
      <c r="EB261" s="485"/>
      <c r="EC261" s="485"/>
      <c r="ED261" s="485"/>
      <c r="EE261" s="485"/>
      <c r="EF261" s="485"/>
      <c r="EG261" s="485"/>
      <c r="EH261" s="485"/>
      <c r="EI261" s="485"/>
      <c r="EJ261" s="485"/>
      <c r="EK261" s="485"/>
      <c r="EL261" s="485"/>
      <c r="EM261" s="485"/>
      <c r="EN261" s="485"/>
      <c r="EO261" s="485"/>
      <c r="EP261" s="485"/>
    </row>
    <row r="262" spans="1:146" ht="15.75">
      <c r="A262" s="462">
        <f t="shared" si="82"/>
        <v>992</v>
      </c>
      <c r="B262" s="629" t="s">
        <v>403</v>
      </c>
      <c r="C262" s="624">
        <v>100</v>
      </c>
      <c r="D262" s="626">
        <v>73</v>
      </c>
      <c r="E262" s="611">
        <v>6.38</v>
      </c>
      <c r="F262" s="678">
        <f t="shared" si="71"/>
        <v>6.2128300000000003</v>
      </c>
      <c r="G262" s="683">
        <v>16</v>
      </c>
      <c r="H262" s="681">
        <f t="shared" si="77"/>
        <v>14016</v>
      </c>
      <c r="I262" s="623">
        <f t="shared" si="75"/>
        <v>1224.96</v>
      </c>
      <c r="J262" s="623"/>
      <c r="K262" s="627">
        <v>0.1</v>
      </c>
      <c r="L262" s="627">
        <f t="shared" si="78"/>
        <v>1.6</v>
      </c>
      <c r="M262" s="627">
        <f>+L262</f>
        <v>1.6</v>
      </c>
      <c r="N262" s="609">
        <v>73</v>
      </c>
      <c r="O262" s="610">
        <v>6.3799597148269411</v>
      </c>
      <c r="P262" s="617" t="str">
        <f t="shared" si="79"/>
        <v>---</v>
      </c>
      <c r="Q262" s="618">
        <f t="shared" si="80"/>
        <v>-4.028517305876278E-5</v>
      </c>
      <c r="R262" s="485"/>
      <c r="S262" s="624" t="str">
        <f t="shared" si="81"/>
        <v>OK</v>
      </c>
      <c r="T262" s="451">
        <f>IF(+'2012 Rates'!P470&lt;'2012 Rates'!$B$11,'2012 Rates'!$B$11,+'2012 Rates'!P470)</f>
        <v>6.83</v>
      </c>
      <c r="U262" s="447">
        <f t="shared" si="72"/>
        <v>9.9337982851614992E-2</v>
      </c>
      <c r="V262" s="485"/>
      <c r="W262" s="623">
        <f t="shared" si="76"/>
        <v>1311.3600000000001</v>
      </c>
      <c r="X262" s="485"/>
      <c r="Y262" s="485"/>
      <c r="Z262" s="485"/>
      <c r="AA262" s="485"/>
      <c r="AB262" s="485"/>
      <c r="AC262" s="485"/>
      <c r="AD262" s="485"/>
      <c r="AE262" s="485"/>
      <c r="AF262" s="485"/>
      <c r="AG262" s="485"/>
      <c r="AH262" s="485"/>
      <c r="AI262" s="485"/>
      <c r="AJ262" s="485"/>
      <c r="AK262" s="485"/>
      <c r="AL262" s="485"/>
      <c r="AM262" s="485"/>
      <c r="AN262" s="485"/>
      <c r="AO262" s="485"/>
      <c r="AP262" s="485"/>
      <c r="AQ262" s="485"/>
      <c r="AR262" s="485"/>
      <c r="AS262" s="485"/>
      <c r="AT262" s="485"/>
      <c r="AU262" s="485"/>
      <c r="AV262" s="485"/>
      <c r="AW262" s="485"/>
      <c r="AX262" s="485"/>
      <c r="AY262" s="485"/>
      <c r="AZ262" s="485"/>
      <c r="BA262" s="485"/>
      <c r="BB262" s="485"/>
      <c r="BC262" s="485"/>
      <c r="BD262" s="485"/>
      <c r="BE262" s="485"/>
      <c r="BF262" s="485"/>
      <c r="BG262" s="485"/>
      <c r="BH262" s="485"/>
      <c r="BI262" s="485"/>
      <c r="BJ262" s="485"/>
      <c r="BK262" s="485"/>
      <c r="BL262" s="485"/>
      <c r="BM262" s="485"/>
      <c r="BN262" s="485"/>
      <c r="BO262" s="485"/>
      <c r="BP262" s="485"/>
      <c r="BQ262" s="485"/>
      <c r="BR262" s="485"/>
      <c r="BS262" s="485"/>
      <c r="BT262" s="485"/>
      <c r="BU262" s="485"/>
      <c r="BV262" s="485"/>
      <c r="BW262" s="485"/>
      <c r="BX262" s="485"/>
      <c r="BY262" s="485"/>
      <c r="BZ262" s="485"/>
      <c r="CA262" s="485"/>
      <c r="CB262" s="485"/>
      <c r="CC262" s="485"/>
      <c r="CD262" s="485"/>
      <c r="CE262" s="485"/>
      <c r="CF262" s="485"/>
      <c r="CG262" s="485"/>
      <c r="CH262" s="485"/>
      <c r="CI262" s="485"/>
      <c r="CJ262" s="485"/>
      <c r="CK262" s="485"/>
      <c r="CL262" s="485"/>
      <c r="CM262" s="485"/>
      <c r="CN262" s="485"/>
      <c r="CO262" s="485"/>
      <c r="CP262" s="485"/>
      <c r="CQ262" s="485"/>
      <c r="CR262" s="485"/>
      <c r="CS262" s="485"/>
      <c r="CT262" s="485"/>
      <c r="CU262" s="485"/>
      <c r="CV262" s="485"/>
      <c r="CW262" s="485"/>
      <c r="CX262" s="485"/>
      <c r="CY262" s="485"/>
      <c r="CZ262" s="485"/>
      <c r="DA262" s="485"/>
      <c r="DB262" s="485"/>
      <c r="DC262" s="485"/>
      <c r="DD262" s="485"/>
      <c r="DE262" s="485"/>
      <c r="DF262" s="485"/>
      <c r="DG262" s="485"/>
      <c r="DH262" s="485"/>
      <c r="DI262" s="485"/>
      <c r="DJ262" s="485"/>
      <c r="DK262" s="485"/>
      <c r="DL262" s="485"/>
      <c r="DM262" s="485"/>
      <c r="DN262" s="485"/>
      <c r="DO262" s="485"/>
      <c r="DP262" s="485"/>
      <c r="DQ262" s="485"/>
      <c r="DR262" s="485"/>
      <c r="DS262" s="485"/>
      <c r="DT262" s="485"/>
      <c r="DU262" s="485"/>
      <c r="DV262" s="485"/>
      <c r="DW262" s="485"/>
      <c r="DX262" s="485"/>
      <c r="DY262" s="485"/>
      <c r="DZ262" s="485"/>
      <c r="EA262" s="485"/>
      <c r="EB262" s="485"/>
      <c r="EC262" s="485"/>
      <c r="ED262" s="485"/>
      <c r="EE262" s="485"/>
      <c r="EF262" s="485"/>
      <c r="EG262" s="485"/>
      <c r="EH262" s="485"/>
      <c r="EI262" s="485"/>
      <c r="EJ262" s="485"/>
      <c r="EK262" s="485"/>
      <c r="EL262" s="485"/>
      <c r="EM262" s="485"/>
      <c r="EN262" s="485"/>
      <c r="EO262" s="485"/>
      <c r="EP262" s="485"/>
    </row>
    <row r="263" spans="1:146" ht="15.75">
      <c r="A263" s="462">
        <f t="shared" si="82"/>
        <v>993</v>
      </c>
      <c r="B263" s="467" t="s">
        <v>453</v>
      </c>
      <c r="C263" s="624">
        <v>200</v>
      </c>
      <c r="D263" s="626">
        <v>40</v>
      </c>
      <c r="E263" s="611">
        <v>5.68</v>
      </c>
      <c r="F263" s="678">
        <f t="shared" si="71"/>
        <v>5.5884</v>
      </c>
      <c r="G263" s="683">
        <v>6</v>
      </c>
      <c r="H263" s="681">
        <f t="shared" si="77"/>
        <v>2880</v>
      </c>
      <c r="I263" s="623">
        <f t="shared" si="75"/>
        <v>408.96</v>
      </c>
      <c r="J263" s="623"/>
      <c r="K263" s="627">
        <v>0.2</v>
      </c>
      <c r="L263" s="627">
        <f t="shared" si="78"/>
        <v>1.2000000000000002</v>
      </c>
      <c r="M263" s="627"/>
      <c r="N263" s="609">
        <v>40</v>
      </c>
      <c r="O263" s="610">
        <v>5.6827176519599689</v>
      </c>
      <c r="P263" s="617" t="str">
        <f t="shared" si="79"/>
        <v>---</v>
      </c>
      <c r="Q263" s="618">
        <f t="shared" si="80"/>
        <v>2.7176519599692028E-3</v>
      </c>
      <c r="R263" s="485"/>
      <c r="S263" s="624" t="str">
        <f t="shared" si="81"/>
        <v>OK</v>
      </c>
      <c r="T263" s="451">
        <f>IF(+'2012 Rates'!O471&lt;'2012 Rates'!$B$11,'2012 Rates'!$B$11,+'2012 Rates'!O471)</f>
        <v>6.14</v>
      </c>
      <c r="U263" s="447">
        <f t="shared" si="72"/>
        <v>9.8704459236990783E-2</v>
      </c>
      <c r="V263" s="485"/>
      <c r="W263" s="623">
        <f t="shared" si="76"/>
        <v>442.07999999999993</v>
      </c>
      <c r="X263" s="485"/>
      <c r="Y263" s="485"/>
      <c r="Z263" s="485"/>
      <c r="AA263" s="485"/>
      <c r="AB263" s="485"/>
      <c r="AC263" s="485"/>
      <c r="AD263" s="485"/>
      <c r="AE263" s="485"/>
      <c r="AF263" s="485"/>
      <c r="AG263" s="485"/>
      <c r="AH263" s="485"/>
      <c r="AI263" s="485"/>
      <c r="AJ263" s="485"/>
      <c r="AK263" s="485"/>
      <c r="AL263" s="485"/>
      <c r="AM263" s="485"/>
      <c r="AN263" s="485"/>
      <c r="AO263" s="485"/>
      <c r="AP263" s="485"/>
      <c r="AQ263" s="485"/>
      <c r="AR263" s="485"/>
      <c r="AS263" s="485"/>
      <c r="AT263" s="485"/>
      <c r="AU263" s="485"/>
      <c r="AV263" s="485"/>
      <c r="AW263" s="485"/>
      <c r="AX263" s="485"/>
      <c r="AY263" s="485"/>
      <c r="AZ263" s="485"/>
      <c r="BA263" s="485"/>
      <c r="BB263" s="485"/>
      <c r="BC263" s="485"/>
      <c r="BD263" s="485"/>
      <c r="BE263" s="485"/>
      <c r="BF263" s="485"/>
      <c r="BG263" s="485"/>
      <c r="BH263" s="485"/>
      <c r="BI263" s="485"/>
      <c r="BJ263" s="485"/>
      <c r="BK263" s="485"/>
      <c r="BL263" s="485"/>
      <c r="BM263" s="485"/>
      <c r="BN263" s="485"/>
      <c r="BO263" s="485"/>
      <c r="BP263" s="485"/>
      <c r="BQ263" s="485"/>
      <c r="BR263" s="485"/>
      <c r="BS263" s="485"/>
      <c r="BT263" s="485"/>
      <c r="BU263" s="485"/>
      <c r="BV263" s="485"/>
      <c r="BW263" s="485"/>
      <c r="BX263" s="485"/>
      <c r="BY263" s="485"/>
      <c r="BZ263" s="485"/>
      <c r="CA263" s="485"/>
      <c r="CB263" s="485"/>
      <c r="CC263" s="485"/>
      <c r="CD263" s="485"/>
      <c r="CE263" s="485"/>
      <c r="CF263" s="485"/>
      <c r="CG263" s="485"/>
      <c r="CH263" s="485"/>
      <c r="CI263" s="485"/>
      <c r="CJ263" s="485"/>
      <c r="CK263" s="485"/>
      <c r="CL263" s="485"/>
      <c r="CM263" s="485"/>
      <c r="CN263" s="485"/>
      <c r="CO263" s="485"/>
      <c r="CP263" s="485"/>
      <c r="CQ263" s="485"/>
      <c r="CR263" s="485"/>
      <c r="CS263" s="485"/>
      <c r="CT263" s="485"/>
      <c r="CU263" s="485"/>
      <c r="CV263" s="485"/>
      <c r="CW263" s="485"/>
      <c r="CX263" s="485"/>
      <c r="CY263" s="485"/>
      <c r="CZ263" s="485"/>
      <c r="DA263" s="485"/>
      <c r="DB263" s="485"/>
      <c r="DC263" s="485"/>
      <c r="DD263" s="485"/>
      <c r="DE263" s="485"/>
      <c r="DF263" s="485"/>
      <c r="DG263" s="485"/>
      <c r="DH263" s="485"/>
      <c r="DI263" s="485"/>
      <c r="DJ263" s="485"/>
      <c r="DK263" s="485"/>
      <c r="DL263" s="485"/>
      <c r="DM263" s="485"/>
      <c r="DN263" s="485"/>
      <c r="DO263" s="485"/>
      <c r="DP263" s="485"/>
      <c r="DQ263" s="485"/>
      <c r="DR263" s="485"/>
      <c r="DS263" s="485"/>
      <c r="DT263" s="485"/>
      <c r="DU263" s="485"/>
      <c r="DV263" s="485"/>
      <c r="DW263" s="485"/>
      <c r="DX263" s="485"/>
      <c r="DY263" s="485"/>
      <c r="DZ263" s="485"/>
      <c r="EA263" s="485"/>
      <c r="EB263" s="485"/>
      <c r="EC263" s="485"/>
      <c r="ED263" s="485"/>
      <c r="EE263" s="485"/>
      <c r="EF263" s="485"/>
      <c r="EG263" s="485"/>
      <c r="EH263" s="485"/>
      <c r="EI263" s="485"/>
      <c r="EJ263" s="485"/>
      <c r="EK263" s="485"/>
      <c r="EL263" s="485"/>
      <c r="EM263" s="485"/>
      <c r="EN263" s="485"/>
      <c r="EO263" s="485"/>
      <c r="EP263" s="485"/>
    </row>
    <row r="264" spans="1:146" ht="15.75">
      <c r="A264" s="462">
        <f t="shared" si="82"/>
        <v>994</v>
      </c>
      <c r="B264" s="629" t="s">
        <v>393</v>
      </c>
      <c r="C264" s="624">
        <v>1650</v>
      </c>
      <c r="D264" s="626">
        <v>550</v>
      </c>
      <c r="E264" s="611">
        <v>61.59</v>
      </c>
      <c r="F264" s="678">
        <f t="shared" si="71"/>
        <v>60.330500000000001</v>
      </c>
      <c r="G264" s="683">
        <v>2</v>
      </c>
      <c r="H264" s="681">
        <f t="shared" si="77"/>
        <v>13200</v>
      </c>
      <c r="I264" s="623">
        <f t="shared" si="75"/>
        <v>1478.16</v>
      </c>
      <c r="J264" s="623"/>
      <c r="K264" s="627">
        <v>1.65</v>
      </c>
      <c r="L264" s="627">
        <f t="shared" si="78"/>
        <v>3.3</v>
      </c>
      <c r="M264" s="627"/>
      <c r="N264" s="609">
        <v>550</v>
      </c>
      <c r="O264" s="610">
        <v>61.587367714449556</v>
      </c>
      <c r="P264" s="617" t="str">
        <f t="shared" si="79"/>
        <v>---</v>
      </c>
      <c r="Q264" s="618">
        <f t="shared" si="80"/>
        <v>-2.6322855504474774E-3</v>
      </c>
      <c r="R264" s="485"/>
      <c r="S264" s="624" t="str">
        <f t="shared" si="81"/>
        <v>OK</v>
      </c>
      <c r="T264" s="451">
        <f>IF(+'2012 Rates'!O472&lt;'2012 Rates'!$B$11,'2012 Rates'!$B$11,+'2012 Rates'!O472)</f>
        <v>66.25</v>
      </c>
      <c r="U264" s="447">
        <f t="shared" si="72"/>
        <v>9.8117867413663129E-2</v>
      </c>
      <c r="V264" s="485"/>
      <c r="W264" s="623">
        <f t="shared" si="76"/>
        <v>1590</v>
      </c>
      <c r="X264" s="485"/>
      <c r="Y264" s="485"/>
      <c r="Z264" s="485"/>
      <c r="AA264" s="485"/>
      <c r="AB264" s="485"/>
      <c r="AC264" s="485"/>
      <c r="AD264" s="485"/>
      <c r="AE264" s="485"/>
      <c r="AF264" s="485"/>
      <c r="AG264" s="485"/>
      <c r="AH264" s="485"/>
      <c r="AI264" s="485"/>
      <c r="AJ264" s="485"/>
      <c r="AK264" s="485"/>
      <c r="AL264" s="485"/>
      <c r="AM264" s="485"/>
      <c r="AN264" s="485"/>
      <c r="AO264" s="485"/>
      <c r="AP264" s="485"/>
      <c r="AQ264" s="485"/>
      <c r="AR264" s="485"/>
      <c r="AS264" s="485"/>
      <c r="AT264" s="485"/>
      <c r="AU264" s="485"/>
      <c r="AV264" s="485"/>
      <c r="AW264" s="485"/>
      <c r="AX264" s="485"/>
      <c r="AY264" s="485"/>
      <c r="AZ264" s="485"/>
      <c r="BA264" s="485"/>
      <c r="BB264" s="485"/>
      <c r="BC264" s="485"/>
      <c r="BD264" s="485"/>
      <c r="BE264" s="485"/>
      <c r="BF264" s="485"/>
      <c r="BG264" s="485"/>
      <c r="BH264" s="485"/>
      <c r="BI264" s="485"/>
      <c r="BJ264" s="485"/>
      <c r="BK264" s="485"/>
      <c r="BL264" s="485"/>
      <c r="BM264" s="485"/>
      <c r="BN264" s="485"/>
      <c r="BO264" s="485"/>
      <c r="BP264" s="485"/>
      <c r="BQ264" s="485"/>
      <c r="BR264" s="485"/>
      <c r="BS264" s="485"/>
      <c r="BT264" s="485"/>
      <c r="BU264" s="485"/>
      <c r="BV264" s="485"/>
      <c r="BW264" s="485"/>
      <c r="BX264" s="485"/>
      <c r="BY264" s="485"/>
      <c r="BZ264" s="485"/>
      <c r="CA264" s="485"/>
      <c r="CB264" s="485"/>
      <c r="CC264" s="485"/>
      <c r="CD264" s="485"/>
      <c r="CE264" s="485"/>
      <c r="CF264" s="485"/>
      <c r="CG264" s="485"/>
      <c r="CH264" s="485"/>
      <c r="CI264" s="485"/>
      <c r="CJ264" s="485"/>
      <c r="CK264" s="485"/>
      <c r="CL264" s="485"/>
      <c r="CM264" s="485"/>
      <c r="CN264" s="485"/>
      <c r="CO264" s="485"/>
      <c r="CP264" s="485"/>
      <c r="CQ264" s="485"/>
      <c r="CR264" s="485"/>
      <c r="CS264" s="485"/>
      <c r="CT264" s="485"/>
      <c r="CU264" s="485"/>
      <c r="CV264" s="485"/>
      <c r="CW264" s="485"/>
      <c r="CX264" s="485"/>
      <c r="CY264" s="485"/>
      <c r="CZ264" s="485"/>
      <c r="DA264" s="485"/>
      <c r="DB264" s="485"/>
      <c r="DC264" s="485"/>
      <c r="DD264" s="485"/>
      <c r="DE264" s="485"/>
      <c r="DF264" s="485"/>
      <c r="DG264" s="485"/>
      <c r="DH264" s="485"/>
      <c r="DI264" s="485"/>
      <c r="DJ264" s="485"/>
      <c r="DK264" s="485"/>
      <c r="DL264" s="485"/>
      <c r="DM264" s="485"/>
      <c r="DN264" s="485"/>
      <c r="DO264" s="485"/>
      <c r="DP264" s="485"/>
      <c r="DQ264" s="485"/>
      <c r="DR264" s="485"/>
      <c r="DS264" s="485"/>
      <c r="DT264" s="485"/>
      <c r="DU264" s="485"/>
      <c r="DV264" s="485"/>
      <c r="DW264" s="485"/>
      <c r="DX264" s="485"/>
      <c r="DY264" s="485"/>
      <c r="DZ264" s="485"/>
      <c r="EA264" s="485"/>
      <c r="EB264" s="485"/>
      <c r="EC264" s="485"/>
      <c r="ED264" s="485"/>
      <c r="EE264" s="485"/>
      <c r="EF264" s="485"/>
      <c r="EG264" s="485"/>
      <c r="EH264" s="485"/>
      <c r="EI264" s="485"/>
      <c r="EJ264" s="485"/>
      <c r="EK264" s="485"/>
      <c r="EL264" s="485"/>
      <c r="EM264" s="485"/>
      <c r="EN264" s="485"/>
      <c r="EO264" s="485"/>
      <c r="EP264" s="485"/>
    </row>
    <row r="265" spans="1:146" ht="15.75">
      <c r="A265" s="462">
        <f t="shared" si="82"/>
        <v>995</v>
      </c>
      <c r="B265" s="629" t="s">
        <v>403</v>
      </c>
      <c r="C265" s="624">
        <v>336</v>
      </c>
      <c r="D265" s="626">
        <v>245</v>
      </c>
      <c r="E265" s="611">
        <v>21.43</v>
      </c>
      <c r="F265" s="678">
        <f t="shared" si="71"/>
        <v>20.868949999999998</v>
      </c>
      <c r="G265" s="683">
        <v>92</v>
      </c>
      <c r="H265" s="681">
        <f t="shared" si="77"/>
        <v>270480</v>
      </c>
      <c r="I265" s="623">
        <f t="shared" si="75"/>
        <v>23658.720000000001</v>
      </c>
      <c r="J265" s="623"/>
      <c r="K265" s="627">
        <v>0.33600000000000002</v>
      </c>
      <c r="L265" s="627">
        <f t="shared" si="78"/>
        <v>30.912000000000003</v>
      </c>
      <c r="M265" s="627">
        <f>+L265</f>
        <v>30.912000000000003</v>
      </c>
      <c r="N265" s="609">
        <v>245</v>
      </c>
      <c r="O265" s="610">
        <v>21.431645618254802</v>
      </c>
      <c r="P265" s="617" t="str">
        <f t="shared" si="79"/>
        <v>---</v>
      </c>
      <c r="Q265" s="618">
        <f t="shared" si="80"/>
        <v>1.6456182548019171E-3</v>
      </c>
      <c r="R265" s="485"/>
      <c r="S265" s="624" t="str">
        <f t="shared" si="81"/>
        <v>OK</v>
      </c>
      <c r="T265" s="451">
        <f>IF(+'2012 Rates'!P473&lt;'2012 Rates'!$B$11,'2012 Rates'!$B$11,+'2012 Rates'!P473)</f>
        <v>22.92</v>
      </c>
      <c r="U265" s="447">
        <f t="shared" si="72"/>
        <v>9.8282376449222664E-2</v>
      </c>
      <c r="V265" s="485"/>
      <c r="W265" s="623">
        <f t="shared" si="76"/>
        <v>25303.680000000004</v>
      </c>
      <c r="X265" s="485"/>
      <c r="Y265" s="485"/>
      <c r="Z265" s="485"/>
      <c r="AA265" s="485"/>
      <c r="AB265" s="485"/>
      <c r="AC265" s="485"/>
      <c r="AD265" s="485"/>
      <c r="AE265" s="485"/>
      <c r="AF265" s="485"/>
      <c r="AG265" s="485"/>
      <c r="AH265" s="485"/>
      <c r="AI265" s="485"/>
      <c r="AJ265" s="485"/>
      <c r="AK265" s="485"/>
      <c r="AL265" s="485"/>
      <c r="AM265" s="485"/>
      <c r="AN265" s="485"/>
      <c r="AO265" s="485"/>
      <c r="AP265" s="485"/>
      <c r="AQ265" s="485"/>
      <c r="AR265" s="485"/>
      <c r="AS265" s="485"/>
      <c r="AT265" s="485"/>
      <c r="AU265" s="485"/>
      <c r="AV265" s="485"/>
      <c r="AW265" s="485"/>
      <c r="AX265" s="485"/>
      <c r="AY265" s="485"/>
      <c r="AZ265" s="485"/>
      <c r="BA265" s="485"/>
      <c r="BB265" s="485"/>
      <c r="BC265" s="485"/>
      <c r="BD265" s="485"/>
      <c r="BE265" s="485"/>
      <c r="BF265" s="485"/>
      <c r="BG265" s="485"/>
      <c r="BH265" s="485"/>
      <c r="BI265" s="485"/>
      <c r="BJ265" s="485"/>
      <c r="BK265" s="485"/>
      <c r="BL265" s="485"/>
      <c r="BM265" s="485"/>
      <c r="BN265" s="485"/>
      <c r="BO265" s="485"/>
      <c r="BP265" s="485"/>
      <c r="BQ265" s="485"/>
      <c r="BR265" s="485"/>
      <c r="BS265" s="485"/>
      <c r="BT265" s="485"/>
      <c r="BU265" s="485"/>
      <c r="BV265" s="485"/>
      <c r="BW265" s="485"/>
      <c r="BX265" s="485"/>
      <c r="BY265" s="485"/>
      <c r="BZ265" s="485"/>
      <c r="CA265" s="485"/>
      <c r="CB265" s="485"/>
      <c r="CC265" s="485"/>
      <c r="CD265" s="485"/>
      <c r="CE265" s="485"/>
      <c r="CF265" s="485"/>
      <c r="CG265" s="485"/>
      <c r="CH265" s="485"/>
      <c r="CI265" s="485"/>
      <c r="CJ265" s="485"/>
      <c r="CK265" s="485"/>
      <c r="CL265" s="485"/>
      <c r="CM265" s="485"/>
      <c r="CN265" s="485"/>
      <c r="CO265" s="485"/>
      <c r="CP265" s="485"/>
      <c r="CQ265" s="485"/>
      <c r="CR265" s="485"/>
      <c r="CS265" s="485"/>
      <c r="CT265" s="485"/>
      <c r="CU265" s="485"/>
      <c r="CV265" s="485"/>
      <c r="CW265" s="485"/>
      <c r="CX265" s="485"/>
      <c r="CY265" s="485"/>
      <c r="CZ265" s="485"/>
      <c r="DA265" s="485"/>
      <c r="DB265" s="485"/>
      <c r="DC265" s="485"/>
      <c r="DD265" s="485"/>
      <c r="DE265" s="485"/>
      <c r="DF265" s="485"/>
      <c r="DG265" s="485"/>
      <c r="DH265" s="485"/>
      <c r="DI265" s="485"/>
      <c r="DJ265" s="485"/>
      <c r="DK265" s="485"/>
      <c r="DL265" s="485"/>
      <c r="DM265" s="485"/>
      <c r="DN265" s="485"/>
      <c r="DO265" s="485"/>
      <c r="DP265" s="485"/>
      <c r="DQ265" s="485"/>
      <c r="DR265" s="485"/>
      <c r="DS265" s="485"/>
      <c r="DT265" s="485"/>
      <c r="DU265" s="485"/>
      <c r="DV265" s="485"/>
      <c r="DW265" s="485"/>
      <c r="DX265" s="485"/>
      <c r="DY265" s="485"/>
      <c r="DZ265" s="485"/>
      <c r="EA265" s="485"/>
      <c r="EB265" s="485"/>
      <c r="EC265" s="485"/>
      <c r="ED265" s="485"/>
      <c r="EE265" s="485"/>
      <c r="EF265" s="485"/>
      <c r="EG265" s="485"/>
      <c r="EH265" s="485"/>
      <c r="EI265" s="485"/>
      <c r="EJ265" s="485"/>
      <c r="EK265" s="485"/>
      <c r="EL265" s="485"/>
      <c r="EM265" s="485"/>
      <c r="EN265" s="485"/>
      <c r="EO265" s="485"/>
      <c r="EP265" s="485"/>
    </row>
    <row r="266" spans="1:146" ht="15.75">
      <c r="A266" s="462">
        <f t="shared" si="82"/>
        <v>996</v>
      </c>
      <c r="B266" s="629" t="s">
        <v>393</v>
      </c>
      <c r="C266" s="624">
        <v>336</v>
      </c>
      <c r="D266" s="626">
        <v>112</v>
      </c>
      <c r="E266" s="611">
        <v>12.55</v>
      </c>
      <c r="F266" s="678">
        <f t="shared" si="71"/>
        <v>12.293520000000001</v>
      </c>
      <c r="G266" s="683">
        <v>4</v>
      </c>
      <c r="H266" s="681">
        <f t="shared" si="77"/>
        <v>5376</v>
      </c>
      <c r="I266" s="623">
        <f t="shared" si="75"/>
        <v>602.40000000000009</v>
      </c>
      <c r="J266" s="623"/>
      <c r="K266" s="627">
        <v>0.33600000000000002</v>
      </c>
      <c r="L266" s="627">
        <f t="shared" si="78"/>
        <v>1.3440000000000001</v>
      </c>
      <c r="M266" s="627"/>
      <c r="N266" s="609">
        <v>112</v>
      </c>
      <c r="O266" s="610">
        <v>12.547609425487911</v>
      </c>
      <c r="P266" s="617" t="str">
        <f t="shared" si="79"/>
        <v>---</v>
      </c>
      <c r="Q266" s="618">
        <f t="shared" si="80"/>
        <v>-2.3905745120895716E-3</v>
      </c>
      <c r="R266" s="485"/>
      <c r="S266" s="624" t="str">
        <f t="shared" si="81"/>
        <v>OK</v>
      </c>
      <c r="T266" s="451">
        <f>IF(+'2012 Rates'!O474&lt;'2012 Rates'!$B$11,'2012 Rates'!$B$11,+'2012 Rates'!O474)</f>
        <v>13.49</v>
      </c>
      <c r="U266" s="447">
        <f t="shared" si="72"/>
        <v>9.7326070970722656E-2</v>
      </c>
      <c r="V266" s="485"/>
      <c r="W266" s="623">
        <f t="shared" si="76"/>
        <v>647.52</v>
      </c>
      <c r="X266" s="485"/>
      <c r="Y266" s="485"/>
      <c r="Z266" s="485"/>
      <c r="AA266" s="485"/>
      <c r="AB266" s="485"/>
      <c r="AC266" s="485"/>
      <c r="AD266" s="485"/>
      <c r="AE266" s="485"/>
      <c r="AF266" s="485"/>
      <c r="AG266" s="485"/>
      <c r="AH266" s="485"/>
      <c r="AI266" s="485"/>
      <c r="AJ266" s="485"/>
      <c r="AK266" s="485"/>
      <c r="AL266" s="485"/>
      <c r="AM266" s="485"/>
      <c r="AN266" s="485"/>
      <c r="AO266" s="485"/>
      <c r="AP266" s="485"/>
      <c r="AQ266" s="485"/>
      <c r="AR266" s="485"/>
      <c r="AS266" s="485"/>
      <c r="AT266" s="485"/>
      <c r="AU266" s="485"/>
      <c r="AV266" s="485"/>
      <c r="AW266" s="485"/>
      <c r="AX266" s="485"/>
      <c r="AY266" s="485"/>
      <c r="AZ266" s="485"/>
      <c r="BA266" s="485"/>
      <c r="BB266" s="485"/>
      <c r="BC266" s="485"/>
      <c r="BD266" s="485"/>
      <c r="BE266" s="485"/>
      <c r="BF266" s="485"/>
      <c r="BG266" s="485"/>
      <c r="BH266" s="485"/>
      <c r="BI266" s="485"/>
      <c r="BJ266" s="485"/>
      <c r="BK266" s="485"/>
      <c r="BL266" s="485"/>
      <c r="BM266" s="485"/>
      <c r="BN266" s="485"/>
      <c r="BO266" s="485"/>
      <c r="BP266" s="485"/>
      <c r="BQ266" s="485"/>
      <c r="BR266" s="485"/>
      <c r="BS266" s="485"/>
      <c r="BT266" s="485"/>
      <c r="BU266" s="485"/>
      <c r="BV266" s="485"/>
      <c r="BW266" s="485"/>
      <c r="BX266" s="485"/>
      <c r="BY266" s="485"/>
      <c r="BZ266" s="485"/>
      <c r="CA266" s="485"/>
      <c r="CB266" s="485"/>
      <c r="CC266" s="485"/>
      <c r="CD266" s="485"/>
      <c r="CE266" s="485"/>
      <c r="CF266" s="485"/>
      <c r="CG266" s="485"/>
      <c r="CH266" s="485"/>
      <c r="CI266" s="485"/>
      <c r="CJ266" s="485"/>
      <c r="CK266" s="485"/>
      <c r="CL266" s="485"/>
      <c r="CM266" s="485"/>
      <c r="CN266" s="485"/>
      <c r="CO266" s="485"/>
      <c r="CP266" s="485"/>
      <c r="CQ266" s="485"/>
      <c r="CR266" s="485"/>
      <c r="CS266" s="485"/>
      <c r="CT266" s="485"/>
      <c r="CU266" s="485"/>
      <c r="CV266" s="485"/>
      <c r="CW266" s="485"/>
      <c r="CX266" s="485"/>
      <c r="CY266" s="485"/>
      <c r="CZ266" s="485"/>
      <c r="DA266" s="485"/>
      <c r="DB266" s="485"/>
      <c r="DC266" s="485"/>
      <c r="DD266" s="485"/>
      <c r="DE266" s="485"/>
      <c r="DF266" s="485"/>
      <c r="DG266" s="485"/>
      <c r="DH266" s="485"/>
      <c r="DI266" s="485"/>
      <c r="DJ266" s="485"/>
      <c r="DK266" s="485"/>
      <c r="DL266" s="485"/>
      <c r="DM266" s="485"/>
      <c r="DN266" s="485"/>
      <c r="DO266" s="485"/>
      <c r="DP266" s="485"/>
      <c r="DQ266" s="485"/>
      <c r="DR266" s="485"/>
      <c r="DS266" s="485"/>
      <c r="DT266" s="485"/>
      <c r="DU266" s="485"/>
      <c r="DV266" s="485"/>
      <c r="DW266" s="485"/>
      <c r="DX266" s="485"/>
      <c r="DY266" s="485"/>
      <c r="DZ266" s="485"/>
      <c r="EA266" s="485"/>
      <c r="EB266" s="485"/>
      <c r="EC266" s="485"/>
      <c r="ED266" s="485"/>
      <c r="EE266" s="485"/>
      <c r="EF266" s="485"/>
      <c r="EG266" s="485"/>
      <c r="EH266" s="485"/>
      <c r="EI266" s="485"/>
      <c r="EJ266" s="485"/>
      <c r="EK266" s="485"/>
      <c r="EL266" s="485"/>
      <c r="EM266" s="485"/>
      <c r="EN266" s="485"/>
      <c r="EO266" s="485"/>
      <c r="EP266" s="485"/>
    </row>
    <row r="267" spans="1:146" ht="15.75">
      <c r="A267" s="462">
        <f t="shared" si="82"/>
        <v>997</v>
      </c>
      <c r="B267" s="629" t="s">
        <v>393</v>
      </c>
      <c r="C267" s="624">
        <v>500</v>
      </c>
      <c r="D267" s="626">
        <v>167</v>
      </c>
      <c r="E267" s="611">
        <v>18.7</v>
      </c>
      <c r="F267" s="678">
        <f t="shared" si="71"/>
        <v>18.31757</v>
      </c>
      <c r="G267" s="683">
        <v>11</v>
      </c>
      <c r="H267" s="681">
        <f>+D267*G267*12</f>
        <v>22044</v>
      </c>
      <c r="I267" s="623">
        <f t="shared" si="75"/>
        <v>2468.3999999999996</v>
      </c>
      <c r="J267" s="623"/>
      <c r="K267" s="627">
        <v>0.5</v>
      </c>
      <c r="L267" s="627">
        <f>G267*K267</f>
        <v>5.5</v>
      </c>
      <c r="M267" s="627"/>
      <c r="N267" s="609">
        <v>167</v>
      </c>
      <c r="O267" s="610">
        <v>18.696346196932868</v>
      </c>
      <c r="P267" s="617" t="str">
        <f t="shared" si="79"/>
        <v>---</v>
      </c>
      <c r="Q267" s="618">
        <f t="shared" si="80"/>
        <v>-3.653803067130923E-3</v>
      </c>
      <c r="R267" s="485"/>
      <c r="S267" s="624" t="str">
        <f t="shared" si="81"/>
        <v>OK</v>
      </c>
      <c r="T267" s="451">
        <f>IF(+'2012 Rates'!O475&lt;'2012 Rates'!$B$11,'2012 Rates'!$B$11,+'2012 Rates'!O475)</f>
        <v>20.100000000000001</v>
      </c>
      <c r="U267" s="447">
        <f t="shared" si="72"/>
        <v>9.7307120977291328E-2</v>
      </c>
      <c r="V267" s="485"/>
      <c r="W267" s="623">
        <f t="shared" si="76"/>
        <v>2653.2000000000003</v>
      </c>
      <c r="X267" s="485"/>
      <c r="Y267" s="485"/>
      <c r="Z267" s="485"/>
      <c r="AA267" s="485"/>
      <c r="AB267" s="485"/>
      <c r="AC267" s="485"/>
      <c r="AD267" s="485"/>
      <c r="AE267" s="485"/>
      <c r="AF267" s="485"/>
      <c r="AG267" s="485"/>
      <c r="AH267" s="485"/>
      <c r="AI267" s="485"/>
      <c r="AJ267" s="485"/>
      <c r="AK267" s="485"/>
      <c r="AL267" s="485"/>
      <c r="AM267" s="485"/>
      <c r="AN267" s="485"/>
      <c r="AO267" s="485"/>
      <c r="AP267" s="485"/>
      <c r="AQ267" s="485"/>
      <c r="AR267" s="485"/>
      <c r="AS267" s="485"/>
      <c r="AT267" s="485"/>
      <c r="AU267" s="485"/>
      <c r="AV267" s="485"/>
      <c r="AW267" s="485"/>
      <c r="AX267" s="485"/>
      <c r="AY267" s="485"/>
      <c r="AZ267" s="485"/>
      <c r="BA267" s="485"/>
      <c r="BB267" s="485"/>
      <c r="BC267" s="485"/>
      <c r="BD267" s="485"/>
      <c r="BE267" s="485"/>
      <c r="BF267" s="485"/>
      <c r="BG267" s="485"/>
      <c r="BH267" s="485"/>
      <c r="BI267" s="485"/>
      <c r="BJ267" s="485"/>
      <c r="BK267" s="485"/>
      <c r="BL267" s="485"/>
      <c r="BM267" s="485"/>
      <c r="BN267" s="485"/>
      <c r="BO267" s="485"/>
      <c r="BP267" s="485"/>
      <c r="BQ267" s="485"/>
      <c r="BR267" s="485"/>
      <c r="BS267" s="485"/>
      <c r="BT267" s="485"/>
      <c r="BU267" s="485"/>
      <c r="BV267" s="485"/>
      <c r="BW267" s="485"/>
      <c r="BX267" s="485"/>
      <c r="BY267" s="485"/>
      <c r="BZ267" s="485"/>
      <c r="CA267" s="485"/>
      <c r="CB267" s="485"/>
      <c r="CC267" s="485"/>
      <c r="CD267" s="485"/>
      <c r="CE267" s="485"/>
      <c r="CF267" s="485"/>
      <c r="CG267" s="485"/>
      <c r="CH267" s="485"/>
      <c r="CI267" s="485"/>
      <c r="CJ267" s="485"/>
      <c r="CK267" s="485"/>
      <c r="CL267" s="485"/>
      <c r="CM267" s="485"/>
      <c r="CN267" s="485"/>
      <c r="CO267" s="485"/>
      <c r="CP267" s="485"/>
      <c r="CQ267" s="485"/>
      <c r="CR267" s="485"/>
      <c r="CS267" s="485"/>
      <c r="CT267" s="485"/>
      <c r="CU267" s="485"/>
      <c r="CV267" s="485"/>
      <c r="CW267" s="485"/>
      <c r="CX267" s="485"/>
      <c r="CY267" s="485"/>
      <c r="CZ267" s="485"/>
      <c r="DA267" s="485"/>
      <c r="DB267" s="485"/>
      <c r="DC267" s="485"/>
      <c r="DD267" s="485"/>
      <c r="DE267" s="485"/>
      <c r="DF267" s="485"/>
      <c r="DG267" s="485"/>
      <c r="DH267" s="485"/>
      <c r="DI267" s="485"/>
      <c r="DJ267" s="485"/>
      <c r="DK267" s="485"/>
      <c r="DL267" s="485"/>
      <c r="DM267" s="485"/>
      <c r="DN267" s="485"/>
      <c r="DO267" s="485"/>
      <c r="DP267" s="485"/>
      <c r="DQ267" s="485"/>
      <c r="DR267" s="485"/>
      <c r="DS267" s="485"/>
      <c r="DT267" s="485"/>
      <c r="DU267" s="485"/>
      <c r="DV267" s="485"/>
      <c r="DW267" s="485"/>
      <c r="DX267" s="485"/>
      <c r="DY267" s="485"/>
      <c r="DZ267" s="485"/>
      <c r="EA267" s="485"/>
      <c r="EB267" s="485"/>
      <c r="EC267" s="485"/>
      <c r="ED267" s="485"/>
      <c r="EE267" s="485"/>
      <c r="EF267" s="485"/>
      <c r="EG267" s="485"/>
      <c r="EH267" s="485"/>
      <c r="EI267" s="485"/>
      <c r="EJ267" s="485"/>
      <c r="EK267" s="485"/>
      <c r="EL267" s="485"/>
      <c r="EM267" s="485"/>
      <c r="EN267" s="485"/>
      <c r="EO267" s="485"/>
      <c r="EP267" s="485"/>
    </row>
    <row r="268" spans="1:146" ht="15.75">
      <c r="A268" s="591">
        <f t="shared" si="82"/>
        <v>998</v>
      </c>
      <c r="B268" s="630" t="s">
        <v>454</v>
      </c>
      <c r="C268" s="614">
        <v>764</v>
      </c>
      <c r="D268" s="609">
        <v>654</v>
      </c>
      <c r="E268" s="610">
        <v>57.19</v>
      </c>
      <c r="F268" s="678">
        <f t="shared" si="71"/>
        <v>55.692339999999994</v>
      </c>
      <c r="G268" s="683">
        <v>215</v>
      </c>
      <c r="H268" s="664">
        <f>+D268*G268*12</f>
        <v>1687320</v>
      </c>
      <c r="I268" s="444">
        <f t="shared" si="75"/>
        <v>147550.20000000001</v>
      </c>
      <c r="J268" s="444"/>
      <c r="K268" s="616">
        <v>0.89600000000000002</v>
      </c>
      <c r="L268" s="616">
        <f>G268*K268</f>
        <v>192.64000000000001</v>
      </c>
      <c r="M268" s="616">
        <f>+L268</f>
        <v>192.64000000000001</v>
      </c>
      <c r="N268" s="609">
        <v>654</v>
      </c>
      <c r="O268" s="610">
        <v>57.19443360954547</v>
      </c>
      <c r="P268" s="617" t="str">
        <f t="shared" si="79"/>
        <v>---</v>
      </c>
      <c r="Q268" s="618">
        <f t="shared" si="80"/>
        <v>4.43360954547245E-3</v>
      </c>
      <c r="R268" s="615"/>
      <c r="S268" s="614" t="str">
        <f t="shared" si="81"/>
        <v>OK</v>
      </c>
      <c r="T268" s="451">
        <f>IF(+'2012 Rates'!P476&lt;'2012 Rates'!$B$11,'2012 Rates'!$B$11,+'2012 Rates'!P476)</f>
        <v>61.17</v>
      </c>
      <c r="U268" s="447">
        <f t="shared" si="72"/>
        <v>9.8355716423479622E-2</v>
      </c>
      <c r="V268" s="445" t="s">
        <v>363</v>
      </c>
      <c r="W268" s="623">
        <f t="shared" si="76"/>
        <v>157818.6</v>
      </c>
      <c r="X268" s="485"/>
      <c r="Y268" s="485"/>
      <c r="Z268" s="485"/>
      <c r="AA268" s="485"/>
      <c r="AB268" s="485"/>
      <c r="AC268" s="485"/>
      <c r="AD268" s="485"/>
      <c r="AE268" s="485"/>
      <c r="AF268" s="485"/>
      <c r="AG268" s="485"/>
      <c r="AH268" s="485"/>
      <c r="AI268" s="485"/>
      <c r="AJ268" s="485"/>
      <c r="AK268" s="485"/>
      <c r="AL268" s="485"/>
      <c r="AM268" s="485"/>
      <c r="AN268" s="485"/>
      <c r="AO268" s="485"/>
      <c r="AP268" s="485"/>
      <c r="AQ268" s="485"/>
      <c r="AR268" s="485"/>
      <c r="AS268" s="485"/>
      <c r="AT268" s="485"/>
      <c r="AU268" s="485"/>
      <c r="AV268" s="485"/>
      <c r="AW268" s="485"/>
      <c r="AX268" s="485"/>
      <c r="AY268" s="485"/>
      <c r="AZ268" s="485"/>
      <c r="BA268" s="485"/>
      <c r="BB268" s="485"/>
      <c r="BC268" s="485"/>
      <c r="BD268" s="485"/>
      <c r="BE268" s="485"/>
      <c r="BF268" s="485"/>
      <c r="BG268" s="485"/>
      <c r="BH268" s="485"/>
      <c r="BI268" s="485"/>
      <c r="BJ268" s="485"/>
      <c r="BK268" s="485"/>
      <c r="BL268" s="485"/>
      <c r="BM268" s="485"/>
      <c r="BN268" s="485"/>
      <c r="BO268" s="485"/>
      <c r="BP268" s="485"/>
      <c r="BQ268" s="485"/>
      <c r="BR268" s="485"/>
      <c r="BS268" s="485"/>
      <c r="BT268" s="485"/>
      <c r="BU268" s="485"/>
      <c r="BV268" s="485"/>
      <c r="BW268" s="485"/>
      <c r="BX268" s="485"/>
      <c r="BY268" s="485"/>
      <c r="BZ268" s="485"/>
      <c r="CA268" s="485"/>
      <c r="CB268" s="485"/>
      <c r="CC268" s="485"/>
      <c r="CD268" s="485"/>
      <c r="CE268" s="485"/>
      <c r="CF268" s="485"/>
      <c r="CG268" s="485"/>
      <c r="CH268" s="485"/>
      <c r="CI268" s="485"/>
      <c r="CJ268" s="485"/>
      <c r="CK268" s="485"/>
      <c r="CL268" s="485"/>
      <c r="CM268" s="485"/>
      <c r="CN268" s="485"/>
      <c r="CO268" s="485"/>
      <c r="CP268" s="485"/>
      <c r="CQ268" s="485"/>
      <c r="CR268" s="485"/>
      <c r="CS268" s="485"/>
      <c r="CT268" s="485"/>
      <c r="CU268" s="485"/>
      <c r="CV268" s="485"/>
      <c r="CW268" s="485"/>
      <c r="CX268" s="485"/>
      <c r="CY268" s="485"/>
      <c r="CZ268" s="485"/>
      <c r="DA268" s="485"/>
      <c r="DB268" s="485"/>
      <c r="DC268" s="485"/>
      <c r="DD268" s="485"/>
      <c r="DE268" s="485"/>
      <c r="DF268" s="485"/>
      <c r="DG268" s="485"/>
      <c r="DH268" s="485"/>
      <c r="DI268" s="485"/>
      <c r="DJ268" s="485"/>
      <c r="DK268" s="485"/>
      <c r="DL268" s="485"/>
      <c r="DM268" s="485"/>
      <c r="DN268" s="485"/>
      <c r="DO268" s="485"/>
      <c r="DP268" s="485"/>
      <c r="DQ268" s="485"/>
      <c r="DR268" s="485"/>
      <c r="DS268" s="485"/>
      <c r="DT268" s="485"/>
      <c r="DU268" s="485"/>
      <c r="DV268" s="485"/>
      <c r="DW268" s="485"/>
      <c r="DX268" s="485"/>
      <c r="DY268" s="485"/>
      <c r="DZ268" s="485"/>
      <c r="EA268" s="485"/>
      <c r="EB268" s="485"/>
      <c r="EC268" s="485"/>
      <c r="ED268" s="485"/>
      <c r="EE268" s="485"/>
      <c r="EF268" s="485"/>
      <c r="EG268" s="485"/>
      <c r="EH268" s="485"/>
      <c r="EI268" s="485"/>
      <c r="EJ268" s="485"/>
      <c r="EK268" s="485"/>
      <c r="EL268" s="485"/>
      <c r="EM268" s="485"/>
      <c r="EN268" s="485"/>
      <c r="EO268" s="485"/>
      <c r="EP268" s="485"/>
    </row>
    <row r="269" spans="1:146" ht="15.75">
      <c r="A269" s="462">
        <f t="shared" si="82"/>
        <v>999</v>
      </c>
      <c r="B269" s="629" t="s">
        <v>403</v>
      </c>
      <c r="C269" s="624">
        <v>144</v>
      </c>
      <c r="D269" s="626">
        <v>105</v>
      </c>
      <c r="E269" s="611">
        <v>9.18</v>
      </c>
      <c r="F269" s="678">
        <f t="shared" si="71"/>
        <v>8.9395500000000006</v>
      </c>
      <c r="G269" s="683">
        <v>9</v>
      </c>
      <c r="H269" s="681">
        <f>+D269*G269*12</f>
        <v>11340</v>
      </c>
      <c r="I269" s="623">
        <f t="shared" si="75"/>
        <v>991.44</v>
      </c>
      <c r="J269" s="623"/>
      <c r="K269" s="627">
        <v>0.14399999999999999</v>
      </c>
      <c r="L269" s="627">
        <f>G269*K269</f>
        <v>1.2959999999999998</v>
      </c>
      <c r="M269" s="627">
        <f>+L269</f>
        <v>1.2959999999999998</v>
      </c>
      <c r="N269" s="609">
        <v>105</v>
      </c>
      <c r="O269" s="610">
        <v>9.1821338363949145</v>
      </c>
      <c r="P269" s="617" t="str">
        <f t="shared" si="79"/>
        <v>---</v>
      </c>
      <c r="Q269" s="618">
        <f t="shared" si="80"/>
        <v>2.1338363949148231E-3</v>
      </c>
      <c r="R269" s="485"/>
      <c r="S269" s="624" t="str">
        <f t="shared" si="81"/>
        <v>OK</v>
      </c>
      <c r="T269" s="451">
        <f>IF(+'2012 Rates'!P477&lt;'2012 Rates'!$B$11,'2012 Rates'!$B$11,+'2012 Rates'!P477)</f>
        <v>9.83</v>
      </c>
      <c r="U269" s="447">
        <f t="shared" si="72"/>
        <v>9.9607922098986945E-2</v>
      </c>
      <c r="V269" s="485"/>
      <c r="W269" s="623">
        <f t="shared" si="76"/>
        <v>1061.6399999999999</v>
      </c>
      <c r="X269" s="485"/>
      <c r="Y269" s="485"/>
      <c r="Z269" s="485"/>
      <c r="AA269" s="485"/>
      <c r="AB269" s="485"/>
      <c r="AC269" s="485"/>
      <c r="AD269" s="485"/>
      <c r="AE269" s="485"/>
      <c r="AF269" s="485"/>
      <c r="AG269" s="485"/>
      <c r="AH269" s="485"/>
      <c r="AI269" s="485"/>
      <c r="AJ269" s="485"/>
      <c r="AK269" s="485"/>
      <c r="AL269" s="485"/>
      <c r="AM269" s="485"/>
      <c r="AN269" s="485"/>
      <c r="AO269" s="485"/>
      <c r="AP269" s="485"/>
      <c r="AQ269" s="485"/>
      <c r="AR269" s="485"/>
      <c r="AS269" s="485"/>
      <c r="AT269" s="485"/>
      <c r="AU269" s="485"/>
      <c r="AV269" s="485"/>
      <c r="AW269" s="485"/>
      <c r="AX269" s="485"/>
      <c r="AY269" s="485"/>
      <c r="AZ269" s="485"/>
      <c r="BA269" s="485"/>
      <c r="BB269" s="485"/>
      <c r="BC269" s="485"/>
      <c r="BD269" s="485"/>
      <c r="BE269" s="485"/>
      <c r="BF269" s="485"/>
      <c r="BG269" s="485"/>
      <c r="BH269" s="485"/>
      <c r="BI269" s="485"/>
      <c r="BJ269" s="485"/>
      <c r="BK269" s="485"/>
      <c r="BL269" s="485"/>
      <c r="BM269" s="485"/>
      <c r="BN269" s="485"/>
      <c r="BO269" s="485"/>
      <c r="BP269" s="485"/>
      <c r="BQ269" s="485"/>
      <c r="BR269" s="485"/>
      <c r="BS269" s="485"/>
      <c r="BT269" s="485"/>
      <c r="BU269" s="485"/>
      <c r="BV269" s="485"/>
      <c r="BW269" s="485"/>
      <c r="BX269" s="485"/>
      <c r="BY269" s="485"/>
      <c r="BZ269" s="485"/>
      <c r="CA269" s="485"/>
      <c r="CB269" s="485"/>
      <c r="CC269" s="485"/>
      <c r="CD269" s="485"/>
      <c r="CE269" s="485"/>
      <c r="CF269" s="485"/>
      <c r="CG269" s="485"/>
      <c r="CH269" s="485"/>
      <c r="CI269" s="485"/>
      <c r="CJ269" s="485"/>
      <c r="CK269" s="485"/>
      <c r="CL269" s="485"/>
      <c r="CM269" s="485"/>
      <c r="CN269" s="485"/>
      <c r="CO269" s="485"/>
      <c r="CP269" s="485"/>
      <c r="CQ269" s="485"/>
      <c r="CR269" s="485"/>
      <c r="CS269" s="485"/>
      <c r="CT269" s="485"/>
      <c r="CU269" s="485"/>
      <c r="CV269" s="485"/>
      <c r="CW269" s="485"/>
      <c r="CX269" s="485"/>
      <c r="CY269" s="485"/>
      <c r="CZ269" s="485"/>
      <c r="DA269" s="485"/>
      <c r="DB269" s="485"/>
      <c r="DC269" s="485"/>
      <c r="DD269" s="485"/>
      <c r="DE269" s="485"/>
      <c r="DF269" s="485"/>
      <c r="DG269" s="485"/>
      <c r="DH269" s="485"/>
      <c r="DI269" s="485"/>
      <c r="DJ269" s="485"/>
      <c r="DK269" s="485"/>
      <c r="DL269" s="485"/>
      <c r="DM269" s="485"/>
      <c r="DN269" s="485"/>
      <c r="DO269" s="485"/>
      <c r="DP269" s="485"/>
      <c r="DQ269" s="485"/>
      <c r="DR269" s="485"/>
      <c r="DS269" s="485"/>
      <c r="DT269" s="485"/>
      <c r="DU269" s="485"/>
      <c r="DV269" s="485"/>
      <c r="DW269" s="485"/>
      <c r="DX269" s="485"/>
      <c r="DY269" s="485"/>
      <c r="DZ269" s="485"/>
      <c r="EA269" s="485"/>
      <c r="EB269" s="485"/>
      <c r="EC269" s="485"/>
      <c r="ED269" s="485"/>
      <c r="EE269" s="485"/>
      <c r="EF269" s="485"/>
      <c r="EG269" s="485"/>
      <c r="EH269" s="485"/>
      <c r="EI269" s="485"/>
      <c r="EJ269" s="485"/>
      <c r="EK269" s="485"/>
      <c r="EL269" s="485"/>
      <c r="EM269" s="485"/>
      <c r="EN269" s="485"/>
      <c r="EO269" s="485"/>
      <c r="EP269" s="485"/>
    </row>
    <row r="270" spans="1:146" ht="15.75">
      <c r="A270" s="462"/>
      <c r="B270" s="629"/>
      <c r="C270" s="624"/>
      <c r="D270" s="626"/>
      <c r="E270" s="611"/>
      <c r="F270" s="678"/>
      <c r="G270" s="683"/>
      <c r="H270" s="681"/>
      <c r="I270" s="623"/>
      <c r="J270" s="623"/>
      <c r="K270" s="627"/>
      <c r="L270" s="627"/>
      <c r="M270" s="627"/>
      <c r="N270" s="609"/>
      <c r="O270" s="610"/>
      <c r="P270" s="617"/>
      <c r="Q270" s="618"/>
      <c r="R270" s="485"/>
      <c r="S270" s="624"/>
      <c r="T270" s="613"/>
      <c r="U270" s="447"/>
      <c r="V270" s="485"/>
      <c r="W270" s="623"/>
      <c r="X270" s="485"/>
      <c r="Y270" s="485"/>
      <c r="Z270" s="485"/>
      <c r="AA270" s="485"/>
      <c r="AB270" s="485"/>
      <c r="AC270" s="485"/>
      <c r="AD270" s="485"/>
      <c r="AE270" s="485"/>
      <c r="AF270" s="485"/>
      <c r="AG270" s="485"/>
      <c r="AH270" s="485"/>
      <c r="AI270" s="485"/>
      <c r="AJ270" s="485"/>
      <c r="AK270" s="485"/>
      <c r="AL270" s="485"/>
      <c r="AM270" s="485"/>
      <c r="AN270" s="485"/>
      <c r="AO270" s="485"/>
      <c r="AP270" s="485"/>
      <c r="AQ270" s="485"/>
      <c r="AR270" s="485"/>
      <c r="AS270" s="485"/>
      <c r="AT270" s="485"/>
      <c r="AU270" s="485"/>
      <c r="AV270" s="485"/>
      <c r="AW270" s="485"/>
      <c r="AX270" s="485"/>
      <c r="AY270" s="485"/>
      <c r="AZ270" s="485"/>
      <c r="BA270" s="485"/>
      <c r="BB270" s="485"/>
      <c r="BC270" s="485"/>
      <c r="BD270" s="485"/>
      <c r="BE270" s="485"/>
      <c r="BF270" s="485"/>
      <c r="BG270" s="485"/>
      <c r="BH270" s="485"/>
      <c r="BI270" s="485"/>
      <c r="BJ270" s="485"/>
      <c r="BK270" s="485"/>
      <c r="BL270" s="485"/>
      <c r="BM270" s="485"/>
      <c r="BN270" s="485"/>
      <c r="BO270" s="485"/>
      <c r="BP270" s="485"/>
      <c r="BQ270" s="485"/>
      <c r="BR270" s="485"/>
      <c r="BS270" s="485"/>
      <c r="BT270" s="485"/>
      <c r="BU270" s="485"/>
      <c r="BV270" s="485"/>
      <c r="BW270" s="485"/>
      <c r="BX270" s="485"/>
      <c r="BY270" s="485"/>
      <c r="BZ270" s="485"/>
      <c r="CA270" s="485"/>
      <c r="CB270" s="485"/>
      <c r="CC270" s="485"/>
      <c r="CD270" s="485"/>
      <c r="CE270" s="485"/>
      <c r="CF270" s="485"/>
      <c r="CG270" s="485"/>
      <c r="CH270" s="485"/>
      <c r="CI270" s="485"/>
      <c r="CJ270" s="485"/>
      <c r="CK270" s="485"/>
      <c r="CL270" s="485"/>
      <c r="CM270" s="485"/>
      <c r="CN270" s="485"/>
      <c r="CO270" s="485"/>
      <c r="CP270" s="485"/>
      <c r="CQ270" s="485"/>
      <c r="CR270" s="485"/>
      <c r="CS270" s="485"/>
      <c r="CT270" s="485"/>
      <c r="CU270" s="485"/>
      <c r="CV270" s="485"/>
      <c r="CW270" s="485"/>
      <c r="CX270" s="485"/>
      <c r="CY270" s="485"/>
      <c r="CZ270" s="485"/>
      <c r="DA270" s="485"/>
      <c r="DB270" s="485"/>
      <c r="DC270" s="485"/>
      <c r="DD270" s="485"/>
      <c r="DE270" s="485"/>
      <c r="DF270" s="485"/>
      <c r="DG270" s="485"/>
      <c r="DH270" s="485"/>
      <c r="DI270" s="485"/>
      <c r="DJ270" s="485"/>
      <c r="DK270" s="485"/>
      <c r="DL270" s="485"/>
      <c r="DM270" s="485"/>
      <c r="DN270" s="485"/>
      <c r="DO270" s="485"/>
      <c r="DP270" s="485"/>
      <c r="DQ270" s="485"/>
      <c r="DR270" s="485"/>
      <c r="DS270" s="485"/>
      <c r="DT270" s="485"/>
      <c r="DU270" s="485"/>
      <c r="DV270" s="485"/>
      <c r="DW270" s="485"/>
      <c r="DX270" s="485"/>
      <c r="DY270" s="485"/>
      <c r="DZ270" s="485"/>
      <c r="EA270" s="485"/>
      <c r="EB270" s="485"/>
      <c r="EC270" s="485"/>
      <c r="ED270" s="485"/>
      <c r="EE270" s="485"/>
      <c r="EF270" s="485"/>
      <c r="EG270" s="485"/>
      <c r="EH270" s="485"/>
      <c r="EI270" s="485"/>
      <c r="EJ270" s="485"/>
      <c r="EK270" s="485"/>
      <c r="EL270" s="485"/>
      <c r="EM270" s="485"/>
      <c r="EN270" s="485"/>
      <c r="EO270" s="485"/>
      <c r="EP270" s="485"/>
    </row>
    <row r="271" spans="1:146" ht="15.75">
      <c r="A271" s="462">
        <f>+A269+1</f>
        <v>1000</v>
      </c>
      <c r="B271" s="629" t="s">
        <v>455</v>
      </c>
      <c r="C271" s="624">
        <v>86</v>
      </c>
      <c r="D271" s="626">
        <v>39</v>
      </c>
      <c r="E271" s="611">
        <v>4.3499999999999996</v>
      </c>
      <c r="F271" s="678">
        <f t="shared" ref="F271:F333" si="83">E271-(D271*$C$10)</f>
        <v>4.2606899999999994</v>
      </c>
      <c r="G271" s="683">
        <v>20</v>
      </c>
      <c r="H271" s="681">
        <f t="shared" ref="H271:H318" si="84">+D271*G271*12</f>
        <v>9360</v>
      </c>
      <c r="I271" s="623">
        <f t="shared" ref="I271:I318" si="85">+E271*G271*12</f>
        <v>1044</v>
      </c>
      <c r="J271" s="623"/>
      <c r="K271" s="627">
        <v>0.11700000000000001</v>
      </c>
      <c r="L271" s="627">
        <f t="shared" ref="L271:L302" si="86">G271*K271</f>
        <v>2.3400000000000003</v>
      </c>
      <c r="M271" s="627"/>
      <c r="N271" s="609">
        <v>39</v>
      </c>
      <c r="O271" s="610">
        <v>4.3476497106609688</v>
      </c>
      <c r="P271" s="617" t="str">
        <f t="shared" ref="P271:P302" si="87">IF(N271=D271,"---",N271-D271)</f>
        <v>---</v>
      </c>
      <c r="Q271" s="618">
        <f t="shared" ref="Q271:Q302" si="88">IF(O271=E271,"---",O271-E271)</f>
        <v>-2.3502893390308088E-3</v>
      </c>
      <c r="R271" s="485"/>
      <c r="S271" s="624" t="str">
        <f t="shared" ref="S271:S302" si="89">IF(N271=D271,"OK",N271)</f>
        <v>OK</v>
      </c>
      <c r="T271" s="613">
        <f>IF(+'2012 Rates'!O478&lt;'2012 Rates'!$B$11,'2012 Rates'!$B$11,+'2012 Rates'!O478)</f>
        <v>4.68</v>
      </c>
      <c r="U271" s="447">
        <f t="shared" ref="U271:U335" si="90">+T271/F271-1</f>
        <v>9.8413637227773076E-2</v>
      </c>
      <c r="V271" s="485"/>
      <c r="W271" s="623">
        <f t="shared" ref="W271:W318" si="91">+G271*T271*12</f>
        <v>1123.1999999999998</v>
      </c>
      <c r="X271" s="485"/>
      <c r="Y271" s="485"/>
      <c r="Z271" s="485"/>
      <c r="AA271" s="485"/>
      <c r="AB271" s="485"/>
      <c r="AC271" s="485"/>
      <c r="AD271" s="485"/>
      <c r="AE271" s="485"/>
      <c r="AF271" s="485"/>
      <c r="AG271" s="485"/>
      <c r="AH271" s="485"/>
      <c r="AI271" s="485"/>
      <c r="AJ271" s="485"/>
      <c r="AK271" s="485"/>
      <c r="AL271" s="485"/>
      <c r="AM271" s="485"/>
      <c r="AN271" s="485"/>
      <c r="AO271" s="485"/>
      <c r="AP271" s="485"/>
      <c r="AQ271" s="485"/>
      <c r="AR271" s="485"/>
      <c r="AS271" s="485"/>
      <c r="AT271" s="485"/>
      <c r="AU271" s="485"/>
      <c r="AV271" s="485"/>
      <c r="AW271" s="485"/>
      <c r="AX271" s="485"/>
      <c r="AY271" s="485"/>
      <c r="AZ271" s="485"/>
      <c r="BA271" s="485"/>
      <c r="BB271" s="485"/>
      <c r="BC271" s="485"/>
      <c r="BD271" s="485"/>
      <c r="BE271" s="485"/>
      <c r="BF271" s="485"/>
      <c r="BG271" s="485"/>
      <c r="BH271" s="485"/>
      <c r="BI271" s="485"/>
      <c r="BJ271" s="485"/>
      <c r="BK271" s="485"/>
      <c r="BL271" s="485"/>
      <c r="BM271" s="485"/>
      <c r="BN271" s="485"/>
      <c r="BO271" s="485"/>
      <c r="BP271" s="485"/>
      <c r="BQ271" s="485"/>
      <c r="BR271" s="485"/>
      <c r="BS271" s="485"/>
      <c r="BT271" s="485"/>
      <c r="BU271" s="485"/>
      <c r="BV271" s="485"/>
      <c r="BW271" s="485"/>
      <c r="BX271" s="485"/>
      <c r="BY271" s="485"/>
      <c r="BZ271" s="485"/>
      <c r="CA271" s="485"/>
      <c r="CB271" s="485"/>
      <c r="CC271" s="485"/>
      <c r="CD271" s="485"/>
      <c r="CE271" s="485"/>
      <c r="CF271" s="485"/>
      <c r="CG271" s="485"/>
      <c r="CH271" s="485"/>
      <c r="CI271" s="485"/>
      <c r="CJ271" s="485"/>
      <c r="CK271" s="485"/>
      <c r="CL271" s="485"/>
      <c r="CM271" s="485"/>
      <c r="CN271" s="485"/>
      <c r="CO271" s="485"/>
      <c r="CP271" s="485"/>
      <c r="CQ271" s="485"/>
      <c r="CR271" s="485"/>
      <c r="CS271" s="485"/>
      <c r="CT271" s="485"/>
      <c r="CU271" s="485"/>
      <c r="CV271" s="485"/>
      <c r="CW271" s="485"/>
      <c r="CX271" s="485"/>
      <c r="CY271" s="485"/>
      <c r="CZ271" s="485"/>
      <c r="DA271" s="485"/>
      <c r="DB271" s="485"/>
      <c r="DC271" s="485"/>
      <c r="DD271" s="485"/>
      <c r="DE271" s="485"/>
      <c r="DF271" s="485"/>
      <c r="DG271" s="485"/>
      <c r="DH271" s="485"/>
      <c r="DI271" s="485"/>
      <c r="DJ271" s="485"/>
      <c r="DK271" s="485"/>
      <c r="DL271" s="485"/>
      <c r="DM271" s="485"/>
      <c r="DN271" s="485"/>
      <c r="DO271" s="485"/>
      <c r="DP271" s="485"/>
      <c r="DQ271" s="485"/>
      <c r="DR271" s="485"/>
      <c r="DS271" s="485"/>
      <c r="DT271" s="485"/>
      <c r="DU271" s="485"/>
      <c r="DV271" s="485"/>
      <c r="DW271" s="485"/>
      <c r="DX271" s="485"/>
      <c r="DY271" s="485"/>
      <c r="DZ271" s="485"/>
      <c r="EA271" s="485"/>
      <c r="EB271" s="485"/>
      <c r="EC271" s="485"/>
      <c r="ED271" s="485"/>
      <c r="EE271" s="485"/>
      <c r="EF271" s="485"/>
      <c r="EG271" s="485"/>
      <c r="EH271" s="485"/>
      <c r="EI271" s="485"/>
      <c r="EJ271" s="485"/>
      <c r="EK271" s="485"/>
      <c r="EL271" s="485"/>
      <c r="EM271" s="485"/>
      <c r="EN271" s="485"/>
      <c r="EO271" s="485"/>
      <c r="EP271" s="485"/>
    </row>
    <row r="272" spans="1:146" ht="15.75">
      <c r="A272" s="462">
        <f>+A271+1</f>
        <v>1001</v>
      </c>
      <c r="B272" s="629" t="s">
        <v>456</v>
      </c>
      <c r="C272" s="624">
        <v>720</v>
      </c>
      <c r="D272" s="626">
        <v>657</v>
      </c>
      <c r="E272" s="611">
        <v>57.46</v>
      </c>
      <c r="F272" s="678">
        <f t="shared" si="83"/>
        <v>55.955469999999998</v>
      </c>
      <c r="G272" s="683"/>
      <c r="H272" s="681">
        <f t="shared" si="84"/>
        <v>0</v>
      </c>
      <c r="I272" s="623">
        <f t="shared" si="85"/>
        <v>0</v>
      </c>
      <c r="J272" s="623"/>
      <c r="K272" s="627">
        <v>0.9</v>
      </c>
      <c r="L272" s="627">
        <f t="shared" si="86"/>
        <v>0</v>
      </c>
      <c r="M272" s="627"/>
      <c r="N272" s="609">
        <v>657</v>
      </c>
      <c r="O272" s="610">
        <v>57.459637433442467</v>
      </c>
      <c r="P272" s="617" t="str">
        <f t="shared" si="87"/>
        <v>---</v>
      </c>
      <c r="Q272" s="618">
        <f t="shared" si="88"/>
        <v>-3.6256655753419409E-4</v>
      </c>
      <c r="R272" s="485"/>
      <c r="S272" s="624" t="str">
        <f t="shared" si="89"/>
        <v>OK</v>
      </c>
      <c r="T272" s="613">
        <f>IF(+'2012 Rates'!P479&lt;'2012 Rates'!$B$11,'2012 Rates'!$B$11,+'2012 Rates'!P479)</f>
        <v>61.45</v>
      </c>
      <c r="U272" s="447">
        <f t="shared" si="90"/>
        <v>9.8194689455740614E-2</v>
      </c>
      <c r="V272" s="485"/>
      <c r="W272" s="623">
        <f t="shared" si="91"/>
        <v>0</v>
      </c>
      <c r="X272" s="485"/>
      <c r="Y272" s="485"/>
      <c r="Z272" s="485"/>
      <c r="AA272" s="485"/>
      <c r="AB272" s="485"/>
      <c r="AC272" s="485"/>
      <c r="AD272" s="485"/>
      <c r="AE272" s="485"/>
      <c r="AF272" s="485"/>
      <c r="AG272" s="485"/>
      <c r="AH272" s="485"/>
      <c r="AI272" s="485"/>
      <c r="AJ272" s="485"/>
      <c r="AK272" s="485"/>
      <c r="AL272" s="485"/>
      <c r="AM272" s="485"/>
      <c r="AN272" s="485"/>
      <c r="AO272" s="485"/>
      <c r="AP272" s="485"/>
      <c r="AQ272" s="485"/>
      <c r="AR272" s="485"/>
      <c r="AS272" s="485"/>
      <c r="AT272" s="485"/>
      <c r="AU272" s="485"/>
      <c r="AV272" s="485"/>
      <c r="AW272" s="485"/>
      <c r="AX272" s="485"/>
      <c r="AY272" s="485"/>
      <c r="AZ272" s="485"/>
      <c r="BA272" s="485"/>
      <c r="BB272" s="485"/>
      <c r="BC272" s="485"/>
      <c r="BD272" s="485"/>
      <c r="BE272" s="485"/>
      <c r="BF272" s="485"/>
      <c r="BG272" s="485"/>
      <c r="BH272" s="485"/>
      <c r="BI272" s="485"/>
      <c r="BJ272" s="485"/>
      <c r="BK272" s="485"/>
      <c r="BL272" s="485"/>
      <c r="BM272" s="485"/>
      <c r="BN272" s="485"/>
      <c r="BO272" s="485"/>
      <c r="BP272" s="485"/>
      <c r="BQ272" s="485"/>
      <c r="BR272" s="485"/>
      <c r="BS272" s="485"/>
      <c r="BT272" s="485"/>
      <c r="BU272" s="485"/>
      <c r="BV272" s="485"/>
      <c r="BW272" s="485"/>
      <c r="BX272" s="485"/>
      <c r="BY272" s="485"/>
      <c r="BZ272" s="485"/>
      <c r="CA272" s="485"/>
      <c r="CB272" s="485"/>
      <c r="CC272" s="485"/>
      <c r="CD272" s="485"/>
      <c r="CE272" s="485"/>
      <c r="CF272" s="485"/>
      <c r="CG272" s="485"/>
      <c r="CH272" s="485"/>
      <c r="CI272" s="485"/>
      <c r="CJ272" s="485"/>
      <c r="CK272" s="485"/>
      <c r="CL272" s="485"/>
      <c r="CM272" s="485"/>
      <c r="CN272" s="485"/>
      <c r="CO272" s="485"/>
      <c r="CP272" s="485"/>
      <c r="CQ272" s="485"/>
      <c r="CR272" s="485"/>
      <c r="CS272" s="485"/>
      <c r="CT272" s="485"/>
      <c r="CU272" s="485"/>
      <c r="CV272" s="485"/>
      <c r="CW272" s="485"/>
      <c r="CX272" s="485"/>
      <c r="CY272" s="485"/>
      <c r="CZ272" s="485"/>
      <c r="DA272" s="485"/>
      <c r="DB272" s="485"/>
      <c r="DC272" s="485"/>
      <c r="DD272" s="485"/>
      <c r="DE272" s="485"/>
      <c r="DF272" s="485"/>
      <c r="DG272" s="485"/>
      <c r="DH272" s="485"/>
      <c r="DI272" s="485"/>
      <c r="DJ272" s="485"/>
      <c r="DK272" s="485"/>
      <c r="DL272" s="485"/>
      <c r="DM272" s="485"/>
      <c r="DN272" s="485"/>
      <c r="DO272" s="485"/>
      <c r="DP272" s="485"/>
      <c r="DQ272" s="485"/>
      <c r="DR272" s="485"/>
      <c r="DS272" s="485"/>
      <c r="DT272" s="485"/>
      <c r="DU272" s="485"/>
      <c r="DV272" s="485"/>
      <c r="DW272" s="485"/>
      <c r="DX272" s="485"/>
      <c r="DY272" s="485"/>
      <c r="DZ272" s="485"/>
      <c r="EA272" s="485"/>
      <c r="EB272" s="485"/>
      <c r="EC272" s="485"/>
      <c r="ED272" s="485"/>
      <c r="EE272" s="485"/>
      <c r="EF272" s="485"/>
      <c r="EG272" s="485"/>
      <c r="EH272" s="485"/>
      <c r="EI272" s="485"/>
      <c r="EJ272" s="485"/>
      <c r="EK272" s="485"/>
      <c r="EL272" s="485"/>
      <c r="EM272" s="485"/>
      <c r="EN272" s="485"/>
      <c r="EO272" s="485"/>
      <c r="EP272" s="485"/>
    </row>
    <row r="273" spans="1:146" ht="15.75">
      <c r="A273" s="462">
        <f>+A272+1</f>
        <v>1002</v>
      </c>
      <c r="B273" s="629" t="s">
        <v>457</v>
      </c>
      <c r="C273" s="624">
        <v>1104</v>
      </c>
      <c r="D273" s="626">
        <v>4087</v>
      </c>
      <c r="E273" s="611">
        <v>456.99</v>
      </c>
      <c r="F273" s="678">
        <f t="shared" si="83"/>
        <v>447.63076999999998</v>
      </c>
      <c r="G273" s="683">
        <v>1</v>
      </c>
      <c r="H273" s="681">
        <f t="shared" si="84"/>
        <v>49044</v>
      </c>
      <c r="I273" s="623">
        <f t="shared" si="85"/>
        <v>5483.88</v>
      </c>
      <c r="J273" s="623"/>
      <c r="K273" s="627">
        <v>12.214</v>
      </c>
      <c r="L273" s="627">
        <f t="shared" si="86"/>
        <v>12.214</v>
      </c>
      <c r="M273" s="627">
        <f>+L273</f>
        <v>12.214</v>
      </c>
      <c r="N273" s="609">
        <v>4087</v>
      </c>
      <c r="O273" s="610">
        <v>456.99267608900971</v>
      </c>
      <c r="P273" s="617" t="str">
        <f t="shared" si="87"/>
        <v>---</v>
      </c>
      <c r="Q273" s="618">
        <f t="shared" si="88"/>
        <v>2.676089009696625E-3</v>
      </c>
      <c r="R273" s="485"/>
      <c r="S273" s="624" t="str">
        <f t="shared" si="89"/>
        <v>OK</v>
      </c>
      <c r="T273" s="613">
        <f>IF(+'2012 Rates'!O480&lt;'2012 Rates'!$B$11,'2012 Rates'!$B$11,+'2012 Rates'!O480)</f>
        <v>491.57</v>
      </c>
      <c r="U273" s="447">
        <f t="shared" si="90"/>
        <v>9.8159538943223268E-2</v>
      </c>
      <c r="V273" s="485"/>
      <c r="W273" s="623">
        <f t="shared" si="91"/>
        <v>5898.84</v>
      </c>
      <c r="X273" s="485"/>
      <c r="Y273" s="485"/>
      <c r="Z273" s="485"/>
      <c r="AA273" s="485"/>
      <c r="AB273" s="485"/>
      <c r="AC273" s="485"/>
      <c r="AD273" s="485"/>
      <c r="AE273" s="485"/>
      <c r="AF273" s="485"/>
      <c r="AG273" s="485"/>
      <c r="AH273" s="485"/>
      <c r="AI273" s="485"/>
      <c r="AJ273" s="485"/>
      <c r="AK273" s="485"/>
      <c r="AL273" s="485"/>
      <c r="AM273" s="485"/>
      <c r="AN273" s="485"/>
      <c r="AO273" s="485"/>
      <c r="AP273" s="485"/>
      <c r="AQ273" s="485"/>
      <c r="AR273" s="485"/>
      <c r="AS273" s="485"/>
      <c r="AT273" s="485"/>
      <c r="AU273" s="485"/>
      <c r="AV273" s="485"/>
      <c r="AW273" s="485"/>
      <c r="AX273" s="485"/>
      <c r="AY273" s="485"/>
      <c r="AZ273" s="485"/>
      <c r="BA273" s="485"/>
      <c r="BB273" s="485"/>
      <c r="BC273" s="485"/>
      <c r="BD273" s="485"/>
      <c r="BE273" s="485"/>
      <c r="BF273" s="485"/>
      <c r="BG273" s="485"/>
      <c r="BH273" s="485"/>
      <c r="BI273" s="485"/>
      <c r="BJ273" s="485"/>
      <c r="BK273" s="485"/>
      <c r="BL273" s="485"/>
      <c r="BM273" s="485"/>
      <c r="BN273" s="485"/>
      <c r="BO273" s="485"/>
      <c r="BP273" s="485"/>
      <c r="BQ273" s="485"/>
      <c r="BR273" s="485"/>
      <c r="BS273" s="485"/>
      <c r="BT273" s="485"/>
      <c r="BU273" s="485"/>
      <c r="BV273" s="485"/>
      <c r="BW273" s="485"/>
      <c r="BX273" s="485"/>
      <c r="BY273" s="485"/>
      <c r="BZ273" s="485"/>
      <c r="CA273" s="485"/>
      <c r="CB273" s="485"/>
      <c r="CC273" s="485"/>
      <c r="CD273" s="485"/>
      <c r="CE273" s="485"/>
      <c r="CF273" s="485"/>
      <c r="CG273" s="485"/>
      <c r="CH273" s="485"/>
      <c r="CI273" s="485"/>
      <c r="CJ273" s="485"/>
      <c r="CK273" s="485"/>
      <c r="CL273" s="485"/>
      <c r="CM273" s="485"/>
      <c r="CN273" s="485"/>
      <c r="CO273" s="485"/>
      <c r="CP273" s="485"/>
      <c r="CQ273" s="485"/>
      <c r="CR273" s="485"/>
      <c r="CS273" s="485"/>
      <c r="CT273" s="485"/>
      <c r="CU273" s="485"/>
      <c r="CV273" s="485"/>
      <c r="CW273" s="485"/>
      <c r="CX273" s="485"/>
      <c r="CY273" s="485"/>
      <c r="CZ273" s="485"/>
      <c r="DA273" s="485"/>
      <c r="DB273" s="485"/>
      <c r="DC273" s="485"/>
      <c r="DD273" s="485"/>
      <c r="DE273" s="485"/>
      <c r="DF273" s="485"/>
      <c r="DG273" s="485"/>
      <c r="DH273" s="485"/>
      <c r="DI273" s="485"/>
      <c r="DJ273" s="485"/>
      <c r="DK273" s="485"/>
      <c r="DL273" s="485"/>
      <c r="DM273" s="485"/>
      <c r="DN273" s="485"/>
      <c r="DO273" s="485"/>
      <c r="DP273" s="485"/>
      <c r="DQ273" s="485"/>
      <c r="DR273" s="485"/>
      <c r="DS273" s="485"/>
      <c r="DT273" s="485"/>
      <c r="DU273" s="485"/>
      <c r="DV273" s="485"/>
      <c r="DW273" s="485"/>
      <c r="DX273" s="485"/>
      <c r="DY273" s="485"/>
      <c r="DZ273" s="485"/>
      <c r="EA273" s="485"/>
      <c r="EB273" s="485"/>
      <c r="EC273" s="485"/>
      <c r="ED273" s="485"/>
      <c r="EE273" s="485"/>
      <c r="EF273" s="485"/>
      <c r="EG273" s="485"/>
      <c r="EH273" s="485"/>
      <c r="EI273" s="485"/>
      <c r="EJ273" s="485"/>
      <c r="EK273" s="485"/>
      <c r="EL273" s="485"/>
      <c r="EM273" s="485"/>
      <c r="EN273" s="485"/>
      <c r="EO273" s="485"/>
      <c r="EP273" s="485"/>
    </row>
    <row r="274" spans="1:146" ht="15.75">
      <c r="A274" s="462">
        <f>+A273+1</f>
        <v>1003</v>
      </c>
      <c r="B274" s="467" t="s">
        <v>458</v>
      </c>
      <c r="C274" s="624">
        <v>825</v>
      </c>
      <c r="D274" s="626">
        <v>330</v>
      </c>
      <c r="E274" s="611">
        <v>36.950000000000003</v>
      </c>
      <c r="F274" s="678">
        <f t="shared" si="83"/>
        <v>36.194300000000005</v>
      </c>
      <c r="G274" s="683">
        <v>3</v>
      </c>
      <c r="H274" s="682">
        <f t="shared" si="84"/>
        <v>11880</v>
      </c>
      <c r="I274" s="442">
        <f t="shared" si="85"/>
        <v>1330.2</v>
      </c>
      <c r="J274" s="646"/>
      <c r="K274" s="443">
        <v>0.99</v>
      </c>
      <c r="L274" s="627">
        <f t="shared" si="86"/>
        <v>2.9699999999999998</v>
      </c>
      <c r="M274" s="627"/>
      <c r="N274" s="609">
        <v>330</v>
      </c>
      <c r="O274" s="610">
        <v>36.952420628669728</v>
      </c>
      <c r="P274" s="617" t="str">
        <f t="shared" si="87"/>
        <v>---</v>
      </c>
      <c r="Q274" s="618">
        <f t="shared" si="88"/>
        <v>2.4206286697250334E-3</v>
      </c>
      <c r="R274" s="485"/>
      <c r="S274" s="624" t="str">
        <f t="shared" si="89"/>
        <v>OK</v>
      </c>
      <c r="T274" s="613">
        <f>IF(+'2012 Rates'!O481&lt;'2012 Rates'!$B$11,'2012 Rates'!$B$11,+'2012 Rates'!O481)</f>
        <v>39.76</v>
      </c>
      <c r="U274" s="447">
        <f t="shared" si="90"/>
        <v>9.8515512111022829E-2</v>
      </c>
      <c r="V274" s="485"/>
      <c r="W274" s="623">
        <f t="shared" si="91"/>
        <v>1431.3600000000001</v>
      </c>
      <c r="X274" s="485"/>
      <c r="Y274" s="485"/>
      <c r="Z274" s="485"/>
      <c r="AA274" s="485"/>
      <c r="AB274" s="485"/>
      <c r="AC274" s="485"/>
      <c r="AD274" s="485"/>
      <c r="AE274" s="485"/>
      <c r="AF274" s="485"/>
      <c r="AG274" s="485"/>
      <c r="AH274" s="485"/>
      <c r="AI274" s="485"/>
      <c r="AJ274" s="485"/>
      <c r="AK274" s="485"/>
      <c r="AL274" s="485"/>
      <c r="AM274" s="485"/>
      <c r="AN274" s="485"/>
      <c r="AO274" s="485"/>
      <c r="AP274" s="485"/>
      <c r="AQ274" s="485"/>
      <c r="AR274" s="485"/>
      <c r="AS274" s="485"/>
      <c r="AT274" s="485"/>
      <c r="AU274" s="485"/>
      <c r="AV274" s="485"/>
      <c r="AW274" s="485"/>
      <c r="AX274" s="485"/>
      <c r="AY274" s="485"/>
      <c r="AZ274" s="485"/>
      <c r="BA274" s="485"/>
      <c r="BB274" s="485"/>
      <c r="BC274" s="485"/>
      <c r="BD274" s="485"/>
      <c r="BE274" s="485"/>
      <c r="BF274" s="485"/>
      <c r="BG274" s="485"/>
      <c r="BH274" s="485"/>
      <c r="BI274" s="485"/>
      <c r="BJ274" s="485"/>
      <c r="BK274" s="485"/>
      <c r="BL274" s="485"/>
      <c r="BM274" s="485"/>
      <c r="BN274" s="485"/>
      <c r="BO274" s="485"/>
      <c r="BP274" s="485"/>
      <c r="BQ274" s="485"/>
      <c r="BR274" s="485"/>
      <c r="BS274" s="485"/>
      <c r="BT274" s="485"/>
      <c r="BU274" s="485"/>
      <c r="BV274" s="485"/>
      <c r="BW274" s="485"/>
      <c r="BX274" s="485"/>
      <c r="BY274" s="485"/>
      <c r="BZ274" s="485"/>
      <c r="CA274" s="485"/>
      <c r="CB274" s="485"/>
      <c r="CC274" s="485"/>
      <c r="CD274" s="485"/>
      <c r="CE274" s="485"/>
      <c r="CF274" s="485"/>
      <c r="CG274" s="485"/>
      <c r="CH274" s="485"/>
      <c r="CI274" s="485"/>
      <c r="CJ274" s="485"/>
      <c r="CK274" s="485"/>
      <c r="CL274" s="485"/>
      <c r="CM274" s="485"/>
      <c r="CN274" s="485"/>
      <c r="CO274" s="485"/>
      <c r="CP274" s="485"/>
      <c r="CQ274" s="485"/>
      <c r="CR274" s="485"/>
      <c r="CS274" s="485"/>
      <c r="CT274" s="485"/>
      <c r="CU274" s="485"/>
      <c r="CV274" s="485"/>
      <c r="CW274" s="485"/>
      <c r="CX274" s="485"/>
      <c r="CY274" s="485"/>
      <c r="CZ274" s="485"/>
      <c r="DA274" s="485"/>
      <c r="DB274" s="485"/>
      <c r="DC274" s="485"/>
      <c r="DD274" s="485"/>
      <c r="DE274" s="485"/>
      <c r="DF274" s="485"/>
      <c r="DG274" s="485"/>
      <c r="DH274" s="485"/>
      <c r="DI274" s="485"/>
      <c r="DJ274" s="485"/>
      <c r="DK274" s="485"/>
      <c r="DL274" s="485"/>
      <c r="DM274" s="485"/>
      <c r="DN274" s="485"/>
      <c r="DO274" s="485"/>
      <c r="DP274" s="485"/>
      <c r="DQ274" s="485"/>
      <c r="DR274" s="485"/>
      <c r="DS274" s="485"/>
      <c r="DT274" s="485"/>
      <c r="DU274" s="485"/>
      <c r="DV274" s="485"/>
      <c r="DW274" s="485"/>
      <c r="DX274" s="485"/>
      <c r="DY274" s="485"/>
      <c r="DZ274" s="485"/>
      <c r="EA274" s="485"/>
      <c r="EB274" s="485"/>
      <c r="EC274" s="485"/>
      <c r="ED274" s="485"/>
      <c r="EE274" s="485"/>
      <c r="EF274" s="485"/>
      <c r="EG274" s="485"/>
      <c r="EH274" s="485"/>
      <c r="EI274" s="485"/>
      <c r="EJ274" s="485"/>
      <c r="EK274" s="485"/>
      <c r="EL274" s="485"/>
      <c r="EM274" s="485"/>
      <c r="EN274" s="485"/>
      <c r="EO274" s="485"/>
      <c r="EP274" s="485"/>
    </row>
    <row r="275" spans="1:146" ht="15.75">
      <c r="A275" s="462">
        <v>1004</v>
      </c>
      <c r="B275" s="467" t="s">
        <v>397</v>
      </c>
      <c r="C275" s="624">
        <v>720</v>
      </c>
      <c r="D275" s="626">
        <v>264</v>
      </c>
      <c r="E275" s="611">
        <v>29.56</v>
      </c>
      <c r="F275" s="678">
        <f t="shared" si="83"/>
        <v>28.955439999999999</v>
      </c>
      <c r="G275" s="683">
        <v>3</v>
      </c>
      <c r="H275" s="682">
        <f t="shared" si="84"/>
        <v>9504</v>
      </c>
      <c r="I275" s="442">
        <f t="shared" si="85"/>
        <v>1064.1599999999999</v>
      </c>
      <c r="J275" s="646"/>
      <c r="K275" s="443">
        <v>0.79200000000000004</v>
      </c>
      <c r="L275" s="627">
        <f t="shared" si="86"/>
        <v>2.3760000000000003</v>
      </c>
      <c r="M275" s="627"/>
      <c r="N275" s="609">
        <v>264</v>
      </c>
      <c r="O275" s="610">
        <v>29.557936502935789</v>
      </c>
      <c r="P275" s="617" t="str">
        <f t="shared" si="87"/>
        <v>---</v>
      </c>
      <c r="Q275" s="618">
        <f t="shared" si="88"/>
        <v>-2.0634970642099404E-3</v>
      </c>
      <c r="R275" s="485"/>
      <c r="S275" s="624" t="str">
        <f t="shared" si="89"/>
        <v>OK</v>
      </c>
      <c r="T275" s="613">
        <f>IF(+'2012 Rates'!O482&lt;'2012 Rates'!$B$11,'2012 Rates'!$B$11,+'2012 Rates'!O482)</f>
        <v>31.790000000000003</v>
      </c>
      <c r="U275" s="447">
        <f t="shared" si="90"/>
        <v>9.7893867266392931E-2</v>
      </c>
      <c r="V275" s="485"/>
      <c r="W275" s="623">
        <f t="shared" si="91"/>
        <v>1144.44</v>
      </c>
      <c r="X275" s="485"/>
      <c r="Y275" s="485"/>
      <c r="Z275" s="485"/>
      <c r="AA275" s="485"/>
      <c r="AB275" s="485"/>
      <c r="AC275" s="485"/>
      <c r="AD275" s="485"/>
      <c r="AE275" s="485"/>
      <c r="AF275" s="485"/>
      <c r="AG275" s="485"/>
      <c r="AH275" s="485"/>
      <c r="AI275" s="485"/>
      <c r="AJ275" s="485"/>
      <c r="AK275" s="485"/>
      <c r="AL275" s="485"/>
      <c r="AM275" s="485"/>
      <c r="AN275" s="485"/>
      <c r="AO275" s="485"/>
      <c r="AP275" s="485"/>
      <c r="AQ275" s="485"/>
      <c r="AR275" s="485"/>
      <c r="AS275" s="485"/>
      <c r="AT275" s="485"/>
      <c r="AU275" s="485"/>
      <c r="AV275" s="485"/>
      <c r="AW275" s="485"/>
      <c r="AX275" s="485"/>
      <c r="AY275" s="485"/>
      <c r="AZ275" s="485"/>
      <c r="BA275" s="485"/>
      <c r="BB275" s="485"/>
      <c r="BC275" s="485"/>
      <c r="BD275" s="485"/>
      <c r="BE275" s="485"/>
      <c r="BF275" s="485"/>
      <c r="BG275" s="485"/>
      <c r="BH275" s="485"/>
      <c r="BI275" s="485"/>
      <c r="BJ275" s="485"/>
      <c r="BK275" s="485"/>
      <c r="BL275" s="485"/>
      <c r="BM275" s="485"/>
      <c r="BN275" s="485"/>
      <c r="BO275" s="485"/>
      <c r="BP275" s="485"/>
      <c r="BQ275" s="485"/>
      <c r="BR275" s="485"/>
      <c r="BS275" s="485"/>
      <c r="BT275" s="485"/>
      <c r="BU275" s="485"/>
      <c r="BV275" s="485"/>
      <c r="BW275" s="485"/>
      <c r="BX275" s="485"/>
      <c r="BY275" s="485"/>
      <c r="BZ275" s="485"/>
      <c r="CA275" s="485"/>
      <c r="CB275" s="485"/>
      <c r="CC275" s="485"/>
      <c r="CD275" s="485"/>
      <c r="CE275" s="485"/>
      <c r="CF275" s="485"/>
      <c r="CG275" s="485"/>
      <c r="CH275" s="485"/>
      <c r="CI275" s="485"/>
      <c r="CJ275" s="485"/>
      <c r="CK275" s="485"/>
      <c r="CL275" s="485"/>
      <c r="CM275" s="485"/>
      <c r="CN275" s="485"/>
      <c r="CO275" s="485"/>
      <c r="CP275" s="485"/>
      <c r="CQ275" s="485"/>
      <c r="CR275" s="485"/>
      <c r="CS275" s="485"/>
      <c r="CT275" s="485"/>
      <c r="CU275" s="485"/>
      <c r="CV275" s="485"/>
      <c r="CW275" s="485"/>
      <c r="CX275" s="485"/>
      <c r="CY275" s="485"/>
      <c r="CZ275" s="485"/>
      <c r="DA275" s="485"/>
      <c r="DB275" s="485"/>
      <c r="DC275" s="485"/>
      <c r="DD275" s="485"/>
      <c r="DE275" s="485"/>
      <c r="DF275" s="485"/>
      <c r="DG275" s="485"/>
      <c r="DH275" s="485"/>
      <c r="DI275" s="485"/>
      <c r="DJ275" s="485"/>
      <c r="DK275" s="485"/>
      <c r="DL275" s="485"/>
      <c r="DM275" s="485"/>
      <c r="DN275" s="485"/>
      <c r="DO275" s="485"/>
      <c r="DP275" s="485"/>
      <c r="DQ275" s="485"/>
      <c r="DR275" s="485"/>
      <c r="DS275" s="485"/>
      <c r="DT275" s="485"/>
      <c r="DU275" s="485"/>
      <c r="DV275" s="485"/>
      <c r="DW275" s="485"/>
      <c r="DX275" s="485"/>
      <c r="DY275" s="485"/>
      <c r="DZ275" s="485"/>
      <c r="EA275" s="485"/>
      <c r="EB275" s="485"/>
      <c r="EC275" s="485"/>
      <c r="ED275" s="485"/>
      <c r="EE275" s="485"/>
      <c r="EF275" s="485"/>
      <c r="EG275" s="485"/>
      <c r="EH275" s="485"/>
      <c r="EI275" s="485"/>
      <c r="EJ275" s="485"/>
      <c r="EK275" s="485"/>
      <c r="EL275" s="485"/>
      <c r="EM275" s="485"/>
      <c r="EN275" s="485"/>
      <c r="EO275" s="485"/>
      <c r="EP275" s="485"/>
    </row>
    <row r="276" spans="1:146" ht="15.75">
      <c r="A276" s="462">
        <v>1005</v>
      </c>
      <c r="B276" s="467" t="s">
        <v>397</v>
      </c>
      <c r="C276" s="624">
        <v>680</v>
      </c>
      <c r="D276" s="626">
        <v>249</v>
      </c>
      <c r="E276" s="611">
        <v>27.91</v>
      </c>
      <c r="F276" s="678">
        <f t="shared" si="83"/>
        <v>27.339790000000001</v>
      </c>
      <c r="G276" s="683">
        <v>2</v>
      </c>
      <c r="H276" s="682">
        <f t="shared" si="84"/>
        <v>5976</v>
      </c>
      <c r="I276" s="442">
        <f t="shared" si="85"/>
        <v>669.84</v>
      </c>
      <c r="J276" s="646"/>
      <c r="K276" s="443">
        <v>0.748</v>
      </c>
      <c r="L276" s="627">
        <f t="shared" si="86"/>
        <v>1.496</v>
      </c>
      <c r="M276" s="627"/>
      <c r="N276" s="609">
        <v>249</v>
      </c>
      <c r="O276" s="610">
        <v>27.911917383450803</v>
      </c>
      <c r="P276" s="617" t="str">
        <f t="shared" si="87"/>
        <v>---</v>
      </c>
      <c r="Q276" s="618">
        <f t="shared" si="88"/>
        <v>1.9173834508023901E-3</v>
      </c>
      <c r="R276" s="485"/>
      <c r="S276" s="624" t="str">
        <f t="shared" si="89"/>
        <v>OK</v>
      </c>
      <c r="T276" s="613">
        <f>IF(+'2012 Rates'!O483&lt;'2012 Rates'!$B$11,'2012 Rates'!$B$11,+'2012 Rates'!O483)</f>
        <v>30.029999999999998</v>
      </c>
      <c r="U276" s="447">
        <f t="shared" si="90"/>
        <v>9.8399073292077199E-2</v>
      </c>
      <c r="V276" s="485"/>
      <c r="W276" s="623">
        <f t="shared" si="91"/>
        <v>720.71999999999991</v>
      </c>
      <c r="X276" s="485"/>
      <c r="Y276" s="485"/>
      <c r="Z276" s="485"/>
      <c r="AA276" s="485"/>
      <c r="AB276" s="485"/>
      <c r="AC276" s="485"/>
      <c r="AD276" s="485"/>
      <c r="AE276" s="485"/>
      <c r="AF276" s="485"/>
      <c r="AG276" s="485"/>
      <c r="AH276" s="485"/>
      <c r="AI276" s="485"/>
      <c r="AJ276" s="485"/>
      <c r="AK276" s="485"/>
      <c r="AL276" s="485"/>
      <c r="AM276" s="485"/>
      <c r="AN276" s="485"/>
      <c r="AO276" s="485"/>
      <c r="AP276" s="485"/>
      <c r="AQ276" s="485"/>
      <c r="AR276" s="485"/>
      <c r="AS276" s="485"/>
      <c r="AT276" s="485"/>
      <c r="AU276" s="485"/>
      <c r="AV276" s="485"/>
      <c r="AW276" s="485"/>
      <c r="AX276" s="485"/>
      <c r="AY276" s="485"/>
      <c r="AZ276" s="485"/>
      <c r="BA276" s="485"/>
      <c r="BB276" s="485"/>
      <c r="BC276" s="485"/>
      <c r="BD276" s="485"/>
      <c r="BE276" s="485"/>
      <c r="BF276" s="485"/>
      <c r="BG276" s="485"/>
      <c r="BH276" s="485"/>
      <c r="BI276" s="485"/>
      <c r="BJ276" s="485"/>
      <c r="BK276" s="485"/>
      <c r="BL276" s="485"/>
      <c r="BM276" s="485"/>
      <c r="BN276" s="485"/>
      <c r="BO276" s="485"/>
      <c r="BP276" s="485"/>
      <c r="BQ276" s="485"/>
      <c r="BR276" s="485"/>
      <c r="BS276" s="485"/>
      <c r="BT276" s="485"/>
      <c r="BU276" s="485"/>
      <c r="BV276" s="485"/>
      <c r="BW276" s="485"/>
      <c r="BX276" s="485"/>
      <c r="BY276" s="485"/>
      <c r="BZ276" s="485"/>
      <c r="CA276" s="485"/>
      <c r="CB276" s="485"/>
      <c r="CC276" s="485"/>
      <c r="CD276" s="485"/>
      <c r="CE276" s="485"/>
      <c r="CF276" s="485"/>
      <c r="CG276" s="485"/>
      <c r="CH276" s="485"/>
      <c r="CI276" s="485"/>
      <c r="CJ276" s="485"/>
      <c r="CK276" s="485"/>
      <c r="CL276" s="485"/>
      <c r="CM276" s="485"/>
      <c r="CN276" s="485"/>
      <c r="CO276" s="485"/>
      <c r="CP276" s="485"/>
      <c r="CQ276" s="485"/>
      <c r="CR276" s="485"/>
      <c r="CS276" s="485"/>
      <c r="CT276" s="485"/>
      <c r="CU276" s="485"/>
      <c r="CV276" s="485"/>
      <c r="CW276" s="485"/>
      <c r="CX276" s="485"/>
      <c r="CY276" s="485"/>
      <c r="CZ276" s="485"/>
      <c r="DA276" s="485"/>
      <c r="DB276" s="485"/>
      <c r="DC276" s="485"/>
      <c r="DD276" s="485"/>
      <c r="DE276" s="485"/>
      <c r="DF276" s="485"/>
      <c r="DG276" s="485"/>
      <c r="DH276" s="485"/>
      <c r="DI276" s="485"/>
      <c r="DJ276" s="485"/>
      <c r="DK276" s="485"/>
      <c r="DL276" s="485"/>
      <c r="DM276" s="485"/>
      <c r="DN276" s="485"/>
      <c r="DO276" s="485"/>
      <c r="DP276" s="485"/>
      <c r="DQ276" s="485"/>
      <c r="DR276" s="485"/>
      <c r="DS276" s="485"/>
      <c r="DT276" s="485"/>
      <c r="DU276" s="485"/>
      <c r="DV276" s="485"/>
      <c r="DW276" s="485"/>
      <c r="DX276" s="485"/>
      <c r="DY276" s="485"/>
      <c r="DZ276" s="485"/>
      <c r="EA276" s="485"/>
      <c r="EB276" s="485"/>
      <c r="EC276" s="485"/>
      <c r="ED276" s="485"/>
      <c r="EE276" s="485"/>
      <c r="EF276" s="485"/>
      <c r="EG276" s="485"/>
      <c r="EH276" s="485"/>
      <c r="EI276" s="485"/>
      <c r="EJ276" s="485"/>
      <c r="EK276" s="485"/>
      <c r="EL276" s="485"/>
      <c r="EM276" s="485"/>
      <c r="EN276" s="485"/>
      <c r="EO276" s="485"/>
      <c r="EP276" s="485"/>
    </row>
    <row r="277" spans="1:146" ht="15.75">
      <c r="A277" s="462">
        <v>1006</v>
      </c>
      <c r="B277" s="467" t="s">
        <v>397</v>
      </c>
      <c r="C277" s="624">
        <v>700</v>
      </c>
      <c r="D277" s="626">
        <v>256</v>
      </c>
      <c r="E277" s="611">
        <v>28.68</v>
      </c>
      <c r="F277" s="678">
        <f t="shared" si="83"/>
        <v>28.09376</v>
      </c>
      <c r="G277" s="683">
        <v>1</v>
      </c>
      <c r="H277" s="682">
        <f t="shared" si="84"/>
        <v>3072</v>
      </c>
      <c r="I277" s="442">
        <f t="shared" si="85"/>
        <v>344.15999999999997</v>
      </c>
      <c r="J277" s="646"/>
      <c r="K277" s="443">
        <v>0.76900000000000002</v>
      </c>
      <c r="L277" s="627">
        <f t="shared" si="86"/>
        <v>0.76900000000000002</v>
      </c>
      <c r="M277" s="627"/>
      <c r="N277" s="609">
        <v>256</v>
      </c>
      <c r="O277" s="610">
        <v>28.677392972543796</v>
      </c>
      <c r="P277" s="617" t="str">
        <f t="shared" si="87"/>
        <v>---</v>
      </c>
      <c r="Q277" s="618">
        <f t="shared" si="88"/>
        <v>-2.607027456203781E-3</v>
      </c>
      <c r="R277" s="485"/>
      <c r="S277" s="624" t="str">
        <f t="shared" si="89"/>
        <v>OK</v>
      </c>
      <c r="T277" s="613">
        <f>IF(+'2012 Rates'!O484&lt;'2012 Rates'!$B$11,'2012 Rates'!$B$11,+'2012 Rates'!O484)</f>
        <v>30.86</v>
      </c>
      <c r="U277" s="447">
        <f t="shared" si="90"/>
        <v>9.8464570068228729E-2</v>
      </c>
      <c r="V277" s="485"/>
      <c r="W277" s="623">
        <f t="shared" si="91"/>
        <v>370.32</v>
      </c>
      <c r="X277" s="485"/>
      <c r="Y277" s="485"/>
      <c r="Z277" s="485"/>
      <c r="AA277" s="485"/>
      <c r="AB277" s="485"/>
      <c r="AC277" s="485"/>
      <c r="AD277" s="485"/>
      <c r="AE277" s="485"/>
      <c r="AF277" s="485"/>
      <c r="AG277" s="485"/>
      <c r="AH277" s="485"/>
      <c r="AI277" s="485"/>
      <c r="AJ277" s="485"/>
      <c r="AK277" s="485"/>
      <c r="AL277" s="485"/>
      <c r="AM277" s="485"/>
      <c r="AN277" s="485"/>
      <c r="AO277" s="485"/>
      <c r="AP277" s="485"/>
      <c r="AQ277" s="485"/>
      <c r="AR277" s="485"/>
      <c r="AS277" s="485"/>
      <c r="AT277" s="485"/>
      <c r="AU277" s="485"/>
      <c r="AV277" s="485"/>
      <c r="AW277" s="485"/>
      <c r="AX277" s="485"/>
      <c r="AY277" s="485"/>
      <c r="AZ277" s="485"/>
      <c r="BA277" s="485"/>
      <c r="BB277" s="485"/>
      <c r="BC277" s="485"/>
      <c r="BD277" s="485"/>
      <c r="BE277" s="485"/>
      <c r="BF277" s="485"/>
      <c r="BG277" s="485"/>
      <c r="BH277" s="485"/>
      <c r="BI277" s="485"/>
      <c r="BJ277" s="485"/>
      <c r="BK277" s="485"/>
      <c r="BL277" s="485"/>
      <c r="BM277" s="485"/>
      <c r="BN277" s="485"/>
      <c r="BO277" s="485"/>
      <c r="BP277" s="485"/>
      <c r="BQ277" s="485"/>
      <c r="BR277" s="485"/>
      <c r="BS277" s="485"/>
      <c r="BT277" s="485"/>
      <c r="BU277" s="485"/>
      <c r="BV277" s="485"/>
      <c r="BW277" s="485"/>
      <c r="BX277" s="485"/>
      <c r="BY277" s="485"/>
      <c r="BZ277" s="485"/>
      <c r="CA277" s="485"/>
      <c r="CB277" s="485"/>
      <c r="CC277" s="485"/>
      <c r="CD277" s="485"/>
      <c r="CE277" s="485"/>
      <c r="CF277" s="485"/>
      <c r="CG277" s="485"/>
      <c r="CH277" s="485"/>
      <c r="CI277" s="485"/>
      <c r="CJ277" s="485"/>
      <c r="CK277" s="485"/>
      <c r="CL277" s="485"/>
      <c r="CM277" s="485"/>
      <c r="CN277" s="485"/>
      <c r="CO277" s="485"/>
      <c r="CP277" s="485"/>
      <c r="CQ277" s="485"/>
      <c r="CR277" s="485"/>
      <c r="CS277" s="485"/>
      <c r="CT277" s="485"/>
      <c r="CU277" s="485"/>
      <c r="CV277" s="485"/>
      <c r="CW277" s="485"/>
      <c r="CX277" s="485"/>
      <c r="CY277" s="485"/>
      <c r="CZ277" s="485"/>
      <c r="DA277" s="485"/>
      <c r="DB277" s="485"/>
      <c r="DC277" s="485"/>
      <c r="DD277" s="485"/>
      <c r="DE277" s="485"/>
      <c r="DF277" s="485"/>
      <c r="DG277" s="485"/>
      <c r="DH277" s="485"/>
      <c r="DI277" s="485"/>
      <c r="DJ277" s="485"/>
      <c r="DK277" s="485"/>
      <c r="DL277" s="485"/>
      <c r="DM277" s="485"/>
      <c r="DN277" s="485"/>
      <c r="DO277" s="485"/>
      <c r="DP277" s="485"/>
      <c r="DQ277" s="485"/>
      <c r="DR277" s="485"/>
      <c r="DS277" s="485"/>
      <c r="DT277" s="485"/>
      <c r="DU277" s="485"/>
      <c r="DV277" s="485"/>
      <c r="DW277" s="485"/>
      <c r="DX277" s="485"/>
      <c r="DY277" s="485"/>
      <c r="DZ277" s="485"/>
      <c r="EA277" s="485"/>
      <c r="EB277" s="485"/>
      <c r="EC277" s="485"/>
      <c r="ED277" s="485"/>
      <c r="EE277" s="485"/>
      <c r="EF277" s="485"/>
      <c r="EG277" s="485"/>
      <c r="EH277" s="485"/>
      <c r="EI277" s="485"/>
      <c r="EJ277" s="485"/>
      <c r="EK277" s="485"/>
      <c r="EL277" s="485"/>
      <c r="EM277" s="485"/>
      <c r="EN277" s="485"/>
      <c r="EO277" s="485"/>
      <c r="EP277" s="485"/>
    </row>
    <row r="278" spans="1:146" ht="15.75">
      <c r="A278" s="462">
        <v>1007</v>
      </c>
      <c r="B278" s="467" t="s">
        <v>397</v>
      </c>
      <c r="C278" s="624">
        <v>690</v>
      </c>
      <c r="D278" s="626">
        <v>260</v>
      </c>
      <c r="E278" s="611">
        <v>29.13</v>
      </c>
      <c r="F278" s="678">
        <f t="shared" si="83"/>
        <v>28.534599999999998</v>
      </c>
      <c r="G278" s="683"/>
      <c r="H278" s="682">
        <f t="shared" si="84"/>
        <v>0</v>
      </c>
      <c r="I278" s="442">
        <f t="shared" si="85"/>
        <v>0</v>
      </c>
      <c r="J278" s="646"/>
      <c r="K278" s="443">
        <v>0.78100000000000003</v>
      </c>
      <c r="L278" s="627">
        <f t="shared" si="86"/>
        <v>0</v>
      </c>
      <c r="M278" s="627"/>
      <c r="N278" s="609">
        <v>260</v>
      </c>
      <c r="O278" s="610">
        <v>29.127664737739792</v>
      </c>
      <c r="P278" s="617" t="str">
        <f t="shared" si="87"/>
        <v>---</v>
      </c>
      <c r="Q278" s="618">
        <f t="shared" si="88"/>
        <v>-2.3352622602068607E-3</v>
      </c>
      <c r="R278" s="485"/>
      <c r="S278" s="624" t="str">
        <f t="shared" si="89"/>
        <v>OK</v>
      </c>
      <c r="T278" s="613">
        <f>IF(+'2012 Rates'!O485&lt;'2012 Rates'!$B$11,'2012 Rates'!$B$11,+'2012 Rates'!O485)</f>
        <v>31.32</v>
      </c>
      <c r="U278" s="447">
        <f t="shared" si="90"/>
        <v>9.7614825510082603E-2</v>
      </c>
      <c r="V278" s="485"/>
      <c r="W278" s="623">
        <f t="shared" si="91"/>
        <v>0</v>
      </c>
      <c r="X278" s="485"/>
      <c r="Y278" s="485"/>
      <c r="Z278" s="485"/>
      <c r="AA278" s="485"/>
      <c r="AB278" s="485"/>
      <c r="AC278" s="485"/>
      <c r="AD278" s="485"/>
      <c r="AE278" s="485"/>
      <c r="AF278" s="485"/>
      <c r="AG278" s="485"/>
      <c r="AH278" s="485"/>
      <c r="AI278" s="485"/>
      <c r="AJ278" s="485"/>
      <c r="AK278" s="485"/>
      <c r="AL278" s="485"/>
      <c r="AM278" s="485"/>
      <c r="AN278" s="485"/>
      <c r="AO278" s="485"/>
      <c r="AP278" s="485"/>
      <c r="AQ278" s="485"/>
      <c r="AR278" s="485"/>
      <c r="AS278" s="485"/>
      <c r="AT278" s="485"/>
      <c r="AU278" s="485"/>
      <c r="AV278" s="485"/>
      <c r="AW278" s="485"/>
      <c r="AX278" s="485"/>
      <c r="AY278" s="485"/>
      <c r="AZ278" s="485"/>
      <c r="BA278" s="485"/>
      <c r="BB278" s="485"/>
      <c r="BC278" s="485"/>
      <c r="BD278" s="485"/>
      <c r="BE278" s="485"/>
      <c r="BF278" s="485"/>
      <c r="BG278" s="485"/>
      <c r="BH278" s="485"/>
      <c r="BI278" s="485"/>
      <c r="BJ278" s="485"/>
      <c r="BK278" s="485"/>
      <c r="BL278" s="485"/>
      <c r="BM278" s="485"/>
      <c r="BN278" s="485"/>
      <c r="BO278" s="485"/>
      <c r="BP278" s="485"/>
      <c r="BQ278" s="485"/>
      <c r="BR278" s="485"/>
      <c r="BS278" s="485"/>
      <c r="BT278" s="485"/>
      <c r="BU278" s="485"/>
      <c r="BV278" s="485"/>
      <c r="BW278" s="485"/>
      <c r="BX278" s="485"/>
      <c r="BY278" s="485"/>
      <c r="BZ278" s="485"/>
      <c r="CA278" s="485"/>
      <c r="CB278" s="485"/>
      <c r="CC278" s="485"/>
      <c r="CD278" s="485"/>
      <c r="CE278" s="485"/>
      <c r="CF278" s="485"/>
      <c r="CG278" s="485"/>
      <c r="CH278" s="485"/>
      <c r="CI278" s="485"/>
      <c r="CJ278" s="485"/>
      <c r="CK278" s="485"/>
      <c r="CL278" s="485"/>
      <c r="CM278" s="485"/>
      <c r="CN278" s="485"/>
      <c r="CO278" s="485"/>
      <c r="CP278" s="485"/>
      <c r="CQ278" s="485"/>
      <c r="CR278" s="485"/>
      <c r="CS278" s="485"/>
      <c r="CT278" s="485"/>
      <c r="CU278" s="485"/>
      <c r="CV278" s="485"/>
      <c r="CW278" s="485"/>
      <c r="CX278" s="485"/>
      <c r="CY278" s="485"/>
      <c r="CZ278" s="485"/>
      <c r="DA278" s="485"/>
      <c r="DB278" s="485"/>
      <c r="DC278" s="485"/>
      <c r="DD278" s="485"/>
      <c r="DE278" s="485"/>
      <c r="DF278" s="485"/>
      <c r="DG278" s="485"/>
      <c r="DH278" s="485"/>
      <c r="DI278" s="485"/>
      <c r="DJ278" s="485"/>
      <c r="DK278" s="485"/>
      <c r="DL278" s="485"/>
      <c r="DM278" s="485"/>
      <c r="DN278" s="485"/>
      <c r="DO278" s="485"/>
      <c r="DP278" s="485"/>
      <c r="DQ278" s="485"/>
      <c r="DR278" s="485"/>
      <c r="DS278" s="485"/>
      <c r="DT278" s="485"/>
      <c r="DU278" s="485"/>
      <c r="DV278" s="485"/>
      <c r="DW278" s="485"/>
      <c r="DX278" s="485"/>
      <c r="DY278" s="485"/>
      <c r="DZ278" s="485"/>
      <c r="EA278" s="485"/>
      <c r="EB278" s="485"/>
      <c r="EC278" s="485"/>
      <c r="ED278" s="485"/>
      <c r="EE278" s="485"/>
      <c r="EF278" s="485"/>
      <c r="EG278" s="485"/>
      <c r="EH278" s="485"/>
      <c r="EI278" s="485"/>
      <c r="EJ278" s="485"/>
      <c r="EK278" s="485"/>
      <c r="EL278" s="485"/>
      <c r="EM278" s="485"/>
      <c r="EN278" s="485"/>
      <c r="EO278" s="485"/>
      <c r="EP278" s="485"/>
    </row>
    <row r="279" spans="1:146" ht="15.75">
      <c r="A279" s="462">
        <v>1008</v>
      </c>
      <c r="B279" s="467" t="s">
        <v>459</v>
      </c>
      <c r="C279" s="624">
        <v>550</v>
      </c>
      <c r="D279" s="626">
        <v>3</v>
      </c>
      <c r="E279" s="611">
        <v>5.45</v>
      </c>
      <c r="F279" s="678">
        <f t="shared" si="83"/>
        <v>5.44313</v>
      </c>
      <c r="G279" s="683"/>
      <c r="H279" s="682">
        <f t="shared" si="84"/>
        <v>0</v>
      </c>
      <c r="I279" s="442">
        <f t="shared" si="85"/>
        <v>0</v>
      </c>
      <c r="J279" s="646"/>
      <c r="K279" s="443">
        <v>0.60499999999999998</v>
      </c>
      <c r="L279" s="627">
        <f t="shared" si="86"/>
        <v>0</v>
      </c>
      <c r="M279" s="627"/>
      <c r="N279" s="609">
        <v>3</v>
      </c>
      <c r="O279" s="610">
        <v>5.4452038238969971</v>
      </c>
      <c r="P279" s="617" t="str">
        <f t="shared" si="87"/>
        <v>---</v>
      </c>
      <c r="Q279" s="618">
        <f t="shared" si="88"/>
        <v>-4.7961761030030914E-3</v>
      </c>
      <c r="R279" s="485"/>
      <c r="S279" s="624" t="str">
        <f t="shared" si="89"/>
        <v>OK</v>
      </c>
      <c r="T279" s="613">
        <f>IF(+'2012 Rates'!O486&lt;'2012 Rates'!$B$11,'2012 Rates'!$B$11,+'2012 Rates'!O486)</f>
        <v>5.9700000000000006</v>
      </c>
      <c r="U279" s="447">
        <f t="shared" si="90"/>
        <v>9.6795409993882364E-2</v>
      </c>
      <c r="V279" s="485"/>
      <c r="W279" s="623">
        <f t="shared" si="91"/>
        <v>0</v>
      </c>
      <c r="X279" s="485"/>
      <c r="Y279" s="485"/>
      <c r="Z279" s="485"/>
      <c r="AA279" s="485"/>
      <c r="AB279" s="485"/>
      <c r="AC279" s="485"/>
      <c r="AD279" s="485"/>
      <c r="AE279" s="485"/>
      <c r="AF279" s="485"/>
      <c r="AG279" s="485"/>
      <c r="AH279" s="485"/>
      <c r="AI279" s="485"/>
      <c r="AJ279" s="485"/>
      <c r="AK279" s="485"/>
      <c r="AL279" s="485"/>
      <c r="AM279" s="485"/>
      <c r="AN279" s="485"/>
      <c r="AO279" s="485"/>
      <c r="AP279" s="485"/>
      <c r="AQ279" s="485"/>
      <c r="AR279" s="485"/>
      <c r="AS279" s="485"/>
      <c r="AT279" s="485"/>
      <c r="AU279" s="485"/>
      <c r="AV279" s="485"/>
      <c r="AW279" s="485"/>
      <c r="AX279" s="485"/>
      <c r="AY279" s="485"/>
      <c r="AZ279" s="485"/>
      <c r="BA279" s="485"/>
      <c r="BB279" s="485"/>
      <c r="BC279" s="485"/>
      <c r="BD279" s="485"/>
      <c r="BE279" s="485"/>
      <c r="BF279" s="485"/>
      <c r="BG279" s="485"/>
      <c r="BH279" s="485"/>
      <c r="BI279" s="485"/>
      <c r="BJ279" s="485"/>
      <c r="BK279" s="485"/>
      <c r="BL279" s="485"/>
      <c r="BM279" s="485"/>
      <c r="BN279" s="485"/>
      <c r="BO279" s="485"/>
      <c r="BP279" s="485"/>
      <c r="BQ279" s="485"/>
      <c r="BR279" s="485"/>
      <c r="BS279" s="485"/>
      <c r="BT279" s="485"/>
      <c r="BU279" s="485"/>
      <c r="BV279" s="485"/>
      <c r="BW279" s="485"/>
      <c r="BX279" s="485"/>
      <c r="BY279" s="485"/>
      <c r="BZ279" s="485"/>
      <c r="CA279" s="485"/>
      <c r="CB279" s="485"/>
      <c r="CC279" s="485"/>
      <c r="CD279" s="485"/>
      <c r="CE279" s="485"/>
      <c r="CF279" s="485"/>
      <c r="CG279" s="485"/>
      <c r="CH279" s="485"/>
      <c r="CI279" s="485"/>
      <c r="CJ279" s="485"/>
      <c r="CK279" s="485"/>
      <c r="CL279" s="485"/>
      <c r="CM279" s="485"/>
      <c r="CN279" s="485"/>
      <c r="CO279" s="485"/>
      <c r="CP279" s="485"/>
      <c r="CQ279" s="485"/>
      <c r="CR279" s="485"/>
      <c r="CS279" s="485"/>
      <c r="CT279" s="485"/>
      <c r="CU279" s="485"/>
      <c r="CV279" s="485"/>
      <c r="CW279" s="485"/>
      <c r="CX279" s="485"/>
      <c r="CY279" s="485"/>
      <c r="CZ279" s="485"/>
      <c r="DA279" s="485"/>
      <c r="DB279" s="485"/>
      <c r="DC279" s="485"/>
      <c r="DD279" s="485"/>
      <c r="DE279" s="485"/>
      <c r="DF279" s="485"/>
      <c r="DG279" s="485"/>
      <c r="DH279" s="485"/>
      <c r="DI279" s="485"/>
      <c r="DJ279" s="485"/>
      <c r="DK279" s="485"/>
      <c r="DL279" s="485"/>
      <c r="DM279" s="485"/>
      <c r="DN279" s="485"/>
      <c r="DO279" s="485"/>
      <c r="DP279" s="485"/>
      <c r="DQ279" s="485"/>
      <c r="DR279" s="485"/>
      <c r="DS279" s="485"/>
      <c r="DT279" s="485"/>
      <c r="DU279" s="485"/>
      <c r="DV279" s="485"/>
      <c r="DW279" s="485"/>
      <c r="DX279" s="485"/>
      <c r="DY279" s="485"/>
      <c r="DZ279" s="485"/>
      <c r="EA279" s="485"/>
      <c r="EB279" s="485"/>
      <c r="EC279" s="485"/>
      <c r="ED279" s="485"/>
      <c r="EE279" s="485"/>
      <c r="EF279" s="485"/>
      <c r="EG279" s="485"/>
      <c r="EH279" s="485"/>
      <c r="EI279" s="485"/>
      <c r="EJ279" s="485"/>
      <c r="EK279" s="485"/>
      <c r="EL279" s="485"/>
      <c r="EM279" s="485"/>
      <c r="EN279" s="485"/>
      <c r="EO279" s="485"/>
      <c r="EP279" s="485"/>
    </row>
    <row r="280" spans="1:146" ht="15.75">
      <c r="A280" s="462">
        <v>1009</v>
      </c>
      <c r="B280" s="467" t="s">
        <v>397</v>
      </c>
      <c r="C280" s="624">
        <v>200</v>
      </c>
      <c r="D280" s="626">
        <v>3</v>
      </c>
      <c r="E280" s="611">
        <v>7.98</v>
      </c>
      <c r="F280" s="678">
        <f t="shared" si="83"/>
        <v>7.9731300000000003</v>
      </c>
      <c r="G280" s="683">
        <v>7</v>
      </c>
      <c r="H280" s="682">
        <f t="shared" si="84"/>
        <v>252</v>
      </c>
      <c r="I280" s="442">
        <f t="shared" si="85"/>
        <v>670.31999999999994</v>
      </c>
      <c r="J280" s="646"/>
      <c r="K280" s="443">
        <v>0.22</v>
      </c>
      <c r="L280" s="627">
        <f t="shared" si="86"/>
        <v>1.54</v>
      </c>
      <c r="M280" s="627"/>
      <c r="N280" s="609">
        <v>3</v>
      </c>
      <c r="O280" s="610">
        <v>7.9752038238969982</v>
      </c>
      <c r="P280" s="617" t="str">
        <f t="shared" si="87"/>
        <v>---</v>
      </c>
      <c r="Q280" s="618">
        <f t="shared" si="88"/>
        <v>-4.7961761030022032E-3</v>
      </c>
      <c r="R280" s="485"/>
      <c r="S280" s="624" t="str">
        <f t="shared" si="89"/>
        <v>OK</v>
      </c>
      <c r="T280" s="613">
        <f>IF(+'2012 Rates'!O487&lt;'2012 Rates'!$B$11,'2012 Rates'!$B$11,+'2012 Rates'!O487)</f>
        <v>8.81</v>
      </c>
      <c r="U280" s="447">
        <f t="shared" si="90"/>
        <v>0.10496128872851695</v>
      </c>
      <c r="V280" s="485"/>
      <c r="W280" s="623">
        <f t="shared" si="91"/>
        <v>740.04</v>
      </c>
      <c r="X280" s="485"/>
      <c r="Y280" s="485"/>
      <c r="Z280" s="485"/>
      <c r="AA280" s="485"/>
      <c r="AB280" s="485"/>
      <c r="AC280" s="485"/>
      <c r="AD280" s="485"/>
      <c r="AE280" s="485"/>
      <c r="AF280" s="485"/>
      <c r="AG280" s="485"/>
      <c r="AH280" s="485"/>
      <c r="AI280" s="485"/>
      <c r="AJ280" s="485"/>
      <c r="AK280" s="485"/>
      <c r="AL280" s="485"/>
      <c r="AM280" s="485"/>
      <c r="AN280" s="485"/>
      <c r="AO280" s="485"/>
      <c r="AP280" s="485"/>
      <c r="AQ280" s="485"/>
      <c r="AR280" s="485"/>
      <c r="AS280" s="485"/>
      <c r="AT280" s="485"/>
      <c r="AU280" s="485"/>
      <c r="AV280" s="485"/>
      <c r="AW280" s="485"/>
      <c r="AX280" s="485"/>
      <c r="AY280" s="485"/>
      <c r="AZ280" s="485"/>
      <c r="BA280" s="485"/>
      <c r="BB280" s="485"/>
      <c r="BC280" s="485"/>
      <c r="BD280" s="485"/>
      <c r="BE280" s="485"/>
      <c r="BF280" s="485"/>
      <c r="BG280" s="485"/>
      <c r="BH280" s="485"/>
      <c r="BI280" s="485"/>
      <c r="BJ280" s="485"/>
      <c r="BK280" s="485"/>
      <c r="BL280" s="485"/>
      <c r="BM280" s="485"/>
      <c r="BN280" s="485"/>
      <c r="BO280" s="485"/>
      <c r="BP280" s="485"/>
      <c r="BQ280" s="485"/>
      <c r="BR280" s="485"/>
      <c r="BS280" s="485"/>
      <c r="BT280" s="485"/>
      <c r="BU280" s="485"/>
      <c r="BV280" s="485"/>
      <c r="BW280" s="485"/>
      <c r="BX280" s="485"/>
      <c r="BY280" s="485"/>
      <c r="BZ280" s="485"/>
      <c r="CA280" s="485"/>
      <c r="CB280" s="485"/>
      <c r="CC280" s="485"/>
      <c r="CD280" s="485"/>
      <c r="CE280" s="485"/>
      <c r="CF280" s="485"/>
      <c r="CG280" s="485"/>
      <c r="CH280" s="485"/>
      <c r="CI280" s="485"/>
      <c r="CJ280" s="485"/>
      <c r="CK280" s="485"/>
      <c r="CL280" s="485"/>
      <c r="CM280" s="485"/>
      <c r="CN280" s="485"/>
      <c r="CO280" s="485"/>
      <c r="CP280" s="485"/>
      <c r="CQ280" s="485"/>
      <c r="CR280" s="485"/>
      <c r="CS280" s="485"/>
      <c r="CT280" s="485"/>
      <c r="CU280" s="485"/>
      <c r="CV280" s="485"/>
      <c r="CW280" s="485"/>
      <c r="CX280" s="485"/>
      <c r="CY280" s="485"/>
      <c r="CZ280" s="485"/>
      <c r="DA280" s="485"/>
      <c r="DB280" s="485"/>
      <c r="DC280" s="485"/>
      <c r="DD280" s="485"/>
      <c r="DE280" s="485"/>
      <c r="DF280" s="485"/>
      <c r="DG280" s="485"/>
      <c r="DH280" s="485"/>
      <c r="DI280" s="485"/>
      <c r="DJ280" s="485"/>
      <c r="DK280" s="485"/>
      <c r="DL280" s="485"/>
      <c r="DM280" s="485"/>
      <c r="DN280" s="485"/>
      <c r="DO280" s="485"/>
      <c r="DP280" s="485"/>
      <c r="DQ280" s="485"/>
      <c r="DR280" s="485"/>
      <c r="DS280" s="485"/>
      <c r="DT280" s="485"/>
      <c r="DU280" s="485"/>
      <c r="DV280" s="485"/>
      <c r="DW280" s="485"/>
      <c r="DX280" s="485"/>
      <c r="DY280" s="485"/>
      <c r="DZ280" s="485"/>
      <c r="EA280" s="485"/>
      <c r="EB280" s="485"/>
      <c r="EC280" s="485"/>
      <c r="ED280" s="485"/>
      <c r="EE280" s="485"/>
      <c r="EF280" s="485"/>
      <c r="EG280" s="485"/>
      <c r="EH280" s="485"/>
      <c r="EI280" s="485"/>
      <c r="EJ280" s="485"/>
      <c r="EK280" s="485"/>
      <c r="EL280" s="485"/>
      <c r="EM280" s="485"/>
      <c r="EN280" s="485"/>
      <c r="EO280" s="485"/>
      <c r="EP280" s="485"/>
    </row>
    <row r="281" spans="1:146" ht="15.75">
      <c r="A281" s="462">
        <v>1010</v>
      </c>
      <c r="B281" s="467" t="s">
        <v>460</v>
      </c>
      <c r="C281" s="624">
        <v>603</v>
      </c>
      <c r="D281" s="626">
        <v>380</v>
      </c>
      <c r="E281" s="611">
        <v>35.85</v>
      </c>
      <c r="F281" s="678">
        <f t="shared" si="83"/>
        <v>34.979800000000004</v>
      </c>
      <c r="G281" s="683">
        <v>116</v>
      </c>
      <c r="H281" s="682">
        <f t="shared" si="84"/>
        <v>528960</v>
      </c>
      <c r="I281" s="442">
        <f t="shared" si="85"/>
        <v>49903.200000000004</v>
      </c>
      <c r="J281" s="646"/>
      <c r="K281" s="443">
        <v>0.69299999999999995</v>
      </c>
      <c r="L281" s="627">
        <f t="shared" si="86"/>
        <v>80.387999999999991</v>
      </c>
      <c r="M281" s="627">
        <f>+L281</f>
        <v>80.387999999999991</v>
      </c>
      <c r="N281" s="609">
        <v>380</v>
      </c>
      <c r="O281" s="610">
        <v>35.845817693619694</v>
      </c>
      <c r="P281" s="617" t="str">
        <f t="shared" si="87"/>
        <v>---</v>
      </c>
      <c r="Q281" s="618">
        <f t="shared" si="88"/>
        <v>-4.1823063803079208E-3</v>
      </c>
      <c r="R281" s="485"/>
      <c r="S281" s="624" t="str">
        <f t="shared" si="89"/>
        <v>OK</v>
      </c>
      <c r="T281" s="613">
        <f>IF(+'2012 Rates'!P488&lt;'2012 Rates'!$B$11,'2012 Rates'!$B$11,+'2012 Rates'!P488)</f>
        <v>38.42</v>
      </c>
      <c r="U281" s="447">
        <f t="shared" si="90"/>
        <v>9.8348189526526575E-2</v>
      </c>
      <c r="V281" s="485"/>
      <c r="W281" s="623">
        <f t="shared" si="91"/>
        <v>53480.639999999999</v>
      </c>
      <c r="X281" s="485"/>
      <c r="Y281" s="485"/>
      <c r="Z281" s="485"/>
      <c r="AA281" s="485"/>
      <c r="AB281" s="485"/>
      <c r="AC281" s="485"/>
      <c r="AD281" s="485"/>
      <c r="AE281" s="485"/>
      <c r="AF281" s="485"/>
      <c r="AG281" s="485"/>
      <c r="AH281" s="485"/>
      <c r="AI281" s="485"/>
      <c r="AJ281" s="485"/>
      <c r="AK281" s="485"/>
      <c r="AL281" s="485"/>
      <c r="AM281" s="485"/>
      <c r="AN281" s="485"/>
      <c r="AO281" s="485"/>
      <c r="AP281" s="485"/>
      <c r="AQ281" s="485"/>
      <c r="AR281" s="485"/>
      <c r="AS281" s="485"/>
      <c r="AT281" s="485"/>
      <c r="AU281" s="485"/>
      <c r="AV281" s="485"/>
      <c r="AW281" s="485"/>
      <c r="AX281" s="485"/>
      <c r="AY281" s="485"/>
      <c r="AZ281" s="485"/>
      <c r="BA281" s="485"/>
      <c r="BB281" s="485"/>
      <c r="BC281" s="485"/>
      <c r="BD281" s="485"/>
      <c r="BE281" s="485"/>
      <c r="BF281" s="485"/>
      <c r="BG281" s="485"/>
      <c r="BH281" s="485"/>
      <c r="BI281" s="485"/>
      <c r="BJ281" s="485"/>
      <c r="BK281" s="485"/>
      <c r="BL281" s="485"/>
      <c r="BM281" s="485"/>
      <c r="BN281" s="485"/>
      <c r="BO281" s="485"/>
      <c r="BP281" s="485"/>
      <c r="BQ281" s="485"/>
      <c r="BR281" s="485"/>
      <c r="BS281" s="485"/>
      <c r="BT281" s="485"/>
      <c r="BU281" s="485"/>
      <c r="BV281" s="485"/>
      <c r="BW281" s="485"/>
      <c r="BX281" s="485"/>
      <c r="BY281" s="485"/>
      <c r="BZ281" s="485"/>
      <c r="CA281" s="485"/>
      <c r="CB281" s="485"/>
      <c r="CC281" s="485"/>
      <c r="CD281" s="485"/>
      <c r="CE281" s="485"/>
      <c r="CF281" s="485"/>
      <c r="CG281" s="485"/>
      <c r="CH281" s="485"/>
      <c r="CI281" s="485"/>
      <c r="CJ281" s="485"/>
      <c r="CK281" s="485"/>
      <c r="CL281" s="485"/>
      <c r="CM281" s="485"/>
      <c r="CN281" s="485"/>
      <c r="CO281" s="485"/>
      <c r="CP281" s="485"/>
      <c r="CQ281" s="485"/>
      <c r="CR281" s="485"/>
      <c r="CS281" s="485"/>
      <c r="CT281" s="485"/>
      <c r="CU281" s="485"/>
      <c r="CV281" s="485"/>
      <c r="CW281" s="485"/>
      <c r="CX281" s="485"/>
      <c r="CY281" s="485"/>
      <c r="CZ281" s="485"/>
      <c r="DA281" s="485"/>
      <c r="DB281" s="485"/>
      <c r="DC281" s="485"/>
      <c r="DD281" s="485"/>
      <c r="DE281" s="485"/>
      <c r="DF281" s="485"/>
      <c r="DG281" s="485"/>
      <c r="DH281" s="485"/>
      <c r="DI281" s="485"/>
      <c r="DJ281" s="485"/>
      <c r="DK281" s="485"/>
      <c r="DL281" s="485"/>
      <c r="DM281" s="485"/>
      <c r="DN281" s="485"/>
      <c r="DO281" s="485"/>
      <c r="DP281" s="485"/>
      <c r="DQ281" s="485"/>
      <c r="DR281" s="485"/>
      <c r="DS281" s="485"/>
      <c r="DT281" s="485"/>
      <c r="DU281" s="485"/>
      <c r="DV281" s="485"/>
      <c r="DW281" s="485"/>
      <c r="DX281" s="485"/>
      <c r="DY281" s="485"/>
      <c r="DZ281" s="485"/>
      <c r="EA281" s="485"/>
      <c r="EB281" s="485"/>
      <c r="EC281" s="485"/>
      <c r="ED281" s="485"/>
      <c r="EE281" s="485"/>
      <c r="EF281" s="485"/>
      <c r="EG281" s="485"/>
      <c r="EH281" s="485"/>
      <c r="EI281" s="485"/>
      <c r="EJ281" s="485"/>
      <c r="EK281" s="485"/>
      <c r="EL281" s="485"/>
      <c r="EM281" s="485"/>
      <c r="EN281" s="485"/>
      <c r="EO281" s="485"/>
      <c r="EP281" s="485"/>
    </row>
    <row r="282" spans="1:146" ht="15.75">
      <c r="A282" s="591">
        <v>1011</v>
      </c>
      <c r="B282" s="630" t="s">
        <v>461</v>
      </c>
      <c r="C282" s="614">
        <v>70</v>
      </c>
      <c r="D282" s="609">
        <v>34</v>
      </c>
      <c r="E282" s="610">
        <v>3.06</v>
      </c>
      <c r="F282" s="678">
        <f t="shared" si="83"/>
        <v>2.9821400000000002</v>
      </c>
      <c r="G282" s="683">
        <v>1</v>
      </c>
      <c r="H282" s="664">
        <f t="shared" si="84"/>
        <v>408</v>
      </c>
      <c r="I282" s="444">
        <f t="shared" si="85"/>
        <v>36.72</v>
      </c>
      <c r="J282" s="647"/>
      <c r="K282" s="616">
        <v>3.5000000000000003E-2</v>
      </c>
      <c r="L282" s="616">
        <f t="shared" si="86"/>
        <v>3.5000000000000003E-2</v>
      </c>
      <c r="M282" s="616"/>
      <c r="N282" s="609">
        <v>34</v>
      </c>
      <c r="O282" s="610">
        <v>3.062310004165973</v>
      </c>
      <c r="P282" s="617" t="str">
        <f t="shared" si="87"/>
        <v>---</v>
      </c>
      <c r="Q282" s="618">
        <f t="shared" si="88"/>
        <v>2.3100041659729342E-3</v>
      </c>
      <c r="R282" s="615"/>
      <c r="S282" s="614" t="str">
        <f t="shared" si="89"/>
        <v>OK</v>
      </c>
      <c r="T282" s="619">
        <f>IF(+'2012 Rates'!P489&lt;'2012 Rates'!$B$11,'2012 Rates'!$B$11,+'2012 Rates'!P489)</f>
        <v>3.2504153814512136</v>
      </c>
      <c r="U282" s="447">
        <f t="shared" si="90"/>
        <v>8.9960693143585901E-2</v>
      </c>
      <c r="V282" s="485" t="s">
        <v>340</v>
      </c>
      <c r="W282" s="623">
        <f t="shared" si="91"/>
        <v>39.004984577414561</v>
      </c>
      <c r="X282" s="485"/>
      <c r="Y282" s="485"/>
      <c r="Z282" s="485"/>
      <c r="AA282" s="485"/>
      <c r="AB282" s="485"/>
      <c r="AC282" s="485"/>
      <c r="AD282" s="485"/>
      <c r="AE282" s="485"/>
      <c r="AF282" s="485"/>
      <c r="AG282" s="485"/>
      <c r="AH282" s="485"/>
      <c r="AI282" s="485"/>
      <c r="AJ282" s="485"/>
      <c r="AK282" s="485"/>
      <c r="AL282" s="485"/>
      <c r="AM282" s="485"/>
      <c r="AN282" s="485"/>
      <c r="AO282" s="485"/>
      <c r="AP282" s="485"/>
      <c r="AQ282" s="485"/>
      <c r="AR282" s="485"/>
      <c r="AS282" s="485"/>
      <c r="AT282" s="485"/>
      <c r="AU282" s="485"/>
      <c r="AV282" s="485"/>
      <c r="AW282" s="485"/>
      <c r="AX282" s="485"/>
      <c r="AY282" s="485"/>
      <c r="AZ282" s="485"/>
      <c r="BA282" s="485"/>
      <c r="BB282" s="485"/>
      <c r="BC282" s="485"/>
      <c r="BD282" s="485"/>
      <c r="BE282" s="485"/>
      <c r="BF282" s="485"/>
      <c r="BG282" s="485"/>
      <c r="BH282" s="485"/>
      <c r="BI282" s="485"/>
      <c r="BJ282" s="485"/>
      <c r="BK282" s="485"/>
      <c r="BL282" s="485"/>
      <c r="BM282" s="485"/>
      <c r="BN282" s="485"/>
      <c r="BO282" s="485"/>
      <c r="BP282" s="485"/>
      <c r="BQ282" s="485"/>
      <c r="BR282" s="485"/>
      <c r="BS282" s="485"/>
      <c r="BT282" s="485"/>
      <c r="BU282" s="485"/>
      <c r="BV282" s="485"/>
      <c r="BW282" s="485"/>
      <c r="BX282" s="485"/>
      <c r="BY282" s="485"/>
      <c r="BZ282" s="485"/>
      <c r="CA282" s="485"/>
      <c r="CB282" s="485"/>
      <c r="CC282" s="485"/>
      <c r="CD282" s="485"/>
      <c r="CE282" s="485"/>
      <c r="CF282" s="485"/>
      <c r="CG282" s="485"/>
      <c r="CH282" s="485"/>
      <c r="CI282" s="485"/>
      <c r="CJ282" s="485"/>
      <c r="CK282" s="485"/>
      <c r="CL282" s="485"/>
      <c r="CM282" s="485"/>
      <c r="CN282" s="485"/>
      <c r="CO282" s="485"/>
      <c r="CP282" s="485"/>
      <c r="CQ282" s="485"/>
      <c r="CR282" s="485"/>
      <c r="CS282" s="485"/>
      <c r="CT282" s="485"/>
      <c r="CU282" s="485"/>
      <c r="CV282" s="485"/>
      <c r="CW282" s="485"/>
      <c r="CX282" s="485"/>
      <c r="CY282" s="485"/>
      <c r="CZ282" s="485"/>
      <c r="DA282" s="485"/>
      <c r="DB282" s="485"/>
      <c r="DC282" s="485"/>
      <c r="DD282" s="485"/>
      <c r="DE282" s="485"/>
      <c r="DF282" s="485"/>
      <c r="DG282" s="485"/>
      <c r="DH282" s="485"/>
      <c r="DI282" s="485"/>
      <c r="DJ282" s="485"/>
      <c r="DK282" s="485"/>
      <c r="DL282" s="485"/>
      <c r="DM282" s="485"/>
      <c r="DN282" s="485"/>
      <c r="DO282" s="485"/>
      <c r="DP282" s="485"/>
      <c r="DQ282" s="485"/>
      <c r="DR282" s="485"/>
      <c r="DS282" s="485"/>
      <c r="DT282" s="485"/>
      <c r="DU282" s="485"/>
      <c r="DV282" s="485"/>
      <c r="DW282" s="485"/>
      <c r="DX282" s="485"/>
      <c r="DY282" s="485"/>
      <c r="DZ282" s="485"/>
      <c r="EA282" s="485"/>
      <c r="EB282" s="485"/>
      <c r="EC282" s="485"/>
      <c r="ED282" s="485"/>
      <c r="EE282" s="485"/>
      <c r="EF282" s="485"/>
      <c r="EG282" s="485"/>
      <c r="EH282" s="485"/>
      <c r="EI282" s="485"/>
      <c r="EJ282" s="485"/>
      <c r="EK282" s="485"/>
      <c r="EL282" s="485"/>
      <c r="EM282" s="485"/>
      <c r="EN282" s="485"/>
      <c r="EO282" s="485"/>
      <c r="EP282" s="485"/>
    </row>
    <row r="283" spans="1:146" ht="15.75">
      <c r="A283" s="462">
        <v>1012</v>
      </c>
      <c r="B283" s="467" t="s">
        <v>397</v>
      </c>
      <c r="C283" s="624">
        <v>408</v>
      </c>
      <c r="D283" s="626">
        <v>150</v>
      </c>
      <c r="E283" s="611">
        <v>16.79</v>
      </c>
      <c r="F283" s="678">
        <f t="shared" si="83"/>
        <v>16.4465</v>
      </c>
      <c r="G283" s="683">
        <v>1</v>
      </c>
      <c r="H283" s="682">
        <f t="shared" si="84"/>
        <v>1800</v>
      </c>
      <c r="I283" s="442">
        <f t="shared" si="85"/>
        <v>201.48</v>
      </c>
      <c r="J283" s="646"/>
      <c r="K283" s="443">
        <v>0.44900000000000001</v>
      </c>
      <c r="L283" s="627">
        <f t="shared" si="86"/>
        <v>0.44900000000000001</v>
      </c>
      <c r="M283" s="627"/>
      <c r="N283" s="609">
        <v>150</v>
      </c>
      <c r="O283" s="610">
        <v>16.790191194849882</v>
      </c>
      <c r="P283" s="617" t="str">
        <f t="shared" si="87"/>
        <v>---</v>
      </c>
      <c r="Q283" s="618">
        <f t="shared" si="88"/>
        <v>1.9119484988294744E-4</v>
      </c>
      <c r="R283" s="485"/>
      <c r="S283" s="624" t="str">
        <f t="shared" si="89"/>
        <v>OK</v>
      </c>
      <c r="T283" s="613">
        <f>IF(+'2012 Rates'!O490&lt;'2012 Rates'!$B$11,'2012 Rates'!$B$11,+'2012 Rates'!O490)</f>
        <v>18.05</v>
      </c>
      <c r="U283" s="447">
        <f t="shared" si="90"/>
        <v>9.7497947891648673E-2</v>
      </c>
      <c r="V283" s="485"/>
      <c r="W283" s="623">
        <f t="shared" si="91"/>
        <v>216.60000000000002</v>
      </c>
      <c r="X283" s="485"/>
      <c r="Y283" s="485"/>
      <c r="Z283" s="485"/>
      <c r="AA283" s="485"/>
      <c r="AB283" s="485"/>
      <c r="AC283" s="485"/>
      <c r="AD283" s="485"/>
      <c r="AE283" s="485"/>
      <c r="AF283" s="485"/>
      <c r="AG283" s="485"/>
      <c r="AH283" s="485"/>
      <c r="AI283" s="485"/>
      <c r="AJ283" s="485"/>
      <c r="AK283" s="485"/>
      <c r="AL283" s="485"/>
      <c r="AM283" s="485"/>
      <c r="AN283" s="485"/>
      <c r="AO283" s="485"/>
      <c r="AP283" s="485"/>
      <c r="AQ283" s="485"/>
      <c r="AR283" s="485"/>
      <c r="AS283" s="485"/>
      <c r="AT283" s="485"/>
      <c r="AU283" s="485"/>
      <c r="AV283" s="485"/>
      <c r="AW283" s="485"/>
      <c r="AX283" s="485"/>
      <c r="AY283" s="485"/>
      <c r="AZ283" s="485"/>
      <c r="BA283" s="485"/>
      <c r="BB283" s="485"/>
      <c r="BC283" s="485"/>
      <c r="BD283" s="485"/>
      <c r="BE283" s="485"/>
      <c r="BF283" s="485"/>
      <c r="BG283" s="485"/>
      <c r="BH283" s="485"/>
      <c r="BI283" s="485"/>
      <c r="BJ283" s="485"/>
      <c r="BK283" s="485"/>
      <c r="BL283" s="485"/>
      <c r="BM283" s="485"/>
      <c r="BN283" s="485"/>
      <c r="BO283" s="485"/>
      <c r="BP283" s="485"/>
      <c r="BQ283" s="485"/>
      <c r="BR283" s="485"/>
      <c r="BS283" s="485"/>
      <c r="BT283" s="485"/>
      <c r="BU283" s="485"/>
      <c r="BV283" s="485"/>
      <c r="BW283" s="485"/>
      <c r="BX283" s="485"/>
      <c r="BY283" s="485"/>
      <c r="BZ283" s="485"/>
      <c r="CA283" s="485"/>
      <c r="CB283" s="485"/>
      <c r="CC283" s="485"/>
      <c r="CD283" s="485"/>
      <c r="CE283" s="485"/>
      <c r="CF283" s="485"/>
      <c r="CG283" s="485"/>
      <c r="CH283" s="485"/>
      <c r="CI283" s="485"/>
      <c r="CJ283" s="485"/>
      <c r="CK283" s="485"/>
      <c r="CL283" s="485"/>
      <c r="CM283" s="485"/>
      <c r="CN283" s="485"/>
      <c r="CO283" s="485"/>
      <c r="CP283" s="485"/>
      <c r="CQ283" s="485"/>
      <c r="CR283" s="485"/>
      <c r="CS283" s="485"/>
      <c r="CT283" s="485"/>
      <c r="CU283" s="485"/>
      <c r="CV283" s="485"/>
      <c r="CW283" s="485"/>
      <c r="CX283" s="485"/>
      <c r="CY283" s="485"/>
      <c r="CZ283" s="485"/>
      <c r="DA283" s="485"/>
      <c r="DB283" s="485"/>
      <c r="DC283" s="485"/>
      <c r="DD283" s="485"/>
      <c r="DE283" s="485"/>
      <c r="DF283" s="485"/>
      <c r="DG283" s="485"/>
      <c r="DH283" s="485"/>
      <c r="DI283" s="485"/>
      <c r="DJ283" s="485"/>
      <c r="DK283" s="485"/>
      <c r="DL283" s="485"/>
      <c r="DM283" s="485"/>
      <c r="DN283" s="485"/>
      <c r="DO283" s="485"/>
      <c r="DP283" s="485"/>
      <c r="DQ283" s="485"/>
      <c r="DR283" s="485"/>
      <c r="DS283" s="485"/>
      <c r="DT283" s="485"/>
      <c r="DU283" s="485"/>
      <c r="DV283" s="485"/>
      <c r="DW283" s="485"/>
      <c r="DX283" s="485"/>
      <c r="DY283" s="485"/>
      <c r="DZ283" s="485"/>
      <c r="EA283" s="485"/>
      <c r="EB283" s="485"/>
      <c r="EC283" s="485"/>
      <c r="ED283" s="485"/>
      <c r="EE283" s="485"/>
      <c r="EF283" s="485"/>
      <c r="EG283" s="485"/>
      <c r="EH283" s="485"/>
      <c r="EI283" s="485"/>
      <c r="EJ283" s="485"/>
      <c r="EK283" s="485"/>
      <c r="EL283" s="485"/>
      <c r="EM283" s="485"/>
      <c r="EN283" s="485"/>
      <c r="EO283" s="485"/>
      <c r="EP283" s="485"/>
    </row>
    <row r="284" spans="1:146" ht="15.75">
      <c r="A284" s="462">
        <v>1013</v>
      </c>
      <c r="B284" s="467" t="s">
        <v>397</v>
      </c>
      <c r="C284" s="624">
        <v>395</v>
      </c>
      <c r="D284" s="626">
        <v>145</v>
      </c>
      <c r="E284" s="611">
        <v>16.239999999999998</v>
      </c>
      <c r="F284" s="678">
        <f t="shared" si="83"/>
        <v>15.907949999999998</v>
      </c>
      <c r="G284" s="683">
        <v>1</v>
      </c>
      <c r="H284" s="682">
        <f t="shared" si="84"/>
        <v>1740</v>
      </c>
      <c r="I284" s="442">
        <f t="shared" si="85"/>
        <v>194.88</v>
      </c>
      <c r="J284" s="646"/>
      <c r="K284" s="443">
        <v>0.435</v>
      </c>
      <c r="L284" s="627">
        <f t="shared" si="86"/>
        <v>0.435</v>
      </c>
      <c r="M284" s="627"/>
      <c r="N284" s="609">
        <v>145</v>
      </c>
      <c r="O284" s="610">
        <v>16.244851488354882</v>
      </c>
      <c r="P284" s="617" t="str">
        <f t="shared" si="87"/>
        <v>---</v>
      </c>
      <c r="Q284" s="618">
        <f t="shared" si="88"/>
        <v>4.851488354884026E-3</v>
      </c>
      <c r="R284" s="485"/>
      <c r="S284" s="624" t="str">
        <f t="shared" si="89"/>
        <v>OK</v>
      </c>
      <c r="T284" s="613">
        <f>IF(+'2012 Rates'!O491&lt;'2012 Rates'!$B$11,'2012 Rates'!$B$11,+'2012 Rates'!O491)</f>
        <v>17.459999999999997</v>
      </c>
      <c r="U284" s="447">
        <f t="shared" si="90"/>
        <v>9.7564425334502491E-2</v>
      </c>
      <c r="V284" s="485"/>
      <c r="W284" s="623">
        <f t="shared" si="91"/>
        <v>209.51999999999998</v>
      </c>
      <c r="X284" s="485"/>
      <c r="Y284" s="485"/>
      <c r="Z284" s="485"/>
      <c r="AA284" s="485"/>
      <c r="AB284" s="485"/>
      <c r="AC284" s="485"/>
      <c r="AD284" s="485"/>
      <c r="AE284" s="485"/>
      <c r="AF284" s="485"/>
      <c r="AG284" s="485"/>
      <c r="AH284" s="485"/>
      <c r="AI284" s="485"/>
      <c r="AJ284" s="485"/>
      <c r="AK284" s="485"/>
      <c r="AL284" s="485"/>
      <c r="AM284" s="485"/>
      <c r="AN284" s="485"/>
      <c r="AO284" s="485"/>
      <c r="AP284" s="485"/>
      <c r="AQ284" s="485"/>
      <c r="AR284" s="485"/>
      <c r="AS284" s="485"/>
      <c r="AT284" s="485"/>
      <c r="AU284" s="485"/>
      <c r="AV284" s="485"/>
      <c r="AW284" s="485"/>
      <c r="AX284" s="485"/>
      <c r="AY284" s="485"/>
      <c r="AZ284" s="485"/>
      <c r="BA284" s="485"/>
      <c r="BB284" s="485"/>
      <c r="BC284" s="485"/>
      <c r="BD284" s="485"/>
      <c r="BE284" s="485"/>
      <c r="BF284" s="485"/>
      <c r="BG284" s="485"/>
      <c r="BH284" s="485"/>
      <c r="BI284" s="485"/>
      <c r="BJ284" s="485"/>
      <c r="BK284" s="485"/>
      <c r="BL284" s="485"/>
      <c r="BM284" s="485"/>
      <c r="BN284" s="485"/>
      <c r="BO284" s="485"/>
      <c r="BP284" s="485"/>
      <c r="BQ284" s="485"/>
      <c r="BR284" s="485"/>
      <c r="BS284" s="485"/>
      <c r="BT284" s="485"/>
      <c r="BU284" s="485"/>
      <c r="BV284" s="485"/>
      <c r="BW284" s="485"/>
      <c r="BX284" s="485"/>
      <c r="BY284" s="485"/>
      <c r="BZ284" s="485"/>
      <c r="CA284" s="485"/>
      <c r="CB284" s="485"/>
      <c r="CC284" s="485"/>
      <c r="CD284" s="485"/>
      <c r="CE284" s="485"/>
      <c r="CF284" s="485"/>
      <c r="CG284" s="485"/>
      <c r="CH284" s="485"/>
      <c r="CI284" s="485"/>
      <c r="CJ284" s="485"/>
      <c r="CK284" s="485"/>
      <c r="CL284" s="485"/>
      <c r="CM284" s="485"/>
      <c r="CN284" s="485"/>
      <c r="CO284" s="485"/>
      <c r="CP284" s="485"/>
      <c r="CQ284" s="485"/>
      <c r="CR284" s="485"/>
      <c r="CS284" s="485"/>
      <c r="CT284" s="485"/>
      <c r="CU284" s="485"/>
      <c r="CV284" s="485"/>
      <c r="CW284" s="485"/>
      <c r="CX284" s="485"/>
      <c r="CY284" s="485"/>
      <c r="CZ284" s="485"/>
      <c r="DA284" s="485"/>
      <c r="DB284" s="485"/>
      <c r="DC284" s="485"/>
      <c r="DD284" s="485"/>
      <c r="DE284" s="485"/>
      <c r="DF284" s="485"/>
      <c r="DG284" s="485"/>
      <c r="DH284" s="485"/>
      <c r="DI284" s="485"/>
      <c r="DJ284" s="485"/>
      <c r="DK284" s="485"/>
      <c r="DL284" s="485"/>
      <c r="DM284" s="485"/>
      <c r="DN284" s="485"/>
      <c r="DO284" s="485"/>
      <c r="DP284" s="485"/>
      <c r="DQ284" s="485"/>
      <c r="DR284" s="485"/>
      <c r="DS284" s="485"/>
      <c r="DT284" s="485"/>
      <c r="DU284" s="485"/>
      <c r="DV284" s="485"/>
      <c r="DW284" s="485"/>
      <c r="DX284" s="485"/>
      <c r="DY284" s="485"/>
      <c r="DZ284" s="485"/>
      <c r="EA284" s="485"/>
      <c r="EB284" s="485"/>
      <c r="EC284" s="485"/>
      <c r="ED284" s="485"/>
      <c r="EE284" s="485"/>
      <c r="EF284" s="485"/>
      <c r="EG284" s="485"/>
      <c r="EH284" s="485"/>
      <c r="EI284" s="485"/>
      <c r="EJ284" s="485"/>
      <c r="EK284" s="485"/>
      <c r="EL284" s="485"/>
      <c r="EM284" s="485"/>
      <c r="EN284" s="485"/>
      <c r="EO284" s="485"/>
      <c r="EP284" s="485"/>
    </row>
    <row r="285" spans="1:146" ht="15.75">
      <c r="A285" s="462">
        <v>1014</v>
      </c>
      <c r="B285" s="467" t="s">
        <v>462</v>
      </c>
      <c r="C285" s="624">
        <v>180</v>
      </c>
      <c r="D285" s="626">
        <v>66</v>
      </c>
      <c r="E285" s="611">
        <v>7.4</v>
      </c>
      <c r="F285" s="678">
        <f t="shared" si="83"/>
        <v>7.2488600000000005</v>
      </c>
      <c r="G285" s="683"/>
      <c r="H285" s="682">
        <f t="shared" si="84"/>
        <v>0</v>
      </c>
      <c r="I285" s="442">
        <f t="shared" si="85"/>
        <v>0</v>
      </c>
      <c r="J285" s="646"/>
      <c r="K285" s="443">
        <v>0.19800000000000001</v>
      </c>
      <c r="L285" s="627">
        <f t="shared" si="86"/>
        <v>0</v>
      </c>
      <c r="M285" s="627"/>
      <c r="N285" s="609">
        <v>66</v>
      </c>
      <c r="O285" s="610">
        <v>7.4044841257339478</v>
      </c>
      <c r="P285" s="617" t="str">
        <f t="shared" si="87"/>
        <v>---</v>
      </c>
      <c r="Q285" s="618">
        <f t="shared" si="88"/>
        <v>4.4841257339474083E-3</v>
      </c>
      <c r="R285" s="485"/>
      <c r="S285" s="624" t="str">
        <f t="shared" si="89"/>
        <v>OK</v>
      </c>
      <c r="T285" s="613">
        <f>IF(+'2012 Rates'!O492&lt;'2012 Rates'!$B$11,'2012 Rates'!$B$11,+'2012 Rates'!O492)</f>
        <v>7.9599999999999991</v>
      </c>
      <c r="U285" s="447">
        <f t="shared" si="90"/>
        <v>9.8103701823458955E-2</v>
      </c>
      <c r="V285" s="485"/>
      <c r="W285" s="623">
        <f t="shared" si="91"/>
        <v>0</v>
      </c>
      <c r="X285" s="485"/>
      <c r="Y285" s="485"/>
      <c r="Z285" s="485"/>
      <c r="AA285" s="485"/>
      <c r="AB285" s="485"/>
      <c r="AC285" s="485"/>
      <c r="AD285" s="485"/>
      <c r="AE285" s="485"/>
      <c r="AF285" s="485"/>
      <c r="AG285" s="485"/>
      <c r="AH285" s="485"/>
      <c r="AI285" s="485"/>
      <c r="AJ285" s="485"/>
      <c r="AK285" s="485"/>
      <c r="AL285" s="485"/>
      <c r="AM285" s="485"/>
      <c r="AN285" s="485"/>
      <c r="AO285" s="485"/>
      <c r="AP285" s="485"/>
      <c r="AQ285" s="485"/>
      <c r="AR285" s="485"/>
      <c r="AS285" s="485"/>
      <c r="AT285" s="485"/>
      <c r="AU285" s="485"/>
      <c r="AV285" s="485"/>
      <c r="AW285" s="485"/>
      <c r="AX285" s="485"/>
      <c r="AY285" s="485"/>
      <c r="AZ285" s="485"/>
      <c r="BA285" s="485"/>
      <c r="BB285" s="485"/>
      <c r="BC285" s="485"/>
      <c r="BD285" s="485"/>
      <c r="BE285" s="485"/>
      <c r="BF285" s="485"/>
      <c r="BG285" s="485"/>
      <c r="BH285" s="485"/>
      <c r="BI285" s="485"/>
      <c r="BJ285" s="485"/>
      <c r="BK285" s="485"/>
      <c r="BL285" s="485"/>
      <c r="BM285" s="485"/>
      <c r="BN285" s="485"/>
      <c r="BO285" s="485"/>
      <c r="BP285" s="485"/>
      <c r="BQ285" s="485"/>
      <c r="BR285" s="485"/>
      <c r="BS285" s="485"/>
      <c r="BT285" s="485"/>
      <c r="BU285" s="485"/>
      <c r="BV285" s="485"/>
      <c r="BW285" s="485"/>
      <c r="BX285" s="485"/>
      <c r="BY285" s="485"/>
      <c r="BZ285" s="485"/>
      <c r="CA285" s="485"/>
      <c r="CB285" s="485"/>
      <c r="CC285" s="485"/>
      <c r="CD285" s="485"/>
      <c r="CE285" s="485"/>
      <c r="CF285" s="485"/>
      <c r="CG285" s="485"/>
      <c r="CH285" s="485"/>
      <c r="CI285" s="485"/>
      <c r="CJ285" s="485"/>
      <c r="CK285" s="485"/>
      <c r="CL285" s="485"/>
      <c r="CM285" s="485"/>
      <c r="CN285" s="485"/>
      <c r="CO285" s="485"/>
      <c r="CP285" s="485"/>
      <c r="CQ285" s="485"/>
      <c r="CR285" s="485"/>
      <c r="CS285" s="485"/>
      <c r="CT285" s="485"/>
      <c r="CU285" s="485"/>
      <c r="CV285" s="485"/>
      <c r="CW285" s="485"/>
      <c r="CX285" s="485"/>
      <c r="CY285" s="485"/>
      <c r="CZ285" s="485"/>
      <c r="DA285" s="485"/>
      <c r="DB285" s="485"/>
      <c r="DC285" s="485"/>
      <c r="DD285" s="485"/>
      <c r="DE285" s="485"/>
      <c r="DF285" s="485"/>
      <c r="DG285" s="485"/>
      <c r="DH285" s="485"/>
      <c r="DI285" s="485"/>
      <c r="DJ285" s="485"/>
      <c r="DK285" s="485"/>
      <c r="DL285" s="485"/>
      <c r="DM285" s="485"/>
      <c r="DN285" s="485"/>
      <c r="DO285" s="485"/>
      <c r="DP285" s="485"/>
      <c r="DQ285" s="485"/>
      <c r="DR285" s="485"/>
      <c r="DS285" s="485"/>
      <c r="DT285" s="485"/>
      <c r="DU285" s="485"/>
      <c r="DV285" s="485"/>
      <c r="DW285" s="485"/>
      <c r="DX285" s="485"/>
      <c r="DY285" s="485"/>
      <c r="DZ285" s="485"/>
      <c r="EA285" s="485"/>
      <c r="EB285" s="485"/>
      <c r="EC285" s="485"/>
      <c r="ED285" s="485"/>
      <c r="EE285" s="485"/>
      <c r="EF285" s="485"/>
      <c r="EG285" s="485"/>
      <c r="EH285" s="485"/>
      <c r="EI285" s="485"/>
      <c r="EJ285" s="485"/>
      <c r="EK285" s="485"/>
      <c r="EL285" s="485"/>
      <c r="EM285" s="485"/>
      <c r="EN285" s="485"/>
      <c r="EO285" s="485"/>
      <c r="EP285" s="485"/>
    </row>
    <row r="286" spans="1:146" ht="15.75">
      <c r="A286" s="462">
        <v>1015</v>
      </c>
      <c r="B286" s="467" t="s">
        <v>397</v>
      </c>
      <c r="C286" s="624">
        <v>2844</v>
      </c>
      <c r="D286" s="626">
        <v>2505</v>
      </c>
      <c r="E286" s="611">
        <v>280.52999999999997</v>
      </c>
      <c r="F286" s="678">
        <f t="shared" si="83"/>
        <v>274.79354999999998</v>
      </c>
      <c r="G286" s="683">
        <v>1</v>
      </c>
      <c r="H286" s="682">
        <f t="shared" si="84"/>
        <v>30060</v>
      </c>
      <c r="I286" s="442">
        <f t="shared" si="85"/>
        <v>3366.3599999999997</v>
      </c>
      <c r="J286" s="646"/>
      <c r="K286" s="443">
        <v>7.5149999999999997</v>
      </c>
      <c r="L286" s="627">
        <f t="shared" si="86"/>
        <v>7.5149999999999997</v>
      </c>
      <c r="M286" s="627"/>
      <c r="N286" s="609">
        <v>2505</v>
      </c>
      <c r="O286" s="610">
        <v>280.52519295399298</v>
      </c>
      <c r="P286" s="617" t="str">
        <f t="shared" si="87"/>
        <v>---</v>
      </c>
      <c r="Q286" s="618">
        <f t="shared" si="88"/>
        <v>-4.8070460069880028E-3</v>
      </c>
      <c r="R286" s="485"/>
      <c r="S286" s="624" t="str">
        <f t="shared" si="89"/>
        <v>OK</v>
      </c>
      <c r="T286" s="613">
        <f>IF(+'2012 Rates'!O493&lt;'2012 Rates'!$B$11,'2012 Rates'!$B$11,+'2012 Rates'!O493)</f>
        <v>301.76</v>
      </c>
      <c r="U286" s="447">
        <f t="shared" si="90"/>
        <v>9.813348966888058E-2</v>
      </c>
      <c r="V286" s="485"/>
      <c r="W286" s="623">
        <f t="shared" si="91"/>
        <v>3621.12</v>
      </c>
      <c r="X286" s="485"/>
      <c r="Y286" s="485"/>
      <c r="Z286" s="485"/>
      <c r="AA286" s="485"/>
      <c r="AB286" s="485"/>
      <c r="AC286" s="485"/>
      <c r="AD286" s="485"/>
      <c r="AE286" s="485"/>
      <c r="AF286" s="485"/>
      <c r="AG286" s="485"/>
      <c r="AH286" s="485"/>
      <c r="AI286" s="485"/>
      <c r="AJ286" s="485"/>
      <c r="AK286" s="485"/>
      <c r="AL286" s="485"/>
      <c r="AM286" s="485"/>
      <c r="AN286" s="485"/>
      <c r="AO286" s="485"/>
      <c r="AP286" s="485"/>
      <c r="AQ286" s="485"/>
      <c r="AR286" s="485"/>
      <c r="AS286" s="485"/>
      <c r="AT286" s="485"/>
      <c r="AU286" s="485"/>
      <c r="AV286" s="485"/>
      <c r="AW286" s="485"/>
      <c r="AX286" s="485"/>
      <c r="AY286" s="485"/>
      <c r="AZ286" s="485"/>
      <c r="BA286" s="485"/>
      <c r="BB286" s="485"/>
      <c r="BC286" s="485"/>
      <c r="BD286" s="485"/>
      <c r="BE286" s="485"/>
      <c r="BF286" s="485"/>
      <c r="BG286" s="485"/>
      <c r="BH286" s="485"/>
      <c r="BI286" s="485"/>
      <c r="BJ286" s="485"/>
      <c r="BK286" s="485"/>
      <c r="BL286" s="485"/>
      <c r="BM286" s="485"/>
      <c r="BN286" s="485"/>
      <c r="BO286" s="485"/>
      <c r="BP286" s="485"/>
      <c r="BQ286" s="485"/>
      <c r="BR286" s="485"/>
      <c r="BS286" s="485"/>
      <c r="BT286" s="485"/>
      <c r="BU286" s="485"/>
      <c r="BV286" s="485"/>
      <c r="BW286" s="485"/>
      <c r="BX286" s="485"/>
      <c r="BY286" s="485"/>
      <c r="BZ286" s="485"/>
      <c r="CA286" s="485"/>
      <c r="CB286" s="485"/>
      <c r="CC286" s="485"/>
      <c r="CD286" s="485"/>
      <c r="CE286" s="485"/>
      <c r="CF286" s="485"/>
      <c r="CG286" s="485"/>
      <c r="CH286" s="485"/>
      <c r="CI286" s="485"/>
      <c r="CJ286" s="485"/>
      <c r="CK286" s="485"/>
      <c r="CL286" s="485"/>
      <c r="CM286" s="485"/>
      <c r="CN286" s="485"/>
      <c r="CO286" s="485"/>
      <c r="CP286" s="485"/>
      <c r="CQ286" s="485"/>
      <c r="CR286" s="485"/>
      <c r="CS286" s="485"/>
      <c r="CT286" s="485"/>
      <c r="CU286" s="485"/>
      <c r="CV286" s="485"/>
      <c r="CW286" s="485"/>
      <c r="CX286" s="485"/>
      <c r="CY286" s="485"/>
      <c r="CZ286" s="485"/>
      <c r="DA286" s="485"/>
      <c r="DB286" s="485"/>
      <c r="DC286" s="485"/>
      <c r="DD286" s="485"/>
      <c r="DE286" s="485"/>
      <c r="DF286" s="485"/>
      <c r="DG286" s="485"/>
      <c r="DH286" s="485"/>
      <c r="DI286" s="485"/>
      <c r="DJ286" s="485"/>
      <c r="DK286" s="485"/>
      <c r="DL286" s="485"/>
      <c r="DM286" s="485"/>
      <c r="DN286" s="485"/>
      <c r="DO286" s="485"/>
      <c r="DP286" s="485"/>
      <c r="DQ286" s="485"/>
      <c r="DR286" s="485"/>
      <c r="DS286" s="485"/>
      <c r="DT286" s="485"/>
      <c r="DU286" s="485"/>
      <c r="DV286" s="485"/>
      <c r="DW286" s="485"/>
      <c r="DX286" s="485"/>
      <c r="DY286" s="485"/>
      <c r="DZ286" s="485"/>
      <c r="EA286" s="485"/>
      <c r="EB286" s="485"/>
      <c r="EC286" s="485"/>
      <c r="ED286" s="485"/>
      <c r="EE286" s="485"/>
      <c r="EF286" s="485"/>
      <c r="EG286" s="485"/>
      <c r="EH286" s="485"/>
      <c r="EI286" s="485"/>
      <c r="EJ286" s="485"/>
      <c r="EK286" s="485"/>
      <c r="EL286" s="485"/>
      <c r="EM286" s="485"/>
      <c r="EN286" s="485"/>
      <c r="EO286" s="485"/>
      <c r="EP286" s="485"/>
    </row>
    <row r="287" spans="1:146" ht="15.75">
      <c r="A287" s="462">
        <v>1016</v>
      </c>
      <c r="B287" s="467" t="s">
        <v>397</v>
      </c>
      <c r="C287" s="624">
        <v>875</v>
      </c>
      <c r="D287" s="626">
        <v>375</v>
      </c>
      <c r="E287" s="611">
        <v>41.99</v>
      </c>
      <c r="F287" s="678">
        <f t="shared" si="83"/>
        <v>41.131250000000001</v>
      </c>
      <c r="G287" s="683"/>
      <c r="H287" s="682">
        <f t="shared" si="84"/>
        <v>0</v>
      </c>
      <c r="I287" s="442">
        <f t="shared" si="85"/>
        <v>0</v>
      </c>
      <c r="J287" s="646"/>
      <c r="K287" s="443">
        <v>1.1240000000000001</v>
      </c>
      <c r="L287" s="627">
        <f t="shared" si="86"/>
        <v>0</v>
      </c>
      <c r="M287" s="627"/>
      <c r="N287" s="609">
        <v>375</v>
      </c>
      <c r="O287" s="610">
        <v>41.990477987124699</v>
      </c>
      <c r="P287" s="617" t="str">
        <f t="shared" si="87"/>
        <v>---</v>
      </c>
      <c r="Q287" s="618">
        <f t="shared" si="88"/>
        <v>4.7798712469671045E-4</v>
      </c>
      <c r="R287" s="485"/>
      <c r="S287" s="624" t="str">
        <f t="shared" si="89"/>
        <v>OK</v>
      </c>
      <c r="T287" s="613">
        <f>IF(+'2012 Rates'!O494&lt;'2012 Rates'!$B$11,'2012 Rates'!$B$11,+'2012 Rates'!O494)</f>
        <v>45.17</v>
      </c>
      <c r="U287" s="447">
        <f t="shared" si="90"/>
        <v>9.8191764169579088E-2</v>
      </c>
      <c r="V287" s="485"/>
      <c r="W287" s="623">
        <f t="shared" si="91"/>
        <v>0</v>
      </c>
      <c r="X287" s="485"/>
      <c r="Y287" s="485"/>
      <c r="Z287" s="485"/>
      <c r="AA287" s="485"/>
      <c r="AB287" s="485"/>
      <c r="AC287" s="485"/>
      <c r="AD287" s="485"/>
      <c r="AE287" s="485"/>
      <c r="AF287" s="485"/>
      <c r="AG287" s="485"/>
      <c r="AH287" s="485"/>
      <c r="AI287" s="485"/>
      <c r="AJ287" s="485"/>
      <c r="AK287" s="485"/>
      <c r="AL287" s="485"/>
      <c r="AM287" s="485"/>
      <c r="AN287" s="485"/>
      <c r="AO287" s="485"/>
      <c r="AP287" s="485"/>
      <c r="AQ287" s="485"/>
      <c r="AR287" s="485"/>
      <c r="AS287" s="485"/>
      <c r="AT287" s="485"/>
      <c r="AU287" s="485"/>
      <c r="AV287" s="485"/>
      <c r="AW287" s="485"/>
      <c r="AX287" s="485"/>
      <c r="AY287" s="485"/>
      <c r="AZ287" s="485"/>
      <c r="BA287" s="485"/>
      <c r="BB287" s="485"/>
      <c r="BC287" s="485"/>
      <c r="BD287" s="485"/>
      <c r="BE287" s="485"/>
      <c r="BF287" s="485"/>
      <c r="BG287" s="485"/>
      <c r="BH287" s="485"/>
      <c r="BI287" s="485"/>
      <c r="BJ287" s="485"/>
      <c r="BK287" s="485"/>
      <c r="BL287" s="485"/>
      <c r="BM287" s="485"/>
      <c r="BN287" s="485"/>
      <c r="BO287" s="485"/>
      <c r="BP287" s="485"/>
      <c r="BQ287" s="485"/>
      <c r="BR287" s="485"/>
      <c r="BS287" s="485"/>
      <c r="BT287" s="485"/>
      <c r="BU287" s="485"/>
      <c r="BV287" s="485"/>
      <c r="BW287" s="485"/>
      <c r="BX287" s="485"/>
      <c r="BY287" s="485"/>
      <c r="BZ287" s="485"/>
      <c r="CA287" s="485"/>
      <c r="CB287" s="485"/>
      <c r="CC287" s="485"/>
      <c r="CD287" s="485"/>
      <c r="CE287" s="485"/>
      <c r="CF287" s="485"/>
      <c r="CG287" s="485"/>
      <c r="CH287" s="485"/>
      <c r="CI287" s="485"/>
      <c r="CJ287" s="485"/>
      <c r="CK287" s="485"/>
      <c r="CL287" s="485"/>
      <c r="CM287" s="485"/>
      <c r="CN287" s="485"/>
      <c r="CO287" s="485"/>
      <c r="CP287" s="485"/>
      <c r="CQ287" s="485"/>
      <c r="CR287" s="485"/>
      <c r="CS287" s="485"/>
      <c r="CT287" s="485"/>
      <c r="CU287" s="485"/>
      <c r="CV287" s="485"/>
      <c r="CW287" s="485"/>
      <c r="CX287" s="485"/>
      <c r="CY287" s="485"/>
      <c r="CZ287" s="485"/>
      <c r="DA287" s="485"/>
      <c r="DB287" s="485"/>
      <c r="DC287" s="485"/>
      <c r="DD287" s="485"/>
      <c r="DE287" s="485"/>
      <c r="DF287" s="485"/>
      <c r="DG287" s="485"/>
      <c r="DH287" s="485"/>
      <c r="DI287" s="485"/>
      <c r="DJ287" s="485"/>
      <c r="DK287" s="485"/>
      <c r="DL287" s="485"/>
      <c r="DM287" s="485"/>
      <c r="DN287" s="485"/>
      <c r="DO287" s="485"/>
      <c r="DP287" s="485"/>
      <c r="DQ287" s="485"/>
      <c r="DR287" s="485"/>
      <c r="DS287" s="485"/>
      <c r="DT287" s="485"/>
      <c r="DU287" s="485"/>
      <c r="DV287" s="485"/>
      <c r="DW287" s="485"/>
      <c r="DX287" s="485"/>
      <c r="DY287" s="485"/>
      <c r="DZ287" s="485"/>
      <c r="EA287" s="485"/>
      <c r="EB287" s="485"/>
      <c r="EC287" s="485"/>
      <c r="ED287" s="485"/>
      <c r="EE287" s="485"/>
      <c r="EF287" s="485"/>
      <c r="EG287" s="485"/>
      <c r="EH287" s="485"/>
      <c r="EI287" s="485"/>
      <c r="EJ287" s="485"/>
      <c r="EK287" s="485"/>
      <c r="EL287" s="485"/>
      <c r="EM287" s="485"/>
      <c r="EN287" s="485"/>
      <c r="EO287" s="485"/>
      <c r="EP287" s="485"/>
    </row>
    <row r="288" spans="1:146" ht="15.75">
      <c r="A288" s="462">
        <v>1017</v>
      </c>
      <c r="B288" s="467" t="s">
        <v>397</v>
      </c>
      <c r="C288" s="624">
        <v>100</v>
      </c>
      <c r="D288" s="626">
        <v>37</v>
      </c>
      <c r="E288" s="611">
        <v>4.1399999999999997</v>
      </c>
      <c r="F288" s="678">
        <f t="shared" si="83"/>
        <v>4.0552699999999993</v>
      </c>
      <c r="G288" s="683">
        <v>17</v>
      </c>
      <c r="H288" s="682">
        <f t="shared" si="84"/>
        <v>7548</v>
      </c>
      <c r="I288" s="442">
        <f t="shared" si="85"/>
        <v>844.56</v>
      </c>
      <c r="J288" s="646"/>
      <c r="K288" s="443">
        <v>0.11</v>
      </c>
      <c r="L288" s="627">
        <f t="shared" si="86"/>
        <v>1.87</v>
      </c>
      <c r="M288" s="627"/>
      <c r="N288" s="609">
        <v>37</v>
      </c>
      <c r="O288" s="610">
        <v>4.1375138280629704</v>
      </c>
      <c r="P288" s="617" t="str">
        <f t="shared" si="87"/>
        <v>---</v>
      </c>
      <c r="Q288" s="618">
        <f t="shared" si="88"/>
        <v>-2.486171937029269E-3</v>
      </c>
      <c r="R288" s="485"/>
      <c r="S288" s="624" t="str">
        <f t="shared" si="89"/>
        <v>OK</v>
      </c>
      <c r="T288" s="613">
        <f>IF(+'2012 Rates'!O495&lt;'2012 Rates'!$B$11,'2012 Rates'!$B$11,+'2012 Rates'!O495)</f>
        <v>4.4399999999999995</v>
      </c>
      <c r="U288" s="447">
        <f t="shared" si="90"/>
        <v>9.4871611507988396E-2</v>
      </c>
      <c r="V288" s="485"/>
      <c r="W288" s="623">
        <f t="shared" si="91"/>
        <v>905.75999999999988</v>
      </c>
      <c r="X288" s="485"/>
      <c r="Y288" s="485"/>
      <c r="Z288" s="485"/>
      <c r="AA288" s="485"/>
      <c r="AB288" s="485"/>
      <c r="AC288" s="485"/>
      <c r="AD288" s="485"/>
      <c r="AE288" s="485"/>
      <c r="AF288" s="485"/>
      <c r="AG288" s="485"/>
      <c r="AH288" s="485"/>
      <c r="AI288" s="485"/>
      <c r="AJ288" s="485"/>
      <c r="AK288" s="485"/>
      <c r="AL288" s="485"/>
      <c r="AM288" s="485"/>
      <c r="AN288" s="485"/>
      <c r="AO288" s="485"/>
      <c r="AP288" s="485"/>
      <c r="AQ288" s="485"/>
      <c r="AR288" s="485"/>
      <c r="AS288" s="485"/>
      <c r="AT288" s="485"/>
      <c r="AU288" s="485"/>
      <c r="AV288" s="485"/>
      <c r="AW288" s="485"/>
      <c r="AX288" s="485"/>
      <c r="AY288" s="485"/>
      <c r="AZ288" s="485"/>
      <c r="BA288" s="485"/>
      <c r="BB288" s="485"/>
      <c r="BC288" s="485"/>
      <c r="BD288" s="485"/>
      <c r="BE288" s="485"/>
      <c r="BF288" s="485"/>
      <c r="BG288" s="485"/>
      <c r="BH288" s="485"/>
      <c r="BI288" s="485"/>
      <c r="BJ288" s="485"/>
      <c r="BK288" s="485"/>
      <c r="BL288" s="485"/>
      <c r="BM288" s="485"/>
      <c r="BN288" s="485"/>
      <c r="BO288" s="485"/>
      <c r="BP288" s="485"/>
      <c r="BQ288" s="485"/>
      <c r="BR288" s="485"/>
      <c r="BS288" s="485"/>
      <c r="BT288" s="485"/>
      <c r="BU288" s="485"/>
      <c r="BV288" s="485"/>
      <c r="BW288" s="485"/>
      <c r="BX288" s="485"/>
      <c r="BY288" s="485"/>
      <c r="BZ288" s="485"/>
      <c r="CA288" s="485"/>
      <c r="CB288" s="485"/>
      <c r="CC288" s="485"/>
      <c r="CD288" s="485"/>
      <c r="CE288" s="485"/>
      <c r="CF288" s="485"/>
      <c r="CG288" s="485"/>
      <c r="CH288" s="485"/>
      <c r="CI288" s="485"/>
      <c r="CJ288" s="485"/>
      <c r="CK288" s="485"/>
      <c r="CL288" s="485"/>
      <c r="CM288" s="485"/>
      <c r="CN288" s="485"/>
      <c r="CO288" s="485"/>
      <c r="CP288" s="485"/>
      <c r="CQ288" s="485"/>
      <c r="CR288" s="485"/>
      <c r="CS288" s="485"/>
      <c r="CT288" s="485"/>
      <c r="CU288" s="485"/>
      <c r="CV288" s="485"/>
      <c r="CW288" s="485"/>
      <c r="CX288" s="485"/>
      <c r="CY288" s="485"/>
      <c r="CZ288" s="485"/>
      <c r="DA288" s="485"/>
      <c r="DB288" s="485"/>
      <c r="DC288" s="485"/>
      <c r="DD288" s="485"/>
      <c r="DE288" s="485"/>
      <c r="DF288" s="485"/>
      <c r="DG288" s="485"/>
      <c r="DH288" s="485"/>
      <c r="DI288" s="485"/>
      <c r="DJ288" s="485"/>
      <c r="DK288" s="485"/>
      <c r="DL288" s="485"/>
      <c r="DM288" s="485"/>
      <c r="DN288" s="485"/>
      <c r="DO288" s="485"/>
      <c r="DP288" s="485"/>
      <c r="DQ288" s="485"/>
      <c r="DR288" s="485"/>
      <c r="DS288" s="485"/>
      <c r="DT288" s="485"/>
      <c r="DU288" s="485"/>
      <c r="DV288" s="485"/>
      <c r="DW288" s="485"/>
      <c r="DX288" s="485"/>
      <c r="DY288" s="485"/>
      <c r="DZ288" s="485"/>
      <c r="EA288" s="485"/>
      <c r="EB288" s="485"/>
      <c r="EC288" s="485"/>
      <c r="ED288" s="485"/>
      <c r="EE288" s="485"/>
      <c r="EF288" s="485"/>
      <c r="EG288" s="485"/>
      <c r="EH288" s="485"/>
      <c r="EI288" s="485"/>
      <c r="EJ288" s="485"/>
      <c r="EK288" s="485"/>
      <c r="EL288" s="485"/>
      <c r="EM288" s="485"/>
      <c r="EN288" s="485"/>
      <c r="EO288" s="485"/>
      <c r="EP288" s="485"/>
    </row>
    <row r="289" spans="1:146" ht="15.75">
      <c r="A289" s="462">
        <v>1018</v>
      </c>
      <c r="B289" s="467" t="s">
        <v>463</v>
      </c>
      <c r="C289" s="624">
        <v>330</v>
      </c>
      <c r="D289" s="626">
        <v>120</v>
      </c>
      <c r="E289" s="611">
        <v>12.99</v>
      </c>
      <c r="F289" s="678">
        <f t="shared" si="83"/>
        <v>12.715199999999999</v>
      </c>
      <c r="G289" s="683">
        <v>1</v>
      </c>
      <c r="H289" s="682">
        <f t="shared" si="84"/>
        <v>1440</v>
      </c>
      <c r="I289" s="442">
        <f t="shared" si="85"/>
        <v>155.88</v>
      </c>
      <c r="J289" s="646"/>
      <c r="K289" s="443">
        <v>0.33</v>
      </c>
      <c r="L289" s="627">
        <f t="shared" si="86"/>
        <v>0.33</v>
      </c>
      <c r="M289" s="627"/>
      <c r="N289" s="609">
        <v>120</v>
      </c>
      <c r="O289" s="610">
        <v>12.988152955879906</v>
      </c>
      <c r="P289" s="617" t="str">
        <f t="shared" si="87"/>
        <v>---</v>
      </c>
      <c r="Q289" s="618">
        <f t="shared" si="88"/>
        <v>-1.8470441200939547E-3</v>
      </c>
      <c r="R289" s="485"/>
      <c r="S289" s="624" t="str">
        <f t="shared" si="89"/>
        <v>OK</v>
      </c>
      <c r="T289" s="613">
        <f>IF(+'2012 Rates'!O496&lt;'2012 Rates'!$B$11,'2012 Rates'!$B$11,+'2012 Rates'!O496)</f>
        <v>13.959999999999999</v>
      </c>
      <c r="U289" s="447">
        <f t="shared" si="90"/>
        <v>9.7898578079778531E-2</v>
      </c>
      <c r="V289" s="485"/>
      <c r="W289" s="623">
        <f t="shared" si="91"/>
        <v>167.51999999999998</v>
      </c>
      <c r="X289" s="485"/>
      <c r="Y289" s="485"/>
      <c r="Z289" s="485"/>
      <c r="AA289" s="485"/>
      <c r="AB289" s="485"/>
      <c r="AC289" s="485"/>
      <c r="AD289" s="485"/>
      <c r="AE289" s="485"/>
      <c r="AF289" s="485"/>
      <c r="AG289" s="485"/>
      <c r="AH289" s="485"/>
      <c r="AI289" s="485"/>
      <c r="AJ289" s="485"/>
      <c r="AK289" s="485"/>
      <c r="AL289" s="485"/>
      <c r="AM289" s="485"/>
      <c r="AN289" s="485"/>
      <c r="AO289" s="485"/>
      <c r="AP289" s="485"/>
      <c r="AQ289" s="485"/>
      <c r="AR289" s="485"/>
      <c r="AS289" s="485"/>
      <c r="AT289" s="485"/>
      <c r="AU289" s="485"/>
      <c r="AV289" s="485"/>
      <c r="AW289" s="485"/>
      <c r="AX289" s="485"/>
      <c r="AY289" s="485"/>
      <c r="AZ289" s="485"/>
      <c r="BA289" s="485"/>
      <c r="BB289" s="485"/>
      <c r="BC289" s="485"/>
      <c r="BD289" s="485"/>
      <c r="BE289" s="485"/>
      <c r="BF289" s="485"/>
      <c r="BG289" s="485"/>
      <c r="BH289" s="485"/>
      <c r="BI289" s="485"/>
      <c r="BJ289" s="485"/>
      <c r="BK289" s="485"/>
      <c r="BL289" s="485"/>
      <c r="BM289" s="485"/>
      <c r="BN289" s="485"/>
      <c r="BO289" s="485"/>
      <c r="BP289" s="485"/>
      <c r="BQ289" s="485"/>
      <c r="BR289" s="485"/>
      <c r="BS289" s="485"/>
      <c r="BT289" s="485"/>
      <c r="BU289" s="485"/>
      <c r="BV289" s="485"/>
      <c r="BW289" s="485"/>
      <c r="BX289" s="485"/>
      <c r="BY289" s="485"/>
      <c r="BZ289" s="485"/>
      <c r="CA289" s="485"/>
      <c r="CB289" s="485"/>
      <c r="CC289" s="485"/>
      <c r="CD289" s="485"/>
      <c r="CE289" s="485"/>
      <c r="CF289" s="485"/>
      <c r="CG289" s="485"/>
      <c r="CH289" s="485"/>
      <c r="CI289" s="485"/>
      <c r="CJ289" s="485"/>
      <c r="CK289" s="485"/>
      <c r="CL289" s="485"/>
      <c r="CM289" s="485"/>
      <c r="CN289" s="485"/>
      <c r="CO289" s="485"/>
      <c r="CP289" s="485"/>
      <c r="CQ289" s="485"/>
      <c r="CR289" s="485"/>
      <c r="CS289" s="485"/>
      <c r="CT289" s="485"/>
      <c r="CU289" s="485"/>
      <c r="CV289" s="485"/>
      <c r="CW289" s="485"/>
      <c r="CX289" s="485"/>
      <c r="CY289" s="485"/>
      <c r="CZ289" s="485"/>
      <c r="DA289" s="485"/>
      <c r="DB289" s="485"/>
      <c r="DC289" s="485"/>
      <c r="DD289" s="485"/>
      <c r="DE289" s="485"/>
      <c r="DF289" s="485"/>
      <c r="DG289" s="485"/>
      <c r="DH289" s="485"/>
      <c r="DI289" s="485"/>
      <c r="DJ289" s="485"/>
      <c r="DK289" s="485"/>
      <c r="DL289" s="485"/>
      <c r="DM289" s="485"/>
      <c r="DN289" s="485"/>
      <c r="DO289" s="485"/>
      <c r="DP289" s="485"/>
      <c r="DQ289" s="485"/>
      <c r="DR289" s="485"/>
      <c r="DS289" s="485"/>
      <c r="DT289" s="485"/>
      <c r="DU289" s="485"/>
      <c r="DV289" s="485"/>
      <c r="DW289" s="485"/>
      <c r="DX289" s="485"/>
      <c r="DY289" s="485"/>
      <c r="DZ289" s="485"/>
      <c r="EA289" s="485"/>
      <c r="EB289" s="485"/>
      <c r="EC289" s="485"/>
      <c r="ED289" s="485"/>
      <c r="EE289" s="485"/>
      <c r="EF289" s="485"/>
      <c r="EG289" s="485"/>
      <c r="EH289" s="485"/>
      <c r="EI289" s="485"/>
      <c r="EJ289" s="485"/>
      <c r="EK289" s="485"/>
      <c r="EL289" s="485"/>
      <c r="EM289" s="485"/>
      <c r="EN289" s="485"/>
      <c r="EO289" s="485"/>
      <c r="EP289" s="485"/>
    </row>
    <row r="290" spans="1:146" ht="15.75">
      <c r="A290" s="462">
        <v>1019</v>
      </c>
      <c r="B290" s="467" t="s">
        <v>464</v>
      </c>
      <c r="C290" s="624">
        <v>228</v>
      </c>
      <c r="D290" s="626">
        <v>183</v>
      </c>
      <c r="E290" s="611">
        <v>16</v>
      </c>
      <c r="F290" s="678">
        <f t="shared" si="83"/>
        <v>15.58093</v>
      </c>
      <c r="G290" s="683">
        <v>1</v>
      </c>
      <c r="H290" s="682">
        <f t="shared" si="84"/>
        <v>2196</v>
      </c>
      <c r="I290" s="442">
        <f t="shared" si="85"/>
        <v>192</v>
      </c>
      <c r="J290" s="646"/>
      <c r="K290" s="443">
        <v>0.251</v>
      </c>
      <c r="L290" s="627">
        <f t="shared" si="86"/>
        <v>0.251</v>
      </c>
      <c r="M290" s="627">
        <f>+L290</f>
        <v>0.251</v>
      </c>
      <c r="N290" s="609">
        <v>183</v>
      </c>
      <c r="O290" s="610">
        <v>15.997433257716851</v>
      </c>
      <c r="P290" s="617" t="str">
        <f t="shared" si="87"/>
        <v>---</v>
      </c>
      <c r="Q290" s="618">
        <f t="shared" si="88"/>
        <v>-2.5667422831485709E-3</v>
      </c>
      <c r="R290" s="485"/>
      <c r="S290" s="624" t="str">
        <f t="shared" si="89"/>
        <v>OK</v>
      </c>
      <c r="T290" s="613">
        <f>IF(+'2012 Rates'!P497&lt;'2012 Rates'!$B$11,'2012 Rates'!$B$11,+'2012 Rates'!P497)</f>
        <v>17.11</v>
      </c>
      <c r="U290" s="447">
        <f t="shared" si="90"/>
        <v>9.8137274219189718E-2</v>
      </c>
      <c r="V290" s="485"/>
      <c r="W290" s="623">
        <f t="shared" si="91"/>
        <v>205.32</v>
      </c>
      <c r="X290" s="485"/>
      <c r="Y290" s="485"/>
      <c r="Z290" s="485"/>
      <c r="AA290" s="485"/>
      <c r="AB290" s="485"/>
      <c r="AC290" s="485"/>
      <c r="AD290" s="485"/>
      <c r="AE290" s="485"/>
      <c r="AF290" s="485"/>
      <c r="AG290" s="485"/>
      <c r="AH290" s="485"/>
      <c r="AI290" s="485"/>
      <c r="AJ290" s="485"/>
      <c r="AK290" s="485"/>
      <c r="AL290" s="485"/>
      <c r="AM290" s="485"/>
      <c r="AN290" s="485"/>
      <c r="AO290" s="485"/>
      <c r="AP290" s="485"/>
      <c r="AQ290" s="485"/>
      <c r="AR290" s="485"/>
      <c r="AS290" s="485"/>
      <c r="AT290" s="485"/>
      <c r="AU290" s="485"/>
      <c r="AV290" s="485"/>
      <c r="AW290" s="485"/>
      <c r="AX290" s="485"/>
      <c r="AY290" s="485"/>
      <c r="AZ290" s="485"/>
      <c r="BA290" s="485"/>
      <c r="BB290" s="485"/>
      <c r="BC290" s="485"/>
      <c r="BD290" s="485"/>
      <c r="BE290" s="485"/>
      <c r="BF290" s="485"/>
      <c r="BG290" s="485"/>
      <c r="BH290" s="485"/>
      <c r="BI290" s="485"/>
      <c r="BJ290" s="485"/>
      <c r="BK290" s="485"/>
      <c r="BL290" s="485"/>
      <c r="BM290" s="485"/>
      <c r="BN290" s="485"/>
      <c r="BO290" s="485"/>
      <c r="BP290" s="485"/>
      <c r="BQ290" s="485"/>
      <c r="BR290" s="485"/>
      <c r="BS290" s="485"/>
      <c r="BT290" s="485"/>
      <c r="BU290" s="485"/>
      <c r="BV290" s="485"/>
      <c r="BW290" s="485"/>
      <c r="BX290" s="485"/>
      <c r="BY290" s="485"/>
      <c r="BZ290" s="485"/>
      <c r="CA290" s="485"/>
      <c r="CB290" s="485"/>
      <c r="CC290" s="485"/>
      <c r="CD290" s="485"/>
      <c r="CE290" s="485"/>
      <c r="CF290" s="485"/>
      <c r="CG290" s="485"/>
      <c r="CH290" s="485"/>
      <c r="CI290" s="485"/>
      <c r="CJ290" s="485"/>
      <c r="CK290" s="485"/>
      <c r="CL290" s="485"/>
      <c r="CM290" s="485"/>
      <c r="CN290" s="485"/>
      <c r="CO290" s="485"/>
      <c r="CP290" s="485"/>
      <c r="CQ290" s="485"/>
      <c r="CR290" s="485"/>
      <c r="CS290" s="485"/>
      <c r="CT290" s="485"/>
      <c r="CU290" s="485"/>
      <c r="CV290" s="485"/>
      <c r="CW290" s="485"/>
      <c r="CX290" s="485"/>
      <c r="CY290" s="485"/>
      <c r="CZ290" s="485"/>
      <c r="DA290" s="485"/>
      <c r="DB290" s="485"/>
      <c r="DC290" s="485"/>
      <c r="DD290" s="485"/>
      <c r="DE290" s="485"/>
      <c r="DF290" s="485"/>
      <c r="DG290" s="485"/>
      <c r="DH290" s="485"/>
      <c r="DI290" s="485"/>
      <c r="DJ290" s="485"/>
      <c r="DK290" s="485"/>
      <c r="DL290" s="485"/>
      <c r="DM290" s="485"/>
      <c r="DN290" s="485"/>
      <c r="DO290" s="485"/>
      <c r="DP290" s="485"/>
      <c r="DQ290" s="485"/>
      <c r="DR290" s="485"/>
      <c r="DS290" s="485"/>
      <c r="DT290" s="485"/>
      <c r="DU290" s="485"/>
      <c r="DV290" s="485"/>
      <c r="DW290" s="485"/>
      <c r="DX290" s="485"/>
      <c r="DY290" s="485"/>
      <c r="DZ290" s="485"/>
      <c r="EA290" s="485"/>
      <c r="EB290" s="485"/>
      <c r="EC290" s="485"/>
      <c r="ED290" s="485"/>
      <c r="EE290" s="485"/>
      <c r="EF290" s="485"/>
      <c r="EG290" s="485"/>
      <c r="EH290" s="485"/>
      <c r="EI290" s="485"/>
      <c r="EJ290" s="485"/>
      <c r="EK290" s="485"/>
      <c r="EL290" s="485"/>
      <c r="EM290" s="485"/>
      <c r="EN290" s="485"/>
      <c r="EO290" s="485"/>
      <c r="EP290" s="485"/>
    </row>
    <row r="291" spans="1:146" ht="15.75">
      <c r="A291" s="462">
        <v>1020</v>
      </c>
      <c r="B291" s="467" t="s">
        <v>397</v>
      </c>
      <c r="C291" s="624">
        <v>320</v>
      </c>
      <c r="D291" s="626">
        <v>117</v>
      </c>
      <c r="E291" s="611">
        <v>13.11</v>
      </c>
      <c r="F291" s="678">
        <f t="shared" si="83"/>
        <v>12.84207</v>
      </c>
      <c r="G291" s="683">
        <v>1</v>
      </c>
      <c r="H291" s="682">
        <f t="shared" si="84"/>
        <v>1404</v>
      </c>
      <c r="I291" s="442">
        <f t="shared" si="85"/>
        <v>157.32</v>
      </c>
      <c r="J291" s="646"/>
      <c r="K291" s="443">
        <v>0.35199999999999998</v>
      </c>
      <c r="L291" s="627">
        <f t="shared" si="86"/>
        <v>0.35199999999999998</v>
      </c>
      <c r="M291" s="627"/>
      <c r="N291" s="609">
        <v>117</v>
      </c>
      <c r="O291" s="610">
        <v>13.112949131982905</v>
      </c>
      <c r="P291" s="617" t="str">
        <f t="shared" si="87"/>
        <v>---</v>
      </c>
      <c r="Q291" s="618">
        <f t="shared" si="88"/>
        <v>2.949131982905584E-3</v>
      </c>
      <c r="R291" s="485"/>
      <c r="S291" s="624" t="str">
        <f t="shared" si="89"/>
        <v>OK</v>
      </c>
      <c r="T291" s="613">
        <f>IF(+'2012 Rates'!O498&lt;'2012 Rates'!$B$11,'2012 Rates'!$B$11,+'2012 Rates'!O498)</f>
        <v>14.1</v>
      </c>
      <c r="U291" s="447">
        <f t="shared" si="90"/>
        <v>9.7953834545365437E-2</v>
      </c>
      <c r="V291" s="485"/>
      <c r="W291" s="623">
        <f t="shared" si="91"/>
        <v>169.2</v>
      </c>
      <c r="X291" s="485"/>
      <c r="Y291" s="485"/>
      <c r="Z291" s="485"/>
      <c r="AA291" s="485"/>
      <c r="AB291" s="485"/>
      <c r="AC291" s="485"/>
      <c r="AD291" s="485"/>
      <c r="AE291" s="485"/>
      <c r="AF291" s="485"/>
      <c r="AG291" s="485"/>
      <c r="AH291" s="485"/>
      <c r="AI291" s="485"/>
      <c r="AJ291" s="485"/>
      <c r="AK291" s="485"/>
      <c r="AL291" s="485"/>
      <c r="AM291" s="485"/>
      <c r="AN291" s="485"/>
      <c r="AO291" s="485"/>
      <c r="AP291" s="485"/>
      <c r="AQ291" s="485"/>
      <c r="AR291" s="485"/>
      <c r="AS291" s="485"/>
      <c r="AT291" s="485"/>
      <c r="AU291" s="485"/>
      <c r="AV291" s="485"/>
      <c r="AW291" s="485"/>
      <c r="AX291" s="485"/>
      <c r="AY291" s="485"/>
      <c r="AZ291" s="485"/>
      <c r="BA291" s="485"/>
      <c r="BB291" s="485"/>
      <c r="BC291" s="485"/>
      <c r="BD291" s="485"/>
      <c r="BE291" s="485"/>
      <c r="BF291" s="485"/>
      <c r="BG291" s="485"/>
      <c r="BH291" s="485"/>
      <c r="BI291" s="485"/>
      <c r="BJ291" s="485"/>
      <c r="BK291" s="485"/>
      <c r="BL291" s="485"/>
      <c r="BM291" s="485"/>
      <c r="BN291" s="485"/>
      <c r="BO291" s="485"/>
      <c r="BP291" s="485"/>
      <c r="BQ291" s="485"/>
      <c r="BR291" s="485"/>
      <c r="BS291" s="485"/>
      <c r="BT291" s="485"/>
      <c r="BU291" s="485"/>
      <c r="BV291" s="485"/>
      <c r="BW291" s="485"/>
      <c r="BX291" s="485"/>
      <c r="BY291" s="485"/>
      <c r="BZ291" s="485"/>
      <c r="CA291" s="485"/>
      <c r="CB291" s="485"/>
      <c r="CC291" s="485"/>
      <c r="CD291" s="485"/>
      <c r="CE291" s="485"/>
      <c r="CF291" s="485"/>
      <c r="CG291" s="485"/>
      <c r="CH291" s="485"/>
      <c r="CI291" s="485"/>
      <c r="CJ291" s="485"/>
      <c r="CK291" s="485"/>
      <c r="CL291" s="485"/>
      <c r="CM291" s="485"/>
      <c r="CN291" s="485"/>
      <c r="CO291" s="485"/>
      <c r="CP291" s="485"/>
      <c r="CQ291" s="485"/>
      <c r="CR291" s="485"/>
      <c r="CS291" s="485"/>
      <c r="CT291" s="485"/>
      <c r="CU291" s="485"/>
      <c r="CV291" s="485"/>
      <c r="CW291" s="485"/>
      <c r="CX291" s="485"/>
      <c r="CY291" s="485"/>
      <c r="CZ291" s="485"/>
      <c r="DA291" s="485"/>
      <c r="DB291" s="485"/>
      <c r="DC291" s="485"/>
      <c r="DD291" s="485"/>
      <c r="DE291" s="485"/>
      <c r="DF291" s="485"/>
      <c r="DG291" s="485"/>
      <c r="DH291" s="485"/>
      <c r="DI291" s="485"/>
      <c r="DJ291" s="485"/>
      <c r="DK291" s="485"/>
      <c r="DL291" s="485"/>
      <c r="DM291" s="485"/>
      <c r="DN291" s="485"/>
      <c r="DO291" s="485"/>
      <c r="DP291" s="485"/>
      <c r="DQ291" s="485"/>
      <c r="DR291" s="485"/>
      <c r="DS291" s="485"/>
      <c r="DT291" s="485"/>
      <c r="DU291" s="485"/>
      <c r="DV291" s="485"/>
      <c r="DW291" s="485"/>
      <c r="DX291" s="485"/>
      <c r="DY291" s="485"/>
      <c r="DZ291" s="485"/>
      <c r="EA291" s="485"/>
      <c r="EB291" s="485"/>
      <c r="EC291" s="485"/>
      <c r="ED291" s="485"/>
      <c r="EE291" s="485"/>
      <c r="EF291" s="485"/>
      <c r="EG291" s="485"/>
      <c r="EH291" s="485"/>
      <c r="EI291" s="485"/>
      <c r="EJ291" s="485"/>
      <c r="EK291" s="485"/>
      <c r="EL291" s="485"/>
      <c r="EM291" s="485"/>
      <c r="EN291" s="485"/>
      <c r="EO291" s="485"/>
      <c r="EP291" s="485"/>
    </row>
    <row r="292" spans="1:146" ht="15.75">
      <c r="A292" s="462">
        <v>1021</v>
      </c>
      <c r="B292" s="467" t="s">
        <v>397</v>
      </c>
      <c r="C292" s="624">
        <v>1955</v>
      </c>
      <c r="D292" s="626">
        <v>652</v>
      </c>
      <c r="E292" s="611">
        <v>73</v>
      </c>
      <c r="F292" s="678">
        <f t="shared" si="83"/>
        <v>71.506919999999994</v>
      </c>
      <c r="G292" s="683">
        <v>1</v>
      </c>
      <c r="H292" s="682">
        <f t="shared" si="84"/>
        <v>7824</v>
      </c>
      <c r="I292" s="442">
        <f t="shared" si="85"/>
        <v>876</v>
      </c>
      <c r="J292" s="646"/>
      <c r="K292" s="443">
        <v>1.9550000000000001</v>
      </c>
      <c r="L292" s="627">
        <f t="shared" si="86"/>
        <v>1.9550000000000001</v>
      </c>
      <c r="M292" s="627"/>
      <c r="N292" s="609">
        <v>652</v>
      </c>
      <c r="O292" s="610">
        <v>73.00429772694747</v>
      </c>
      <c r="P292" s="617" t="str">
        <f t="shared" si="87"/>
        <v>---</v>
      </c>
      <c r="Q292" s="618">
        <f t="shared" si="88"/>
        <v>4.2977269474704372E-3</v>
      </c>
      <c r="R292" s="485"/>
      <c r="S292" s="624" t="str">
        <f t="shared" si="89"/>
        <v>OK</v>
      </c>
      <c r="T292" s="613">
        <f>IF(+'2012 Rates'!O499&lt;'2012 Rates'!$B$11,'2012 Rates'!$B$11,+'2012 Rates'!O499)</f>
        <v>78.53</v>
      </c>
      <c r="U292" s="447">
        <f t="shared" si="90"/>
        <v>9.8215389503561346E-2</v>
      </c>
      <c r="V292" s="485"/>
      <c r="W292" s="623">
        <f t="shared" si="91"/>
        <v>942.36</v>
      </c>
      <c r="X292" s="485"/>
      <c r="Y292" s="485"/>
      <c r="Z292" s="485"/>
      <c r="AA292" s="485"/>
      <c r="AB292" s="485"/>
      <c r="AC292" s="485"/>
      <c r="AD292" s="485"/>
      <c r="AE292" s="485"/>
      <c r="AF292" s="485"/>
      <c r="AG292" s="485"/>
      <c r="AH292" s="485"/>
      <c r="AI292" s="485"/>
      <c r="AJ292" s="485"/>
      <c r="AK292" s="485"/>
      <c r="AL292" s="485"/>
      <c r="AM292" s="485"/>
      <c r="AN292" s="485"/>
      <c r="AO292" s="485"/>
      <c r="AP292" s="485"/>
      <c r="AQ292" s="485"/>
      <c r="AR292" s="485"/>
      <c r="AS292" s="485"/>
      <c r="AT292" s="485"/>
      <c r="AU292" s="485"/>
      <c r="AV292" s="485"/>
      <c r="AW292" s="485"/>
      <c r="AX292" s="485"/>
      <c r="AY292" s="485"/>
      <c r="AZ292" s="485"/>
      <c r="BA292" s="485"/>
      <c r="BB292" s="485"/>
      <c r="BC292" s="485"/>
      <c r="BD292" s="485"/>
      <c r="BE292" s="485"/>
      <c r="BF292" s="485"/>
      <c r="BG292" s="485"/>
      <c r="BH292" s="485"/>
      <c r="BI292" s="485"/>
      <c r="BJ292" s="485"/>
      <c r="BK292" s="485"/>
      <c r="BL292" s="485"/>
      <c r="BM292" s="485"/>
      <c r="BN292" s="485"/>
      <c r="BO292" s="485"/>
      <c r="BP292" s="485"/>
      <c r="BQ292" s="485"/>
      <c r="BR292" s="485"/>
      <c r="BS292" s="485"/>
      <c r="BT292" s="485"/>
      <c r="BU292" s="485"/>
      <c r="BV292" s="485"/>
      <c r="BW292" s="485"/>
      <c r="BX292" s="485"/>
      <c r="BY292" s="485"/>
      <c r="BZ292" s="485"/>
      <c r="CA292" s="485"/>
      <c r="CB292" s="485"/>
      <c r="CC292" s="485"/>
      <c r="CD292" s="485"/>
      <c r="CE292" s="485"/>
      <c r="CF292" s="485"/>
      <c r="CG292" s="485"/>
      <c r="CH292" s="485"/>
      <c r="CI292" s="485"/>
      <c r="CJ292" s="485"/>
      <c r="CK292" s="485"/>
      <c r="CL292" s="485"/>
      <c r="CM292" s="485"/>
      <c r="CN292" s="485"/>
      <c r="CO292" s="485"/>
      <c r="CP292" s="485"/>
      <c r="CQ292" s="485"/>
      <c r="CR292" s="485"/>
      <c r="CS292" s="485"/>
      <c r="CT292" s="485"/>
      <c r="CU292" s="485"/>
      <c r="CV292" s="485"/>
      <c r="CW292" s="485"/>
      <c r="CX292" s="485"/>
      <c r="CY292" s="485"/>
      <c r="CZ292" s="485"/>
      <c r="DA292" s="485"/>
      <c r="DB292" s="485"/>
      <c r="DC292" s="485"/>
      <c r="DD292" s="485"/>
      <c r="DE292" s="485"/>
      <c r="DF292" s="485"/>
      <c r="DG292" s="485"/>
      <c r="DH292" s="485"/>
      <c r="DI292" s="485"/>
      <c r="DJ292" s="485"/>
      <c r="DK292" s="485"/>
      <c r="DL292" s="485"/>
      <c r="DM292" s="485"/>
      <c r="DN292" s="485"/>
      <c r="DO292" s="485"/>
      <c r="DP292" s="485"/>
      <c r="DQ292" s="485"/>
      <c r="DR292" s="485"/>
      <c r="DS292" s="485"/>
      <c r="DT292" s="485"/>
      <c r="DU292" s="485"/>
      <c r="DV292" s="485"/>
      <c r="DW292" s="485"/>
      <c r="DX292" s="485"/>
      <c r="DY292" s="485"/>
      <c r="DZ292" s="485"/>
      <c r="EA292" s="485"/>
      <c r="EB292" s="485"/>
      <c r="EC292" s="485"/>
      <c r="ED292" s="485"/>
      <c r="EE292" s="485"/>
      <c r="EF292" s="485"/>
      <c r="EG292" s="485"/>
      <c r="EH292" s="485"/>
      <c r="EI292" s="485"/>
      <c r="EJ292" s="485"/>
      <c r="EK292" s="485"/>
      <c r="EL292" s="485"/>
      <c r="EM292" s="485"/>
      <c r="EN292" s="485"/>
      <c r="EO292" s="485"/>
      <c r="EP292" s="485"/>
    </row>
    <row r="293" spans="1:146" ht="15.75">
      <c r="A293" s="462">
        <v>1022</v>
      </c>
      <c r="B293" s="467" t="s">
        <v>397</v>
      </c>
      <c r="C293" s="624">
        <v>75</v>
      </c>
      <c r="D293" s="626">
        <v>30</v>
      </c>
      <c r="E293" s="611">
        <v>3.36</v>
      </c>
      <c r="F293" s="678">
        <f t="shared" si="83"/>
        <v>3.2912999999999997</v>
      </c>
      <c r="G293" s="683">
        <v>1</v>
      </c>
      <c r="H293" s="682">
        <f t="shared" si="84"/>
        <v>360</v>
      </c>
      <c r="I293" s="442">
        <f t="shared" si="85"/>
        <v>40.32</v>
      </c>
      <c r="J293" s="646"/>
      <c r="K293" s="443">
        <v>0.09</v>
      </c>
      <c r="L293" s="627">
        <f t="shared" si="86"/>
        <v>0.09</v>
      </c>
      <c r="M293" s="627"/>
      <c r="N293" s="609">
        <v>30</v>
      </c>
      <c r="O293" s="610">
        <v>3.3620382389699763</v>
      </c>
      <c r="P293" s="617" t="str">
        <f t="shared" si="87"/>
        <v>---</v>
      </c>
      <c r="Q293" s="618">
        <f t="shared" si="88"/>
        <v>2.038238969976458E-3</v>
      </c>
      <c r="R293" s="485"/>
      <c r="S293" s="624" t="str">
        <f t="shared" si="89"/>
        <v>OK</v>
      </c>
      <c r="T293" s="613">
        <f>IF(+'2012 Rates'!O500&lt;'2012 Rates'!$B$11,'2012 Rates'!$B$11,+'2012 Rates'!O500)</f>
        <v>3.61</v>
      </c>
      <c r="U293" s="447">
        <f t="shared" si="90"/>
        <v>9.6831039406921393E-2</v>
      </c>
      <c r="V293" s="485"/>
      <c r="W293" s="623">
        <f t="shared" si="91"/>
        <v>43.32</v>
      </c>
      <c r="X293" s="485"/>
      <c r="Y293" s="485"/>
      <c r="Z293" s="485"/>
      <c r="AA293" s="485"/>
      <c r="AB293" s="485"/>
      <c r="AC293" s="485"/>
      <c r="AD293" s="485"/>
      <c r="AE293" s="485"/>
      <c r="AF293" s="485"/>
      <c r="AG293" s="485"/>
      <c r="AH293" s="485"/>
      <c r="AI293" s="485"/>
      <c r="AJ293" s="485"/>
      <c r="AK293" s="485"/>
      <c r="AL293" s="485"/>
      <c r="AM293" s="485"/>
      <c r="AN293" s="485"/>
      <c r="AO293" s="485"/>
      <c r="AP293" s="485"/>
      <c r="AQ293" s="485"/>
      <c r="AR293" s="485"/>
      <c r="AS293" s="485"/>
      <c r="AT293" s="485"/>
      <c r="AU293" s="485"/>
      <c r="AV293" s="485"/>
      <c r="AW293" s="485"/>
      <c r="AX293" s="485"/>
      <c r="AY293" s="485"/>
      <c r="AZ293" s="485"/>
      <c r="BA293" s="485"/>
      <c r="BB293" s="485"/>
      <c r="BC293" s="485"/>
      <c r="BD293" s="485"/>
      <c r="BE293" s="485"/>
      <c r="BF293" s="485"/>
      <c r="BG293" s="485"/>
      <c r="BH293" s="485"/>
      <c r="BI293" s="485"/>
      <c r="BJ293" s="485"/>
      <c r="BK293" s="485"/>
      <c r="BL293" s="485"/>
      <c r="BM293" s="485"/>
      <c r="BN293" s="485"/>
      <c r="BO293" s="485"/>
      <c r="BP293" s="485"/>
      <c r="BQ293" s="485"/>
      <c r="BR293" s="485"/>
      <c r="BS293" s="485"/>
      <c r="BT293" s="485"/>
      <c r="BU293" s="485"/>
      <c r="BV293" s="485"/>
      <c r="BW293" s="485"/>
      <c r="BX293" s="485"/>
      <c r="BY293" s="485"/>
      <c r="BZ293" s="485"/>
      <c r="CA293" s="485"/>
      <c r="CB293" s="485"/>
      <c r="CC293" s="485"/>
      <c r="CD293" s="485"/>
      <c r="CE293" s="485"/>
      <c r="CF293" s="485"/>
      <c r="CG293" s="485"/>
      <c r="CH293" s="485"/>
      <c r="CI293" s="485"/>
      <c r="CJ293" s="485"/>
      <c r="CK293" s="485"/>
      <c r="CL293" s="485"/>
      <c r="CM293" s="485"/>
      <c r="CN293" s="485"/>
      <c r="CO293" s="485"/>
      <c r="CP293" s="485"/>
      <c r="CQ293" s="485"/>
      <c r="CR293" s="485"/>
      <c r="CS293" s="485"/>
      <c r="CT293" s="485"/>
      <c r="CU293" s="485"/>
      <c r="CV293" s="485"/>
      <c r="CW293" s="485"/>
      <c r="CX293" s="485"/>
      <c r="CY293" s="485"/>
      <c r="CZ293" s="485"/>
      <c r="DA293" s="485"/>
      <c r="DB293" s="485"/>
      <c r="DC293" s="485"/>
      <c r="DD293" s="485"/>
      <c r="DE293" s="485"/>
      <c r="DF293" s="485"/>
      <c r="DG293" s="485"/>
      <c r="DH293" s="485"/>
      <c r="DI293" s="485"/>
      <c r="DJ293" s="485"/>
      <c r="DK293" s="485"/>
      <c r="DL293" s="485"/>
      <c r="DM293" s="485"/>
      <c r="DN293" s="485"/>
      <c r="DO293" s="485"/>
      <c r="DP293" s="485"/>
      <c r="DQ293" s="485"/>
      <c r="DR293" s="485"/>
      <c r="DS293" s="485"/>
      <c r="DT293" s="485"/>
      <c r="DU293" s="485"/>
      <c r="DV293" s="485"/>
      <c r="DW293" s="485"/>
      <c r="DX293" s="485"/>
      <c r="DY293" s="485"/>
      <c r="DZ293" s="485"/>
      <c r="EA293" s="485"/>
      <c r="EB293" s="485"/>
      <c r="EC293" s="485"/>
      <c r="ED293" s="485"/>
      <c r="EE293" s="485"/>
      <c r="EF293" s="485"/>
      <c r="EG293" s="485"/>
      <c r="EH293" s="485"/>
      <c r="EI293" s="485"/>
      <c r="EJ293" s="485"/>
      <c r="EK293" s="485"/>
      <c r="EL293" s="485"/>
      <c r="EM293" s="485"/>
      <c r="EN293" s="485"/>
      <c r="EO293" s="485"/>
      <c r="EP293" s="485"/>
    </row>
    <row r="294" spans="1:146" ht="15.75">
      <c r="A294" s="462">
        <v>1023</v>
      </c>
      <c r="B294" s="467" t="s">
        <v>397</v>
      </c>
      <c r="C294" s="624">
        <v>1640</v>
      </c>
      <c r="D294" s="626">
        <v>546</v>
      </c>
      <c r="E294" s="611">
        <v>61.18</v>
      </c>
      <c r="F294" s="678">
        <f t="shared" si="83"/>
        <v>59.929659999999998</v>
      </c>
      <c r="G294" s="683">
        <v>2</v>
      </c>
      <c r="H294" s="682">
        <f t="shared" si="84"/>
        <v>13104</v>
      </c>
      <c r="I294" s="442">
        <f t="shared" si="85"/>
        <v>1468.32</v>
      </c>
      <c r="J294" s="646"/>
      <c r="K294" s="443">
        <v>1.64</v>
      </c>
      <c r="L294" s="627">
        <f t="shared" si="86"/>
        <v>3.28</v>
      </c>
      <c r="M294" s="627"/>
      <c r="N294" s="609">
        <v>546</v>
      </c>
      <c r="O294" s="610">
        <v>61.177095949253562</v>
      </c>
      <c r="P294" s="617" t="str">
        <f t="shared" si="87"/>
        <v>---</v>
      </c>
      <c r="Q294" s="618">
        <f t="shared" si="88"/>
        <v>-2.9040507464372922E-3</v>
      </c>
      <c r="R294" s="485"/>
      <c r="S294" s="624" t="str">
        <f t="shared" si="89"/>
        <v>OK</v>
      </c>
      <c r="T294" s="613">
        <f>IF(+'2012 Rates'!O501&lt;'2012 Rates'!$B$11,'2012 Rates'!$B$11,+'2012 Rates'!O501)</f>
        <v>65.81</v>
      </c>
      <c r="U294" s="447">
        <f t="shared" si="90"/>
        <v>9.812069683025082E-2</v>
      </c>
      <c r="V294" s="485"/>
      <c r="W294" s="623">
        <f t="shared" si="91"/>
        <v>1579.44</v>
      </c>
      <c r="X294" s="485"/>
      <c r="Y294" s="485"/>
      <c r="Z294" s="485"/>
      <c r="AA294" s="485"/>
      <c r="AB294" s="485"/>
      <c r="AC294" s="485"/>
      <c r="AD294" s="485"/>
      <c r="AE294" s="485"/>
      <c r="AF294" s="485"/>
      <c r="AG294" s="485"/>
      <c r="AH294" s="485"/>
      <c r="AI294" s="485"/>
      <c r="AJ294" s="485"/>
      <c r="AK294" s="485"/>
      <c r="AL294" s="485"/>
      <c r="AM294" s="485"/>
      <c r="AN294" s="485"/>
      <c r="AO294" s="485"/>
      <c r="AP294" s="485"/>
      <c r="AQ294" s="485"/>
      <c r="AR294" s="485"/>
      <c r="AS294" s="485"/>
      <c r="AT294" s="485"/>
      <c r="AU294" s="485"/>
      <c r="AV294" s="485"/>
      <c r="AW294" s="485"/>
      <c r="AX294" s="485"/>
      <c r="AY294" s="485"/>
      <c r="AZ294" s="485"/>
      <c r="BA294" s="485"/>
      <c r="BB294" s="485"/>
      <c r="BC294" s="485"/>
      <c r="BD294" s="485"/>
      <c r="BE294" s="485"/>
      <c r="BF294" s="485"/>
      <c r="BG294" s="485"/>
      <c r="BH294" s="485"/>
      <c r="BI294" s="485"/>
      <c r="BJ294" s="485"/>
      <c r="BK294" s="485"/>
      <c r="BL294" s="485"/>
      <c r="BM294" s="485"/>
      <c r="BN294" s="485"/>
      <c r="BO294" s="485"/>
      <c r="BP294" s="485"/>
      <c r="BQ294" s="485"/>
      <c r="BR294" s="485"/>
      <c r="BS294" s="485"/>
      <c r="BT294" s="485"/>
      <c r="BU294" s="485"/>
      <c r="BV294" s="485"/>
      <c r="BW294" s="485"/>
      <c r="BX294" s="485"/>
      <c r="BY294" s="485"/>
      <c r="BZ294" s="485"/>
      <c r="CA294" s="485"/>
      <c r="CB294" s="485"/>
      <c r="CC294" s="485"/>
      <c r="CD294" s="485"/>
      <c r="CE294" s="485"/>
      <c r="CF294" s="485"/>
      <c r="CG294" s="485"/>
      <c r="CH294" s="485"/>
      <c r="CI294" s="485"/>
      <c r="CJ294" s="485"/>
      <c r="CK294" s="485"/>
      <c r="CL294" s="485"/>
      <c r="CM294" s="485"/>
      <c r="CN294" s="485"/>
      <c r="CO294" s="485"/>
      <c r="CP294" s="485"/>
      <c r="CQ294" s="485"/>
      <c r="CR294" s="485"/>
      <c r="CS294" s="485"/>
      <c r="CT294" s="485"/>
      <c r="CU294" s="485"/>
      <c r="CV294" s="485"/>
      <c r="CW294" s="485"/>
      <c r="CX294" s="485"/>
      <c r="CY294" s="485"/>
      <c r="CZ294" s="485"/>
      <c r="DA294" s="485"/>
      <c r="DB294" s="485"/>
      <c r="DC294" s="485"/>
      <c r="DD294" s="485"/>
      <c r="DE294" s="485"/>
      <c r="DF294" s="485"/>
      <c r="DG294" s="485"/>
      <c r="DH294" s="485"/>
      <c r="DI294" s="485"/>
      <c r="DJ294" s="485"/>
      <c r="DK294" s="485"/>
      <c r="DL294" s="485"/>
      <c r="DM294" s="485"/>
      <c r="DN294" s="485"/>
      <c r="DO294" s="485"/>
      <c r="DP294" s="485"/>
      <c r="DQ294" s="485"/>
      <c r="DR294" s="485"/>
      <c r="DS294" s="485"/>
      <c r="DT294" s="485"/>
      <c r="DU294" s="485"/>
      <c r="DV294" s="485"/>
      <c r="DW294" s="485"/>
      <c r="DX294" s="485"/>
      <c r="DY294" s="485"/>
      <c r="DZ294" s="485"/>
      <c r="EA294" s="485"/>
      <c r="EB294" s="485"/>
      <c r="EC294" s="485"/>
      <c r="ED294" s="485"/>
      <c r="EE294" s="485"/>
      <c r="EF294" s="485"/>
      <c r="EG294" s="485"/>
      <c r="EH294" s="485"/>
      <c r="EI294" s="485"/>
      <c r="EJ294" s="485"/>
      <c r="EK294" s="485"/>
      <c r="EL294" s="485"/>
      <c r="EM294" s="485"/>
      <c r="EN294" s="485"/>
      <c r="EO294" s="485"/>
      <c r="EP294" s="485"/>
    </row>
    <row r="295" spans="1:146" ht="15.75">
      <c r="A295" s="462">
        <v>1024</v>
      </c>
      <c r="B295" s="467" t="s">
        <v>397</v>
      </c>
      <c r="C295" s="624">
        <v>390</v>
      </c>
      <c r="D295" s="626">
        <v>143</v>
      </c>
      <c r="E295" s="611">
        <v>16.02</v>
      </c>
      <c r="F295" s="678">
        <f t="shared" si="83"/>
        <v>15.69253</v>
      </c>
      <c r="G295" s="683">
        <v>2</v>
      </c>
      <c r="H295" s="682">
        <f t="shared" si="84"/>
        <v>3432</v>
      </c>
      <c r="I295" s="442">
        <f t="shared" si="85"/>
        <v>384.48</v>
      </c>
      <c r="J295" s="646"/>
      <c r="K295" s="443">
        <v>0.42899999999999999</v>
      </c>
      <c r="L295" s="627">
        <f t="shared" si="86"/>
        <v>0.85799999999999998</v>
      </c>
      <c r="M295" s="627"/>
      <c r="N295" s="609">
        <v>143</v>
      </c>
      <c r="O295" s="610">
        <v>16.024715605756885</v>
      </c>
      <c r="P295" s="617" t="str">
        <f t="shared" si="87"/>
        <v>---</v>
      </c>
      <c r="Q295" s="618">
        <f t="shared" si="88"/>
        <v>4.7156057568855658E-3</v>
      </c>
      <c r="R295" s="485"/>
      <c r="S295" s="624" t="str">
        <f t="shared" si="89"/>
        <v>OK</v>
      </c>
      <c r="T295" s="613">
        <f>IF(+'2012 Rates'!O502&lt;'2012 Rates'!$B$11,'2012 Rates'!$B$11,+'2012 Rates'!O502)</f>
        <v>17.239999999999998</v>
      </c>
      <c r="U295" s="447">
        <f t="shared" si="90"/>
        <v>9.8611887311988555E-2</v>
      </c>
      <c r="V295" s="485"/>
      <c r="W295" s="623">
        <f t="shared" si="91"/>
        <v>413.76</v>
      </c>
      <c r="X295" s="485"/>
      <c r="Y295" s="485"/>
      <c r="Z295" s="485"/>
      <c r="AA295" s="485"/>
      <c r="AB295" s="485"/>
      <c r="AC295" s="485"/>
      <c r="AD295" s="485"/>
      <c r="AE295" s="485"/>
      <c r="AF295" s="485"/>
      <c r="AG295" s="485"/>
      <c r="AH295" s="485"/>
      <c r="AI295" s="485"/>
      <c r="AJ295" s="485"/>
      <c r="AK295" s="485"/>
      <c r="AL295" s="485"/>
      <c r="AM295" s="485"/>
      <c r="AN295" s="485"/>
      <c r="AO295" s="485"/>
      <c r="AP295" s="485"/>
      <c r="AQ295" s="485"/>
      <c r="AR295" s="485"/>
      <c r="AS295" s="485"/>
      <c r="AT295" s="485"/>
      <c r="AU295" s="485"/>
      <c r="AV295" s="485"/>
      <c r="AW295" s="485"/>
      <c r="AX295" s="485"/>
      <c r="AY295" s="485"/>
      <c r="AZ295" s="485"/>
      <c r="BA295" s="485"/>
      <c r="BB295" s="485"/>
      <c r="BC295" s="485"/>
      <c r="BD295" s="485"/>
      <c r="BE295" s="485"/>
      <c r="BF295" s="485"/>
      <c r="BG295" s="485"/>
      <c r="BH295" s="485"/>
      <c r="BI295" s="485"/>
      <c r="BJ295" s="485"/>
      <c r="BK295" s="485"/>
      <c r="BL295" s="485"/>
      <c r="BM295" s="485"/>
      <c r="BN295" s="485"/>
      <c r="BO295" s="485"/>
      <c r="BP295" s="485"/>
      <c r="BQ295" s="485"/>
      <c r="BR295" s="485"/>
      <c r="BS295" s="485"/>
      <c r="BT295" s="485"/>
      <c r="BU295" s="485"/>
      <c r="BV295" s="485"/>
      <c r="BW295" s="485"/>
      <c r="BX295" s="485"/>
      <c r="BY295" s="485"/>
      <c r="BZ295" s="485"/>
      <c r="CA295" s="485"/>
      <c r="CB295" s="485"/>
      <c r="CC295" s="485"/>
      <c r="CD295" s="485"/>
      <c r="CE295" s="485"/>
      <c r="CF295" s="485"/>
      <c r="CG295" s="485"/>
      <c r="CH295" s="485"/>
      <c r="CI295" s="485"/>
      <c r="CJ295" s="485"/>
      <c r="CK295" s="485"/>
      <c r="CL295" s="485"/>
      <c r="CM295" s="485"/>
      <c r="CN295" s="485"/>
      <c r="CO295" s="485"/>
      <c r="CP295" s="485"/>
      <c r="CQ295" s="485"/>
      <c r="CR295" s="485"/>
      <c r="CS295" s="485"/>
      <c r="CT295" s="485"/>
      <c r="CU295" s="485"/>
      <c r="CV295" s="485"/>
      <c r="CW295" s="485"/>
      <c r="CX295" s="485"/>
      <c r="CY295" s="485"/>
      <c r="CZ295" s="485"/>
      <c r="DA295" s="485"/>
      <c r="DB295" s="485"/>
      <c r="DC295" s="485"/>
      <c r="DD295" s="485"/>
      <c r="DE295" s="485"/>
      <c r="DF295" s="485"/>
      <c r="DG295" s="485"/>
      <c r="DH295" s="485"/>
      <c r="DI295" s="485"/>
      <c r="DJ295" s="485"/>
      <c r="DK295" s="485"/>
      <c r="DL295" s="485"/>
      <c r="DM295" s="485"/>
      <c r="DN295" s="485"/>
      <c r="DO295" s="485"/>
      <c r="DP295" s="485"/>
      <c r="DQ295" s="485"/>
      <c r="DR295" s="485"/>
      <c r="DS295" s="485"/>
      <c r="DT295" s="485"/>
      <c r="DU295" s="485"/>
      <c r="DV295" s="485"/>
      <c r="DW295" s="485"/>
      <c r="DX295" s="485"/>
      <c r="DY295" s="485"/>
      <c r="DZ295" s="485"/>
      <c r="EA295" s="485"/>
      <c r="EB295" s="485"/>
      <c r="EC295" s="485"/>
      <c r="ED295" s="485"/>
      <c r="EE295" s="485"/>
      <c r="EF295" s="485"/>
      <c r="EG295" s="485"/>
      <c r="EH295" s="485"/>
      <c r="EI295" s="485"/>
      <c r="EJ295" s="485"/>
      <c r="EK295" s="485"/>
      <c r="EL295" s="485"/>
      <c r="EM295" s="485"/>
      <c r="EN295" s="485"/>
      <c r="EO295" s="485"/>
      <c r="EP295" s="485"/>
    </row>
    <row r="296" spans="1:146" ht="15.75">
      <c r="A296" s="462">
        <v>1025</v>
      </c>
      <c r="B296" s="467" t="s">
        <v>397</v>
      </c>
      <c r="C296" s="624">
        <v>300</v>
      </c>
      <c r="D296" s="626">
        <v>110</v>
      </c>
      <c r="E296" s="611">
        <v>12.32</v>
      </c>
      <c r="F296" s="678">
        <f t="shared" si="83"/>
        <v>12.068100000000001</v>
      </c>
      <c r="G296" s="683">
        <v>2</v>
      </c>
      <c r="H296" s="682">
        <f t="shared" si="84"/>
        <v>2640</v>
      </c>
      <c r="I296" s="442">
        <f t="shared" si="85"/>
        <v>295.68</v>
      </c>
      <c r="J296" s="646"/>
      <c r="K296" s="443">
        <v>0.33</v>
      </c>
      <c r="L296" s="627">
        <f t="shared" si="86"/>
        <v>0.66</v>
      </c>
      <c r="M296" s="627"/>
      <c r="N296" s="609">
        <v>110</v>
      </c>
      <c r="O296" s="610">
        <v>12.31747354288991</v>
      </c>
      <c r="P296" s="617" t="str">
        <f t="shared" si="87"/>
        <v>---</v>
      </c>
      <c r="Q296" s="618">
        <f t="shared" si="88"/>
        <v>-2.5264571100898081E-3</v>
      </c>
      <c r="R296" s="485"/>
      <c r="S296" s="624" t="str">
        <f t="shared" si="89"/>
        <v>OK</v>
      </c>
      <c r="T296" s="613">
        <f>IF(+'2012 Rates'!O503&lt;'2012 Rates'!$B$11,'2012 Rates'!$B$11,+'2012 Rates'!O503)</f>
        <v>13.25</v>
      </c>
      <c r="U296" s="447">
        <f t="shared" si="90"/>
        <v>9.7935880544576026E-2</v>
      </c>
      <c r="V296" s="485"/>
      <c r="W296" s="623">
        <f t="shared" si="91"/>
        <v>318</v>
      </c>
      <c r="X296" s="485"/>
      <c r="Y296" s="485"/>
      <c r="Z296" s="485"/>
      <c r="AA296" s="485"/>
      <c r="AB296" s="485"/>
      <c r="AC296" s="485"/>
      <c r="AD296" s="485"/>
      <c r="AE296" s="485"/>
      <c r="AF296" s="485"/>
      <c r="AG296" s="485"/>
      <c r="AH296" s="485"/>
      <c r="AI296" s="485"/>
      <c r="AJ296" s="485"/>
      <c r="AK296" s="485"/>
      <c r="AL296" s="485"/>
      <c r="AM296" s="485"/>
      <c r="AN296" s="485"/>
      <c r="AO296" s="485"/>
      <c r="AP296" s="485"/>
      <c r="AQ296" s="485"/>
      <c r="AR296" s="485"/>
      <c r="AS296" s="485"/>
      <c r="AT296" s="485"/>
      <c r="AU296" s="485"/>
      <c r="AV296" s="485"/>
      <c r="AW296" s="485"/>
      <c r="AX296" s="485"/>
      <c r="AY296" s="485"/>
      <c r="AZ296" s="485"/>
      <c r="BA296" s="485"/>
      <c r="BB296" s="485"/>
      <c r="BC296" s="485"/>
      <c r="BD296" s="485"/>
      <c r="BE296" s="485"/>
      <c r="BF296" s="485"/>
      <c r="BG296" s="485"/>
      <c r="BH296" s="485"/>
      <c r="BI296" s="485"/>
      <c r="BJ296" s="485"/>
      <c r="BK296" s="485"/>
      <c r="BL296" s="485"/>
      <c r="BM296" s="485"/>
      <c r="BN296" s="485"/>
      <c r="BO296" s="485"/>
      <c r="BP296" s="485"/>
      <c r="BQ296" s="485"/>
      <c r="BR296" s="485"/>
      <c r="BS296" s="485"/>
      <c r="BT296" s="485"/>
      <c r="BU296" s="485"/>
      <c r="BV296" s="485"/>
      <c r="BW296" s="485"/>
      <c r="BX296" s="485"/>
      <c r="BY296" s="485"/>
      <c r="BZ296" s="485"/>
      <c r="CA296" s="485"/>
      <c r="CB296" s="485"/>
      <c r="CC296" s="485"/>
      <c r="CD296" s="485"/>
      <c r="CE296" s="485"/>
      <c r="CF296" s="485"/>
      <c r="CG296" s="485"/>
      <c r="CH296" s="485"/>
      <c r="CI296" s="485"/>
      <c r="CJ296" s="485"/>
      <c r="CK296" s="485"/>
      <c r="CL296" s="485"/>
      <c r="CM296" s="485"/>
      <c r="CN296" s="485"/>
      <c r="CO296" s="485"/>
      <c r="CP296" s="485"/>
      <c r="CQ296" s="485"/>
      <c r="CR296" s="485"/>
      <c r="CS296" s="485"/>
      <c r="CT296" s="485"/>
      <c r="CU296" s="485"/>
      <c r="CV296" s="485"/>
      <c r="CW296" s="485"/>
      <c r="CX296" s="485"/>
      <c r="CY296" s="485"/>
      <c r="CZ296" s="485"/>
      <c r="DA296" s="485"/>
      <c r="DB296" s="485"/>
      <c r="DC296" s="485"/>
      <c r="DD296" s="485"/>
      <c r="DE296" s="485"/>
      <c r="DF296" s="485"/>
      <c r="DG296" s="485"/>
      <c r="DH296" s="485"/>
      <c r="DI296" s="485"/>
      <c r="DJ296" s="485"/>
      <c r="DK296" s="485"/>
      <c r="DL296" s="485"/>
      <c r="DM296" s="485"/>
      <c r="DN296" s="485"/>
      <c r="DO296" s="485"/>
      <c r="DP296" s="485"/>
      <c r="DQ296" s="485"/>
      <c r="DR296" s="485"/>
      <c r="DS296" s="485"/>
      <c r="DT296" s="485"/>
      <c r="DU296" s="485"/>
      <c r="DV296" s="485"/>
      <c r="DW296" s="485"/>
      <c r="DX296" s="485"/>
      <c r="DY296" s="485"/>
      <c r="DZ296" s="485"/>
      <c r="EA296" s="485"/>
      <c r="EB296" s="485"/>
      <c r="EC296" s="485"/>
      <c r="ED296" s="485"/>
      <c r="EE296" s="485"/>
      <c r="EF296" s="485"/>
      <c r="EG296" s="485"/>
      <c r="EH296" s="485"/>
      <c r="EI296" s="485"/>
      <c r="EJ296" s="485"/>
      <c r="EK296" s="485"/>
      <c r="EL296" s="485"/>
      <c r="EM296" s="485"/>
      <c r="EN296" s="485"/>
      <c r="EO296" s="485"/>
      <c r="EP296" s="485"/>
    </row>
    <row r="297" spans="1:146" ht="15.75">
      <c r="A297" s="462">
        <v>1026</v>
      </c>
      <c r="B297" s="467" t="s">
        <v>397</v>
      </c>
      <c r="C297" s="624">
        <v>440</v>
      </c>
      <c r="D297" s="626">
        <v>161</v>
      </c>
      <c r="E297" s="611">
        <v>18.059999999999999</v>
      </c>
      <c r="F297" s="678">
        <f t="shared" si="83"/>
        <v>17.691309999999998</v>
      </c>
      <c r="G297" s="683">
        <v>4</v>
      </c>
      <c r="H297" s="682">
        <f t="shared" si="84"/>
        <v>7728</v>
      </c>
      <c r="I297" s="442">
        <f t="shared" si="85"/>
        <v>866.87999999999988</v>
      </c>
      <c r="J297" s="646"/>
      <c r="K297" s="443">
        <v>0.48399999999999999</v>
      </c>
      <c r="L297" s="627">
        <f t="shared" si="86"/>
        <v>1.9359999999999999</v>
      </c>
      <c r="M297" s="627"/>
      <c r="N297" s="609">
        <v>161</v>
      </c>
      <c r="O297" s="610">
        <v>18.055938549138872</v>
      </c>
      <c r="P297" s="617" t="str">
        <f t="shared" si="87"/>
        <v>---</v>
      </c>
      <c r="Q297" s="618">
        <f t="shared" si="88"/>
        <v>-4.0614508611263034E-3</v>
      </c>
      <c r="R297" s="485"/>
      <c r="S297" s="624" t="str">
        <f t="shared" si="89"/>
        <v>OK</v>
      </c>
      <c r="T297" s="613">
        <f>IF(+'2012 Rates'!O504&lt;'2012 Rates'!$B$11,'2012 Rates'!$B$11,+'2012 Rates'!O504)</f>
        <v>19.419999999999998</v>
      </c>
      <c r="U297" s="447">
        <f t="shared" si="90"/>
        <v>9.7714075441558634E-2</v>
      </c>
      <c r="V297" s="485"/>
      <c r="W297" s="623">
        <f t="shared" si="91"/>
        <v>932.15999999999985</v>
      </c>
      <c r="X297" s="485"/>
      <c r="Y297" s="485"/>
      <c r="Z297" s="485"/>
      <c r="AA297" s="485"/>
      <c r="AB297" s="485"/>
      <c r="AC297" s="485"/>
      <c r="AD297" s="485"/>
      <c r="AE297" s="485"/>
      <c r="AF297" s="485"/>
      <c r="AG297" s="485"/>
      <c r="AH297" s="485"/>
      <c r="AI297" s="485"/>
      <c r="AJ297" s="485"/>
      <c r="AK297" s="485"/>
      <c r="AL297" s="485"/>
      <c r="AM297" s="485"/>
      <c r="AN297" s="485"/>
      <c r="AO297" s="485"/>
      <c r="AP297" s="485"/>
      <c r="AQ297" s="485"/>
      <c r="AR297" s="485"/>
      <c r="AS297" s="485"/>
      <c r="AT297" s="485"/>
      <c r="AU297" s="485"/>
      <c r="AV297" s="485"/>
      <c r="AW297" s="485"/>
      <c r="AX297" s="485"/>
      <c r="AY297" s="485"/>
      <c r="AZ297" s="485"/>
      <c r="BA297" s="485"/>
      <c r="BB297" s="485"/>
      <c r="BC297" s="485"/>
      <c r="BD297" s="485"/>
      <c r="BE297" s="485"/>
      <c r="BF297" s="485"/>
      <c r="BG297" s="485"/>
      <c r="BH297" s="485"/>
      <c r="BI297" s="485"/>
      <c r="BJ297" s="485"/>
      <c r="BK297" s="485"/>
      <c r="BL297" s="485"/>
      <c r="BM297" s="485"/>
      <c r="BN297" s="485"/>
      <c r="BO297" s="485"/>
      <c r="BP297" s="485"/>
      <c r="BQ297" s="485"/>
      <c r="BR297" s="485"/>
      <c r="BS297" s="485"/>
      <c r="BT297" s="485"/>
      <c r="BU297" s="485"/>
      <c r="BV297" s="485"/>
      <c r="BW297" s="485"/>
      <c r="BX297" s="485"/>
      <c r="BY297" s="485"/>
      <c r="BZ297" s="485"/>
      <c r="CA297" s="485"/>
      <c r="CB297" s="485"/>
      <c r="CC297" s="485"/>
      <c r="CD297" s="485"/>
      <c r="CE297" s="485"/>
      <c r="CF297" s="485"/>
      <c r="CG297" s="485"/>
      <c r="CH297" s="485"/>
      <c r="CI297" s="485"/>
      <c r="CJ297" s="485"/>
      <c r="CK297" s="485"/>
      <c r="CL297" s="485"/>
      <c r="CM297" s="485"/>
      <c r="CN297" s="485"/>
      <c r="CO297" s="485"/>
      <c r="CP297" s="485"/>
      <c r="CQ297" s="485"/>
      <c r="CR297" s="485"/>
      <c r="CS297" s="485"/>
      <c r="CT297" s="485"/>
      <c r="CU297" s="485"/>
      <c r="CV297" s="485"/>
      <c r="CW297" s="485"/>
      <c r="CX297" s="485"/>
      <c r="CY297" s="485"/>
      <c r="CZ297" s="485"/>
      <c r="DA297" s="485"/>
      <c r="DB297" s="485"/>
      <c r="DC297" s="485"/>
      <c r="DD297" s="485"/>
      <c r="DE297" s="485"/>
      <c r="DF297" s="485"/>
      <c r="DG297" s="485"/>
      <c r="DH297" s="485"/>
      <c r="DI297" s="485"/>
      <c r="DJ297" s="485"/>
      <c r="DK297" s="485"/>
      <c r="DL297" s="485"/>
      <c r="DM297" s="485"/>
      <c r="DN297" s="485"/>
      <c r="DO297" s="485"/>
      <c r="DP297" s="485"/>
      <c r="DQ297" s="485"/>
      <c r="DR297" s="485"/>
      <c r="DS297" s="485"/>
      <c r="DT297" s="485"/>
      <c r="DU297" s="485"/>
      <c r="DV297" s="485"/>
      <c r="DW297" s="485"/>
      <c r="DX297" s="485"/>
      <c r="DY297" s="485"/>
      <c r="DZ297" s="485"/>
      <c r="EA297" s="485"/>
      <c r="EB297" s="485"/>
      <c r="EC297" s="485"/>
      <c r="ED297" s="485"/>
      <c r="EE297" s="485"/>
      <c r="EF297" s="485"/>
      <c r="EG297" s="485"/>
      <c r="EH297" s="485"/>
      <c r="EI297" s="485"/>
      <c r="EJ297" s="485"/>
      <c r="EK297" s="485"/>
      <c r="EL297" s="485"/>
      <c r="EM297" s="485"/>
      <c r="EN297" s="485"/>
      <c r="EO297" s="485"/>
      <c r="EP297" s="485"/>
    </row>
    <row r="298" spans="1:146" ht="15.75">
      <c r="A298" s="462">
        <v>1027</v>
      </c>
      <c r="B298" s="467" t="s">
        <v>461</v>
      </c>
      <c r="C298" s="624">
        <v>210</v>
      </c>
      <c r="D298" s="626">
        <v>42</v>
      </c>
      <c r="E298" s="611">
        <v>6.14</v>
      </c>
      <c r="F298" s="678">
        <f t="shared" si="83"/>
        <v>6.0438199999999993</v>
      </c>
      <c r="G298" s="683">
        <v>1</v>
      </c>
      <c r="H298" s="682">
        <f t="shared" si="84"/>
        <v>504</v>
      </c>
      <c r="I298" s="442">
        <f t="shared" si="85"/>
        <v>73.679999999999993</v>
      </c>
      <c r="J298" s="646"/>
      <c r="K298" s="443">
        <v>0.23100000000000001</v>
      </c>
      <c r="L298" s="627">
        <f t="shared" si="86"/>
        <v>0.23100000000000001</v>
      </c>
      <c r="M298" s="627"/>
      <c r="N298" s="609">
        <v>42</v>
      </c>
      <c r="O298" s="610">
        <v>6.1428535345579656</v>
      </c>
      <c r="P298" s="617" t="str">
        <f t="shared" si="87"/>
        <v>---</v>
      </c>
      <c r="Q298" s="618">
        <f t="shared" si="88"/>
        <v>2.8535345579658866E-3</v>
      </c>
      <c r="R298" s="485"/>
      <c r="S298" s="624" t="str">
        <f t="shared" si="89"/>
        <v>OK</v>
      </c>
      <c r="T298" s="613">
        <f>IF(+'2012 Rates'!O505&lt;'2012 Rates'!$B$11,'2012 Rates'!$B$11,+'2012 Rates'!O505)</f>
        <v>6.65</v>
      </c>
      <c r="U298" s="447">
        <f t="shared" si="90"/>
        <v>0.10029749396904619</v>
      </c>
      <c r="V298" s="485"/>
      <c r="W298" s="623">
        <f t="shared" si="91"/>
        <v>79.800000000000011</v>
      </c>
      <c r="X298" s="485"/>
      <c r="Y298" s="485"/>
      <c r="Z298" s="485"/>
      <c r="AA298" s="485"/>
      <c r="AB298" s="485"/>
      <c r="AC298" s="485"/>
      <c r="AD298" s="485"/>
      <c r="AE298" s="485"/>
      <c r="AF298" s="485"/>
      <c r="AG298" s="485"/>
      <c r="AH298" s="485"/>
      <c r="AI298" s="485"/>
      <c r="AJ298" s="485"/>
      <c r="AK298" s="485"/>
      <c r="AL298" s="485"/>
      <c r="AM298" s="485"/>
      <c r="AN298" s="485"/>
      <c r="AO298" s="485"/>
      <c r="AP298" s="485"/>
      <c r="AQ298" s="485"/>
      <c r="AR298" s="485"/>
      <c r="AS298" s="485"/>
      <c r="AT298" s="485"/>
      <c r="AU298" s="485"/>
      <c r="AV298" s="485"/>
      <c r="AW298" s="485"/>
      <c r="AX298" s="485"/>
      <c r="AY298" s="485"/>
      <c r="AZ298" s="485"/>
      <c r="BA298" s="485"/>
      <c r="BB298" s="485"/>
      <c r="BC298" s="485"/>
      <c r="BD298" s="485"/>
      <c r="BE298" s="485"/>
      <c r="BF298" s="485"/>
      <c r="BG298" s="485"/>
      <c r="BH298" s="485"/>
      <c r="BI298" s="485"/>
      <c r="BJ298" s="485"/>
      <c r="BK298" s="485"/>
      <c r="BL298" s="485"/>
      <c r="BM298" s="485"/>
      <c r="BN298" s="485"/>
      <c r="BO298" s="485"/>
      <c r="BP298" s="485"/>
      <c r="BQ298" s="485"/>
      <c r="BR298" s="485"/>
      <c r="BS298" s="485"/>
      <c r="BT298" s="485"/>
      <c r="BU298" s="485"/>
      <c r="BV298" s="485"/>
      <c r="BW298" s="485"/>
      <c r="BX298" s="485"/>
      <c r="BY298" s="485"/>
      <c r="BZ298" s="485"/>
      <c r="CA298" s="485"/>
      <c r="CB298" s="485"/>
      <c r="CC298" s="485"/>
      <c r="CD298" s="485"/>
      <c r="CE298" s="485"/>
      <c r="CF298" s="485"/>
      <c r="CG298" s="485"/>
      <c r="CH298" s="485"/>
      <c r="CI298" s="485"/>
      <c r="CJ298" s="485"/>
      <c r="CK298" s="485"/>
      <c r="CL298" s="485"/>
      <c r="CM298" s="485"/>
      <c r="CN298" s="485"/>
      <c r="CO298" s="485"/>
      <c r="CP298" s="485"/>
      <c r="CQ298" s="485"/>
      <c r="CR298" s="485"/>
      <c r="CS298" s="485"/>
      <c r="CT298" s="485"/>
      <c r="CU298" s="485"/>
      <c r="CV298" s="485"/>
      <c r="CW298" s="485"/>
      <c r="CX298" s="485"/>
      <c r="CY298" s="485"/>
      <c r="CZ298" s="485"/>
      <c r="DA298" s="485"/>
      <c r="DB298" s="485"/>
      <c r="DC298" s="485"/>
      <c r="DD298" s="485"/>
      <c r="DE298" s="485"/>
      <c r="DF298" s="485"/>
      <c r="DG298" s="485"/>
      <c r="DH298" s="485"/>
      <c r="DI298" s="485"/>
      <c r="DJ298" s="485"/>
      <c r="DK298" s="485"/>
      <c r="DL298" s="485"/>
      <c r="DM298" s="485"/>
      <c r="DN298" s="485"/>
      <c r="DO298" s="485"/>
      <c r="DP298" s="485"/>
      <c r="DQ298" s="485"/>
      <c r="DR298" s="485"/>
      <c r="DS298" s="485"/>
      <c r="DT298" s="485"/>
      <c r="DU298" s="485"/>
      <c r="DV298" s="485"/>
      <c r="DW298" s="485"/>
      <c r="DX298" s="485"/>
      <c r="DY298" s="485"/>
      <c r="DZ298" s="485"/>
      <c r="EA298" s="485"/>
      <c r="EB298" s="485"/>
      <c r="EC298" s="485"/>
      <c r="ED298" s="485"/>
      <c r="EE298" s="485"/>
      <c r="EF298" s="485"/>
      <c r="EG298" s="485"/>
      <c r="EH298" s="485"/>
      <c r="EI298" s="485"/>
      <c r="EJ298" s="485"/>
      <c r="EK298" s="485"/>
      <c r="EL298" s="485"/>
      <c r="EM298" s="485"/>
      <c r="EN298" s="485"/>
      <c r="EO298" s="485"/>
      <c r="EP298" s="485"/>
    </row>
    <row r="299" spans="1:146" ht="15.75">
      <c r="A299" s="462">
        <v>1028</v>
      </c>
      <c r="B299" s="467" t="s">
        <v>393</v>
      </c>
      <c r="C299" s="624">
        <v>840</v>
      </c>
      <c r="D299" s="626">
        <v>308</v>
      </c>
      <c r="E299" s="611">
        <v>34.5</v>
      </c>
      <c r="F299" s="678">
        <f t="shared" si="83"/>
        <v>33.79468</v>
      </c>
      <c r="G299" s="683">
        <v>2</v>
      </c>
      <c r="H299" s="682">
        <f t="shared" si="84"/>
        <v>7392</v>
      </c>
      <c r="I299" s="442">
        <f t="shared" si="85"/>
        <v>828</v>
      </c>
      <c r="J299" s="646"/>
      <c r="K299" s="443">
        <v>0.92400000000000004</v>
      </c>
      <c r="L299" s="627">
        <f t="shared" si="86"/>
        <v>1.8480000000000001</v>
      </c>
      <c r="M299" s="627"/>
      <c r="N299" s="609">
        <v>308</v>
      </c>
      <c r="O299" s="610">
        <v>34.500925920091746</v>
      </c>
      <c r="P299" s="617" t="str">
        <f t="shared" si="87"/>
        <v>---</v>
      </c>
      <c r="Q299" s="618">
        <f t="shared" si="88"/>
        <v>9.2592009174552459E-4</v>
      </c>
      <c r="R299" s="485"/>
      <c r="S299" s="624" t="str">
        <f t="shared" si="89"/>
        <v>OK</v>
      </c>
      <c r="T299" s="613">
        <f>IF(+'2012 Rates'!O506&lt;'2012 Rates'!$B$11,'2012 Rates'!$B$11,+'2012 Rates'!O506)</f>
        <v>37.11</v>
      </c>
      <c r="U299" s="447">
        <f t="shared" si="90"/>
        <v>9.8101831412518159E-2</v>
      </c>
      <c r="V299" s="485"/>
      <c r="W299" s="623">
        <f t="shared" si="91"/>
        <v>890.64</v>
      </c>
      <c r="X299" s="485"/>
      <c r="Y299" s="485"/>
      <c r="Z299" s="485"/>
      <c r="AA299" s="485"/>
      <c r="AB299" s="485"/>
      <c r="AC299" s="485"/>
      <c r="AD299" s="485"/>
      <c r="AE299" s="485"/>
      <c r="AF299" s="485"/>
      <c r="AG299" s="485"/>
      <c r="AH299" s="485"/>
      <c r="AI299" s="485"/>
      <c r="AJ299" s="485"/>
      <c r="AK299" s="485"/>
      <c r="AL299" s="485"/>
      <c r="AM299" s="485"/>
      <c r="AN299" s="485"/>
      <c r="AO299" s="485"/>
      <c r="AP299" s="485"/>
      <c r="AQ299" s="485"/>
      <c r="AR299" s="485"/>
      <c r="AS299" s="485"/>
      <c r="AT299" s="485"/>
      <c r="AU299" s="485"/>
      <c r="AV299" s="485"/>
      <c r="AW299" s="485"/>
      <c r="AX299" s="485"/>
      <c r="AY299" s="485"/>
      <c r="AZ299" s="485"/>
      <c r="BA299" s="485"/>
      <c r="BB299" s="485"/>
      <c r="BC299" s="485"/>
      <c r="BD299" s="485"/>
      <c r="BE299" s="485"/>
      <c r="BF299" s="485"/>
      <c r="BG299" s="485"/>
      <c r="BH299" s="485"/>
      <c r="BI299" s="485"/>
      <c r="BJ299" s="485"/>
      <c r="BK299" s="485"/>
      <c r="BL299" s="485"/>
      <c r="BM299" s="485"/>
      <c r="BN299" s="485"/>
      <c r="BO299" s="485"/>
      <c r="BP299" s="485"/>
      <c r="BQ299" s="485"/>
      <c r="BR299" s="485"/>
      <c r="BS299" s="485"/>
      <c r="BT299" s="485"/>
      <c r="BU299" s="485"/>
      <c r="BV299" s="485"/>
      <c r="BW299" s="485"/>
      <c r="BX299" s="485"/>
      <c r="BY299" s="485"/>
      <c r="BZ299" s="485"/>
      <c r="CA299" s="485"/>
      <c r="CB299" s="485"/>
      <c r="CC299" s="485"/>
      <c r="CD299" s="485"/>
      <c r="CE299" s="485"/>
      <c r="CF299" s="485"/>
      <c r="CG299" s="485"/>
      <c r="CH299" s="485"/>
      <c r="CI299" s="485"/>
      <c r="CJ299" s="485"/>
      <c r="CK299" s="485"/>
      <c r="CL299" s="485"/>
      <c r="CM299" s="485"/>
      <c r="CN299" s="485"/>
      <c r="CO299" s="485"/>
      <c r="CP299" s="485"/>
      <c r="CQ299" s="485"/>
      <c r="CR299" s="485"/>
      <c r="CS299" s="485"/>
      <c r="CT299" s="485"/>
      <c r="CU299" s="485"/>
      <c r="CV299" s="485"/>
      <c r="CW299" s="485"/>
      <c r="CX299" s="485"/>
      <c r="CY299" s="485"/>
      <c r="CZ299" s="485"/>
      <c r="DA299" s="485"/>
      <c r="DB299" s="485"/>
      <c r="DC299" s="485"/>
      <c r="DD299" s="485"/>
      <c r="DE299" s="485"/>
      <c r="DF299" s="485"/>
      <c r="DG299" s="485"/>
      <c r="DH299" s="485"/>
      <c r="DI299" s="485"/>
      <c r="DJ299" s="485"/>
      <c r="DK299" s="485"/>
      <c r="DL299" s="485"/>
      <c r="DM299" s="485"/>
      <c r="DN299" s="485"/>
      <c r="DO299" s="485"/>
      <c r="DP299" s="485"/>
      <c r="DQ299" s="485"/>
      <c r="DR299" s="485"/>
      <c r="DS299" s="485"/>
      <c r="DT299" s="485"/>
      <c r="DU299" s="485"/>
      <c r="DV299" s="485"/>
      <c r="DW299" s="485"/>
      <c r="DX299" s="485"/>
      <c r="DY299" s="485"/>
      <c r="DZ299" s="485"/>
      <c r="EA299" s="485"/>
      <c r="EB299" s="485"/>
      <c r="EC299" s="485"/>
      <c r="ED299" s="485"/>
      <c r="EE299" s="485"/>
      <c r="EF299" s="485"/>
      <c r="EG299" s="485"/>
      <c r="EH299" s="485"/>
      <c r="EI299" s="485"/>
      <c r="EJ299" s="485"/>
      <c r="EK299" s="485"/>
      <c r="EL299" s="485"/>
      <c r="EM299" s="485"/>
      <c r="EN299" s="485"/>
      <c r="EO299" s="485"/>
      <c r="EP299" s="485"/>
    </row>
    <row r="300" spans="1:146" ht="15.75">
      <c r="A300" s="591">
        <v>1029</v>
      </c>
      <c r="B300" s="630" t="s">
        <v>461</v>
      </c>
      <c r="C300" s="614">
        <v>80</v>
      </c>
      <c r="D300" s="609">
        <v>34</v>
      </c>
      <c r="E300" s="610">
        <v>2.96</v>
      </c>
      <c r="F300" s="678">
        <f>E300</f>
        <v>2.96</v>
      </c>
      <c r="G300" s="683"/>
      <c r="H300" s="664">
        <f t="shared" si="84"/>
        <v>0</v>
      </c>
      <c r="I300" s="444">
        <f t="shared" si="85"/>
        <v>0</v>
      </c>
      <c r="J300" s="647"/>
      <c r="K300" s="616">
        <v>8.7999999999999995E-2</v>
      </c>
      <c r="L300" s="616">
        <f t="shared" si="86"/>
        <v>0</v>
      </c>
      <c r="M300" s="616"/>
      <c r="N300" s="609">
        <v>34</v>
      </c>
      <c r="O300" s="610">
        <v>2.9637800000000003</v>
      </c>
      <c r="P300" s="617" t="str">
        <f t="shared" si="87"/>
        <v>---</v>
      </c>
      <c r="Q300" s="618">
        <f t="shared" si="88"/>
        <v>3.7800000000003386E-3</v>
      </c>
      <c r="R300" s="615"/>
      <c r="S300" s="614" t="str">
        <f t="shared" si="89"/>
        <v>OK</v>
      </c>
      <c r="T300" s="613">
        <f>IF(+'2012 Rates'!O507&lt;'2012 Rates'!$B$11,'2012 Rates'!$B$11,+'2012 Rates'!O507)</f>
        <v>3.2504153814512136</v>
      </c>
      <c r="U300" s="447">
        <f t="shared" si="90"/>
        <v>9.8113304544328983E-2</v>
      </c>
      <c r="V300" s="485" t="s">
        <v>340</v>
      </c>
      <c r="W300" s="623">
        <f t="shared" si="91"/>
        <v>0</v>
      </c>
      <c r="X300" s="485"/>
      <c r="Y300" s="485"/>
      <c r="Z300" s="485"/>
      <c r="AA300" s="485"/>
      <c r="AB300" s="485"/>
      <c r="AC300" s="485"/>
      <c r="AD300" s="485"/>
      <c r="AE300" s="485"/>
      <c r="AF300" s="485"/>
      <c r="AG300" s="485"/>
      <c r="AH300" s="485"/>
      <c r="AI300" s="485"/>
      <c r="AJ300" s="485"/>
      <c r="AK300" s="485"/>
      <c r="AL300" s="485"/>
      <c r="AM300" s="485"/>
      <c r="AN300" s="485"/>
      <c r="AO300" s="485"/>
      <c r="AP300" s="485"/>
      <c r="AQ300" s="485"/>
      <c r="AR300" s="485"/>
      <c r="AS300" s="485"/>
      <c r="AT300" s="485"/>
      <c r="AU300" s="485"/>
      <c r="AV300" s="485"/>
      <c r="AW300" s="485"/>
      <c r="AX300" s="485"/>
      <c r="AY300" s="485"/>
      <c r="AZ300" s="485"/>
      <c r="BA300" s="485"/>
      <c r="BB300" s="485"/>
      <c r="BC300" s="485"/>
      <c r="BD300" s="485"/>
      <c r="BE300" s="485"/>
      <c r="BF300" s="485"/>
      <c r="BG300" s="485"/>
      <c r="BH300" s="485"/>
      <c r="BI300" s="485"/>
      <c r="BJ300" s="485"/>
      <c r="BK300" s="485"/>
      <c r="BL300" s="485"/>
      <c r="BM300" s="485"/>
      <c r="BN300" s="485"/>
      <c r="BO300" s="485"/>
      <c r="BP300" s="485"/>
      <c r="BQ300" s="485"/>
      <c r="BR300" s="485"/>
      <c r="BS300" s="485"/>
      <c r="BT300" s="485"/>
      <c r="BU300" s="485"/>
      <c r="BV300" s="485"/>
      <c r="BW300" s="485"/>
      <c r="BX300" s="485"/>
      <c r="BY300" s="485"/>
      <c r="BZ300" s="485"/>
      <c r="CA300" s="485"/>
      <c r="CB300" s="485"/>
      <c r="CC300" s="485"/>
      <c r="CD300" s="485"/>
      <c r="CE300" s="485"/>
      <c r="CF300" s="485"/>
      <c r="CG300" s="485"/>
      <c r="CH300" s="485"/>
      <c r="CI300" s="485"/>
      <c r="CJ300" s="485"/>
      <c r="CK300" s="485"/>
      <c r="CL300" s="485"/>
      <c r="CM300" s="485"/>
      <c r="CN300" s="485"/>
      <c r="CO300" s="485"/>
      <c r="CP300" s="485"/>
      <c r="CQ300" s="485"/>
      <c r="CR300" s="485"/>
      <c r="CS300" s="485"/>
      <c r="CT300" s="485"/>
      <c r="CU300" s="485"/>
      <c r="CV300" s="485"/>
      <c r="CW300" s="485"/>
      <c r="CX300" s="485"/>
      <c r="CY300" s="485"/>
      <c r="CZ300" s="485"/>
      <c r="DA300" s="485"/>
      <c r="DB300" s="485"/>
      <c r="DC300" s="485"/>
      <c r="DD300" s="485"/>
      <c r="DE300" s="485"/>
      <c r="DF300" s="485"/>
      <c r="DG300" s="485"/>
      <c r="DH300" s="485"/>
      <c r="DI300" s="485"/>
      <c r="DJ300" s="485"/>
      <c r="DK300" s="485"/>
      <c r="DL300" s="485"/>
      <c r="DM300" s="485"/>
      <c r="DN300" s="485"/>
      <c r="DO300" s="485"/>
      <c r="DP300" s="485"/>
      <c r="DQ300" s="485"/>
      <c r="DR300" s="485"/>
      <c r="DS300" s="485"/>
      <c r="DT300" s="485"/>
      <c r="DU300" s="485"/>
      <c r="DV300" s="485"/>
      <c r="DW300" s="485"/>
      <c r="DX300" s="485"/>
      <c r="DY300" s="485"/>
      <c r="DZ300" s="485"/>
      <c r="EA300" s="485"/>
      <c r="EB300" s="485"/>
      <c r="EC300" s="485"/>
      <c r="ED300" s="485"/>
      <c r="EE300" s="485"/>
      <c r="EF300" s="485"/>
      <c r="EG300" s="485"/>
      <c r="EH300" s="485"/>
      <c r="EI300" s="485"/>
      <c r="EJ300" s="485"/>
      <c r="EK300" s="485"/>
      <c r="EL300" s="485"/>
      <c r="EM300" s="485"/>
      <c r="EN300" s="485"/>
      <c r="EO300" s="485"/>
      <c r="EP300" s="485"/>
    </row>
    <row r="301" spans="1:146" ht="15.75">
      <c r="A301" s="462">
        <v>1030</v>
      </c>
      <c r="B301" s="467" t="s">
        <v>393</v>
      </c>
      <c r="C301" s="624">
        <v>1032</v>
      </c>
      <c r="D301" s="626">
        <v>378</v>
      </c>
      <c r="E301" s="611">
        <v>42.35</v>
      </c>
      <c r="F301" s="678">
        <f t="shared" si="83"/>
        <v>41.484380000000002</v>
      </c>
      <c r="G301" s="683">
        <v>1</v>
      </c>
      <c r="H301" s="682">
        <f t="shared" si="84"/>
        <v>4536</v>
      </c>
      <c r="I301" s="442">
        <f t="shared" si="85"/>
        <v>508.20000000000005</v>
      </c>
      <c r="J301" s="646"/>
      <c r="K301" s="443">
        <v>1.135</v>
      </c>
      <c r="L301" s="627">
        <f t="shared" si="86"/>
        <v>1.135</v>
      </c>
      <c r="M301" s="627"/>
      <c r="N301" s="609">
        <v>378</v>
      </c>
      <c r="O301" s="610">
        <v>42.345681811021691</v>
      </c>
      <c r="P301" s="617" t="str">
        <f t="shared" si="87"/>
        <v>---</v>
      </c>
      <c r="Q301" s="618">
        <f t="shared" si="88"/>
        <v>-4.3181889783099336E-3</v>
      </c>
      <c r="R301" s="485"/>
      <c r="S301" s="624" t="str">
        <f t="shared" si="89"/>
        <v>OK</v>
      </c>
      <c r="T301" s="613">
        <f>IF(+'2012 Rates'!O508&lt;'2012 Rates'!$B$11,'2012 Rates'!$B$11,+'2012 Rates'!O508)</f>
        <v>45.55</v>
      </c>
      <c r="U301" s="447">
        <f t="shared" si="90"/>
        <v>9.8003634138921658E-2</v>
      </c>
      <c r="V301" s="485"/>
      <c r="W301" s="623">
        <f t="shared" si="91"/>
        <v>546.59999999999991</v>
      </c>
      <c r="X301" s="485"/>
      <c r="Y301" s="485"/>
      <c r="Z301" s="485"/>
      <c r="AA301" s="485"/>
      <c r="AB301" s="485"/>
      <c r="AC301" s="485"/>
      <c r="AD301" s="485"/>
      <c r="AE301" s="485"/>
      <c r="AF301" s="485"/>
      <c r="AG301" s="485"/>
      <c r="AH301" s="485"/>
      <c r="AI301" s="485"/>
      <c r="AJ301" s="485"/>
      <c r="AK301" s="485"/>
      <c r="AL301" s="485"/>
      <c r="AM301" s="485"/>
      <c r="AN301" s="485"/>
      <c r="AO301" s="485"/>
      <c r="AP301" s="485"/>
      <c r="AQ301" s="485"/>
      <c r="AR301" s="485"/>
      <c r="AS301" s="485"/>
      <c r="AT301" s="485"/>
      <c r="AU301" s="485"/>
      <c r="AV301" s="485"/>
      <c r="AW301" s="485"/>
      <c r="AX301" s="485"/>
      <c r="AY301" s="485"/>
      <c r="AZ301" s="485"/>
      <c r="BA301" s="485"/>
      <c r="BB301" s="485"/>
      <c r="BC301" s="485"/>
      <c r="BD301" s="485"/>
      <c r="BE301" s="485"/>
      <c r="BF301" s="485"/>
      <c r="BG301" s="485"/>
      <c r="BH301" s="485"/>
      <c r="BI301" s="485"/>
      <c r="BJ301" s="485"/>
      <c r="BK301" s="485"/>
      <c r="BL301" s="485"/>
      <c r="BM301" s="485"/>
      <c r="BN301" s="485"/>
      <c r="BO301" s="485"/>
      <c r="BP301" s="485"/>
      <c r="BQ301" s="485"/>
      <c r="BR301" s="485"/>
      <c r="BS301" s="485"/>
      <c r="BT301" s="485"/>
      <c r="BU301" s="485"/>
      <c r="BV301" s="485"/>
      <c r="BW301" s="485"/>
      <c r="BX301" s="485"/>
      <c r="BY301" s="485"/>
      <c r="BZ301" s="485"/>
      <c r="CA301" s="485"/>
      <c r="CB301" s="485"/>
      <c r="CC301" s="485"/>
      <c r="CD301" s="485"/>
      <c r="CE301" s="485"/>
      <c r="CF301" s="485"/>
      <c r="CG301" s="485"/>
      <c r="CH301" s="485"/>
      <c r="CI301" s="485"/>
      <c r="CJ301" s="485"/>
      <c r="CK301" s="485"/>
      <c r="CL301" s="485"/>
      <c r="CM301" s="485"/>
      <c r="CN301" s="485"/>
      <c r="CO301" s="485"/>
      <c r="CP301" s="485"/>
      <c r="CQ301" s="485"/>
      <c r="CR301" s="485"/>
      <c r="CS301" s="485"/>
      <c r="CT301" s="485"/>
      <c r="CU301" s="485"/>
      <c r="CV301" s="485"/>
      <c r="CW301" s="485"/>
      <c r="CX301" s="485"/>
      <c r="CY301" s="485"/>
      <c r="CZ301" s="485"/>
      <c r="DA301" s="485"/>
      <c r="DB301" s="485"/>
      <c r="DC301" s="485"/>
      <c r="DD301" s="485"/>
      <c r="DE301" s="485"/>
      <c r="DF301" s="485"/>
      <c r="DG301" s="485"/>
      <c r="DH301" s="485"/>
      <c r="DI301" s="485"/>
      <c r="DJ301" s="485"/>
      <c r="DK301" s="485"/>
      <c r="DL301" s="485"/>
      <c r="DM301" s="485"/>
      <c r="DN301" s="485"/>
      <c r="DO301" s="485"/>
      <c r="DP301" s="485"/>
      <c r="DQ301" s="485"/>
      <c r="DR301" s="485"/>
      <c r="DS301" s="485"/>
      <c r="DT301" s="485"/>
      <c r="DU301" s="485"/>
      <c r="DV301" s="485"/>
      <c r="DW301" s="485"/>
      <c r="DX301" s="485"/>
      <c r="DY301" s="485"/>
      <c r="DZ301" s="485"/>
      <c r="EA301" s="485"/>
      <c r="EB301" s="485"/>
      <c r="EC301" s="485"/>
      <c r="ED301" s="485"/>
      <c r="EE301" s="485"/>
      <c r="EF301" s="485"/>
      <c r="EG301" s="485"/>
      <c r="EH301" s="485"/>
      <c r="EI301" s="485"/>
      <c r="EJ301" s="485"/>
      <c r="EK301" s="485"/>
      <c r="EL301" s="485"/>
      <c r="EM301" s="485"/>
      <c r="EN301" s="485"/>
      <c r="EO301" s="485"/>
      <c r="EP301" s="485"/>
    </row>
    <row r="302" spans="1:146" ht="15.75">
      <c r="A302" s="462">
        <v>1031</v>
      </c>
      <c r="B302" s="467" t="s">
        <v>393</v>
      </c>
      <c r="C302" s="624">
        <v>516</v>
      </c>
      <c r="D302" s="626">
        <v>189</v>
      </c>
      <c r="E302" s="611">
        <v>21.2</v>
      </c>
      <c r="F302" s="678">
        <f t="shared" si="83"/>
        <v>20.767189999999999</v>
      </c>
      <c r="G302" s="683">
        <v>1</v>
      </c>
      <c r="H302" s="682">
        <f t="shared" si="84"/>
        <v>2268</v>
      </c>
      <c r="I302" s="442">
        <f t="shared" si="85"/>
        <v>254.39999999999998</v>
      </c>
      <c r="J302" s="646"/>
      <c r="K302" s="443">
        <v>0.56799999999999995</v>
      </c>
      <c r="L302" s="627">
        <f t="shared" si="86"/>
        <v>0.56799999999999995</v>
      </c>
      <c r="M302" s="627"/>
      <c r="N302" s="609">
        <v>189</v>
      </c>
      <c r="O302" s="610">
        <v>21.197840905510844</v>
      </c>
      <c r="P302" s="617" t="str">
        <f t="shared" si="87"/>
        <v>---</v>
      </c>
      <c r="Q302" s="618">
        <f t="shared" si="88"/>
        <v>-2.1590944891549668E-3</v>
      </c>
      <c r="R302" s="485"/>
      <c r="S302" s="624" t="str">
        <f t="shared" si="89"/>
        <v>OK</v>
      </c>
      <c r="T302" s="613">
        <f>IF(+'2012 Rates'!O509&lt;'2012 Rates'!$B$11,'2012 Rates'!$B$11,+'2012 Rates'!O509)</f>
        <v>22.8</v>
      </c>
      <c r="U302" s="447">
        <f t="shared" si="90"/>
        <v>9.7885655209010158E-2</v>
      </c>
      <c r="V302" s="485"/>
      <c r="W302" s="623">
        <f t="shared" si="91"/>
        <v>273.60000000000002</v>
      </c>
      <c r="X302" s="485"/>
      <c r="Y302" s="485"/>
      <c r="Z302" s="485"/>
      <c r="AA302" s="485"/>
      <c r="AB302" s="485"/>
      <c r="AC302" s="485"/>
      <c r="AD302" s="485"/>
      <c r="AE302" s="485"/>
      <c r="AF302" s="485"/>
      <c r="AG302" s="485"/>
      <c r="AH302" s="485"/>
      <c r="AI302" s="485"/>
      <c r="AJ302" s="485"/>
      <c r="AK302" s="485"/>
      <c r="AL302" s="485"/>
      <c r="AM302" s="485"/>
      <c r="AN302" s="485"/>
      <c r="AO302" s="485"/>
      <c r="AP302" s="485"/>
      <c r="AQ302" s="485"/>
      <c r="AR302" s="485"/>
      <c r="AS302" s="485"/>
      <c r="AT302" s="485"/>
      <c r="AU302" s="485"/>
      <c r="AV302" s="485"/>
      <c r="AW302" s="485"/>
      <c r="AX302" s="485"/>
      <c r="AY302" s="485"/>
      <c r="AZ302" s="485"/>
      <c r="BA302" s="485"/>
      <c r="BB302" s="485"/>
      <c r="BC302" s="485"/>
      <c r="BD302" s="485"/>
      <c r="BE302" s="485"/>
      <c r="BF302" s="485"/>
      <c r="BG302" s="485"/>
      <c r="BH302" s="485"/>
      <c r="BI302" s="485"/>
      <c r="BJ302" s="485"/>
      <c r="BK302" s="485"/>
      <c r="BL302" s="485"/>
      <c r="BM302" s="485"/>
      <c r="BN302" s="485"/>
      <c r="BO302" s="485"/>
      <c r="BP302" s="485"/>
      <c r="BQ302" s="485"/>
      <c r="BR302" s="485"/>
      <c r="BS302" s="485"/>
      <c r="BT302" s="485"/>
      <c r="BU302" s="485"/>
      <c r="BV302" s="485"/>
      <c r="BW302" s="485"/>
      <c r="BX302" s="485"/>
      <c r="BY302" s="485"/>
      <c r="BZ302" s="485"/>
      <c r="CA302" s="485"/>
      <c r="CB302" s="485"/>
      <c r="CC302" s="485"/>
      <c r="CD302" s="485"/>
      <c r="CE302" s="485"/>
      <c r="CF302" s="485"/>
      <c r="CG302" s="485"/>
      <c r="CH302" s="485"/>
      <c r="CI302" s="485"/>
      <c r="CJ302" s="485"/>
      <c r="CK302" s="485"/>
      <c r="CL302" s="485"/>
      <c r="CM302" s="485"/>
      <c r="CN302" s="485"/>
      <c r="CO302" s="485"/>
      <c r="CP302" s="485"/>
      <c r="CQ302" s="485"/>
      <c r="CR302" s="485"/>
      <c r="CS302" s="485"/>
      <c r="CT302" s="485"/>
      <c r="CU302" s="485"/>
      <c r="CV302" s="485"/>
      <c r="CW302" s="485"/>
      <c r="CX302" s="485"/>
      <c r="CY302" s="485"/>
      <c r="CZ302" s="485"/>
      <c r="DA302" s="485"/>
      <c r="DB302" s="485"/>
      <c r="DC302" s="485"/>
      <c r="DD302" s="485"/>
      <c r="DE302" s="485"/>
      <c r="DF302" s="485"/>
      <c r="DG302" s="485"/>
      <c r="DH302" s="485"/>
      <c r="DI302" s="485"/>
      <c r="DJ302" s="485"/>
      <c r="DK302" s="485"/>
      <c r="DL302" s="485"/>
      <c r="DM302" s="485"/>
      <c r="DN302" s="485"/>
      <c r="DO302" s="485"/>
      <c r="DP302" s="485"/>
      <c r="DQ302" s="485"/>
      <c r="DR302" s="485"/>
      <c r="DS302" s="485"/>
      <c r="DT302" s="485"/>
      <c r="DU302" s="485"/>
      <c r="DV302" s="485"/>
      <c r="DW302" s="485"/>
      <c r="DX302" s="485"/>
      <c r="DY302" s="485"/>
      <c r="DZ302" s="485"/>
      <c r="EA302" s="485"/>
      <c r="EB302" s="485"/>
      <c r="EC302" s="485"/>
      <c r="ED302" s="485"/>
      <c r="EE302" s="485"/>
      <c r="EF302" s="485"/>
      <c r="EG302" s="485"/>
      <c r="EH302" s="485"/>
      <c r="EI302" s="485"/>
      <c r="EJ302" s="485"/>
      <c r="EK302" s="485"/>
      <c r="EL302" s="485"/>
      <c r="EM302" s="485"/>
      <c r="EN302" s="485"/>
      <c r="EO302" s="485"/>
      <c r="EP302" s="485"/>
    </row>
    <row r="303" spans="1:146" ht="15.75">
      <c r="A303" s="462">
        <v>1032</v>
      </c>
      <c r="B303" s="467" t="s">
        <v>403</v>
      </c>
      <c r="C303" s="624">
        <v>216</v>
      </c>
      <c r="D303" s="626">
        <v>173</v>
      </c>
      <c r="E303" s="611">
        <v>15.16</v>
      </c>
      <c r="F303" s="678">
        <f t="shared" si="83"/>
        <v>14.76383</v>
      </c>
      <c r="G303" s="683">
        <v>1</v>
      </c>
      <c r="H303" s="682">
        <f t="shared" si="84"/>
        <v>2076</v>
      </c>
      <c r="I303" s="442">
        <f t="shared" si="85"/>
        <v>181.92000000000002</v>
      </c>
      <c r="J303" s="646"/>
      <c r="K303" s="443">
        <v>0.23799999999999999</v>
      </c>
      <c r="L303" s="627">
        <f t="shared" ref="L303:L334" si="92">G303*K303</f>
        <v>0.23799999999999999</v>
      </c>
      <c r="M303" s="627">
        <f>+L303</f>
        <v>0.23799999999999999</v>
      </c>
      <c r="N303" s="609">
        <v>173</v>
      </c>
      <c r="O303" s="610">
        <v>15.156753844726863</v>
      </c>
      <c r="P303" s="617" t="str">
        <f t="shared" ref="P303:P335" si="93">IF(N303=D303,"---",N303-D303)</f>
        <v>---</v>
      </c>
      <c r="Q303" s="618">
        <f t="shared" ref="Q303:Q335" si="94">IF(O303=E303,"---",O303-E303)</f>
        <v>-3.2461552731373189E-3</v>
      </c>
      <c r="R303" s="485"/>
      <c r="S303" s="624" t="str">
        <f t="shared" ref="S303:S335" si="95">IF(N303=D303,"OK",N303)</f>
        <v>OK</v>
      </c>
      <c r="T303" s="613">
        <f>IF(+'2012 Rates'!P510&lt;'2012 Rates'!$B$11,'2012 Rates'!$B$11,+'2012 Rates'!P510)</f>
        <v>16.21</v>
      </c>
      <c r="U303" s="447">
        <f t="shared" si="90"/>
        <v>9.7953579796028478E-2</v>
      </c>
      <c r="V303" s="485"/>
      <c r="W303" s="623">
        <f t="shared" si="91"/>
        <v>194.52</v>
      </c>
      <c r="X303" s="485"/>
      <c r="Y303" s="485"/>
      <c r="Z303" s="485"/>
      <c r="AA303" s="485"/>
      <c r="AB303" s="485"/>
      <c r="AC303" s="485"/>
      <c r="AD303" s="485"/>
      <c r="AE303" s="485"/>
      <c r="AF303" s="485"/>
      <c r="AG303" s="485"/>
      <c r="AH303" s="485"/>
      <c r="AI303" s="485"/>
      <c r="AJ303" s="485"/>
      <c r="AK303" s="485"/>
      <c r="AL303" s="485"/>
      <c r="AM303" s="485"/>
      <c r="AN303" s="485"/>
      <c r="AO303" s="485"/>
      <c r="AP303" s="485"/>
      <c r="AQ303" s="485"/>
      <c r="AR303" s="485"/>
      <c r="AS303" s="485"/>
      <c r="AT303" s="485"/>
      <c r="AU303" s="485"/>
      <c r="AV303" s="485"/>
      <c r="AW303" s="485"/>
      <c r="AX303" s="485"/>
      <c r="AY303" s="485"/>
      <c r="AZ303" s="485"/>
      <c r="BA303" s="485"/>
      <c r="BB303" s="485"/>
      <c r="BC303" s="485"/>
      <c r="BD303" s="485"/>
      <c r="BE303" s="485"/>
      <c r="BF303" s="485"/>
      <c r="BG303" s="485"/>
      <c r="BH303" s="485"/>
      <c r="BI303" s="485"/>
      <c r="BJ303" s="485"/>
      <c r="BK303" s="485"/>
      <c r="BL303" s="485"/>
      <c r="BM303" s="485"/>
      <c r="BN303" s="485"/>
      <c r="BO303" s="485"/>
      <c r="BP303" s="485"/>
      <c r="BQ303" s="485"/>
      <c r="BR303" s="485"/>
      <c r="BS303" s="485"/>
      <c r="BT303" s="485"/>
      <c r="BU303" s="485"/>
      <c r="BV303" s="485"/>
      <c r="BW303" s="485"/>
      <c r="BX303" s="485"/>
      <c r="BY303" s="485"/>
      <c r="BZ303" s="485"/>
      <c r="CA303" s="485"/>
      <c r="CB303" s="485"/>
      <c r="CC303" s="485"/>
      <c r="CD303" s="485"/>
      <c r="CE303" s="485"/>
      <c r="CF303" s="485"/>
      <c r="CG303" s="485"/>
      <c r="CH303" s="485"/>
      <c r="CI303" s="485"/>
      <c r="CJ303" s="485"/>
      <c r="CK303" s="485"/>
      <c r="CL303" s="485"/>
      <c r="CM303" s="485"/>
      <c r="CN303" s="485"/>
      <c r="CO303" s="485"/>
      <c r="CP303" s="485"/>
      <c r="CQ303" s="485"/>
      <c r="CR303" s="485"/>
      <c r="CS303" s="485"/>
      <c r="CT303" s="485"/>
      <c r="CU303" s="485"/>
      <c r="CV303" s="485"/>
      <c r="CW303" s="485"/>
      <c r="CX303" s="485"/>
      <c r="CY303" s="485"/>
      <c r="CZ303" s="485"/>
      <c r="DA303" s="485"/>
      <c r="DB303" s="485"/>
      <c r="DC303" s="485"/>
      <c r="DD303" s="485"/>
      <c r="DE303" s="485"/>
      <c r="DF303" s="485"/>
      <c r="DG303" s="485"/>
      <c r="DH303" s="485"/>
      <c r="DI303" s="485"/>
      <c r="DJ303" s="485"/>
      <c r="DK303" s="485"/>
      <c r="DL303" s="485"/>
      <c r="DM303" s="485"/>
      <c r="DN303" s="485"/>
      <c r="DO303" s="485"/>
      <c r="DP303" s="485"/>
      <c r="DQ303" s="485"/>
      <c r="DR303" s="485"/>
      <c r="DS303" s="485"/>
      <c r="DT303" s="485"/>
      <c r="DU303" s="485"/>
      <c r="DV303" s="485"/>
      <c r="DW303" s="485"/>
      <c r="DX303" s="485"/>
      <c r="DY303" s="485"/>
      <c r="DZ303" s="485"/>
      <c r="EA303" s="485"/>
      <c r="EB303" s="485"/>
      <c r="EC303" s="485"/>
      <c r="ED303" s="485"/>
      <c r="EE303" s="485"/>
      <c r="EF303" s="485"/>
      <c r="EG303" s="485"/>
      <c r="EH303" s="485"/>
      <c r="EI303" s="485"/>
      <c r="EJ303" s="485"/>
      <c r="EK303" s="485"/>
      <c r="EL303" s="485"/>
      <c r="EM303" s="485"/>
      <c r="EN303" s="485"/>
      <c r="EO303" s="485"/>
      <c r="EP303" s="485"/>
    </row>
    <row r="304" spans="1:146" ht="15.75">
      <c r="A304" s="462">
        <v>1033</v>
      </c>
      <c r="B304" s="467" t="s">
        <v>393</v>
      </c>
      <c r="C304" s="624">
        <v>375</v>
      </c>
      <c r="D304" s="626">
        <v>138</v>
      </c>
      <c r="E304" s="611">
        <v>15.45</v>
      </c>
      <c r="F304" s="678">
        <f t="shared" si="83"/>
        <v>15.133979999999999</v>
      </c>
      <c r="G304" s="683">
        <v>1</v>
      </c>
      <c r="H304" s="682">
        <f t="shared" si="84"/>
        <v>1656</v>
      </c>
      <c r="I304" s="442">
        <f t="shared" si="85"/>
        <v>185.39999999999998</v>
      </c>
      <c r="J304" s="646"/>
      <c r="K304" s="443">
        <v>0.41299999999999998</v>
      </c>
      <c r="L304" s="627">
        <f t="shared" si="92"/>
        <v>0.41299999999999998</v>
      </c>
      <c r="M304" s="627"/>
      <c r="N304" s="609">
        <v>138</v>
      </c>
      <c r="O304" s="610">
        <v>15.44937589926189</v>
      </c>
      <c r="P304" s="617" t="str">
        <f t="shared" si="93"/>
        <v>---</v>
      </c>
      <c r="Q304" s="618">
        <f t="shared" si="94"/>
        <v>-6.2410073810958977E-4</v>
      </c>
      <c r="R304" s="485"/>
      <c r="S304" s="624" t="str">
        <f t="shared" si="95"/>
        <v>OK</v>
      </c>
      <c r="T304" s="613">
        <f>IF(+'2012 Rates'!O511&lt;'2012 Rates'!$B$11,'2012 Rates'!$B$11,+'2012 Rates'!O511)</f>
        <v>16.61</v>
      </c>
      <c r="U304" s="447">
        <f t="shared" si="90"/>
        <v>9.7530193643707852E-2</v>
      </c>
      <c r="V304" s="485"/>
      <c r="W304" s="623">
        <f t="shared" si="91"/>
        <v>199.32</v>
      </c>
      <c r="X304" s="485"/>
      <c r="Y304" s="485"/>
      <c r="Z304" s="485"/>
      <c r="AA304" s="485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5"/>
      <c r="AO304" s="485"/>
      <c r="AP304" s="485"/>
      <c r="AQ304" s="485"/>
      <c r="AR304" s="485"/>
      <c r="AS304" s="485"/>
      <c r="AT304" s="485"/>
      <c r="AU304" s="485"/>
      <c r="AV304" s="485"/>
      <c r="AW304" s="485"/>
      <c r="AX304" s="485"/>
      <c r="AY304" s="485"/>
      <c r="AZ304" s="485"/>
      <c r="BA304" s="485"/>
      <c r="BB304" s="485"/>
      <c r="BC304" s="485"/>
      <c r="BD304" s="485"/>
      <c r="BE304" s="485"/>
      <c r="BF304" s="485"/>
      <c r="BG304" s="485"/>
      <c r="BH304" s="485"/>
      <c r="BI304" s="485"/>
      <c r="BJ304" s="485"/>
      <c r="BK304" s="485"/>
      <c r="BL304" s="485"/>
      <c r="BM304" s="485"/>
      <c r="BN304" s="485"/>
      <c r="BO304" s="485"/>
      <c r="BP304" s="485"/>
      <c r="BQ304" s="485"/>
      <c r="BR304" s="485"/>
      <c r="BS304" s="485"/>
      <c r="BT304" s="485"/>
      <c r="BU304" s="485"/>
      <c r="BV304" s="485"/>
      <c r="BW304" s="485"/>
      <c r="BX304" s="485"/>
      <c r="BY304" s="485"/>
      <c r="BZ304" s="485"/>
      <c r="CA304" s="485"/>
      <c r="CB304" s="485"/>
      <c r="CC304" s="485"/>
      <c r="CD304" s="485"/>
      <c r="CE304" s="485"/>
      <c r="CF304" s="485"/>
      <c r="CG304" s="485"/>
      <c r="CH304" s="485"/>
      <c r="CI304" s="485"/>
      <c r="CJ304" s="485"/>
      <c r="CK304" s="485"/>
      <c r="CL304" s="485"/>
      <c r="CM304" s="485"/>
      <c r="CN304" s="485"/>
      <c r="CO304" s="485"/>
      <c r="CP304" s="485"/>
      <c r="CQ304" s="485"/>
      <c r="CR304" s="485"/>
      <c r="CS304" s="485"/>
      <c r="CT304" s="485"/>
      <c r="CU304" s="485"/>
      <c r="CV304" s="485"/>
      <c r="CW304" s="485"/>
      <c r="CX304" s="485"/>
      <c r="CY304" s="485"/>
      <c r="CZ304" s="485"/>
      <c r="DA304" s="485"/>
      <c r="DB304" s="485"/>
      <c r="DC304" s="485"/>
      <c r="DD304" s="485"/>
      <c r="DE304" s="485"/>
      <c r="DF304" s="485"/>
      <c r="DG304" s="485"/>
      <c r="DH304" s="485"/>
      <c r="DI304" s="485"/>
      <c r="DJ304" s="485"/>
      <c r="DK304" s="485"/>
      <c r="DL304" s="485"/>
      <c r="DM304" s="485"/>
      <c r="DN304" s="485"/>
      <c r="DO304" s="485"/>
      <c r="DP304" s="485"/>
      <c r="DQ304" s="485"/>
      <c r="DR304" s="485"/>
      <c r="DS304" s="485"/>
      <c r="DT304" s="485"/>
      <c r="DU304" s="485"/>
      <c r="DV304" s="485"/>
      <c r="DW304" s="485"/>
      <c r="DX304" s="485"/>
      <c r="DY304" s="485"/>
      <c r="DZ304" s="485"/>
      <c r="EA304" s="485"/>
      <c r="EB304" s="485"/>
      <c r="EC304" s="485"/>
      <c r="ED304" s="485"/>
      <c r="EE304" s="485"/>
      <c r="EF304" s="485"/>
      <c r="EG304" s="485"/>
      <c r="EH304" s="485"/>
      <c r="EI304" s="485"/>
      <c r="EJ304" s="485"/>
      <c r="EK304" s="485"/>
      <c r="EL304" s="485"/>
      <c r="EM304" s="485"/>
      <c r="EN304" s="485"/>
      <c r="EO304" s="485"/>
      <c r="EP304" s="485"/>
    </row>
    <row r="305" spans="1:146" ht="15.75">
      <c r="A305" s="462">
        <v>1034</v>
      </c>
      <c r="B305" s="467" t="s">
        <v>393</v>
      </c>
      <c r="C305" s="624">
        <v>560</v>
      </c>
      <c r="D305" s="626">
        <v>205</v>
      </c>
      <c r="E305" s="611">
        <v>22.97</v>
      </c>
      <c r="F305" s="678">
        <f t="shared" si="83"/>
        <v>22.50055</v>
      </c>
      <c r="G305" s="683">
        <v>4</v>
      </c>
      <c r="H305" s="682">
        <f t="shared" si="84"/>
        <v>9840</v>
      </c>
      <c r="I305" s="442">
        <f t="shared" si="85"/>
        <v>1102.56</v>
      </c>
      <c r="J305" s="646"/>
      <c r="K305" s="443">
        <v>0.61599999999999999</v>
      </c>
      <c r="L305" s="627">
        <f t="shared" si="92"/>
        <v>2.464</v>
      </c>
      <c r="M305" s="627"/>
      <c r="N305" s="609">
        <v>205</v>
      </c>
      <c r="O305" s="610">
        <v>22.968927966294828</v>
      </c>
      <c r="P305" s="617" t="str">
        <f t="shared" si="93"/>
        <v>---</v>
      </c>
      <c r="Q305" s="618">
        <f t="shared" si="94"/>
        <v>-1.0720337051708384E-3</v>
      </c>
      <c r="R305" s="485"/>
      <c r="S305" s="624" t="str">
        <f t="shared" si="95"/>
        <v>OK</v>
      </c>
      <c r="T305" s="613">
        <f>IF(+'2012 Rates'!O512&lt;'2012 Rates'!$B$11,'2012 Rates'!$B$11,+'2012 Rates'!O512)</f>
        <v>24.7</v>
      </c>
      <c r="U305" s="447">
        <f t="shared" si="90"/>
        <v>9.775094386581662E-2</v>
      </c>
      <c r="V305" s="485"/>
      <c r="W305" s="623">
        <f t="shared" si="91"/>
        <v>1185.5999999999999</v>
      </c>
      <c r="X305" s="485"/>
      <c r="Y305" s="485"/>
      <c r="Z305" s="485"/>
      <c r="AA305" s="485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5"/>
      <c r="AO305" s="485"/>
      <c r="AP305" s="485"/>
      <c r="AQ305" s="485"/>
      <c r="AR305" s="485"/>
      <c r="AS305" s="485"/>
      <c r="AT305" s="485"/>
      <c r="AU305" s="485"/>
      <c r="AV305" s="485"/>
      <c r="AW305" s="485"/>
      <c r="AX305" s="485"/>
      <c r="AY305" s="485"/>
      <c r="AZ305" s="485"/>
      <c r="BA305" s="485"/>
      <c r="BB305" s="485"/>
      <c r="BC305" s="485"/>
      <c r="BD305" s="485"/>
      <c r="BE305" s="485"/>
      <c r="BF305" s="485"/>
      <c r="BG305" s="485"/>
      <c r="BH305" s="485"/>
      <c r="BI305" s="485"/>
      <c r="BJ305" s="485"/>
      <c r="BK305" s="485"/>
      <c r="BL305" s="485"/>
      <c r="BM305" s="485"/>
      <c r="BN305" s="485"/>
      <c r="BO305" s="485"/>
      <c r="BP305" s="485"/>
      <c r="BQ305" s="485"/>
      <c r="BR305" s="485"/>
      <c r="BS305" s="485"/>
      <c r="BT305" s="485"/>
      <c r="BU305" s="485"/>
      <c r="BV305" s="485"/>
      <c r="BW305" s="485"/>
      <c r="BX305" s="485"/>
      <c r="BY305" s="485"/>
      <c r="BZ305" s="485"/>
      <c r="CA305" s="485"/>
      <c r="CB305" s="485"/>
      <c r="CC305" s="485"/>
      <c r="CD305" s="485"/>
      <c r="CE305" s="485"/>
      <c r="CF305" s="485"/>
      <c r="CG305" s="485"/>
      <c r="CH305" s="485"/>
      <c r="CI305" s="485"/>
      <c r="CJ305" s="485"/>
      <c r="CK305" s="485"/>
      <c r="CL305" s="485"/>
      <c r="CM305" s="485"/>
      <c r="CN305" s="485"/>
      <c r="CO305" s="485"/>
      <c r="CP305" s="485"/>
      <c r="CQ305" s="485"/>
      <c r="CR305" s="485"/>
      <c r="CS305" s="485"/>
      <c r="CT305" s="485"/>
      <c r="CU305" s="485"/>
      <c r="CV305" s="485"/>
      <c r="CW305" s="485"/>
      <c r="CX305" s="485"/>
      <c r="CY305" s="485"/>
      <c r="CZ305" s="485"/>
      <c r="DA305" s="485"/>
      <c r="DB305" s="485"/>
      <c r="DC305" s="485"/>
      <c r="DD305" s="485"/>
      <c r="DE305" s="485"/>
      <c r="DF305" s="485"/>
      <c r="DG305" s="485"/>
      <c r="DH305" s="485"/>
      <c r="DI305" s="485"/>
      <c r="DJ305" s="485"/>
      <c r="DK305" s="485"/>
      <c r="DL305" s="485"/>
      <c r="DM305" s="485"/>
      <c r="DN305" s="485"/>
      <c r="DO305" s="485"/>
      <c r="DP305" s="485"/>
      <c r="DQ305" s="485"/>
      <c r="DR305" s="485"/>
      <c r="DS305" s="485"/>
      <c r="DT305" s="485"/>
      <c r="DU305" s="485"/>
      <c r="DV305" s="485"/>
      <c r="DW305" s="485"/>
      <c r="DX305" s="485"/>
      <c r="DY305" s="485"/>
      <c r="DZ305" s="485"/>
      <c r="EA305" s="485"/>
      <c r="EB305" s="485"/>
      <c r="EC305" s="485"/>
      <c r="ED305" s="485"/>
      <c r="EE305" s="485"/>
      <c r="EF305" s="485"/>
      <c r="EG305" s="485"/>
      <c r="EH305" s="485"/>
      <c r="EI305" s="485"/>
      <c r="EJ305" s="485"/>
      <c r="EK305" s="485"/>
      <c r="EL305" s="485"/>
      <c r="EM305" s="485"/>
      <c r="EN305" s="485"/>
      <c r="EO305" s="485"/>
      <c r="EP305" s="485"/>
    </row>
    <row r="306" spans="1:146" ht="15.75">
      <c r="A306" s="462">
        <v>1035</v>
      </c>
      <c r="B306" s="467" t="s">
        <v>465</v>
      </c>
      <c r="C306" s="624">
        <v>350</v>
      </c>
      <c r="D306" s="626">
        <v>128</v>
      </c>
      <c r="E306" s="611">
        <v>13.83</v>
      </c>
      <c r="F306" s="678">
        <f t="shared" si="83"/>
        <v>13.53688</v>
      </c>
      <c r="G306" s="683"/>
      <c r="H306" s="682">
        <f t="shared" si="84"/>
        <v>0</v>
      </c>
      <c r="I306" s="442">
        <f t="shared" si="85"/>
        <v>0</v>
      </c>
      <c r="J306" s="646"/>
      <c r="K306" s="443">
        <v>0.35</v>
      </c>
      <c r="L306" s="627">
        <f t="shared" si="92"/>
        <v>0</v>
      </c>
      <c r="M306" s="627"/>
      <c r="N306" s="609">
        <v>128</v>
      </c>
      <c r="O306" s="610">
        <v>13.828696486271896</v>
      </c>
      <c r="P306" s="617" t="str">
        <f t="shared" si="93"/>
        <v>---</v>
      </c>
      <c r="Q306" s="618">
        <f t="shared" si="94"/>
        <v>-1.3035137281036668E-3</v>
      </c>
      <c r="R306" s="485"/>
      <c r="S306" s="624" t="str">
        <f t="shared" si="95"/>
        <v>OK</v>
      </c>
      <c r="T306" s="613">
        <f>IF(+'2012 Rates'!O513&lt;'2012 Rates'!$B$11,'2012 Rates'!$B$11,+'2012 Rates'!O513)</f>
        <v>14.86</v>
      </c>
      <c r="U306" s="447">
        <f t="shared" si="90"/>
        <v>9.7741872573295918E-2</v>
      </c>
      <c r="V306" s="485"/>
      <c r="W306" s="623">
        <f t="shared" si="91"/>
        <v>0</v>
      </c>
      <c r="X306" s="485"/>
      <c r="Y306" s="485"/>
      <c r="Z306" s="485"/>
      <c r="AA306" s="485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5"/>
      <c r="AO306" s="485"/>
      <c r="AP306" s="485"/>
      <c r="AQ306" s="485"/>
      <c r="AR306" s="485"/>
      <c r="AS306" s="485"/>
      <c r="AT306" s="485"/>
      <c r="AU306" s="485"/>
      <c r="AV306" s="485"/>
      <c r="AW306" s="485"/>
      <c r="AX306" s="485"/>
      <c r="AY306" s="485"/>
      <c r="AZ306" s="485"/>
      <c r="BA306" s="485"/>
      <c r="BB306" s="485"/>
      <c r="BC306" s="485"/>
      <c r="BD306" s="485"/>
      <c r="BE306" s="485"/>
      <c r="BF306" s="485"/>
      <c r="BG306" s="485"/>
      <c r="BH306" s="485"/>
      <c r="BI306" s="485"/>
      <c r="BJ306" s="485"/>
      <c r="BK306" s="485"/>
      <c r="BL306" s="485"/>
      <c r="BM306" s="485"/>
      <c r="BN306" s="485"/>
      <c r="BO306" s="485"/>
      <c r="BP306" s="485"/>
      <c r="BQ306" s="485"/>
      <c r="BR306" s="485"/>
      <c r="BS306" s="485"/>
      <c r="BT306" s="485"/>
      <c r="BU306" s="485"/>
      <c r="BV306" s="485"/>
      <c r="BW306" s="485"/>
      <c r="BX306" s="485"/>
      <c r="BY306" s="485"/>
      <c r="BZ306" s="485"/>
      <c r="CA306" s="485"/>
      <c r="CB306" s="485"/>
      <c r="CC306" s="485"/>
      <c r="CD306" s="485"/>
      <c r="CE306" s="485"/>
      <c r="CF306" s="485"/>
      <c r="CG306" s="485"/>
      <c r="CH306" s="485"/>
      <c r="CI306" s="485"/>
      <c r="CJ306" s="485"/>
      <c r="CK306" s="485"/>
      <c r="CL306" s="485"/>
      <c r="CM306" s="485"/>
      <c r="CN306" s="485"/>
      <c r="CO306" s="485"/>
      <c r="CP306" s="485"/>
      <c r="CQ306" s="485"/>
      <c r="CR306" s="485"/>
      <c r="CS306" s="485"/>
      <c r="CT306" s="485"/>
      <c r="CU306" s="485"/>
      <c r="CV306" s="485"/>
      <c r="CW306" s="485"/>
      <c r="CX306" s="485"/>
      <c r="CY306" s="485"/>
      <c r="CZ306" s="485"/>
      <c r="DA306" s="485"/>
      <c r="DB306" s="485"/>
      <c r="DC306" s="485"/>
      <c r="DD306" s="485"/>
      <c r="DE306" s="485"/>
      <c r="DF306" s="485"/>
      <c r="DG306" s="485"/>
      <c r="DH306" s="485"/>
      <c r="DI306" s="485"/>
      <c r="DJ306" s="485"/>
      <c r="DK306" s="485"/>
      <c r="DL306" s="485"/>
      <c r="DM306" s="485"/>
      <c r="DN306" s="485"/>
      <c r="DO306" s="485"/>
      <c r="DP306" s="485"/>
      <c r="DQ306" s="485"/>
      <c r="DR306" s="485"/>
      <c r="DS306" s="485"/>
      <c r="DT306" s="485"/>
      <c r="DU306" s="485"/>
      <c r="DV306" s="485"/>
      <c r="DW306" s="485"/>
      <c r="DX306" s="485"/>
      <c r="DY306" s="485"/>
      <c r="DZ306" s="485"/>
      <c r="EA306" s="485"/>
      <c r="EB306" s="485"/>
      <c r="EC306" s="485"/>
      <c r="ED306" s="485"/>
      <c r="EE306" s="485"/>
      <c r="EF306" s="485"/>
      <c r="EG306" s="485"/>
      <c r="EH306" s="485"/>
      <c r="EI306" s="485"/>
      <c r="EJ306" s="485"/>
      <c r="EK306" s="485"/>
      <c r="EL306" s="485"/>
      <c r="EM306" s="485"/>
      <c r="EN306" s="485"/>
      <c r="EO306" s="485"/>
      <c r="EP306" s="485"/>
    </row>
    <row r="307" spans="1:146" ht="15.75">
      <c r="A307" s="462">
        <v>1036</v>
      </c>
      <c r="B307" s="467" t="s">
        <v>393</v>
      </c>
      <c r="C307" s="624">
        <v>300</v>
      </c>
      <c r="D307" s="626">
        <v>115</v>
      </c>
      <c r="E307" s="611">
        <v>12.87</v>
      </c>
      <c r="F307" s="678">
        <f t="shared" si="83"/>
        <v>12.606649999999998</v>
      </c>
      <c r="G307" s="683"/>
      <c r="H307" s="682">
        <f t="shared" si="84"/>
        <v>0</v>
      </c>
      <c r="I307" s="442">
        <f t="shared" si="85"/>
        <v>0</v>
      </c>
      <c r="J307" s="646"/>
      <c r="K307" s="443">
        <v>0.34399999999999997</v>
      </c>
      <c r="L307" s="627">
        <f t="shared" si="92"/>
        <v>0</v>
      </c>
      <c r="M307" s="627"/>
      <c r="N307" s="609">
        <v>115</v>
      </c>
      <c r="O307" s="610">
        <v>12.872813249384908</v>
      </c>
      <c r="P307" s="617" t="str">
        <f t="shared" si="93"/>
        <v>---</v>
      </c>
      <c r="Q307" s="618">
        <f t="shared" si="94"/>
        <v>2.8132493849089002E-3</v>
      </c>
      <c r="R307" s="485"/>
      <c r="S307" s="624" t="str">
        <f t="shared" si="95"/>
        <v>OK</v>
      </c>
      <c r="T307" s="613">
        <f>IF(+'2012 Rates'!O514&lt;'2012 Rates'!$B$11,'2012 Rates'!$B$11,+'2012 Rates'!O514)</f>
        <v>13.84</v>
      </c>
      <c r="U307" s="447">
        <f t="shared" si="90"/>
        <v>9.7833286400431652E-2</v>
      </c>
      <c r="V307" s="485"/>
      <c r="W307" s="623">
        <f t="shared" si="91"/>
        <v>0</v>
      </c>
      <c r="X307" s="485"/>
      <c r="Y307" s="485"/>
      <c r="Z307" s="485"/>
      <c r="AA307" s="485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5"/>
      <c r="AO307" s="485"/>
      <c r="AP307" s="485"/>
      <c r="AQ307" s="485"/>
      <c r="AR307" s="485"/>
      <c r="AS307" s="485"/>
      <c r="AT307" s="485"/>
      <c r="AU307" s="485"/>
      <c r="AV307" s="485"/>
      <c r="AW307" s="485"/>
      <c r="AX307" s="485"/>
      <c r="AY307" s="485"/>
      <c r="AZ307" s="485"/>
      <c r="BA307" s="485"/>
      <c r="BB307" s="485"/>
      <c r="BC307" s="485"/>
      <c r="BD307" s="485"/>
      <c r="BE307" s="485"/>
      <c r="BF307" s="485"/>
      <c r="BG307" s="485"/>
      <c r="BH307" s="485"/>
      <c r="BI307" s="485"/>
      <c r="BJ307" s="485"/>
      <c r="BK307" s="485"/>
      <c r="BL307" s="485"/>
      <c r="BM307" s="485"/>
      <c r="BN307" s="485"/>
      <c r="BO307" s="485"/>
      <c r="BP307" s="485"/>
      <c r="BQ307" s="485"/>
      <c r="BR307" s="485"/>
      <c r="BS307" s="485"/>
      <c r="BT307" s="485"/>
      <c r="BU307" s="485"/>
      <c r="BV307" s="485"/>
      <c r="BW307" s="485"/>
      <c r="BX307" s="485"/>
      <c r="BY307" s="485"/>
      <c r="BZ307" s="485"/>
      <c r="CA307" s="485"/>
      <c r="CB307" s="485"/>
      <c r="CC307" s="485"/>
      <c r="CD307" s="485"/>
      <c r="CE307" s="485"/>
      <c r="CF307" s="485"/>
      <c r="CG307" s="485"/>
      <c r="CH307" s="485"/>
      <c r="CI307" s="485"/>
      <c r="CJ307" s="485"/>
      <c r="CK307" s="485"/>
      <c r="CL307" s="485"/>
      <c r="CM307" s="485"/>
      <c r="CN307" s="485"/>
      <c r="CO307" s="485"/>
      <c r="CP307" s="485"/>
      <c r="CQ307" s="485"/>
      <c r="CR307" s="485"/>
      <c r="CS307" s="485"/>
      <c r="CT307" s="485"/>
      <c r="CU307" s="485"/>
      <c r="CV307" s="485"/>
      <c r="CW307" s="485"/>
      <c r="CX307" s="485"/>
      <c r="CY307" s="485"/>
      <c r="CZ307" s="485"/>
      <c r="DA307" s="485"/>
      <c r="DB307" s="485"/>
      <c r="DC307" s="485"/>
      <c r="DD307" s="485"/>
      <c r="DE307" s="485"/>
      <c r="DF307" s="485"/>
      <c r="DG307" s="485"/>
      <c r="DH307" s="485"/>
      <c r="DI307" s="485"/>
      <c r="DJ307" s="485"/>
      <c r="DK307" s="485"/>
      <c r="DL307" s="485"/>
      <c r="DM307" s="485"/>
      <c r="DN307" s="485"/>
      <c r="DO307" s="485"/>
      <c r="DP307" s="485"/>
      <c r="DQ307" s="485"/>
      <c r="DR307" s="485"/>
      <c r="DS307" s="485"/>
      <c r="DT307" s="485"/>
      <c r="DU307" s="485"/>
      <c r="DV307" s="485"/>
      <c r="DW307" s="485"/>
      <c r="DX307" s="485"/>
      <c r="DY307" s="485"/>
      <c r="DZ307" s="485"/>
      <c r="EA307" s="485"/>
      <c r="EB307" s="485"/>
      <c r="EC307" s="485"/>
      <c r="ED307" s="485"/>
      <c r="EE307" s="485"/>
      <c r="EF307" s="485"/>
      <c r="EG307" s="485"/>
      <c r="EH307" s="485"/>
      <c r="EI307" s="485"/>
      <c r="EJ307" s="485"/>
      <c r="EK307" s="485"/>
      <c r="EL307" s="485"/>
      <c r="EM307" s="485"/>
      <c r="EN307" s="485"/>
      <c r="EO307" s="485"/>
      <c r="EP307" s="485"/>
    </row>
    <row r="308" spans="1:146" ht="15.75">
      <c r="A308" s="462">
        <v>1037</v>
      </c>
      <c r="B308" s="467" t="s">
        <v>393</v>
      </c>
      <c r="C308" s="624">
        <v>585</v>
      </c>
      <c r="D308" s="626">
        <v>260</v>
      </c>
      <c r="E308" s="611">
        <v>29.12</v>
      </c>
      <c r="F308" s="678">
        <f t="shared" si="83"/>
        <v>28.5246</v>
      </c>
      <c r="G308" s="683"/>
      <c r="H308" s="682">
        <f t="shared" si="84"/>
        <v>0</v>
      </c>
      <c r="I308" s="442">
        <f t="shared" si="85"/>
        <v>0</v>
      </c>
      <c r="J308" s="646"/>
      <c r="K308" s="443">
        <v>0.78</v>
      </c>
      <c r="L308" s="627">
        <f t="shared" si="92"/>
        <v>0</v>
      </c>
      <c r="M308" s="627"/>
      <c r="N308" s="609">
        <v>260</v>
      </c>
      <c r="O308" s="610">
        <v>29.117664737739791</v>
      </c>
      <c r="P308" s="617" t="str">
        <f t="shared" si="93"/>
        <v>---</v>
      </c>
      <c r="Q308" s="618">
        <f t="shared" si="94"/>
        <v>-2.3352622602104134E-3</v>
      </c>
      <c r="R308" s="485"/>
      <c r="S308" s="624" t="str">
        <f t="shared" si="95"/>
        <v>OK</v>
      </c>
      <c r="T308" s="613">
        <f>IF(+'2012 Rates'!O515&lt;'2012 Rates'!$B$11,'2012 Rates'!$B$11,+'2012 Rates'!O515)</f>
        <v>31.310000000000002</v>
      </c>
      <c r="U308" s="447">
        <f t="shared" si="90"/>
        <v>9.7649046787685156E-2</v>
      </c>
      <c r="V308" s="485"/>
      <c r="W308" s="623">
        <f t="shared" si="91"/>
        <v>0</v>
      </c>
      <c r="X308" s="485"/>
      <c r="Y308" s="485"/>
      <c r="Z308" s="485"/>
      <c r="AA308" s="485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5"/>
      <c r="AO308" s="485"/>
      <c r="AP308" s="485"/>
      <c r="AQ308" s="485"/>
      <c r="AR308" s="485"/>
      <c r="AS308" s="485"/>
      <c r="AT308" s="485"/>
      <c r="AU308" s="485"/>
      <c r="AV308" s="485"/>
      <c r="AW308" s="485"/>
      <c r="AX308" s="485"/>
      <c r="AY308" s="485"/>
      <c r="AZ308" s="485"/>
      <c r="BA308" s="485"/>
      <c r="BB308" s="485"/>
      <c r="BC308" s="485"/>
      <c r="BD308" s="485"/>
      <c r="BE308" s="485"/>
      <c r="BF308" s="485"/>
      <c r="BG308" s="485"/>
      <c r="BH308" s="485"/>
      <c r="BI308" s="485"/>
      <c r="BJ308" s="485"/>
      <c r="BK308" s="485"/>
      <c r="BL308" s="485"/>
      <c r="BM308" s="485"/>
      <c r="BN308" s="485"/>
      <c r="BO308" s="485"/>
      <c r="BP308" s="485"/>
      <c r="BQ308" s="485"/>
      <c r="BR308" s="485"/>
      <c r="BS308" s="485"/>
      <c r="BT308" s="485"/>
      <c r="BU308" s="485"/>
      <c r="BV308" s="485"/>
      <c r="BW308" s="485"/>
      <c r="BX308" s="485"/>
      <c r="BY308" s="485"/>
      <c r="BZ308" s="485"/>
      <c r="CA308" s="485"/>
      <c r="CB308" s="485"/>
      <c r="CC308" s="485"/>
      <c r="CD308" s="485"/>
      <c r="CE308" s="485"/>
      <c r="CF308" s="485"/>
      <c r="CG308" s="485"/>
      <c r="CH308" s="485"/>
      <c r="CI308" s="485"/>
      <c r="CJ308" s="485"/>
      <c r="CK308" s="485"/>
      <c r="CL308" s="485"/>
      <c r="CM308" s="485"/>
      <c r="CN308" s="485"/>
      <c r="CO308" s="485"/>
      <c r="CP308" s="485"/>
      <c r="CQ308" s="485"/>
      <c r="CR308" s="485"/>
      <c r="CS308" s="485"/>
      <c r="CT308" s="485"/>
      <c r="CU308" s="485"/>
      <c r="CV308" s="485"/>
      <c r="CW308" s="485"/>
      <c r="CX308" s="485"/>
      <c r="CY308" s="485"/>
      <c r="CZ308" s="485"/>
      <c r="DA308" s="485"/>
      <c r="DB308" s="485"/>
      <c r="DC308" s="485"/>
      <c r="DD308" s="485"/>
      <c r="DE308" s="485"/>
      <c r="DF308" s="485"/>
      <c r="DG308" s="485"/>
      <c r="DH308" s="485"/>
      <c r="DI308" s="485"/>
      <c r="DJ308" s="485"/>
      <c r="DK308" s="485"/>
      <c r="DL308" s="485"/>
      <c r="DM308" s="485"/>
      <c r="DN308" s="485"/>
      <c r="DO308" s="485"/>
      <c r="DP308" s="485"/>
      <c r="DQ308" s="485"/>
      <c r="DR308" s="485"/>
      <c r="DS308" s="485"/>
      <c r="DT308" s="485"/>
      <c r="DU308" s="485"/>
      <c r="DV308" s="485"/>
      <c r="DW308" s="485"/>
      <c r="DX308" s="485"/>
      <c r="DY308" s="485"/>
      <c r="DZ308" s="485"/>
      <c r="EA308" s="485"/>
      <c r="EB308" s="485"/>
      <c r="EC308" s="485"/>
      <c r="ED308" s="485"/>
      <c r="EE308" s="485"/>
      <c r="EF308" s="485"/>
      <c r="EG308" s="485"/>
      <c r="EH308" s="485"/>
      <c r="EI308" s="485"/>
      <c r="EJ308" s="485"/>
      <c r="EK308" s="485"/>
      <c r="EL308" s="485"/>
      <c r="EM308" s="485"/>
      <c r="EN308" s="485"/>
      <c r="EO308" s="485"/>
      <c r="EP308" s="485"/>
    </row>
    <row r="309" spans="1:146" ht="15.75">
      <c r="A309" s="462">
        <v>1038</v>
      </c>
      <c r="B309" s="467" t="s">
        <v>393</v>
      </c>
      <c r="C309" s="624">
        <v>360</v>
      </c>
      <c r="D309" s="626">
        <v>133</v>
      </c>
      <c r="E309" s="611">
        <v>14.9</v>
      </c>
      <c r="F309" s="678">
        <f t="shared" si="83"/>
        <v>14.59543</v>
      </c>
      <c r="G309" s="683">
        <v>1</v>
      </c>
      <c r="H309" s="682">
        <f t="shared" si="84"/>
        <v>1596</v>
      </c>
      <c r="I309" s="442">
        <f t="shared" si="85"/>
        <v>178.8</v>
      </c>
      <c r="J309" s="646"/>
      <c r="K309" s="443">
        <v>0.4</v>
      </c>
      <c r="L309" s="627">
        <f t="shared" si="92"/>
        <v>0.4</v>
      </c>
      <c r="M309" s="627"/>
      <c r="N309" s="609">
        <v>133</v>
      </c>
      <c r="O309" s="610">
        <v>14.904036192766894</v>
      </c>
      <c r="P309" s="617" t="str">
        <f t="shared" si="93"/>
        <v>---</v>
      </c>
      <c r="Q309" s="618">
        <f t="shared" si="94"/>
        <v>4.0361927668932651E-3</v>
      </c>
      <c r="R309" s="485"/>
      <c r="S309" s="624" t="str">
        <f t="shared" si="95"/>
        <v>OK</v>
      </c>
      <c r="T309" s="613">
        <f>IF(+'2012 Rates'!O516&lt;'2012 Rates'!$B$11,'2012 Rates'!$B$11,+'2012 Rates'!O516)</f>
        <v>16.04</v>
      </c>
      <c r="U309" s="447">
        <f t="shared" si="90"/>
        <v>9.8974130943726868E-2</v>
      </c>
      <c r="V309" s="485"/>
      <c r="W309" s="623">
        <f t="shared" si="91"/>
        <v>192.48</v>
      </c>
      <c r="X309" s="485"/>
      <c r="Y309" s="485"/>
      <c r="Z309" s="485"/>
      <c r="AA309" s="485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5"/>
      <c r="AO309" s="485"/>
      <c r="AP309" s="485"/>
      <c r="AQ309" s="485"/>
      <c r="AR309" s="485"/>
      <c r="AS309" s="485"/>
      <c r="AT309" s="485"/>
      <c r="AU309" s="485"/>
      <c r="AV309" s="485"/>
      <c r="AW309" s="485"/>
      <c r="AX309" s="485"/>
      <c r="AY309" s="485"/>
      <c r="AZ309" s="485"/>
      <c r="BA309" s="485"/>
      <c r="BB309" s="485"/>
      <c r="BC309" s="485"/>
      <c r="BD309" s="485"/>
      <c r="BE309" s="485"/>
      <c r="BF309" s="485"/>
      <c r="BG309" s="485"/>
      <c r="BH309" s="485"/>
      <c r="BI309" s="485"/>
      <c r="BJ309" s="485"/>
      <c r="BK309" s="485"/>
      <c r="BL309" s="485"/>
      <c r="BM309" s="485"/>
      <c r="BN309" s="485"/>
      <c r="BO309" s="485"/>
      <c r="BP309" s="485"/>
      <c r="BQ309" s="485"/>
      <c r="BR309" s="485"/>
      <c r="BS309" s="485"/>
      <c r="BT309" s="485"/>
      <c r="BU309" s="485"/>
      <c r="BV309" s="485"/>
      <c r="BW309" s="485"/>
      <c r="BX309" s="485"/>
      <c r="BY309" s="485"/>
      <c r="BZ309" s="485"/>
      <c r="CA309" s="485"/>
      <c r="CB309" s="485"/>
      <c r="CC309" s="485"/>
      <c r="CD309" s="485"/>
      <c r="CE309" s="485"/>
      <c r="CF309" s="485"/>
      <c r="CG309" s="485"/>
      <c r="CH309" s="485"/>
      <c r="CI309" s="485"/>
      <c r="CJ309" s="485"/>
      <c r="CK309" s="485"/>
      <c r="CL309" s="485"/>
      <c r="CM309" s="485"/>
      <c r="CN309" s="485"/>
      <c r="CO309" s="485"/>
      <c r="CP309" s="485"/>
      <c r="CQ309" s="485"/>
      <c r="CR309" s="485"/>
      <c r="CS309" s="485"/>
      <c r="CT309" s="485"/>
      <c r="CU309" s="485"/>
      <c r="CV309" s="485"/>
      <c r="CW309" s="485"/>
      <c r="CX309" s="485"/>
      <c r="CY309" s="485"/>
      <c r="CZ309" s="485"/>
      <c r="DA309" s="485"/>
      <c r="DB309" s="485"/>
      <c r="DC309" s="485"/>
      <c r="DD309" s="485"/>
      <c r="DE309" s="485"/>
      <c r="DF309" s="485"/>
      <c r="DG309" s="485"/>
      <c r="DH309" s="485"/>
      <c r="DI309" s="485"/>
      <c r="DJ309" s="485"/>
      <c r="DK309" s="485"/>
      <c r="DL309" s="485"/>
      <c r="DM309" s="485"/>
      <c r="DN309" s="485"/>
      <c r="DO309" s="485"/>
      <c r="DP309" s="485"/>
      <c r="DQ309" s="485"/>
      <c r="DR309" s="485"/>
      <c r="DS309" s="485"/>
      <c r="DT309" s="485"/>
      <c r="DU309" s="485"/>
      <c r="DV309" s="485"/>
      <c r="DW309" s="485"/>
      <c r="DX309" s="485"/>
      <c r="DY309" s="485"/>
      <c r="DZ309" s="485"/>
      <c r="EA309" s="485"/>
      <c r="EB309" s="485"/>
      <c r="EC309" s="485"/>
      <c r="ED309" s="485"/>
      <c r="EE309" s="485"/>
      <c r="EF309" s="485"/>
      <c r="EG309" s="485"/>
      <c r="EH309" s="485"/>
      <c r="EI309" s="485"/>
      <c r="EJ309" s="485"/>
      <c r="EK309" s="485"/>
      <c r="EL309" s="485"/>
      <c r="EM309" s="485"/>
      <c r="EN309" s="485"/>
      <c r="EO309" s="485"/>
      <c r="EP309" s="485"/>
    </row>
    <row r="310" spans="1:146" ht="15.75">
      <c r="A310" s="462">
        <v>1039</v>
      </c>
      <c r="B310" s="467" t="s">
        <v>393</v>
      </c>
      <c r="C310" s="624">
        <v>672</v>
      </c>
      <c r="D310" s="626">
        <v>267</v>
      </c>
      <c r="E310" s="611">
        <v>29.87</v>
      </c>
      <c r="F310" s="678">
        <f t="shared" si="83"/>
        <v>29.258570000000002</v>
      </c>
      <c r="G310" s="683">
        <v>1</v>
      </c>
      <c r="H310" s="682">
        <f t="shared" si="84"/>
        <v>3204</v>
      </c>
      <c r="I310" s="442">
        <f t="shared" si="85"/>
        <v>358.44</v>
      </c>
      <c r="J310" s="646"/>
      <c r="K310" s="443">
        <v>0.8</v>
      </c>
      <c r="L310" s="627">
        <f t="shared" si="92"/>
        <v>0.8</v>
      </c>
      <c r="M310" s="627"/>
      <c r="N310" s="609">
        <v>267</v>
      </c>
      <c r="O310" s="610">
        <v>29.873140326832782</v>
      </c>
      <c r="P310" s="617" t="str">
        <f t="shared" si="93"/>
        <v>---</v>
      </c>
      <c r="Q310" s="618">
        <f t="shared" si="94"/>
        <v>3.140326832781426E-3</v>
      </c>
      <c r="R310" s="485"/>
      <c r="S310" s="624" t="str">
        <f t="shared" si="95"/>
        <v>OK</v>
      </c>
      <c r="T310" s="613">
        <f>IF(+'2012 Rates'!O517&lt;'2012 Rates'!$B$11,'2012 Rates'!$B$11,+'2012 Rates'!O517)</f>
        <v>32.15</v>
      </c>
      <c r="U310" s="447">
        <f t="shared" si="90"/>
        <v>9.8823353294436256E-2</v>
      </c>
      <c r="V310" s="485"/>
      <c r="W310" s="623">
        <f t="shared" si="91"/>
        <v>385.79999999999995</v>
      </c>
      <c r="X310" s="485"/>
      <c r="Y310" s="485"/>
      <c r="Z310" s="485"/>
      <c r="AA310" s="485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5"/>
      <c r="AO310" s="485"/>
      <c r="AP310" s="485"/>
      <c r="AQ310" s="485"/>
      <c r="AR310" s="485"/>
      <c r="AS310" s="485"/>
      <c r="AT310" s="485"/>
      <c r="AU310" s="485"/>
      <c r="AV310" s="485"/>
      <c r="AW310" s="485"/>
      <c r="AX310" s="485"/>
      <c r="AY310" s="485"/>
      <c r="AZ310" s="485"/>
      <c r="BA310" s="485"/>
      <c r="BB310" s="485"/>
      <c r="BC310" s="485"/>
      <c r="BD310" s="485"/>
      <c r="BE310" s="485"/>
      <c r="BF310" s="485"/>
      <c r="BG310" s="485"/>
      <c r="BH310" s="485"/>
      <c r="BI310" s="485"/>
      <c r="BJ310" s="485"/>
      <c r="BK310" s="485"/>
      <c r="BL310" s="485"/>
      <c r="BM310" s="485"/>
      <c r="BN310" s="485"/>
      <c r="BO310" s="485"/>
      <c r="BP310" s="485"/>
      <c r="BQ310" s="485"/>
      <c r="BR310" s="485"/>
      <c r="BS310" s="485"/>
      <c r="BT310" s="485"/>
      <c r="BU310" s="485"/>
      <c r="BV310" s="485"/>
      <c r="BW310" s="485"/>
      <c r="BX310" s="485"/>
      <c r="BY310" s="485"/>
      <c r="BZ310" s="485"/>
      <c r="CA310" s="485"/>
      <c r="CB310" s="485"/>
      <c r="CC310" s="485"/>
      <c r="CD310" s="485"/>
      <c r="CE310" s="485"/>
      <c r="CF310" s="485"/>
      <c r="CG310" s="485"/>
      <c r="CH310" s="485"/>
      <c r="CI310" s="485"/>
      <c r="CJ310" s="485"/>
      <c r="CK310" s="485"/>
      <c r="CL310" s="485"/>
      <c r="CM310" s="485"/>
      <c r="CN310" s="485"/>
      <c r="CO310" s="485"/>
      <c r="CP310" s="485"/>
      <c r="CQ310" s="485"/>
      <c r="CR310" s="485"/>
      <c r="CS310" s="485"/>
      <c r="CT310" s="485"/>
      <c r="CU310" s="485"/>
      <c r="CV310" s="485"/>
      <c r="CW310" s="485"/>
      <c r="CX310" s="485"/>
      <c r="CY310" s="485"/>
      <c r="CZ310" s="485"/>
      <c r="DA310" s="485"/>
      <c r="DB310" s="485"/>
      <c r="DC310" s="485"/>
      <c r="DD310" s="485"/>
      <c r="DE310" s="485"/>
      <c r="DF310" s="485"/>
      <c r="DG310" s="485"/>
      <c r="DH310" s="485"/>
      <c r="DI310" s="485"/>
      <c r="DJ310" s="485"/>
      <c r="DK310" s="485"/>
      <c r="DL310" s="485"/>
      <c r="DM310" s="485"/>
      <c r="DN310" s="485"/>
      <c r="DO310" s="485"/>
      <c r="DP310" s="485"/>
      <c r="DQ310" s="485"/>
      <c r="DR310" s="485"/>
      <c r="DS310" s="485"/>
      <c r="DT310" s="485"/>
      <c r="DU310" s="485"/>
      <c r="DV310" s="485"/>
      <c r="DW310" s="485"/>
      <c r="DX310" s="485"/>
      <c r="DY310" s="485"/>
      <c r="DZ310" s="485"/>
      <c r="EA310" s="485"/>
      <c r="EB310" s="485"/>
      <c r="EC310" s="485"/>
      <c r="ED310" s="485"/>
      <c r="EE310" s="485"/>
      <c r="EF310" s="485"/>
      <c r="EG310" s="485"/>
      <c r="EH310" s="485"/>
      <c r="EI310" s="485"/>
      <c r="EJ310" s="485"/>
      <c r="EK310" s="485"/>
      <c r="EL310" s="485"/>
      <c r="EM310" s="485"/>
      <c r="EN310" s="485"/>
      <c r="EO310" s="485"/>
      <c r="EP310" s="485"/>
    </row>
    <row r="311" spans="1:146" ht="15.75">
      <c r="A311" s="462">
        <v>1040</v>
      </c>
      <c r="B311" s="467" t="s">
        <v>393</v>
      </c>
      <c r="C311" s="624">
        <v>140</v>
      </c>
      <c r="D311" s="626">
        <v>56</v>
      </c>
      <c r="E311" s="611">
        <v>6.29</v>
      </c>
      <c r="F311" s="678">
        <f t="shared" si="83"/>
        <v>6.1617600000000001</v>
      </c>
      <c r="G311" s="683">
        <v>1</v>
      </c>
      <c r="H311" s="682">
        <f t="shared" si="84"/>
        <v>672</v>
      </c>
      <c r="I311" s="442">
        <f t="shared" si="85"/>
        <v>75.48</v>
      </c>
      <c r="J311" s="646"/>
      <c r="K311" s="443">
        <v>0.16800000000000001</v>
      </c>
      <c r="L311" s="627">
        <f t="shared" si="92"/>
        <v>0.16800000000000001</v>
      </c>
      <c r="M311" s="627"/>
      <c r="N311" s="609">
        <v>56</v>
      </c>
      <c r="O311" s="610">
        <v>6.2938047127439543</v>
      </c>
      <c r="P311" s="617" t="str">
        <f t="shared" si="93"/>
        <v>---</v>
      </c>
      <c r="Q311" s="618">
        <f t="shared" si="94"/>
        <v>3.8047127439542194E-3</v>
      </c>
      <c r="R311" s="485"/>
      <c r="S311" s="624" t="str">
        <f t="shared" si="95"/>
        <v>OK</v>
      </c>
      <c r="T311" s="613">
        <f>IF(+'2012 Rates'!O518&lt;'2012 Rates'!$B$11,'2012 Rates'!$B$11,+'2012 Rates'!O518)</f>
        <v>6.76</v>
      </c>
      <c r="U311" s="447">
        <f t="shared" si="90"/>
        <v>9.7089143361636987E-2</v>
      </c>
      <c r="V311" s="485"/>
      <c r="W311" s="623">
        <f t="shared" si="91"/>
        <v>81.12</v>
      </c>
      <c r="X311" s="485"/>
      <c r="Y311" s="485"/>
      <c r="Z311" s="485"/>
      <c r="AA311" s="485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5"/>
      <c r="AO311" s="485"/>
      <c r="AP311" s="485"/>
      <c r="AQ311" s="485"/>
      <c r="AR311" s="485"/>
      <c r="AS311" s="485"/>
      <c r="AT311" s="485"/>
      <c r="AU311" s="485"/>
      <c r="AV311" s="485"/>
      <c r="AW311" s="485"/>
      <c r="AX311" s="485"/>
      <c r="AY311" s="485"/>
      <c r="AZ311" s="485"/>
      <c r="BA311" s="485"/>
      <c r="BB311" s="485"/>
      <c r="BC311" s="485"/>
      <c r="BD311" s="485"/>
      <c r="BE311" s="485"/>
      <c r="BF311" s="485"/>
      <c r="BG311" s="485"/>
      <c r="BH311" s="485"/>
      <c r="BI311" s="485"/>
      <c r="BJ311" s="485"/>
      <c r="BK311" s="485"/>
      <c r="BL311" s="485"/>
      <c r="BM311" s="485"/>
      <c r="BN311" s="485"/>
      <c r="BO311" s="485"/>
      <c r="BP311" s="485"/>
      <c r="BQ311" s="485"/>
      <c r="BR311" s="485"/>
      <c r="BS311" s="485"/>
      <c r="BT311" s="485"/>
      <c r="BU311" s="485"/>
      <c r="BV311" s="485"/>
      <c r="BW311" s="485"/>
      <c r="BX311" s="485"/>
      <c r="BY311" s="485"/>
      <c r="BZ311" s="485"/>
      <c r="CA311" s="485"/>
      <c r="CB311" s="485"/>
      <c r="CC311" s="485"/>
      <c r="CD311" s="485"/>
      <c r="CE311" s="485"/>
      <c r="CF311" s="485"/>
      <c r="CG311" s="485"/>
      <c r="CH311" s="485"/>
      <c r="CI311" s="485"/>
      <c r="CJ311" s="485"/>
      <c r="CK311" s="485"/>
      <c r="CL311" s="485"/>
      <c r="CM311" s="485"/>
      <c r="CN311" s="485"/>
      <c r="CO311" s="485"/>
      <c r="CP311" s="485"/>
      <c r="CQ311" s="485"/>
      <c r="CR311" s="485"/>
      <c r="CS311" s="485"/>
      <c r="CT311" s="485"/>
      <c r="CU311" s="485"/>
      <c r="CV311" s="485"/>
      <c r="CW311" s="485"/>
      <c r="CX311" s="485"/>
      <c r="CY311" s="485"/>
      <c r="CZ311" s="485"/>
      <c r="DA311" s="485"/>
      <c r="DB311" s="485"/>
      <c r="DC311" s="485"/>
      <c r="DD311" s="485"/>
      <c r="DE311" s="485"/>
      <c r="DF311" s="485"/>
      <c r="DG311" s="485"/>
      <c r="DH311" s="485"/>
      <c r="DI311" s="485"/>
      <c r="DJ311" s="485"/>
      <c r="DK311" s="485"/>
      <c r="DL311" s="485"/>
      <c r="DM311" s="485"/>
      <c r="DN311" s="485"/>
      <c r="DO311" s="485"/>
      <c r="DP311" s="485"/>
      <c r="DQ311" s="485"/>
      <c r="DR311" s="485"/>
      <c r="DS311" s="485"/>
      <c r="DT311" s="485"/>
      <c r="DU311" s="485"/>
      <c r="DV311" s="485"/>
      <c r="DW311" s="485"/>
      <c r="DX311" s="485"/>
      <c r="DY311" s="485"/>
      <c r="DZ311" s="485"/>
      <c r="EA311" s="485"/>
      <c r="EB311" s="485"/>
      <c r="EC311" s="485"/>
      <c r="ED311" s="485"/>
      <c r="EE311" s="485"/>
      <c r="EF311" s="485"/>
      <c r="EG311" s="485"/>
      <c r="EH311" s="485"/>
      <c r="EI311" s="485"/>
      <c r="EJ311" s="485"/>
      <c r="EK311" s="485"/>
      <c r="EL311" s="485"/>
      <c r="EM311" s="485"/>
      <c r="EN311" s="485"/>
      <c r="EO311" s="485"/>
      <c r="EP311" s="485"/>
    </row>
    <row r="312" spans="1:146" ht="15.75">
      <c r="A312" s="462">
        <v>1041</v>
      </c>
      <c r="B312" s="467" t="s">
        <v>403</v>
      </c>
      <c r="C312" s="624">
        <v>570</v>
      </c>
      <c r="D312" s="626">
        <v>458</v>
      </c>
      <c r="E312" s="611">
        <v>40.04</v>
      </c>
      <c r="F312" s="678">
        <f t="shared" si="83"/>
        <v>38.99118</v>
      </c>
      <c r="G312" s="683">
        <v>7</v>
      </c>
      <c r="H312" s="682">
        <f t="shared" si="84"/>
        <v>38472</v>
      </c>
      <c r="I312" s="442">
        <f t="shared" si="85"/>
        <v>3363.3599999999997</v>
      </c>
      <c r="J312" s="646"/>
      <c r="K312" s="443">
        <v>0.627</v>
      </c>
      <c r="L312" s="627">
        <f t="shared" si="92"/>
        <v>4.3890000000000002</v>
      </c>
      <c r="M312" s="627">
        <f>+L312</f>
        <v>4.3890000000000002</v>
      </c>
      <c r="N312" s="609">
        <v>458</v>
      </c>
      <c r="O312" s="610">
        <v>40.041117114941635</v>
      </c>
      <c r="P312" s="617" t="str">
        <f t="shared" si="93"/>
        <v>---</v>
      </c>
      <c r="Q312" s="618">
        <f t="shared" si="94"/>
        <v>1.1171149416355775E-3</v>
      </c>
      <c r="R312" s="485"/>
      <c r="S312" s="624" t="str">
        <f t="shared" si="95"/>
        <v>OK</v>
      </c>
      <c r="T312" s="613">
        <f>IF(+'2012 Rates'!P519&lt;'2012 Rates'!$B$11,'2012 Rates'!$B$11,+'2012 Rates'!P519)</f>
        <v>42.82</v>
      </c>
      <c r="U312" s="447">
        <f t="shared" si="90"/>
        <v>9.8197079442068791E-2</v>
      </c>
      <c r="V312" s="485"/>
      <c r="W312" s="623">
        <f t="shared" si="91"/>
        <v>3596.88</v>
      </c>
      <c r="X312" s="485"/>
      <c r="Y312" s="485"/>
      <c r="Z312" s="485"/>
      <c r="AA312" s="485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5"/>
      <c r="AO312" s="485"/>
      <c r="AP312" s="485"/>
      <c r="AQ312" s="485"/>
      <c r="AR312" s="485"/>
      <c r="AS312" s="485"/>
      <c r="AT312" s="485"/>
      <c r="AU312" s="485"/>
      <c r="AV312" s="485"/>
      <c r="AW312" s="485"/>
      <c r="AX312" s="485"/>
      <c r="AY312" s="485"/>
      <c r="AZ312" s="485"/>
      <c r="BA312" s="485"/>
      <c r="BB312" s="485"/>
      <c r="BC312" s="485"/>
      <c r="BD312" s="485"/>
      <c r="BE312" s="485"/>
      <c r="BF312" s="485"/>
      <c r="BG312" s="485"/>
      <c r="BH312" s="485"/>
      <c r="BI312" s="485"/>
      <c r="BJ312" s="485"/>
      <c r="BK312" s="485"/>
      <c r="BL312" s="485"/>
      <c r="BM312" s="485"/>
      <c r="BN312" s="485"/>
      <c r="BO312" s="485"/>
      <c r="BP312" s="485"/>
      <c r="BQ312" s="485"/>
      <c r="BR312" s="485"/>
      <c r="BS312" s="485"/>
      <c r="BT312" s="485"/>
      <c r="BU312" s="485"/>
      <c r="BV312" s="485"/>
      <c r="BW312" s="485"/>
      <c r="BX312" s="485"/>
      <c r="BY312" s="485"/>
      <c r="BZ312" s="485"/>
      <c r="CA312" s="485"/>
      <c r="CB312" s="485"/>
      <c r="CC312" s="485"/>
      <c r="CD312" s="485"/>
      <c r="CE312" s="485"/>
      <c r="CF312" s="485"/>
      <c r="CG312" s="485"/>
      <c r="CH312" s="485"/>
      <c r="CI312" s="485"/>
      <c r="CJ312" s="485"/>
      <c r="CK312" s="485"/>
      <c r="CL312" s="485"/>
      <c r="CM312" s="485"/>
      <c r="CN312" s="485"/>
      <c r="CO312" s="485"/>
      <c r="CP312" s="485"/>
      <c r="CQ312" s="485"/>
      <c r="CR312" s="485"/>
      <c r="CS312" s="485"/>
      <c r="CT312" s="485"/>
      <c r="CU312" s="485"/>
      <c r="CV312" s="485"/>
      <c r="CW312" s="485"/>
      <c r="CX312" s="485"/>
      <c r="CY312" s="485"/>
      <c r="CZ312" s="485"/>
      <c r="DA312" s="485"/>
      <c r="DB312" s="485"/>
      <c r="DC312" s="485"/>
      <c r="DD312" s="485"/>
      <c r="DE312" s="485"/>
      <c r="DF312" s="485"/>
      <c r="DG312" s="485"/>
      <c r="DH312" s="485"/>
      <c r="DI312" s="485"/>
      <c r="DJ312" s="485"/>
      <c r="DK312" s="485"/>
      <c r="DL312" s="485"/>
      <c r="DM312" s="485"/>
      <c r="DN312" s="485"/>
      <c r="DO312" s="485"/>
      <c r="DP312" s="485"/>
      <c r="DQ312" s="485"/>
      <c r="DR312" s="485"/>
      <c r="DS312" s="485"/>
      <c r="DT312" s="485"/>
      <c r="DU312" s="485"/>
      <c r="DV312" s="485"/>
      <c r="DW312" s="485"/>
      <c r="DX312" s="485"/>
      <c r="DY312" s="485"/>
      <c r="DZ312" s="485"/>
      <c r="EA312" s="485"/>
      <c r="EB312" s="485"/>
      <c r="EC312" s="485"/>
      <c r="ED312" s="485"/>
      <c r="EE312" s="485"/>
      <c r="EF312" s="485"/>
      <c r="EG312" s="485"/>
      <c r="EH312" s="485"/>
      <c r="EI312" s="485"/>
      <c r="EJ312" s="485"/>
      <c r="EK312" s="485"/>
      <c r="EL312" s="485"/>
      <c r="EM312" s="485"/>
      <c r="EN312" s="485"/>
      <c r="EO312" s="485"/>
      <c r="EP312" s="485"/>
    </row>
    <row r="313" spans="1:146" ht="15.75">
      <c r="A313" s="462">
        <v>1042</v>
      </c>
      <c r="B313" s="467" t="s">
        <v>393</v>
      </c>
      <c r="C313" s="624">
        <v>1320</v>
      </c>
      <c r="D313" s="626">
        <v>461</v>
      </c>
      <c r="E313" s="611">
        <v>51.6</v>
      </c>
      <c r="F313" s="678">
        <f t="shared" si="83"/>
        <v>50.544310000000003</v>
      </c>
      <c r="G313" s="683"/>
      <c r="H313" s="682">
        <f t="shared" si="84"/>
        <v>0</v>
      </c>
      <c r="I313" s="442">
        <f t="shared" si="85"/>
        <v>0</v>
      </c>
      <c r="J313" s="646"/>
      <c r="K313" s="443">
        <v>1.3819999999999999</v>
      </c>
      <c r="L313" s="627">
        <f t="shared" si="92"/>
        <v>0</v>
      </c>
      <c r="M313" s="627"/>
      <c r="N313" s="609">
        <v>461</v>
      </c>
      <c r="O313" s="610">
        <v>51.59632093883863</v>
      </c>
      <c r="P313" s="617" t="str">
        <f t="shared" si="93"/>
        <v>---</v>
      </c>
      <c r="Q313" s="618">
        <f t="shared" si="94"/>
        <v>-3.6790611613710666E-3</v>
      </c>
      <c r="R313" s="485"/>
      <c r="S313" s="624" t="str">
        <f t="shared" si="95"/>
        <v>OK</v>
      </c>
      <c r="T313" s="613">
        <f>IF(+'2012 Rates'!O520&lt;'2012 Rates'!$B$11,'2012 Rates'!$B$11,+'2012 Rates'!O520)</f>
        <v>55.51</v>
      </c>
      <c r="U313" s="447">
        <f t="shared" si="90"/>
        <v>9.8244292977785141E-2</v>
      </c>
      <c r="V313" s="485"/>
      <c r="W313" s="623">
        <f t="shared" si="91"/>
        <v>0</v>
      </c>
      <c r="X313" s="485"/>
      <c r="Y313" s="485"/>
      <c r="Z313" s="485"/>
      <c r="AA313" s="485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5"/>
      <c r="AO313" s="485"/>
      <c r="AP313" s="485"/>
      <c r="AQ313" s="485"/>
      <c r="AR313" s="485"/>
      <c r="AS313" s="485"/>
      <c r="AT313" s="485"/>
      <c r="AU313" s="485"/>
      <c r="AV313" s="485"/>
      <c r="AW313" s="485"/>
      <c r="AX313" s="485"/>
      <c r="AY313" s="485"/>
      <c r="AZ313" s="485"/>
      <c r="BA313" s="485"/>
      <c r="BB313" s="485"/>
      <c r="BC313" s="485"/>
      <c r="BD313" s="485"/>
      <c r="BE313" s="485"/>
      <c r="BF313" s="485"/>
      <c r="BG313" s="485"/>
      <c r="BH313" s="485"/>
      <c r="BI313" s="485"/>
      <c r="BJ313" s="485"/>
      <c r="BK313" s="485"/>
      <c r="BL313" s="485"/>
      <c r="BM313" s="485"/>
      <c r="BN313" s="485"/>
      <c r="BO313" s="485"/>
      <c r="BP313" s="485"/>
      <c r="BQ313" s="485"/>
      <c r="BR313" s="485"/>
      <c r="BS313" s="485"/>
      <c r="BT313" s="485"/>
      <c r="BU313" s="485"/>
      <c r="BV313" s="485"/>
      <c r="BW313" s="485"/>
      <c r="BX313" s="485"/>
      <c r="BY313" s="485"/>
      <c r="BZ313" s="485"/>
      <c r="CA313" s="485"/>
      <c r="CB313" s="485"/>
      <c r="CC313" s="485"/>
      <c r="CD313" s="485"/>
      <c r="CE313" s="485"/>
      <c r="CF313" s="485"/>
      <c r="CG313" s="485"/>
      <c r="CH313" s="485"/>
      <c r="CI313" s="485"/>
      <c r="CJ313" s="485"/>
      <c r="CK313" s="485"/>
      <c r="CL313" s="485"/>
      <c r="CM313" s="485"/>
      <c r="CN313" s="485"/>
      <c r="CO313" s="485"/>
      <c r="CP313" s="485"/>
      <c r="CQ313" s="485"/>
      <c r="CR313" s="485"/>
      <c r="CS313" s="485"/>
      <c r="CT313" s="485"/>
      <c r="CU313" s="485"/>
      <c r="CV313" s="485"/>
      <c r="CW313" s="485"/>
      <c r="CX313" s="485"/>
      <c r="CY313" s="485"/>
      <c r="CZ313" s="485"/>
      <c r="DA313" s="485"/>
      <c r="DB313" s="485"/>
      <c r="DC313" s="485"/>
      <c r="DD313" s="485"/>
      <c r="DE313" s="485"/>
      <c r="DF313" s="485"/>
      <c r="DG313" s="485"/>
      <c r="DH313" s="485"/>
      <c r="DI313" s="485"/>
      <c r="DJ313" s="485"/>
      <c r="DK313" s="485"/>
      <c r="DL313" s="485"/>
      <c r="DM313" s="485"/>
      <c r="DN313" s="485"/>
      <c r="DO313" s="485"/>
      <c r="DP313" s="485"/>
      <c r="DQ313" s="485"/>
      <c r="DR313" s="485"/>
      <c r="DS313" s="485"/>
      <c r="DT313" s="485"/>
      <c r="DU313" s="485"/>
      <c r="DV313" s="485"/>
      <c r="DW313" s="485"/>
      <c r="DX313" s="485"/>
      <c r="DY313" s="485"/>
      <c r="DZ313" s="485"/>
      <c r="EA313" s="485"/>
      <c r="EB313" s="485"/>
      <c r="EC313" s="485"/>
      <c r="ED313" s="485"/>
      <c r="EE313" s="485"/>
      <c r="EF313" s="485"/>
      <c r="EG313" s="485"/>
      <c r="EH313" s="485"/>
      <c r="EI313" s="485"/>
      <c r="EJ313" s="485"/>
      <c r="EK313" s="485"/>
      <c r="EL313" s="485"/>
      <c r="EM313" s="485"/>
      <c r="EN313" s="485"/>
      <c r="EO313" s="485"/>
      <c r="EP313" s="485"/>
    </row>
    <row r="314" spans="1:146" ht="15.75">
      <c r="A314" s="462">
        <v>1043</v>
      </c>
      <c r="B314" s="467" t="s">
        <v>393</v>
      </c>
      <c r="C314" s="624">
        <v>1300</v>
      </c>
      <c r="D314" s="626">
        <v>586</v>
      </c>
      <c r="E314" s="611">
        <v>65.599999999999994</v>
      </c>
      <c r="F314" s="678">
        <f t="shared" si="83"/>
        <v>64.25806</v>
      </c>
      <c r="G314" s="683">
        <v>1</v>
      </c>
      <c r="H314" s="682">
        <f t="shared" si="84"/>
        <v>7032</v>
      </c>
      <c r="I314" s="442">
        <f t="shared" si="85"/>
        <v>787.19999999999993</v>
      </c>
      <c r="J314" s="646"/>
      <c r="K314" s="443">
        <v>1.7569999999999999</v>
      </c>
      <c r="L314" s="627">
        <f t="shared" si="92"/>
        <v>1.7569999999999999</v>
      </c>
      <c r="M314" s="627"/>
      <c r="N314" s="609">
        <v>586</v>
      </c>
      <c r="O314" s="610">
        <v>65.599813601213526</v>
      </c>
      <c r="P314" s="617" t="str">
        <f t="shared" si="93"/>
        <v>---</v>
      </c>
      <c r="Q314" s="618">
        <f t="shared" si="94"/>
        <v>-1.8639878646808938E-4</v>
      </c>
      <c r="R314" s="485"/>
      <c r="S314" s="624" t="str">
        <f t="shared" si="95"/>
        <v>OK</v>
      </c>
      <c r="T314" s="613">
        <f>IF(+'2012 Rates'!O521&lt;'2012 Rates'!$B$11,'2012 Rates'!$B$11,+'2012 Rates'!O521)</f>
        <v>70.56</v>
      </c>
      <c r="U314" s="447">
        <f t="shared" si="90"/>
        <v>9.8072366330387295E-2</v>
      </c>
      <c r="V314" s="485"/>
      <c r="W314" s="623">
        <f t="shared" si="91"/>
        <v>846.72</v>
      </c>
      <c r="X314" s="485"/>
      <c r="Y314" s="485"/>
      <c r="Z314" s="485"/>
      <c r="AA314" s="485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5"/>
      <c r="AO314" s="485"/>
      <c r="AP314" s="485"/>
      <c r="AQ314" s="485"/>
      <c r="AR314" s="485"/>
      <c r="AS314" s="485"/>
      <c r="AT314" s="485"/>
      <c r="AU314" s="485"/>
      <c r="AV314" s="485"/>
      <c r="AW314" s="485"/>
      <c r="AX314" s="485"/>
      <c r="AY314" s="485"/>
      <c r="AZ314" s="485"/>
      <c r="BA314" s="485"/>
      <c r="BB314" s="485"/>
      <c r="BC314" s="485"/>
      <c r="BD314" s="485"/>
      <c r="BE314" s="485"/>
      <c r="BF314" s="485"/>
      <c r="BG314" s="485"/>
      <c r="BH314" s="485"/>
      <c r="BI314" s="485"/>
      <c r="BJ314" s="485"/>
      <c r="BK314" s="485"/>
      <c r="BL314" s="485"/>
      <c r="BM314" s="485"/>
      <c r="BN314" s="485"/>
      <c r="BO314" s="485"/>
      <c r="BP314" s="485"/>
      <c r="BQ314" s="485"/>
      <c r="BR314" s="485"/>
      <c r="BS314" s="485"/>
      <c r="BT314" s="485"/>
      <c r="BU314" s="485"/>
      <c r="BV314" s="485"/>
      <c r="BW314" s="485"/>
      <c r="BX314" s="485"/>
      <c r="BY314" s="485"/>
      <c r="BZ314" s="485"/>
      <c r="CA314" s="485"/>
      <c r="CB314" s="485"/>
      <c r="CC314" s="485"/>
      <c r="CD314" s="485"/>
      <c r="CE314" s="485"/>
      <c r="CF314" s="485"/>
      <c r="CG314" s="485"/>
      <c r="CH314" s="485"/>
      <c r="CI314" s="485"/>
      <c r="CJ314" s="485"/>
      <c r="CK314" s="485"/>
      <c r="CL314" s="485"/>
      <c r="CM314" s="485"/>
      <c r="CN314" s="485"/>
      <c r="CO314" s="485"/>
      <c r="CP314" s="485"/>
      <c r="CQ314" s="485"/>
      <c r="CR314" s="485"/>
      <c r="CS314" s="485"/>
      <c r="CT314" s="485"/>
      <c r="CU314" s="485"/>
      <c r="CV314" s="485"/>
      <c r="CW314" s="485"/>
      <c r="CX314" s="485"/>
      <c r="CY314" s="485"/>
      <c r="CZ314" s="485"/>
      <c r="DA314" s="485"/>
      <c r="DB314" s="485"/>
      <c r="DC314" s="485"/>
      <c r="DD314" s="485"/>
      <c r="DE314" s="485"/>
      <c r="DF314" s="485"/>
      <c r="DG314" s="485"/>
      <c r="DH314" s="485"/>
      <c r="DI314" s="485"/>
      <c r="DJ314" s="485"/>
      <c r="DK314" s="485"/>
      <c r="DL314" s="485"/>
      <c r="DM314" s="485"/>
      <c r="DN314" s="485"/>
      <c r="DO314" s="485"/>
      <c r="DP314" s="485"/>
      <c r="DQ314" s="485"/>
      <c r="DR314" s="485"/>
      <c r="DS314" s="485"/>
      <c r="DT314" s="485"/>
      <c r="DU314" s="485"/>
      <c r="DV314" s="485"/>
      <c r="DW314" s="485"/>
      <c r="DX314" s="485"/>
      <c r="DY314" s="485"/>
      <c r="DZ314" s="485"/>
      <c r="EA314" s="485"/>
      <c r="EB314" s="485"/>
      <c r="EC314" s="485"/>
      <c r="ED314" s="485"/>
      <c r="EE314" s="485"/>
      <c r="EF314" s="485"/>
      <c r="EG314" s="485"/>
      <c r="EH314" s="485"/>
      <c r="EI314" s="485"/>
      <c r="EJ314" s="485"/>
      <c r="EK314" s="485"/>
      <c r="EL314" s="485"/>
      <c r="EM314" s="485"/>
      <c r="EN314" s="485"/>
      <c r="EO314" s="485"/>
      <c r="EP314" s="485"/>
    </row>
    <row r="315" spans="1:146" ht="15.75">
      <c r="A315" s="462">
        <v>1044</v>
      </c>
      <c r="B315" s="467" t="s">
        <v>393</v>
      </c>
      <c r="C315" s="624">
        <v>340</v>
      </c>
      <c r="D315" s="626">
        <v>123</v>
      </c>
      <c r="E315" s="611">
        <v>13.78</v>
      </c>
      <c r="F315" s="678">
        <f t="shared" si="83"/>
        <v>13.498329999999999</v>
      </c>
      <c r="G315" s="683">
        <v>1</v>
      </c>
      <c r="H315" s="682">
        <f t="shared" si="84"/>
        <v>1476</v>
      </c>
      <c r="I315" s="442">
        <f t="shared" si="85"/>
        <v>165.35999999999999</v>
      </c>
      <c r="J315" s="646"/>
      <c r="K315" s="443">
        <v>0.37</v>
      </c>
      <c r="L315" s="627">
        <f t="shared" si="92"/>
        <v>0.37</v>
      </c>
      <c r="M315" s="627"/>
      <c r="N315" s="609">
        <v>123</v>
      </c>
      <c r="O315" s="610">
        <v>13.7833567797769</v>
      </c>
      <c r="P315" s="617" t="str">
        <f t="shared" si="93"/>
        <v>---</v>
      </c>
      <c r="Q315" s="618">
        <f t="shared" si="94"/>
        <v>3.3567797769009644E-3</v>
      </c>
      <c r="R315" s="485"/>
      <c r="S315" s="624" t="str">
        <f t="shared" si="95"/>
        <v>OK</v>
      </c>
      <c r="T315" s="613">
        <f>IF(+'2012 Rates'!O522&lt;'2012 Rates'!$B$11,'2012 Rates'!$B$11,+'2012 Rates'!O522)</f>
        <v>14.83</v>
      </c>
      <c r="U315" s="447">
        <f t="shared" si="90"/>
        <v>9.8654426140122542E-2</v>
      </c>
      <c r="V315" s="485"/>
      <c r="W315" s="623">
        <f t="shared" si="91"/>
        <v>177.96</v>
      </c>
      <c r="X315" s="485"/>
      <c r="Y315" s="485"/>
      <c r="Z315" s="485"/>
      <c r="AA315" s="485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5"/>
      <c r="AO315" s="485"/>
      <c r="AP315" s="485"/>
      <c r="AQ315" s="485"/>
      <c r="AR315" s="485"/>
      <c r="AS315" s="485"/>
      <c r="AT315" s="485"/>
      <c r="AU315" s="485"/>
      <c r="AV315" s="485"/>
      <c r="AW315" s="485"/>
      <c r="AX315" s="485"/>
      <c r="AY315" s="485"/>
      <c r="AZ315" s="485"/>
      <c r="BA315" s="485"/>
      <c r="BB315" s="485"/>
      <c r="BC315" s="485"/>
      <c r="BD315" s="485"/>
      <c r="BE315" s="485"/>
      <c r="BF315" s="485"/>
      <c r="BG315" s="485"/>
      <c r="BH315" s="485"/>
      <c r="BI315" s="485"/>
      <c r="BJ315" s="485"/>
      <c r="BK315" s="485"/>
      <c r="BL315" s="485"/>
      <c r="BM315" s="485"/>
      <c r="BN315" s="485"/>
      <c r="BO315" s="485"/>
      <c r="BP315" s="485"/>
      <c r="BQ315" s="485"/>
      <c r="BR315" s="485"/>
      <c r="BS315" s="485"/>
      <c r="BT315" s="485"/>
      <c r="BU315" s="485"/>
      <c r="BV315" s="485"/>
      <c r="BW315" s="485"/>
      <c r="BX315" s="485"/>
      <c r="BY315" s="485"/>
      <c r="BZ315" s="485"/>
      <c r="CA315" s="485"/>
      <c r="CB315" s="485"/>
      <c r="CC315" s="485"/>
      <c r="CD315" s="485"/>
      <c r="CE315" s="485"/>
      <c r="CF315" s="485"/>
      <c r="CG315" s="485"/>
      <c r="CH315" s="485"/>
      <c r="CI315" s="485"/>
      <c r="CJ315" s="485"/>
      <c r="CK315" s="485"/>
      <c r="CL315" s="485"/>
      <c r="CM315" s="485"/>
      <c r="CN315" s="485"/>
      <c r="CO315" s="485"/>
      <c r="CP315" s="485"/>
      <c r="CQ315" s="485"/>
      <c r="CR315" s="485"/>
      <c r="CS315" s="485"/>
      <c r="CT315" s="485"/>
      <c r="CU315" s="485"/>
      <c r="CV315" s="485"/>
      <c r="CW315" s="485"/>
      <c r="CX315" s="485"/>
      <c r="CY315" s="485"/>
      <c r="CZ315" s="485"/>
      <c r="DA315" s="485"/>
      <c r="DB315" s="485"/>
      <c r="DC315" s="485"/>
      <c r="DD315" s="485"/>
      <c r="DE315" s="485"/>
      <c r="DF315" s="485"/>
      <c r="DG315" s="485"/>
      <c r="DH315" s="485"/>
      <c r="DI315" s="485"/>
      <c r="DJ315" s="485"/>
      <c r="DK315" s="485"/>
      <c r="DL315" s="485"/>
      <c r="DM315" s="485"/>
      <c r="DN315" s="485"/>
      <c r="DO315" s="485"/>
      <c r="DP315" s="485"/>
      <c r="DQ315" s="485"/>
      <c r="DR315" s="485"/>
      <c r="DS315" s="485"/>
      <c r="DT315" s="485"/>
      <c r="DU315" s="485"/>
      <c r="DV315" s="485"/>
      <c r="DW315" s="485"/>
      <c r="DX315" s="485"/>
      <c r="DY315" s="485"/>
      <c r="DZ315" s="485"/>
      <c r="EA315" s="485"/>
      <c r="EB315" s="485"/>
      <c r="EC315" s="485"/>
      <c r="ED315" s="485"/>
      <c r="EE315" s="485"/>
      <c r="EF315" s="485"/>
      <c r="EG315" s="485"/>
      <c r="EH315" s="485"/>
      <c r="EI315" s="485"/>
      <c r="EJ315" s="485"/>
      <c r="EK315" s="485"/>
      <c r="EL315" s="485"/>
      <c r="EM315" s="485"/>
      <c r="EN315" s="485"/>
      <c r="EO315" s="485"/>
      <c r="EP315" s="485"/>
    </row>
    <row r="316" spans="1:146" ht="15.75">
      <c r="A316" s="462">
        <v>1045</v>
      </c>
      <c r="B316" s="467" t="s">
        <v>393</v>
      </c>
      <c r="C316" s="624">
        <v>720</v>
      </c>
      <c r="D316" s="626">
        <v>275</v>
      </c>
      <c r="E316" s="611">
        <v>30.79</v>
      </c>
      <c r="F316" s="678">
        <f t="shared" si="83"/>
        <v>30.160249999999998</v>
      </c>
      <c r="G316" s="683">
        <v>1</v>
      </c>
      <c r="H316" s="682">
        <f t="shared" si="84"/>
        <v>3300</v>
      </c>
      <c r="I316" s="442">
        <f t="shared" si="85"/>
        <v>369.48</v>
      </c>
      <c r="J316" s="646"/>
      <c r="K316" s="443">
        <v>0.82399999999999995</v>
      </c>
      <c r="L316" s="627">
        <f t="shared" si="92"/>
        <v>0.82399999999999995</v>
      </c>
      <c r="M316" s="627"/>
      <c r="N316" s="609">
        <v>275</v>
      </c>
      <c r="O316" s="610">
        <v>30.793683857224778</v>
      </c>
      <c r="P316" s="617" t="str">
        <f t="shared" si="93"/>
        <v>---</v>
      </c>
      <c r="Q316" s="618">
        <f t="shared" si="94"/>
        <v>3.6838572247788193E-3</v>
      </c>
      <c r="R316" s="485"/>
      <c r="S316" s="624" t="str">
        <f t="shared" si="95"/>
        <v>OK</v>
      </c>
      <c r="T316" s="613">
        <f>IF(+'2012 Rates'!O523&lt;'2012 Rates'!$B$11,'2012 Rates'!$B$11,+'2012 Rates'!O523)</f>
        <v>33.119999999999997</v>
      </c>
      <c r="U316" s="447">
        <f t="shared" si="90"/>
        <v>9.8134133503535281E-2</v>
      </c>
      <c r="V316" s="485"/>
      <c r="W316" s="623">
        <f t="shared" si="91"/>
        <v>397.43999999999994</v>
      </c>
      <c r="X316" s="485"/>
      <c r="Y316" s="485"/>
      <c r="Z316" s="485"/>
      <c r="AA316" s="485"/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5"/>
      <c r="AO316" s="485"/>
      <c r="AP316" s="485"/>
      <c r="AQ316" s="485"/>
      <c r="AR316" s="485"/>
      <c r="AS316" s="485"/>
      <c r="AT316" s="485"/>
      <c r="AU316" s="485"/>
      <c r="AV316" s="485"/>
      <c r="AW316" s="485"/>
      <c r="AX316" s="485"/>
      <c r="AY316" s="485"/>
      <c r="AZ316" s="485"/>
      <c r="BA316" s="485"/>
      <c r="BB316" s="485"/>
      <c r="BC316" s="485"/>
      <c r="BD316" s="485"/>
      <c r="BE316" s="485"/>
      <c r="BF316" s="485"/>
      <c r="BG316" s="485"/>
      <c r="BH316" s="485"/>
      <c r="BI316" s="485"/>
      <c r="BJ316" s="485"/>
      <c r="BK316" s="485"/>
      <c r="BL316" s="485"/>
      <c r="BM316" s="485"/>
      <c r="BN316" s="485"/>
      <c r="BO316" s="485"/>
      <c r="BP316" s="485"/>
      <c r="BQ316" s="485"/>
      <c r="BR316" s="485"/>
      <c r="BS316" s="485"/>
      <c r="BT316" s="485"/>
      <c r="BU316" s="485"/>
      <c r="BV316" s="485"/>
      <c r="BW316" s="485"/>
      <c r="BX316" s="485"/>
      <c r="BY316" s="485"/>
      <c r="BZ316" s="485"/>
      <c r="CA316" s="485"/>
      <c r="CB316" s="485"/>
      <c r="CC316" s="485"/>
      <c r="CD316" s="485"/>
      <c r="CE316" s="485"/>
      <c r="CF316" s="485"/>
      <c r="CG316" s="485"/>
      <c r="CH316" s="485"/>
      <c r="CI316" s="485"/>
      <c r="CJ316" s="485"/>
      <c r="CK316" s="485"/>
      <c r="CL316" s="485"/>
      <c r="CM316" s="485"/>
      <c r="CN316" s="485"/>
      <c r="CO316" s="485"/>
      <c r="CP316" s="485"/>
      <c r="CQ316" s="485"/>
      <c r="CR316" s="485"/>
      <c r="CS316" s="485"/>
      <c r="CT316" s="485"/>
      <c r="CU316" s="485"/>
      <c r="CV316" s="485"/>
      <c r="CW316" s="485"/>
      <c r="CX316" s="485"/>
      <c r="CY316" s="485"/>
      <c r="CZ316" s="485"/>
      <c r="DA316" s="485"/>
      <c r="DB316" s="485"/>
      <c r="DC316" s="485"/>
      <c r="DD316" s="485"/>
      <c r="DE316" s="485"/>
      <c r="DF316" s="485"/>
      <c r="DG316" s="485"/>
      <c r="DH316" s="485"/>
      <c r="DI316" s="485"/>
      <c r="DJ316" s="485"/>
      <c r="DK316" s="485"/>
      <c r="DL316" s="485"/>
      <c r="DM316" s="485"/>
      <c r="DN316" s="485"/>
      <c r="DO316" s="485"/>
      <c r="DP316" s="485"/>
      <c r="DQ316" s="485"/>
      <c r="DR316" s="485"/>
      <c r="DS316" s="485"/>
      <c r="DT316" s="485"/>
      <c r="DU316" s="485"/>
      <c r="DV316" s="485"/>
      <c r="DW316" s="485"/>
      <c r="DX316" s="485"/>
      <c r="DY316" s="485"/>
      <c r="DZ316" s="485"/>
      <c r="EA316" s="485"/>
      <c r="EB316" s="485"/>
      <c r="EC316" s="485"/>
      <c r="ED316" s="485"/>
      <c r="EE316" s="485"/>
      <c r="EF316" s="485"/>
      <c r="EG316" s="485"/>
      <c r="EH316" s="485"/>
      <c r="EI316" s="485"/>
      <c r="EJ316" s="485"/>
      <c r="EK316" s="485"/>
      <c r="EL316" s="485"/>
      <c r="EM316" s="485"/>
      <c r="EN316" s="485"/>
      <c r="EO316" s="485"/>
      <c r="EP316" s="485"/>
    </row>
    <row r="317" spans="1:146" ht="15.75">
      <c r="A317" s="462">
        <v>1046</v>
      </c>
      <c r="B317" s="467" t="s">
        <v>393</v>
      </c>
      <c r="C317" s="624">
        <v>360</v>
      </c>
      <c r="D317" s="626">
        <v>137</v>
      </c>
      <c r="E317" s="611">
        <v>15.34</v>
      </c>
      <c r="F317" s="678">
        <f t="shared" si="83"/>
        <v>15.02627</v>
      </c>
      <c r="G317" s="683">
        <v>1</v>
      </c>
      <c r="H317" s="682">
        <f t="shared" si="84"/>
        <v>1644</v>
      </c>
      <c r="I317" s="442">
        <f t="shared" si="85"/>
        <v>184.07999999999998</v>
      </c>
      <c r="J317" s="646"/>
      <c r="K317" s="443">
        <v>0.41199999999999998</v>
      </c>
      <c r="L317" s="627">
        <f t="shared" si="92"/>
        <v>0.41199999999999998</v>
      </c>
      <c r="M317" s="627"/>
      <c r="N317" s="609">
        <v>137</v>
      </c>
      <c r="O317" s="610">
        <v>15.34430795796289</v>
      </c>
      <c r="P317" s="617" t="str">
        <f t="shared" si="93"/>
        <v>---</v>
      </c>
      <c r="Q317" s="618">
        <f t="shared" si="94"/>
        <v>4.3079579628901854E-3</v>
      </c>
      <c r="R317" s="485"/>
      <c r="S317" s="624" t="str">
        <f t="shared" si="95"/>
        <v>OK</v>
      </c>
      <c r="T317" s="613">
        <f>IF(+'2012 Rates'!O524&lt;'2012 Rates'!$B$11,'2012 Rates'!$B$11,+'2012 Rates'!O524)</f>
        <v>16.509999999999998</v>
      </c>
      <c r="U317" s="447">
        <f t="shared" si="90"/>
        <v>9.8742402472469681E-2</v>
      </c>
      <c r="V317" s="485"/>
      <c r="W317" s="623">
        <f t="shared" si="91"/>
        <v>198.11999999999998</v>
      </c>
      <c r="X317" s="646"/>
      <c r="Y317" s="485"/>
      <c r="Z317" s="485"/>
      <c r="AA317" s="485"/>
      <c r="AB317" s="485"/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5"/>
      <c r="AO317" s="485"/>
      <c r="AP317" s="485"/>
      <c r="AQ317" s="485"/>
      <c r="AR317" s="485"/>
      <c r="AS317" s="485"/>
      <c r="AT317" s="485"/>
      <c r="AU317" s="485"/>
      <c r="AV317" s="485"/>
      <c r="AW317" s="485"/>
      <c r="AX317" s="485"/>
      <c r="AY317" s="485"/>
      <c r="AZ317" s="485"/>
      <c r="BA317" s="485"/>
      <c r="BB317" s="485"/>
      <c r="BC317" s="485"/>
      <c r="BD317" s="485"/>
      <c r="BE317" s="485"/>
      <c r="BF317" s="485"/>
      <c r="BG317" s="485"/>
      <c r="BH317" s="485"/>
      <c r="BI317" s="485"/>
      <c r="BJ317" s="485"/>
      <c r="BK317" s="485"/>
      <c r="BL317" s="485"/>
      <c r="BM317" s="485"/>
      <c r="BN317" s="485"/>
      <c r="BO317" s="485"/>
      <c r="BP317" s="485"/>
      <c r="BQ317" s="485"/>
      <c r="BR317" s="485"/>
      <c r="BS317" s="485"/>
      <c r="BT317" s="485"/>
      <c r="BU317" s="485"/>
      <c r="BV317" s="485"/>
      <c r="BW317" s="485"/>
      <c r="BX317" s="485"/>
      <c r="BY317" s="485"/>
      <c r="BZ317" s="485"/>
      <c r="CA317" s="485"/>
      <c r="CB317" s="485"/>
      <c r="CC317" s="485"/>
      <c r="CD317" s="485"/>
      <c r="CE317" s="485"/>
      <c r="CF317" s="485"/>
      <c r="CG317" s="485"/>
      <c r="CH317" s="485"/>
      <c r="CI317" s="485"/>
      <c r="CJ317" s="485"/>
      <c r="CK317" s="485"/>
      <c r="CL317" s="485"/>
      <c r="CM317" s="485"/>
      <c r="CN317" s="485"/>
      <c r="CO317" s="485"/>
      <c r="CP317" s="485"/>
      <c r="CQ317" s="485"/>
      <c r="CR317" s="485"/>
      <c r="CS317" s="485"/>
      <c r="CT317" s="485"/>
      <c r="CU317" s="485"/>
      <c r="CV317" s="485"/>
      <c r="CW317" s="485"/>
      <c r="CX317" s="485"/>
      <c r="CY317" s="485"/>
      <c r="CZ317" s="485"/>
      <c r="DA317" s="485"/>
      <c r="DB317" s="485"/>
      <c r="DC317" s="485"/>
      <c r="DD317" s="485"/>
      <c r="DE317" s="485"/>
      <c r="DF317" s="485"/>
      <c r="DG317" s="485"/>
      <c r="DH317" s="485"/>
      <c r="DI317" s="485"/>
      <c r="DJ317" s="485"/>
      <c r="DK317" s="485"/>
      <c r="DL317" s="485"/>
      <c r="DM317" s="485"/>
      <c r="DN317" s="485"/>
      <c r="DO317" s="485"/>
      <c r="DP317" s="485"/>
      <c r="DQ317" s="485"/>
      <c r="DR317" s="485"/>
      <c r="DS317" s="485"/>
      <c r="DT317" s="485"/>
      <c r="DU317" s="485"/>
      <c r="DV317" s="485"/>
      <c r="DW317" s="485"/>
      <c r="DX317" s="485"/>
      <c r="DY317" s="485"/>
      <c r="DZ317" s="485"/>
      <c r="EA317" s="485"/>
      <c r="EB317" s="485"/>
      <c r="EC317" s="485"/>
      <c r="ED317" s="485"/>
      <c r="EE317" s="485"/>
      <c r="EF317" s="485"/>
      <c r="EG317" s="485"/>
      <c r="EH317" s="485"/>
      <c r="EI317" s="485"/>
      <c r="EJ317" s="485"/>
      <c r="EK317" s="485"/>
      <c r="EL317" s="485"/>
      <c r="EM317" s="485"/>
      <c r="EN317" s="485"/>
      <c r="EO317" s="485"/>
      <c r="EP317" s="485"/>
    </row>
    <row r="318" spans="1:146" ht="15.75">
      <c r="A318" s="462">
        <v>1047</v>
      </c>
      <c r="B318" s="465" t="s">
        <v>466</v>
      </c>
      <c r="C318" s="624">
        <v>0</v>
      </c>
      <c r="D318" s="648">
        <v>0</v>
      </c>
      <c r="E318" s="611">
        <v>13.93</v>
      </c>
      <c r="F318" s="678">
        <f t="shared" si="83"/>
        <v>13.93</v>
      </c>
      <c r="G318" s="683">
        <v>6</v>
      </c>
      <c r="H318" s="682">
        <f t="shared" si="84"/>
        <v>0</v>
      </c>
      <c r="I318" s="442">
        <f t="shared" si="85"/>
        <v>1002.96</v>
      </c>
      <c r="J318" s="442">
        <f>+E318*G318*12</f>
        <v>1002.96</v>
      </c>
      <c r="K318" s="443">
        <v>0</v>
      </c>
      <c r="L318" s="627">
        <f t="shared" si="92"/>
        <v>0</v>
      </c>
      <c r="M318" s="627"/>
      <c r="N318" s="609">
        <v>0</v>
      </c>
      <c r="O318" s="610">
        <v>13.93</v>
      </c>
      <c r="P318" s="617" t="str">
        <f t="shared" si="93"/>
        <v>---</v>
      </c>
      <c r="Q318" s="618" t="str">
        <f t="shared" si="94"/>
        <v>---</v>
      </c>
      <c r="R318" s="485"/>
      <c r="S318" s="624" t="str">
        <f t="shared" si="95"/>
        <v>OK</v>
      </c>
      <c r="T318" s="613">
        <f>IF(+'2012 Rates'!O525&lt;'2012 Rates'!$B$11,'2012 Rates'!$B$11,+'2012 Rates'!O525)</f>
        <v>15.595521311936775</v>
      </c>
      <c r="U318" s="447">
        <f t="shared" si="90"/>
        <v>0.1195636261261146</v>
      </c>
      <c r="V318" s="485" t="s">
        <v>467</v>
      </c>
      <c r="W318" s="623">
        <f t="shared" si="91"/>
        <v>1122.8775344594478</v>
      </c>
      <c r="X318" s="444">
        <f>+G318*T318*12</f>
        <v>1122.8775344594478</v>
      </c>
      <c r="Y318" s="485"/>
      <c r="Z318" s="485"/>
      <c r="AA318" s="485"/>
      <c r="AB318" s="485"/>
      <c r="AC318" s="485"/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5"/>
      <c r="AO318" s="485"/>
      <c r="AP318" s="485"/>
      <c r="AQ318" s="485"/>
      <c r="AR318" s="485"/>
      <c r="AS318" s="485"/>
      <c r="AT318" s="485"/>
      <c r="AU318" s="485"/>
      <c r="AV318" s="485"/>
      <c r="AW318" s="485"/>
      <c r="AX318" s="485"/>
      <c r="AY318" s="485"/>
      <c r="AZ318" s="485"/>
      <c r="BA318" s="485"/>
      <c r="BB318" s="485"/>
      <c r="BC318" s="485"/>
      <c r="BD318" s="485"/>
      <c r="BE318" s="485"/>
      <c r="BF318" s="485"/>
      <c r="BG318" s="485"/>
      <c r="BH318" s="485"/>
      <c r="BI318" s="485"/>
      <c r="BJ318" s="485"/>
      <c r="BK318" s="485"/>
      <c r="BL318" s="485"/>
      <c r="BM318" s="485"/>
      <c r="BN318" s="485"/>
      <c r="BO318" s="485"/>
      <c r="BP318" s="485"/>
      <c r="BQ318" s="485"/>
      <c r="BR318" s="485"/>
      <c r="BS318" s="485"/>
      <c r="BT318" s="485"/>
      <c r="BU318" s="485"/>
      <c r="BV318" s="485"/>
      <c r="BW318" s="485"/>
      <c r="BX318" s="485"/>
      <c r="BY318" s="485"/>
      <c r="BZ318" s="485"/>
      <c r="CA318" s="485"/>
      <c r="CB318" s="485"/>
      <c r="CC318" s="485"/>
      <c r="CD318" s="485"/>
      <c r="CE318" s="485"/>
      <c r="CF318" s="485"/>
      <c r="CG318" s="485"/>
      <c r="CH318" s="485"/>
      <c r="CI318" s="485"/>
      <c r="CJ318" s="485"/>
      <c r="CK318" s="485"/>
      <c r="CL318" s="485"/>
      <c r="CM318" s="485"/>
      <c r="CN318" s="485"/>
      <c r="CO318" s="485"/>
      <c r="CP318" s="485"/>
      <c r="CQ318" s="485"/>
      <c r="CR318" s="485"/>
      <c r="CS318" s="485"/>
      <c r="CT318" s="485"/>
      <c r="CU318" s="485"/>
      <c r="CV318" s="485"/>
      <c r="CW318" s="485"/>
      <c r="CX318" s="485"/>
      <c r="CY318" s="485"/>
      <c r="CZ318" s="485"/>
      <c r="DA318" s="485"/>
      <c r="DB318" s="485"/>
      <c r="DC318" s="485"/>
      <c r="DD318" s="485"/>
      <c r="DE318" s="485"/>
      <c r="DF318" s="485"/>
      <c r="DG318" s="485"/>
      <c r="DH318" s="485"/>
      <c r="DI318" s="485"/>
      <c r="DJ318" s="485"/>
      <c r="DK318" s="485"/>
      <c r="DL318" s="485"/>
      <c r="DM318" s="485"/>
      <c r="DN318" s="485"/>
      <c r="DO318" s="485"/>
      <c r="DP318" s="485"/>
      <c r="DQ318" s="485"/>
      <c r="DR318" s="485"/>
      <c r="DS318" s="485"/>
      <c r="DT318" s="485"/>
      <c r="DU318" s="485"/>
      <c r="DV318" s="485"/>
      <c r="DW318" s="485"/>
      <c r="DX318" s="485"/>
      <c r="DY318" s="485"/>
      <c r="DZ318" s="485"/>
      <c r="EA318" s="485"/>
      <c r="EB318" s="485"/>
      <c r="EC318" s="485"/>
      <c r="ED318" s="485"/>
      <c r="EE318" s="485"/>
      <c r="EF318" s="485"/>
      <c r="EG318" s="485"/>
      <c r="EH318" s="485"/>
      <c r="EI318" s="485"/>
      <c r="EJ318" s="485"/>
      <c r="EK318" s="485"/>
      <c r="EL318" s="485"/>
      <c r="EM318" s="485"/>
      <c r="EN318" s="485"/>
      <c r="EO318" s="485"/>
      <c r="EP318" s="485"/>
    </row>
    <row r="319" spans="1:146" ht="15.75">
      <c r="A319" s="462">
        <v>1048</v>
      </c>
      <c r="B319" s="467" t="s">
        <v>393</v>
      </c>
      <c r="C319" s="624">
        <v>320</v>
      </c>
      <c r="D319" s="648">
        <v>119</v>
      </c>
      <c r="E319" s="611">
        <v>13.3</v>
      </c>
      <c r="F319" s="678">
        <f t="shared" si="83"/>
        <v>13.02749</v>
      </c>
      <c r="G319" s="683"/>
      <c r="H319" s="682">
        <f t="shared" ref="H319:H367" si="96">+D319*G319*12</f>
        <v>0</v>
      </c>
      <c r="I319" s="442">
        <f t="shared" ref="I319:I364" si="97">+E319*G319*12</f>
        <v>0</v>
      </c>
      <c r="J319" s="442"/>
      <c r="K319" s="443">
        <v>0.35699999999999998</v>
      </c>
      <c r="L319" s="627">
        <f t="shared" si="92"/>
        <v>0</v>
      </c>
      <c r="M319" s="627"/>
      <c r="N319" s="609">
        <v>119</v>
      </c>
      <c r="O319" s="610">
        <v>13.303085014580903</v>
      </c>
      <c r="P319" s="617" t="str">
        <f t="shared" si="93"/>
        <v>---</v>
      </c>
      <c r="Q319" s="618">
        <f t="shared" si="94"/>
        <v>3.0850145809022678E-3</v>
      </c>
      <c r="R319" s="485"/>
      <c r="S319" s="624" t="str">
        <f t="shared" si="95"/>
        <v>OK</v>
      </c>
      <c r="T319" s="613">
        <f>IF(+'2012 Rates'!O526&lt;'2012 Rates'!$B$11,'2012 Rates'!$B$11,+'2012 Rates'!O526)</f>
        <v>14.31</v>
      </c>
      <c r="U319" s="447">
        <f t="shared" si="90"/>
        <v>9.8446439030081878E-2</v>
      </c>
      <c r="V319" s="485"/>
      <c r="W319" s="623">
        <f t="shared" ref="W319:W351" si="98">+G319*T319*12</f>
        <v>0</v>
      </c>
      <c r="X319" s="442"/>
      <c r="Y319" s="485"/>
      <c r="Z319" s="485"/>
      <c r="AA319" s="485"/>
      <c r="AB319" s="485"/>
      <c r="AC319" s="485"/>
      <c r="AD319" s="485"/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5"/>
      <c r="AO319" s="485"/>
      <c r="AP319" s="485"/>
      <c r="AQ319" s="485"/>
      <c r="AR319" s="485"/>
      <c r="AS319" s="485"/>
      <c r="AT319" s="485"/>
      <c r="AU319" s="485"/>
      <c r="AV319" s="485"/>
      <c r="AW319" s="485"/>
      <c r="AX319" s="485"/>
      <c r="AY319" s="485"/>
      <c r="AZ319" s="485"/>
      <c r="BA319" s="485"/>
      <c r="BB319" s="485"/>
      <c r="BC319" s="485"/>
      <c r="BD319" s="485"/>
      <c r="BE319" s="485"/>
      <c r="BF319" s="485"/>
      <c r="BG319" s="485"/>
      <c r="BH319" s="485"/>
      <c r="BI319" s="485"/>
      <c r="BJ319" s="485"/>
      <c r="BK319" s="485"/>
      <c r="BL319" s="485"/>
      <c r="BM319" s="485"/>
      <c r="BN319" s="485"/>
      <c r="BO319" s="485"/>
      <c r="BP319" s="485"/>
      <c r="BQ319" s="485"/>
      <c r="BR319" s="485"/>
      <c r="BS319" s="485"/>
      <c r="BT319" s="485"/>
      <c r="BU319" s="485"/>
      <c r="BV319" s="485"/>
      <c r="BW319" s="485"/>
      <c r="BX319" s="485"/>
      <c r="BY319" s="485"/>
      <c r="BZ319" s="485"/>
      <c r="CA319" s="485"/>
      <c r="CB319" s="485"/>
      <c r="CC319" s="485"/>
      <c r="CD319" s="485"/>
      <c r="CE319" s="485"/>
      <c r="CF319" s="485"/>
      <c r="CG319" s="485"/>
      <c r="CH319" s="485"/>
      <c r="CI319" s="485"/>
      <c r="CJ319" s="485"/>
      <c r="CK319" s="485"/>
      <c r="CL319" s="485"/>
      <c r="CM319" s="485"/>
      <c r="CN319" s="485"/>
      <c r="CO319" s="485"/>
      <c r="CP319" s="485"/>
      <c r="CQ319" s="485"/>
      <c r="CR319" s="485"/>
      <c r="CS319" s="485"/>
      <c r="CT319" s="485"/>
      <c r="CU319" s="485"/>
      <c r="CV319" s="485"/>
      <c r="CW319" s="485"/>
      <c r="CX319" s="485"/>
      <c r="CY319" s="485"/>
      <c r="CZ319" s="485"/>
      <c r="DA319" s="485"/>
      <c r="DB319" s="485"/>
      <c r="DC319" s="485"/>
      <c r="DD319" s="485"/>
      <c r="DE319" s="485"/>
      <c r="DF319" s="485"/>
      <c r="DG319" s="485"/>
      <c r="DH319" s="485"/>
      <c r="DI319" s="485"/>
      <c r="DJ319" s="485"/>
      <c r="DK319" s="485"/>
      <c r="DL319" s="485"/>
      <c r="DM319" s="485"/>
      <c r="DN319" s="485"/>
      <c r="DO319" s="485"/>
      <c r="DP319" s="485"/>
      <c r="DQ319" s="485"/>
      <c r="DR319" s="485"/>
      <c r="DS319" s="485"/>
      <c r="DT319" s="485"/>
      <c r="DU319" s="485"/>
      <c r="DV319" s="485"/>
      <c r="DW319" s="485"/>
      <c r="DX319" s="485"/>
      <c r="DY319" s="485"/>
      <c r="DZ319" s="485"/>
      <c r="EA319" s="485"/>
      <c r="EB319" s="485"/>
      <c r="EC319" s="485"/>
      <c r="ED319" s="485"/>
      <c r="EE319" s="485"/>
      <c r="EF319" s="485"/>
      <c r="EG319" s="485"/>
      <c r="EH319" s="485"/>
      <c r="EI319" s="485"/>
      <c r="EJ319" s="485"/>
      <c r="EK319" s="485"/>
      <c r="EL319" s="485"/>
      <c r="EM319" s="485"/>
      <c r="EN319" s="485"/>
      <c r="EO319" s="485"/>
      <c r="EP319" s="485"/>
    </row>
    <row r="320" spans="1:146" ht="15.75">
      <c r="A320" s="462">
        <v>1049</v>
      </c>
      <c r="B320" s="467" t="s">
        <v>393</v>
      </c>
      <c r="C320" s="624">
        <v>150</v>
      </c>
      <c r="D320" s="648">
        <v>60</v>
      </c>
      <c r="E320" s="611">
        <v>6.72</v>
      </c>
      <c r="F320" s="678">
        <f t="shared" si="83"/>
        <v>6.5825999999999993</v>
      </c>
      <c r="G320" s="683">
        <v>1</v>
      </c>
      <c r="H320" s="682">
        <f t="shared" si="96"/>
        <v>720</v>
      </c>
      <c r="I320" s="442">
        <f t="shared" si="97"/>
        <v>80.64</v>
      </c>
      <c r="J320" s="442"/>
      <c r="K320" s="443">
        <v>0.18</v>
      </c>
      <c r="L320" s="627">
        <f t="shared" si="92"/>
        <v>0.18</v>
      </c>
      <c r="M320" s="627"/>
      <c r="N320" s="609">
        <v>60</v>
      </c>
      <c r="O320" s="610">
        <v>6.7240764779399527</v>
      </c>
      <c r="P320" s="617" t="str">
        <f t="shared" si="93"/>
        <v>---</v>
      </c>
      <c r="Q320" s="618">
        <f t="shared" si="94"/>
        <v>4.0764779399529161E-3</v>
      </c>
      <c r="R320" s="485"/>
      <c r="S320" s="624" t="str">
        <f t="shared" si="95"/>
        <v>OK</v>
      </c>
      <c r="T320" s="613">
        <f>IF(+'2012 Rates'!O527&lt;'2012 Rates'!$B$11,'2012 Rates'!$B$11,+'2012 Rates'!O527)</f>
        <v>7.22</v>
      </c>
      <c r="U320" s="447">
        <f t="shared" si="90"/>
        <v>9.6831039406921393E-2</v>
      </c>
      <c r="V320" s="485"/>
      <c r="W320" s="623">
        <f t="shared" si="98"/>
        <v>86.64</v>
      </c>
      <c r="X320" s="442"/>
      <c r="Y320" s="485"/>
      <c r="Z320" s="485"/>
      <c r="AA320" s="485"/>
      <c r="AB320" s="485"/>
      <c r="AC320" s="485"/>
      <c r="AD320" s="485"/>
      <c r="AE320" s="485"/>
      <c r="AF320" s="485"/>
      <c r="AG320" s="485"/>
      <c r="AH320" s="485"/>
      <c r="AI320" s="485"/>
      <c r="AJ320" s="485"/>
      <c r="AK320" s="485"/>
      <c r="AL320" s="485"/>
      <c r="AM320" s="485"/>
      <c r="AN320" s="485"/>
      <c r="AO320" s="485"/>
      <c r="AP320" s="485"/>
      <c r="AQ320" s="485"/>
      <c r="AR320" s="485"/>
      <c r="AS320" s="485"/>
      <c r="AT320" s="485"/>
      <c r="AU320" s="485"/>
      <c r="AV320" s="485"/>
      <c r="AW320" s="485"/>
      <c r="AX320" s="485"/>
      <c r="AY320" s="485"/>
      <c r="AZ320" s="485"/>
      <c r="BA320" s="485"/>
      <c r="BB320" s="485"/>
      <c r="BC320" s="485"/>
      <c r="BD320" s="485"/>
      <c r="BE320" s="485"/>
      <c r="BF320" s="485"/>
      <c r="BG320" s="485"/>
      <c r="BH320" s="485"/>
      <c r="BI320" s="485"/>
      <c r="BJ320" s="485"/>
      <c r="BK320" s="485"/>
      <c r="BL320" s="485"/>
      <c r="BM320" s="485"/>
      <c r="BN320" s="485"/>
      <c r="BO320" s="485"/>
      <c r="BP320" s="485"/>
      <c r="BQ320" s="485"/>
      <c r="BR320" s="485"/>
      <c r="BS320" s="485"/>
      <c r="BT320" s="485"/>
      <c r="BU320" s="485"/>
      <c r="BV320" s="485"/>
      <c r="BW320" s="485"/>
      <c r="BX320" s="485"/>
      <c r="BY320" s="485"/>
      <c r="BZ320" s="485"/>
      <c r="CA320" s="485"/>
      <c r="CB320" s="485"/>
      <c r="CC320" s="485"/>
      <c r="CD320" s="485"/>
      <c r="CE320" s="485"/>
      <c r="CF320" s="485"/>
      <c r="CG320" s="485"/>
      <c r="CH320" s="485"/>
      <c r="CI320" s="485"/>
      <c r="CJ320" s="485"/>
      <c r="CK320" s="485"/>
      <c r="CL320" s="485"/>
      <c r="CM320" s="485"/>
      <c r="CN320" s="485"/>
      <c r="CO320" s="485"/>
      <c r="CP320" s="485"/>
      <c r="CQ320" s="485"/>
      <c r="CR320" s="485"/>
      <c r="CS320" s="485"/>
      <c r="CT320" s="485"/>
      <c r="CU320" s="485"/>
      <c r="CV320" s="485"/>
      <c r="CW320" s="485"/>
      <c r="CX320" s="485"/>
      <c r="CY320" s="485"/>
      <c r="CZ320" s="485"/>
      <c r="DA320" s="485"/>
      <c r="DB320" s="485"/>
      <c r="DC320" s="485"/>
      <c r="DD320" s="485"/>
      <c r="DE320" s="485"/>
      <c r="DF320" s="485"/>
      <c r="DG320" s="485"/>
      <c r="DH320" s="485"/>
      <c r="DI320" s="485"/>
      <c r="DJ320" s="485"/>
      <c r="DK320" s="485"/>
      <c r="DL320" s="485"/>
      <c r="DM320" s="485"/>
      <c r="DN320" s="485"/>
      <c r="DO320" s="485"/>
      <c r="DP320" s="485"/>
      <c r="DQ320" s="485"/>
      <c r="DR320" s="485"/>
      <c r="DS320" s="485"/>
      <c r="DT320" s="485"/>
      <c r="DU320" s="485"/>
      <c r="DV320" s="485"/>
      <c r="DW320" s="485"/>
      <c r="DX320" s="485"/>
      <c r="DY320" s="485"/>
      <c r="DZ320" s="485"/>
      <c r="EA320" s="485"/>
      <c r="EB320" s="485"/>
      <c r="EC320" s="485"/>
      <c r="ED320" s="485"/>
      <c r="EE320" s="485"/>
      <c r="EF320" s="485"/>
      <c r="EG320" s="485"/>
      <c r="EH320" s="485"/>
      <c r="EI320" s="485"/>
      <c r="EJ320" s="485"/>
      <c r="EK320" s="485"/>
      <c r="EL320" s="485"/>
      <c r="EM320" s="485"/>
      <c r="EN320" s="485"/>
      <c r="EO320" s="485"/>
      <c r="EP320" s="485"/>
    </row>
    <row r="321" spans="1:146" ht="15.75">
      <c r="A321" s="462">
        <v>1050</v>
      </c>
      <c r="B321" s="467" t="s">
        <v>403</v>
      </c>
      <c r="C321" s="624">
        <v>400</v>
      </c>
      <c r="D321" s="648">
        <v>321</v>
      </c>
      <c r="E321" s="611">
        <v>28.08</v>
      </c>
      <c r="F321" s="678">
        <f t="shared" si="83"/>
        <v>27.344909999999999</v>
      </c>
      <c r="G321" s="683">
        <v>2</v>
      </c>
      <c r="H321" s="682">
        <f t="shared" si="96"/>
        <v>7704</v>
      </c>
      <c r="I321" s="442">
        <f t="shared" si="97"/>
        <v>673.92</v>
      </c>
      <c r="J321" s="442"/>
      <c r="K321" s="443">
        <v>0.44</v>
      </c>
      <c r="L321" s="627">
        <f t="shared" si="92"/>
        <v>0.88</v>
      </c>
      <c r="M321" s="627">
        <f>+L321</f>
        <v>0.88</v>
      </c>
      <c r="N321" s="609">
        <v>321</v>
      </c>
      <c r="O321" s="610">
        <v>28.07680915697874</v>
      </c>
      <c r="P321" s="617" t="str">
        <f t="shared" si="93"/>
        <v>---</v>
      </c>
      <c r="Q321" s="618">
        <f t="shared" si="94"/>
        <v>-3.1908430212581607E-3</v>
      </c>
      <c r="R321" s="485"/>
      <c r="S321" s="624" t="str">
        <f t="shared" si="95"/>
        <v>OK</v>
      </c>
      <c r="T321" s="613">
        <f>IF(+'2012 Rates'!P528&lt;'2012 Rates'!$B$11,'2012 Rates'!$B$11,+'2012 Rates'!P528)</f>
        <v>30.03</v>
      </c>
      <c r="U321" s="447">
        <f t="shared" si="90"/>
        <v>9.8193411497788929E-2</v>
      </c>
      <c r="V321" s="485"/>
      <c r="W321" s="623">
        <f t="shared" si="98"/>
        <v>720.72</v>
      </c>
      <c r="X321" s="442"/>
      <c r="Y321" s="485"/>
      <c r="Z321" s="485"/>
      <c r="AA321" s="485"/>
      <c r="AB321" s="485"/>
      <c r="AC321" s="485"/>
      <c r="AD321" s="485"/>
      <c r="AE321" s="485"/>
      <c r="AF321" s="485"/>
      <c r="AG321" s="485"/>
      <c r="AH321" s="485"/>
      <c r="AI321" s="485"/>
      <c r="AJ321" s="485"/>
      <c r="AK321" s="485"/>
      <c r="AL321" s="485"/>
      <c r="AM321" s="485"/>
      <c r="AN321" s="485"/>
      <c r="AO321" s="485"/>
      <c r="AP321" s="485"/>
      <c r="AQ321" s="485"/>
      <c r="AR321" s="485"/>
      <c r="AS321" s="485"/>
      <c r="AT321" s="485"/>
      <c r="AU321" s="485"/>
      <c r="AV321" s="485"/>
      <c r="AW321" s="485"/>
      <c r="AX321" s="485"/>
      <c r="AY321" s="485"/>
      <c r="AZ321" s="485"/>
      <c r="BA321" s="485"/>
      <c r="BB321" s="485"/>
      <c r="BC321" s="485"/>
      <c r="BD321" s="485"/>
      <c r="BE321" s="485"/>
      <c r="BF321" s="485"/>
      <c r="BG321" s="485"/>
      <c r="BH321" s="485"/>
      <c r="BI321" s="485"/>
      <c r="BJ321" s="485"/>
      <c r="BK321" s="485"/>
      <c r="BL321" s="485"/>
      <c r="BM321" s="485"/>
      <c r="BN321" s="485"/>
      <c r="BO321" s="485"/>
      <c r="BP321" s="485"/>
      <c r="BQ321" s="485"/>
      <c r="BR321" s="485"/>
      <c r="BS321" s="485"/>
      <c r="BT321" s="485"/>
      <c r="BU321" s="485"/>
      <c r="BV321" s="485"/>
      <c r="BW321" s="485"/>
      <c r="BX321" s="485"/>
      <c r="BY321" s="485"/>
      <c r="BZ321" s="485"/>
      <c r="CA321" s="485"/>
      <c r="CB321" s="485"/>
      <c r="CC321" s="485"/>
      <c r="CD321" s="485"/>
      <c r="CE321" s="485"/>
      <c r="CF321" s="485"/>
      <c r="CG321" s="485"/>
      <c r="CH321" s="485"/>
      <c r="CI321" s="485"/>
      <c r="CJ321" s="485"/>
      <c r="CK321" s="485"/>
      <c r="CL321" s="485"/>
      <c r="CM321" s="485"/>
      <c r="CN321" s="485"/>
      <c r="CO321" s="485"/>
      <c r="CP321" s="485"/>
      <c r="CQ321" s="485"/>
      <c r="CR321" s="485"/>
      <c r="CS321" s="485"/>
      <c r="CT321" s="485"/>
      <c r="CU321" s="485"/>
      <c r="CV321" s="485"/>
      <c r="CW321" s="485"/>
      <c r="CX321" s="485"/>
      <c r="CY321" s="485"/>
      <c r="CZ321" s="485"/>
      <c r="DA321" s="485"/>
      <c r="DB321" s="485"/>
      <c r="DC321" s="485"/>
      <c r="DD321" s="485"/>
      <c r="DE321" s="485"/>
      <c r="DF321" s="485"/>
      <c r="DG321" s="485"/>
      <c r="DH321" s="485"/>
      <c r="DI321" s="485"/>
      <c r="DJ321" s="485"/>
      <c r="DK321" s="485"/>
      <c r="DL321" s="485"/>
      <c r="DM321" s="485"/>
      <c r="DN321" s="485"/>
      <c r="DO321" s="485"/>
      <c r="DP321" s="485"/>
      <c r="DQ321" s="485"/>
      <c r="DR321" s="485"/>
      <c r="DS321" s="485"/>
      <c r="DT321" s="485"/>
      <c r="DU321" s="485"/>
      <c r="DV321" s="485"/>
      <c r="DW321" s="485"/>
      <c r="DX321" s="485"/>
      <c r="DY321" s="485"/>
      <c r="DZ321" s="485"/>
      <c r="EA321" s="485"/>
      <c r="EB321" s="485"/>
      <c r="EC321" s="485"/>
      <c r="ED321" s="485"/>
      <c r="EE321" s="485"/>
      <c r="EF321" s="485"/>
      <c r="EG321" s="485"/>
      <c r="EH321" s="485"/>
      <c r="EI321" s="485"/>
      <c r="EJ321" s="485"/>
      <c r="EK321" s="485"/>
      <c r="EL321" s="485"/>
      <c r="EM321" s="485"/>
      <c r="EN321" s="485"/>
      <c r="EO321" s="485"/>
      <c r="EP321" s="485"/>
    </row>
    <row r="322" spans="1:146" ht="15.75">
      <c r="A322" s="591">
        <v>1051</v>
      </c>
      <c r="B322" s="630" t="s">
        <v>393</v>
      </c>
      <c r="C322" s="614">
        <v>1435</v>
      </c>
      <c r="D322" s="649">
        <v>574</v>
      </c>
      <c r="E322" s="610">
        <v>64.27</v>
      </c>
      <c r="F322" s="678">
        <f t="shared" si="83"/>
        <v>62.955539999999999</v>
      </c>
      <c r="G322" s="683">
        <v>1</v>
      </c>
      <c r="H322" s="664">
        <f t="shared" si="96"/>
        <v>6888</v>
      </c>
      <c r="I322" s="444">
        <f t="shared" si="97"/>
        <v>771.24</v>
      </c>
      <c r="J322" s="444"/>
      <c r="K322" s="616">
        <v>1.722</v>
      </c>
      <c r="L322" s="616">
        <f t="shared" si="92"/>
        <v>1.722</v>
      </c>
      <c r="M322" s="616"/>
      <c r="N322" s="609">
        <v>574</v>
      </c>
      <c r="O322" s="610">
        <v>64.268998305625544</v>
      </c>
      <c r="P322" s="617" t="str">
        <f t="shared" si="93"/>
        <v>---</v>
      </c>
      <c r="Q322" s="618">
        <f t="shared" si="94"/>
        <v>-1.0016943744517448E-3</v>
      </c>
      <c r="R322" s="615"/>
      <c r="S322" s="614" t="str">
        <f t="shared" si="95"/>
        <v>OK</v>
      </c>
      <c r="T322" s="613">
        <f>IF(+'2012 Rates'!O534&lt;'2012 Rates'!$B$11,'2012 Rates'!$B$11,+'2012 Rates'!O534)</f>
        <v>69.14</v>
      </c>
      <c r="U322" s="447">
        <f t="shared" si="90"/>
        <v>9.8235357841422788E-2</v>
      </c>
      <c r="V322" s="485"/>
      <c r="W322" s="623">
        <f t="shared" si="98"/>
        <v>829.68000000000006</v>
      </c>
      <c r="X322" s="442"/>
      <c r="Y322" s="485"/>
      <c r="Z322" s="485"/>
      <c r="AA322" s="485"/>
      <c r="AB322" s="485"/>
      <c r="AC322" s="485"/>
      <c r="AD322" s="485"/>
      <c r="AE322" s="485"/>
      <c r="AF322" s="485"/>
      <c r="AG322" s="485"/>
      <c r="AH322" s="485"/>
      <c r="AI322" s="485"/>
      <c r="AJ322" s="485"/>
      <c r="AK322" s="485"/>
      <c r="AL322" s="485"/>
      <c r="AM322" s="485"/>
      <c r="AN322" s="485"/>
      <c r="AO322" s="485"/>
      <c r="AP322" s="485"/>
      <c r="AQ322" s="485"/>
      <c r="AR322" s="485"/>
      <c r="AS322" s="485"/>
      <c r="AT322" s="485"/>
      <c r="AU322" s="485"/>
      <c r="AV322" s="485"/>
      <c r="AW322" s="485"/>
      <c r="AX322" s="485"/>
      <c r="AY322" s="485"/>
      <c r="AZ322" s="485"/>
      <c r="BA322" s="485"/>
      <c r="BB322" s="485"/>
      <c r="BC322" s="485"/>
      <c r="BD322" s="485"/>
      <c r="BE322" s="485"/>
      <c r="BF322" s="485"/>
      <c r="BG322" s="485"/>
      <c r="BH322" s="485"/>
      <c r="BI322" s="485"/>
      <c r="BJ322" s="485"/>
      <c r="BK322" s="485"/>
      <c r="BL322" s="485"/>
      <c r="BM322" s="485"/>
      <c r="BN322" s="485"/>
      <c r="BO322" s="485"/>
      <c r="BP322" s="485"/>
      <c r="BQ322" s="485"/>
      <c r="BR322" s="485"/>
      <c r="BS322" s="485"/>
      <c r="BT322" s="485"/>
      <c r="BU322" s="485"/>
      <c r="BV322" s="485"/>
      <c r="BW322" s="485"/>
      <c r="BX322" s="485"/>
      <c r="BY322" s="485"/>
      <c r="BZ322" s="485"/>
      <c r="CA322" s="485"/>
      <c r="CB322" s="485"/>
      <c r="CC322" s="485"/>
      <c r="CD322" s="485"/>
      <c r="CE322" s="485"/>
      <c r="CF322" s="485"/>
      <c r="CG322" s="485"/>
      <c r="CH322" s="485"/>
      <c r="CI322" s="485"/>
      <c r="CJ322" s="485"/>
      <c r="CK322" s="485"/>
      <c r="CL322" s="485"/>
      <c r="CM322" s="485"/>
      <c r="CN322" s="485"/>
      <c r="CO322" s="485"/>
      <c r="CP322" s="485"/>
      <c r="CQ322" s="485"/>
      <c r="CR322" s="485"/>
      <c r="CS322" s="485"/>
      <c r="CT322" s="485"/>
      <c r="CU322" s="485"/>
      <c r="CV322" s="485"/>
      <c r="CW322" s="485"/>
      <c r="CX322" s="485"/>
      <c r="CY322" s="485"/>
      <c r="CZ322" s="485"/>
      <c r="DA322" s="485"/>
      <c r="DB322" s="485"/>
      <c r="DC322" s="485"/>
      <c r="DD322" s="485"/>
      <c r="DE322" s="485"/>
      <c r="DF322" s="485"/>
      <c r="DG322" s="485"/>
      <c r="DH322" s="485"/>
      <c r="DI322" s="485"/>
      <c r="DJ322" s="485"/>
      <c r="DK322" s="485"/>
      <c r="DL322" s="485"/>
      <c r="DM322" s="485"/>
      <c r="DN322" s="485"/>
      <c r="DO322" s="485"/>
      <c r="DP322" s="485"/>
      <c r="DQ322" s="485"/>
      <c r="DR322" s="485"/>
      <c r="DS322" s="485"/>
      <c r="DT322" s="485"/>
      <c r="DU322" s="485"/>
      <c r="DV322" s="485"/>
      <c r="DW322" s="485"/>
      <c r="DX322" s="485"/>
      <c r="DY322" s="485"/>
      <c r="DZ322" s="485"/>
      <c r="EA322" s="485"/>
      <c r="EB322" s="485"/>
      <c r="EC322" s="485"/>
      <c r="ED322" s="485"/>
      <c r="EE322" s="485"/>
      <c r="EF322" s="485"/>
      <c r="EG322" s="485"/>
      <c r="EH322" s="485"/>
      <c r="EI322" s="485"/>
      <c r="EJ322" s="485"/>
      <c r="EK322" s="485"/>
      <c r="EL322" s="485"/>
      <c r="EM322" s="485"/>
      <c r="EN322" s="485"/>
      <c r="EO322" s="485"/>
      <c r="EP322" s="485"/>
    </row>
    <row r="323" spans="1:146" ht="15.75">
      <c r="A323" s="462">
        <v>1052</v>
      </c>
      <c r="B323" s="467" t="s">
        <v>403</v>
      </c>
      <c r="C323" s="624">
        <v>180</v>
      </c>
      <c r="D323" s="648">
        <v>160</v>
      </c>
      <c r="E323" s="611">
        <v>13.99</v>
      </c>
      <c r="F323" s="678">
        <f t="shared" si="83"/>
        <v>13.6236</v>
      </c>
      <c r="G323" s="683"/>
      <c r="H323" s="682">
        <f t="shared" si="96"/>
        <v>0</v>
      </c>
      <c r="I323" s="442">
        <f t="shared" si="97"/>
        <v>0</v>
      </c>
      <c r="J323" s="442"/>
      <c r="K323" s="443">
        <v>0.219</v>
      </c>
      <c r="L323" s="627">
        <f t="shared" si="92"/>
        <v>0</v>
      </c>
      <c r="M323" s="627">
        <f>+L323</f>
        <v>0</v>
      </c>
      <c r="N323" s="609">
        <v>160</v>
      </c>
      <c r="O323" s="610">
        <v>13.990870607839872</v>
      </c>
      <c r="P323" s="617" t="str">
        <f t="shared" si="93"/>
        <v>---</v>
      </c>
      <c r="Q323" s="618">
        <f t="shared" si="94"/>
        <v>8.7060783987169543E-4</v>
      </c>
      <c r="R323" s="485"/>
      <c r="S323" s="624" t="str">
        <f t="shared" si="95"/>
        <v>OK</v>
      </c>
      <c r="T323" s="613">
        <f>IF(+'2012 Rates'!P536&lt;'2012 Rates'!$B$11,'2012 Rates'!$B$11,+'2012 Rates'!P536)</f>
        <v>14.98</v>
      </c>
      <c r="U323" s="447">
        <f t="shared" si="90"/>
        <v>9.9562523855662333E-2</v>
      </c>
      <c r="V323" s="485"/>
      <c r="W323" s="623">
        <f t="shared" si="98"/>
        <v>0</v>
      </c>
      <c r="X323" s="442"/>
      <c r="Y323" s="485"/>
      <c r="Z323" s="485"/>
      <c r="AA323" s="485"/>
      <c r="AB323" s="485"/>
      <c r="AC323" s="485"/>
      <c r="AD323" s="485"/>
      <c r="AE323" s="485"/>
      <c r="AF323" s="485"/>
      <c r="AG323" s="485"/>
      <c r="AH323" s="485"/>
      <c r="AI323" s="485"/>
      <c r="AJ323" s="485"/>
      <c r="AK323" s="485"/>
      <c r="AL323" s="485"/>
      <c r="AM323" s="485"/>
      <c r="AN323" s="485"/>
      <c r="AO323" s="485"/>
      <c r="AP323" s="485"/>
      <c r="AQ323" s="485"/>
      <c r="AR323" s="485"/>
      <c r="AS323" s="485"/>
      <c r="AT323" s="485"/>
      <c r="AU323" s="485"/>
      <c r="AV323" s="485"/>
      <c r="AW323" s="485"/>
      <c r="AX323" s="485"/>
      <c r="AY323" s="485"/>
      <c r="AZ323" s="485"/>
      <c r="BA323" s="485"/>
      <c r="BB323" s="485"/>
      <c r="BC323" s="485"/>
      <c r="BD323" s="485"/>
      <c r="BE323" s="485"/>
      <c r="BF323" s="485"/>
      <c r="BG323" s="485"/>
      <c r="BH323" s="485"/>
      <c r="BI323" s="485"/>
      <c r="BJ323" s="485"/>
      <c r="BK323" s="485"/>
      <c r="BL323" s="485"/>
      <c r="BM323" s="485"/>
      <c r="BN323" s="485"/>
      <c r="BO323" s="485"/>
      <c r="BP323" s="485"/>
      <c r="BQ323" s="485"/>
      <c r="BR323" s="485"/>
      <c r="BS323" s="485"/>
      <c r="BT323" s="485"/>
      <c r="BU323" s="485"/>
      <c r="BV323" s="485"/>
      <c r="BW323" s="485"/>
      <c r="BX323" s="485"/>
      <c r="BY323" s="485"/>
      <c r="BZ323" s="485"/>
      <c r="CA323" s="485"/>
      <c r="CB323" s="485"/>
      <c r="CC323" s="485"/>
      <c r="CD323" s="485"/>
      <c r="CE323" s="485"/>
      <c r="CF323" s="485"/>
      <c r="CG323" s="485"/>
      <c r="CH323" s="485"/>
      <c r="CI323" s="485"/>
      <c r="CJ323" s="485"/>
      <c r="CK323" s="485"/>
      <c r="CL323" s="485"/>
      <c r="CM323" s="485"/>
      <c r="CN323" s="485"/>
      <c r="CO323" s="485"/>
      <c r="CP323" s="485"/>
      <c r="CQ323" s="485"/>
      <c r="CR323" s="485"/>
      <c r="CS323" s="485"/>
      <c r="CT323" s="485"/>
      <c r="CU323" s="485"/>
      <c r="CV323" s="485"/>
      <c r="CW323" s="485"/>
      <c r="CX323" s="485"/>
      <c r="CY323" s="485"/>
      <c r="CZ323" s="485"/>
      <c r="DA323" s="485"/>
      <c r="DB323" s="485"/>
      <c r="DC323" s="485"/>
      <c r="DD323" s="485"/>
      <c r="DE323" s="485"/>
      <c r="DF323" s="485"/>
      <c r="DG323" s="485"/>
      <c r="DH323" s="485"/>
      <c r="DI323" s="485"/>
      <c r="DJ323" s="485"/>
      <c r="DK323" s="485"/>
      <c r="DL323" s="485"/>
      <c r="DM323" s="485"/>
      <c r="DN323" s="485"/>
      <c r="DO323" s="485"/>
      <c r="DP323" s="485"/>
      <c r="DQ323" s="485"/>
      <c r="DR323" s="485"/>
      <c r="DS323" s="485"/>
      <c r="DT323" s="485"/>
      <c r="DU323" s="485"/>
      <c r="DV323" s="485"/>
      <c r="DW323" s="485"/>
      <c r="DX323" s="485"/>
      <c r="DY323" s="485"/>
      <c r="DZ323" s="485"/>
      <c r="EA323" s="485"/>
      <c r="EB323" s="485"/>
      <c r="EC323" s="485"/>
      <c r="ED323" s="485"/>
      <c r="EE323" s="485"/>
      <c r="EF323" s="485"/>
      <c r="EG323" s="485"/>
      <c r="EH323" s="485"/>
      <c r="EI323" s="485"/>
      <c r="EJ323" s="485"/>
      <c r="EK323" s="485"/>
      <c r="EL323" s="485"/>
      <c r="EM323" s="485"/>
      <c r="EN323" s="485"/>
      <c r="EO323" s="485"/>
      <c r="EP323" s="485"/>
    </row>
    <row r="324" spans="1:146" ht="15.75">
      <c r="A324" s="462">
        <v>1054</v>
      </c>
      <c r="B324" s="467" t="s">
        <v>393</v>
      </c>
      <c r="C324" s="624">
        <v>4725</v>
      </c>
      <c r="D324" s="648">
        <v>1818</v>
      </c>
      <c r="E324" s="611">
        <v>203.59</v>
      </c>
      <c r="F324" s="678">
        <f t="shared" si="83"/>
        <v>199.42678000000001</v>
      </c>
      <c r="G324" s="683">
        <v>1</v>
      </c>
      <c r="H324" s="682">
        <f t="shared" si="96"/>
        <v>21816</v>
      </c>
      <c r="I324" s="442">
        <f t="shared" si="97"/>
        <v>2443.08</v>
      </c>
      <c r="J324" s="442"/>
      <c r="K324" s="443">
        <v>5.4539999999999997</v>
      </c>
      <c r="L324" s="627">
        <f t="shared" si="92"/>
        <v>5.4539999999999997</v>
      </c>
      <c r="M324" s="627"/>
      <c r="N324" s="609">
        <v>1818</v>
      </c>
      <c r="O324" s="610">
        <v>203.59351728158055</v>
      </c>
      <c r="P324" s="617" t="str">
        <f t="shared" si="93"/>
        <v>---</v>
      </c>
      <c r="Q324" s="618">
        <f t="shared" si="94"/>
        <v>3.5172815805424307E-3</v>
      </c>
      <c r="R324" s="485"/>
      <c r="S324" s="624" t="str">
        <f t="shared" si="95"/>
        <v>OK</v>
      </c>
      <c r="T324" s="613">
        <f>IF(+'2012 Rates'!O539&lt;'2012 Rates'!$B$11,'2012 Rates'!$B$11,+'2012 Rates'!O539)</f>
        <v>219.01000000000002</v>
      </c>
      <c r="U324" s="447">
        <f t="shared" si="90"/>
        <v>9.8197543980803381E-2</v>
      </c>
      <c r="V324" s="485"/>
      <c r="W324" s="623">
        <f t="shared" si="98"/>
        <v>2628.1200000000003</v>
      </c>
      <c r="X324" s="442"/>
      <c r="Y324" s="485"/>
      <c r="Z324" s="485"/>
      <c r="AA324" s="485"/>
      <c r="AB324" s="485"/>
      <c r="AC324" s="485"/>
      <c r="AD324" s="485"/>
      <c r="AE324" s="485"/>
      <c r="AF324" s="485"/>
      <c r="AG324" s="485"/>
      <c r="AH324" s="485"/>
      <c r="AI324" s="485"/>
      <c r="AJ324" s="485"/>
      <c r="AK324" s="485"/>
      <c r="AL324" s="485"/>
      <c r="AM324" s="485"/>
      <c r="AN324" s="485"/>
      <c r="AO324" s="485"/>
      <c r="AP324" s="485"/>
      <c r="AQ324" s="485"/>
      <c r="AR324" s="485"/>
      <c r="AS324" s="485"/>
      <c r="AT324" s="485"/>
      <c r="AU324" s="485"/>
      <c r="AV324" s="485"/>
      <c r="AW324" s="485"/>
      <c r="AX324" s="485"/>
      <c r="AY324" s="485"/>
      <c r="AZ324" s="485"/>
      <c r="BA324" s="485"/>
      <c r="BB324" s="485"/>
      <c r="BC324" s="485"/>
      <c r="BD324" s="485"/>
      <c r="BE324" s="485"/>
      <c r="BF324" s="485"/>
      <c r="BG324" s="485"/>
      <c r="BH324" s="485"/>
      <c r="BI324" s="485"/>
      <c r="BJ324" s="485"/>
      <c r="BK324" s="485"/>
      <c r="BL324" s="485"/>
      <c r="BM324" s="485"/>
      <c r="BN324" s="485"/>
      <c r="BO324" s="485"/>
      <c r="BP324" s="485"/>
      <c r="BQ324" s="485"/>
      <c r="BR324" s="485"/>
      <c r="BS324" s="485"/>
      <c r="BT324" s="485"/>
      <c r="BU324" s="485"/>
      <c r="BV324" s="485"/>
      <c r="BW324" s="485"/>
      <c r="BX324" s="485"/>
      <c r="BY324" s="485"/>
      <c r="BZ324" s="485"/>
      <c r="CA324" s="485"/>
      <c r="CB324" s="485"/>
      <c r="CC324" s="485"/>
      <c r="CD324" s="485"/>
      <c r="CE324" s="485"/>
      <c r="CF324" s="485"/>
      <c r="CG324" s="485"/>
      <c r="CH324" s="485"/>
      <c r="CI324" s="485"/>
      <c r="CJ324" s="485"/>
      <c r="CK324" s="485"/>
      <c r="CL324" s="485"/>
      <c r="CM324" s="485"/>
      <c r="CN324" s="485"/>
      <c r="CO324" s="485"/>
      <c r="CP324" s="485"/>
      <c r="CQ324" s="485"/>
      <c r="CR324" s="485"/>
      <c r="CS324" s="485"/>
      <c r="CT324" s="485"/>
      <c r="CU324" s="485"/>
      <c r="CV324" s="485"/>
      <c r="CW324" s="485"/>
      <c r="CX324" s="485"/>
      <c r="CY324" s="485"/>
      <c r="CZ324" s="485"/>
      <c r="DA324" s="485"/>
      <c r="DB324" s="485"/>
      <c r="DC324" s="485"/>
      <c r="DD324" s="485"/>
      <c r="DE324" s="485"/>
      <c r="DF324" s="485"/>
      <c r="DG324" s="485"/>
      <c r="DH324" s="485"/>
      <c r="DI324" s="485"/>
      <c r="DJ324" s="485"/>
      <c r="DK324" s="485"/>
      <c r="DL324" s="485"/>
      <c r="DM324" s="485"/>
      <c r="DN324" s="485"/>
      <c r="DO324" s="485"/>
      <c r="DP324" s="485"/>
      <c r="DQ324" s="485"/>
      <c r="DR324" s="485"/>
      <c r="DS324" s="485"/>
      <c r="DT324" s="485"/>
      <c r="DU324" s="485"/>
      <c r="DV324" s="485"/>
      <c r="DW324" s="485"/>
      <c r="DX324" s="485"/>
      <c r="DY324" s="485"/>
      <c r="DZ324" s="485"/>
      <c r="EA324" s="485"/>
      <c r="EB324" s="485"/>
      <c r="EC324" s="485"/>
      <c r="ED324" s="485"/>
      <c r="EE324" s="485"/>
      <c r="EF324" s="485"/>
      <c r="EG324" s="485"/>
      <c r="EH324" s="485"/>
      <c r="EI324" s="485"/>
      <c r="EJ324" s="485"/>
      <c r="EK324" s="485"/>
      <c r="EL324" s="485"/>
      <c r="EM324" s="485"/>
      <c r="EN324" s="485"/>
      <c r="EO324" s="485"/>
      <c r="EP324" s="485"/>
    </row>
    <row r="325" spans="1:146" ht="15.75">
      <c r="A325" s="462">
        <v>1055</v>
      </c>
      <c r="B325" s="467" t="s">
        <v>403</v>
      </c>
      <c r="C325" s="624">
        <v>90</v>
      </c>
      <c r="D325" s="648">
        <v>66</v>
      </c>
      <c r="E325" s="611">
        <v>5.77</v>
      </c>
      <c r="F325" s="678">
        <f t="shared" si="83"/>
        <v>5.6188599999999997</v>
      </c>
      <c r="G325" s="683">
        <v>1</v>
      </c>
      <c r="H325" s="682">
        <f t="shared" si="96"/>
        <v>792</v>
      </c>
      <c r="I325" s="442">
        <f t="shared" si="97"/>
        <v>69.239999999999995</v>
      </c>
      <c r="J325" s="442"/>
      <c r="K325" s="443">
        <v>0.09</v>
      </c>
      <c r="L325" s="627">
        <f t="shared" si="92"/>
        <v>0.09</v>
      </c>
      <c r="M325" s="627">
        <f>+L325</f>
        <v>0.09</v>
      </c>
      <c r="N325" s="609">
        <v>66</v>
      </c>
      <c r="O325" s="610">
        <v>5.774484125733947</v>
      </c>
      <c r="P325" s="617" t="str">
        <f t="shared" si="93"/>
        <v>---</v>
      </c>
      <c r="Q325" s="618">
        <f t="shared" si="94"/>
        <v>4.4841257339474083E-3</v>
      </c>
      <c r="R325" s="485"/>
      <c r="S325" s="624" t="str">
        <f t="shared" si="95"/>
        <v>OK</v>
      </c>
      <c r="T325" s="613">
        <f>IF(+'2012 Rates'!P541&lt;'2012 Rates'!$B$11,'2012 Rates'!$B$11,+'2012 Rates'!P541)</f>
        <v>6.16</v>
      </c>
      <c r="U325" s="447">
        <f t="shared" si="90"/>
        <v>9.6307791972037204E-2</v>
      </c>
      <c r="V325" s="485"/>
      <c r="W325" s="623">
        <f t="shared" si="98"/>
        <v>73.92</v>
      </c>
      <c r="X325" s="442"/>
      <c r="Y325" s="485"/>
      <c r="Z325" s="485"/>
      <c r="AA325" s="485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5"/>
      <c r="AO325" s="485"/>
      <c r="AP325" s="485"/>
      <c r="AQ325" s="485"/>
      <c r="AR325" s="485"/>
      <c r="AS325" s="485"/>
      <c r="AT325" s="485"/>
      <c r="AU325" s="485"/>
      <c r="AV325" s="485"/>
      <c r="AW325" s="485"/>
      <c r="AX325" s="485"/>
      <c r="AY325" s="485"/>
      <c r="AZ325" s="485"/>
      <c r="BA325" s="485"/>
      <c r="BB325" s="485"/>
      <c r="BC325" s="485"/>
      <c r="BD325" s="485"/>
      <c r="BE325" s="485"/>
      <c r="BF325" s="485"/>
      <c r="BG325" s="485"/>
      <c r="BH325" s="485"/>
      <c r="BI325" s="485"/>
      <c r="BJ325" s="485"/>
      <c r="BK325" s="485"/>
      <c r="BL325" s="485"/>
      <c r="BM325" s="485"/>
      <c r="BN325" s="485"/>
      <c r="BO325" s="485"/>
      <c r="BP325" s="485"/>
      <c r="BQ325" s="485"/>
      <c r="BR325" s="485"/>
      <c r="BS325" s="485"/>
      <c r="BT325" s="485"/>
      <c r="BU325" s="485"/>
      <c r="BV325" s="485"/>
      <c r="BW325" s="485"/>
      <c r="BX325" s="485"/>
      <c r="BY325" s="485"/>
      <c r="BZ325" s="485"/>
      <c r="CA325" s="485"/>
      <c r="CB325" s="485"/>
      <c r="CC325" s="485"/>
      <c r="CD325" s="485"/>
      <c r="CE325" s="485"/>
      <c r="CF325" s="485"/>
      <c r="CG325" s="485"/>
      <c r="CH325" s="485"/>
      <c r="CI325" s="485"/>
      <c r="CJ325" s="485"/>
      <c r="CK325" s="485"/>
      <c r="CL325" s="485"/>
      <c r="CM325" s="485"/>
      <c r="CN325" s="485"/>
      <c r="CO325" s="485"/>
      <c r="CP325" s="485"/>
      <c r="CQ325" s="485"/>
      <c r="CR325" s="485"/>
      <c r="CS325" s="485"/>
      <c r="CT325" s="485"/>
      <c r="CU325" s="485"/>
      <c r="CV325" s="485"/>
      <c r="CW325" s="485"/>
      <c r="CX325" s="485"/>
      <c r="CY325" s="485"/>
      <c r="CZ325" s="485"/>
      <c r="DA325" s="485"/>
      <c r="DB325" s="485"/>
      <c r="DC325" s="485"/>
      <c r="DD325" s="485"/>
      <c r="DE325" s="485"/>
      <c r="DF325" s="485"/>
      <c r="DG325" s="485"/>
      <c r="DH325" s="485"/>
      <c r="DI325" s="485"/>
      <c r="DJ325" s="485"/>
      <c r="DK325" s="485"/>
      <c r="DL325" s="485"/>
      <c r="DM325" s="485"/>
      <c r="DN325" s="485"/>
      <c r="DO325" s="485"/>
      <c r="DP325" s="485"/>
      <c r="DQ325" s="485"/>
      <c r="DR325" s="485"/>
      <c r="DS325" s="485"/>
      <c r="DT325" s="485"/>
      <c r="DU325" s="485"/>
      <c r="DV325" s="485"/>
      <c r="DW325" s="485"/>
      <c r="DX325" s="485"/>
      <c r="DY325" s="485"/>
      <c r="DZ325" s="485"/>
      <c r="EA325" s="485"/>
      <c r="EB325" s="485"/>
      <c r="EC325" s="485"/>
      <c r="ED325" s="485"/>
      <c r="EE325" s="485"/>
      <c r="EF325" s="485"/>
      <c r="EG325" s="485"/>
      <c r="EH325" s="485"/>
      <c r="EI325" s="485"/>
      <c r="EJ325" s="485"/>
      <c r="EK325" s="485"/>
      <c r="EL325" s="485"/>
      <c r="EM325" s="485"/>
      <c r="EN325" s="485"/>
      <c r="EO325" s="485"/>
      <c r="EP325" s="485"/>
    </row>
    <row r="326" spans="1:146" ht="15.75">
      <c r="A326" s="462">
        <v>1056</v>
      </c>
      <c r="B326" s="467" t="s">
        <v>393</v>
      </c>
      <c r="C326" s="624">
        <v>4608</v>
      </c>
      <c r="D326" s="648">
        <v>1536</v>
      </c>
      <c r="E326" s="611">
        <v>172.02</v>
      </c>
      <c r="F326" s="678">
        <f t="shared" si="83"/>
        <v>168.50256000000002</v>
      </c>
      <c r="G326" s="683">
        <v>1</v>
      </c>
      <c r="H326" s="682">
        <f t="shared" si="96"/>
        <v>18432</v>
      </c>
      <c r="I326" s="442">
        <f t="shared" si="97"/>
        <v>2064.2400000000002</v>
      </c>
      <c r="J326" s="442"/>
      <c r="K326" s="443">
        <v>4.6079999999999997</v>
      </c>
      <c r="L326" s="627">
        <f t="shared" si="92"/>
        <v>4.6079999999999997</v>
      </c>
      <c r="M326" s="627"/>
      <c r="N326" s="609">
        <v>1536</v>
      </c>
      <c r="O326" s="610">
        <v>172.02435783526275</v>
      </c>
      <c r="P326" s="617" t="str">
        <f t="shared" si="93"/>
        <v>---</v>
      </c>
      <c r="Q326" s="618">
        <f t="shared" si="94"/>
        <v>4.3578352627378081E-3</v>
      </c>
      <c r="R326" s="485"/>
      <c r="S326" s="624" t="str">
        <f t="shared" si="95"/>
        <v>OK</v>
      </c>
      <c r="T326" s="613">
        <f>IF(+'2012 Rates'!O542&lt;'2012 Rates'!$B$11,'2012 Rates'!$B$11,+'2012 Rates'!O542)</f>
        <v>185.04999999999998</v>
      </c>
      <c r="U326" s="447">
        <f t="shared" si="90"/>
        <v>9.820289970668683E-2</v>
      </c>
      <c r="V326" s="485"/>
      <c r="W326" s="623">
        <f t="shared" si="98"/>
        <v>2220.6</v>
      </c>
      <c r="X326" s="442"/>
      <c r="Y326" s="485"/>
      <c r="Z326" s="485"/>
      <c r="AA326" s="485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5"/>
      <c r="AO326" s="485"/>
      <c r="AP326" s="485"/>
      <c r="AQ326" s="485"/>
      <c r="AR326" s="485"/>
      <c r="AS326" s="485"/>
      <c r="AT326" s="485"/>
      <c r="AU326" s="485"/>
      <c r="AV326" s="485"/>
      <c r="AW326" s="485"/>
      <c r="AX326" s="485"/>
      <c r="AY326" s="485"/>
      <c r="AZ326" s="485"/>
      <c r="BA326" s="485"/>
      <c r="BB326" s="485"/>
      <c r="BC326" s="485"/>
      <c r="BD326" s="485"/>
      <c r="BE326" s="485"/>
      <c r="BF326" s="485"/>
      <c r="BG326" s="485"/>
      <c r="BH326" s="485"/>
      <c r="BI326" s="485"/>
      <c r="BJ326" s="485"/>
      <c r="BK326" s="485"/>
      <c r="BL326" s="485"/>
      <c r="BM326" s="485"/>
      <c r="BN326" s="485"/>
      <c r="BO326" s="485"/>
      <c r="BP326" s="485"/>
      <c r="BQ326" s="485"/>
      <c r="BR326" s="485"/>
      <c r="BS326" s="485"/>
      <c r="BT326" s="485"/>
      <c r="BU326" s="485"/>
      <c r="BV326" s="485"/>
      <c r="BW326" s="485"/>
      <c r="BX326" s="485"/>
      <c r="BY326" s="485"/>
      <c r="BZ326" s="485"/>
      <c r="CA326" s="485"/>
      <c r="CB326" s="485"/>
      <c r="CC326" s="485"/>
      <c r="CD326" s="485"/>
      <c r="CE326" s="485"/>
      <c r="CF326" s="485"/>
      <c r="CG326" s="485"/>
      <c r="CH326" s="485"/>
      <c r="CI326" s="485"/>
      <c r="CJ326" s="485"/>
      <c r="CK326" s="485"/>
      <c r="CL326" s="485"/>
      <c r="CM326" s="485"/>
      <c r="CN326" s="485"/>
      <c r="CO326" s="485"/>
      <c r="CP326" s="485"/>
      <c r="CQ326" s="485"/>
      <c r="CR326" s="485"/>
      <c r="CS326" s="485"/>
      <c r="CT326" s="485"/>
      <c r="CU326" s="485"/>
      <c r="CV326" s="485"/>
      <c r="CW326" s="485"/>
      <c r="CX326" s="485"/>
      <c r="CY326" s="485"/>
      <c r="CZ326" s="485"/>
      <c r="DA326" s="485"/>
      <c r="DB326" s="485"/>
      <c r="DC326" s="485"/>
      <c r="DD326" s="485"/>
      <c r="DE326" s="485"/>
      <c r="DF326" s="485"/>
      <c r="DG326" s="485"/>
      <c r="DH326" s="485"/>
      <c r="DI326" s="485"/>
      <c r="DJ326" s="485"/>
      <c r="DK326" s="485"/>
      <c r="DL326" s="485"/>
      <c r="DM326" s="485"/>
      <c r="DN326" s="485"/>
      <c r="DO326" s="485"/>
      <c r="DP326" s="485"/>
      <c r="DQ326" s="485"/>
      <c r="DR326" s="485"/>
      <c r="DS326" s="485"/>
      <c r="DT326" s="485"/>
      <c r="DU326" s="485"/>
      <c r="DV326" s="485"/>
      <c r="DW326" s="485"/>
      <c r="DX326" s="485"/>
      <c r="DY326" s="485"/>
      <c r="DZ326" s="485"/>
      <c r="EA326" s="485"/>
      <c r="EB326" s="485"/>
      <c r="EC326" s="485"/>
      <c r="ED326" s="485"/>
      <c r="EE326" s="485"/>
      <c r="EF326" s="485"/>
      <c r="EG326" s="485"/>
      <c r="EH326" s="485"/>
      <c r="EI326" s="485"/>
      <c r="EJ326" s="485"/>
      <c r="EK326" s="485"/>
      <c r="EL326" s="485"/>
      <c r="EM326" s="485"/>
      <c r="EN326" s="485"/>
      <c r="EO326" s="485"/>
      <c r="EP326" s="485"/>
    </row>
    <row r="327" spans="1:146" ht="15.75">
      <c r="A327" s="462">
        <v>1057</v>
      </c>
      <c r="B327" s="467" t="s">
        <v>393</v>
      </c>
      <c r="C327" s="624">
        <v>1260</v>
      </c>
      <c r="D327" s="648">
        <v>436</v>
      </c>
      <c r="E327" s="611">
        <v>48.83</v>
      </c>
      <c r="F327" s="678">
        <f t="shared" si="83"/>
        <v>47.831559999999996</v>
      </c>
      <c r="G327" s="683">
        <v>1</v>
      </c>
      <c r="H327" s="682">
        <f t="shared" si="96"/>
        <v>5232</v>
      </c>
      <c r="I327" s="442">
        <f t="shared" si="97"/>
        <v>585.96</v>
      </c>
      <c r="J327" s="442"/>
      <c r="K327" s="443">
        <v>1.3080000000000001</v>
      </c>
      <c r="L327" s="627">
        <f t="shared" si="92"/>
        <v>1.3080000000000001</v>
      </c>
      <c r="M327" s="627"/>
      <c r="N327" s="609">
        <v>436</v>
      </c>
      <c r="O327" s="610">
        <v>48.829622406363654</v>
      </c>
      <c r="P327" s="617" t="str">
        <f t="shared" si="93"/>
        <v>---</v>
      </c>
      <c r="Q327" s="618">
        <f t="shared" si="94"/>
        <v>-3.7759363634393139E-4</v>
      </c>
      <c r="R327" s="485"/>
      <c r="S327" s="624" t="str">
        <f t="shared" si="95"/>
        <v>OK</v>
      </c>
      <c r="T327" s="613">
        <f>IF(+'2012 Rates'!O543&lt;'2012 Rates'!$B$11,'2012 Rates'!$B$11,+'2012 Rates'!O543)</f>
        <v>52.53</v>
      </c>
      <c r="U327" s="447">
        <f t="shared" si="90"/>
        <v>9.822886813643561E-2</v>
      </c>
      <c r="V327" s="485"/>
      <c r="W327" s="623">
        <f t="shared" si="98"/>
        <v>630.36</v>
      </c>
      <c r="X327" s="442"/>
      <c r="Y327" s="485"/>
      <c r="Z327" s="485"/>
      <c r="AA327" s="485"/>
      <c r="AB327" s="485"/>
      <c r="AC327" s="485"/>
      <c r="AD327" s="485"/>
      <c r="AE327" s="485"/>
      <c r="AF327" s="485"/>
      <c r="AG327" s="485"/>
      <c r="AH327" s="485"/>
      <c r="AI327" s="485"/>
      <c r="AJ327" s="485"/>
      <c r="AK327" s="485"/>
      <c r="AL327" s="485"/>
      <c r="AM327" s="485"/>
      <c r="AN327" s="485"/>
      <c r="AO327" s="485"/>
      <c r="AP327" s="485"/>
      <c r="AQ327" s="485"/>
      <c r="AR327" s="485"/>
      <c r="AS327" s="485"/>
      <c r="AT327" s="485"/>
      <c r="AU327" s="485"/>
      <c r="AV327" s="485"/>
      <c r="AW327" s="485"/>
      <c r="AX327" s="485"/>
      <c r="AY327" s="485"/>
      <c r="AZ327" s="485"/>
      <c r="BA327" s="485"/>
      <c r="BB327" s="485"/>
      <c r="BC327" s="485"/>
      <c r="BD327" s="485"/>
      <c r="BE327" s="485"/>
      <c r="BF327" s="485"/>
      <c r="BG327" s="485"/>
      <c r="BH327" s="485"/>
      <c r="BI327" s="485"/>
      <c r="BJ327" s="485"/>
      <c r="BK327" s="485"/>
      <c r="BL327" s="485"/>
      <c r="BM327" s="485"/>
      <c r="BN327" s="485"/>
      <c r="BO327" s="485"/>
      <c r="BP327" s="485"/>
      <c r="BQ327" s="485"/>
      <c r="BR327" s="485"/>
      <c r="BS327" s="485"/>
      <c r="BT327" s="485"/>
      <c r="BU327" s="485"/>
      <c r="BV327" s="485"/>
      <c r="BW327" s="485"/>
      <c r="BX327" s="485"/>
      <c r="BY327" s="485"/>
      <c r="BZ327" s="485"/>
      <c r="CA327" s="485"/>
      <c r="CB327" s="485"/>
      <c r="CC327" s="485"/>
      <c r="CD327" s="485"/>
      <c r="CE327" s="485"/>
      <c r="CF327" s="485"/>
      <c r="CG327" s="485"/>
      <c r="CH327" s="485"/>
      <c r="CI327" s="485"/>
      <c r="CJ327" s="485"/>
      <c r="CK327" s="485"/>
      <c r="CL327" s="485"/>
      <c r="CM327" s="485"/>
      <c r="CN327" s="485"/>
      <c r="CO327" s="485"/>
      <c r="CP327" s="485"/>
      <c r="CQ327" s="485"/>
      <c r="CR327" s="485"/>
      <c r="CS327" s="485"/>
      <c r="CT327" s="485"/>
      <c r="CU327" s="485"/>
      <c r="CV327" s="485"/>
      <c r="CW327" s="485"/>
      <c r="CX327" s="485"/>
      <c r="CY327" s="485"/>
      <c r="CZ327" s="485"/>
      <c r="DA327" s="485"/>
      <c r="DB327" s="485"/>
      <c r="DC327" s="485"/>
      <c r="DD327" s="485"/>
      <c r="DE327" s="485"/>
      <c r="DF327" s="485"/>
      <c r="DG327" s="485"/>
      <c r="DH327" s="485"/>
      <c r="DI327" s="485"/>
      <c r="DJ327" s="485"/>
      <c r="DK327" s="485"/>
      <c r="DL327" s="485"/>
      <c r="DM327" s="485"/>
      <c r="DN327" s="485"/>
      <c r="DO327" s="485"/>
      <c r="DP327" s="485"/>
      <c r="DQ327" s="485"/>
      <c r="DR327" s="485"/>
      <c r="DS327" s="485"/>
      <c r="DT327" s="485"/>
      <c r="DU327" s="485"/>
      <c r="DV327" s="485"/>
      <c r="DW327" s="485"/>
      <c r="DX327" s="485"/>
      <c r="DY327" s="485"/>
      <c r="DZ327" s="485"/>
      <c r="EA327" s="485"/>
      <c r="EB327" s="485"/>
      <c r="EC327" s="485"/>
      <c r="ED327" s="485"/>
      <c r="EE327" s="485"/>
      <c r="EF327" s="485"/>
      <c r="EG327" s="485"/>
      <c r="EH327" s="485"/>
      <c r="EI327" s="485"/>
      <c r="EJ327" s="485"/>
      <c r="EK327" s="485"/>
      <c r="EL327" s="485"/>
      <c r="EM327" s="485"/>
      <c r="EN327" s="485"/>
      <c r="EO327" s="485"/>
      <c r="EP327" s="485"/>
    </row>
    <row r="328" spans="1:146" ht="15.75">
      <c r="A328" s="462">
        <v>1058</v>
      </c>
      <c r="B328" s="467" t="s">
        <v>393</v>
      </c>
      <c r="C328" s="624">
        <v>3432</v>
      </c>
      <c r="D328" s="648">
        <v>1144</v>
      </c>
      <c r="E328" s="611">
        <v>128.1</v>
      </c>
      <c r="F328" s="678">
        <f t="shared" si="83"/>
        <v>125.48023999999999</v>
      </c>
      <c r="G328" s="683">
        <v>1</v>
      </c>
      <c r="H328" s="682">
        <f t="shared" si="96"/>
        <v>13728</v>
      </c>
      <c r="I328" s="442">
        <f t="shared" si="97"/>
        <v>1537.1999999999998</v>
      </c>
      <c r="J328" s="442"/>
      <c r="K328" s="443">
        <v>3.4319999999999999</v>
      </c>
      <c r="L328" s="627">
        <f t="shared" si="92"/>
        <v>3.4319999999999999</v>
      </c>
      <c r="M328" s="627"/>
      <c r="N328" s="609">
        <v>1144</v>
      </c>
      <c r="O328" s="610">
        <v>128.09772484605509</v>
      </c>
      <c r="P328" s="617" t="str">
        <f t="shared" si="93"/>
        <v>---</v>
      </c>
      <c r="Q328" s="618">
        <f t="shared" si="94"/>
        <v>-2.2751539449075153E-3</v>
      </c>
      <c r="R328" s="485"/>
      <c r="S328" s="624" t="str">
        <f t="shared" si="95"/>
        <v>OK</v>
      </c>
      <c r="T328" s="613">
        <f>IF(+'2012 Rates'!O544&lt;'2012 Rates'!$B$11,'2012 Rates'!$B$11,+'2012 Rates'!O544)</f>
        <v>137.79</v>
      </c>
      <c r="U328" s="447">
        <f t="shared" si="90"/>
        <v>9.8101183102614398E-2</v>
      </c>
      <c r="V328" s="485"/>
      <c r="W328" s="623">
        <f t="shared" si="98"/>
        <v>1653.48</v>
      </c>
      <c r="X328" s="442"/>
      <c r="Y328" s="485"/>
      <c r="Z328" s="485"/>
      <c r="AA328" s="485"/>
      <c r="AB328" s="485"/>
      <c r="AC328" s="485"/>
      <c r="AD328" s="485"/>
      <c r="AE328" s="485"/>
      <c r="AF328" s="485"/>
      <c r="AG328" s="485"/>
      <c r="AH328" s="485"/>
      <c r="AI328" s="485"/>
      <c r="AJ328" s="485"/>
      <c r="AK328" s="485"/>
      <c r="AL328" s="485"/>
      <c r="AM328" s="485"/>
      <c r="AN328" s="485"/>
      <c r="AO328" s="485"/>
      <c r="AP328" s="485"/>
      <c r="AQ328" s="485"/>
      <c r="AR328" s="485"/>
      <c r="AS328" s="485"/>
      <c r="AT328" s="485"/>
      <c r="AU328" s="485"/>
      <c r="AV328" s="485"/>
      <c r="AW328" s="485"/>
      <c r="AX328" s="485"/>
      <c r="AY328" s="485"/>
      <c r="AZ328" s="485"/>
      <c r="BA328" s="485"/>
      <c r="BB328" s="485"/>
      <c r="BC328" s="485"/>
      <c r="BD328" s="485"/>
      <c r="BE328" s="485"/>
      <c r="BF328" s="485"/>
      <c r="BG328" s="485"/>
      <c r="BH328" s="485"/>
      <c r="BI328" s="485"/>
      <c r="BJ328" s="485"/>
      <c r="BK328" s="485"/>
      <c r="BL328" s="485"/>
      <c r="BM328" s="485"/>
      <c r="BN328" s="485"/>
      <c r="BO328" s="485"/>
      <c r="BP328" s="485"/>
      <c r="BQ328" s="485"/>
      <c r="BR328" s="485"/>
      <c r="BS328" s="485"/>
      <c r="BT328" s="485"/>
      <c r="BU328" s="485"/>
      <c r="BV328" s="485"/>
      <c r="BW328" s="485"/>
      <c r="BX328" s="485"/>
      <c r="BY328" s="485"/>
      <c r="BZ328" s="485"/>
      <c r="CA328" s="485"/>
      <c r="CB328" s="485"/>
      <c r="CC328" s="485"/>
      <c r="CD328" s="485"/>
      <c r="CE328" s="485"/>
      <c r="CF328" s="485"/>
      <c r="CG328" s="485"/>
      <c r="CH328" s="485"/>
      <c r="CI328" s="485"/>
      <c r="CJ328" s="485"/>
      <c r="CK328" s="485"/>
      <c r="CL328" s="485"/>
      <c r="CM328" s="485"/>
      <c r="CN328" s="485"/>
      <c r="CO328" s="485"/>
      <c r="CP328" s="485"/>
      <c r="CQ328" s="485"/>
      <c r="CR328" s="485"/>
      <c r="CS328" s="485"/>
      <c r="CT328" s="485"/>
      <c r="CU328" s="485"/>
      <c r="CV328" s="485"/>
      <c r="CW328" s="485"/>
      <c r="CX328" s="485"/>
      <c r="CY328" s="485"/>
      <c r="CZ328" s="485"/>
      <c r="DA328" s="485"/>
      <c r="DB328" s="485"/>
      <c r="DC328" s="485"/>
      <c r="DD328" s="485"/>
      <c r="DE328" s="485"/>
      <c r="DF328" s="485"/>
      <c r="DG328" s="485"/>
      <c r="DH328" s="485"/>
      <c r="DI328" s="485"/>
      <c r="DJ328" s="485"/>
      <c r="DK328" s="485"/>
      <c r="DL328" s="485"/>
      <c r="DM328" s="485"/>
      <c r="DN328" s="485"/>
      <c r="DO328" s="485"/>
      <c r="DP328" s="485"/>
      <c r="DQ328" s="485"/>
      <c r="DR328" s="485"/>
      <c r="DS328" s="485"/>
      <c r="DT328" s="485"/>
      <c r="DU328" s="485"/>
      <c r="DV328" s="485"/>
      <c r="DW328" s="485"/>
      <c r="DX328" s="485"/>
      <c r="DY328" s="485"/>
      <c r="DZ328" s="485"/>
      <c r="EA328" s="485"/>
      <c r="EB328" s="485"/>
      <c r="EC328" s="485"/>
      <c r="ED328" s="485"/>
      <c r="EE328" s="485"/>
      <c r="EF328" s="485"/>
      <c r="EG328" s="485"/>
      <c r="EH328" s="485"/>
      <c r="EI328" s="485"/>
      <c r="EJ328" s="485"/>
      <c r="EK328" s="485"/>
      <c r="EL328" s="485"/>
      <c r="EM328" s="485"/>
      <c r="EN328" s="485"/>
      <c r="EO328" s="485"/>
      <c r="EP328" s="485"/>
    </row>
    <row r="329" spans="1:146" ht="15.75">
      <c r="A329" s="462">
        <v>1059</v>
      </c>
      <c r="B329" s="467" t="s">
        <v>393</v>
      </c>
      <c r="C329" s="624">
        <v>660</v>
      </c>
      <c r="D329" s="648">
        <v>252</v>
      </c>
      <c r="E329" s="611">
        <v>28.21</v>
      </c>
      <c r="F329" s="678">
        <f t="shared" si="83"/>
        <v>27.632920000000002</v>
      </c>
      <c r="G329" s="683">
        <v>1</v>
      </c>
      <c r="H329" s="682">
        <f t="shared" si="96"/>
        <v>3024</v>
      </c>
      <c r="I329" s="442">
        <f t="shared" si="97"/>
        <v>338.52</v>
      </c>
      <c r="J329" s="442"/>
      <c r="K329" s="443">
        <v>0.75600000000000001</v>
      </c>
      <c r="L329" s="627">
        <f t="shared" si="92"/>
        <v>0.75600000000000001</v>
      </c>
      <c r="M329" s="627"/>
      <c r="N329" s="609">
        <v>252</v>
      </c>
      <c r="O329" s="610">
        <v>28.207121207347793</v>
      </c>
      <c r="P329" s="617" t="str">
        <f t="shared" si="93"/>
        <v>---</v>
      </c>
      <c r="Q329" s="618">
        <f t="shared" si="94"/>
        <v>-2.8787926522078067E-3</v>
      </c>
      <c r="R329" s="485"/>
      <c r="S329" s="624" t="str">
        <f t="shared" si="95"/>
        <v>OK</v>
      </c>
      <c r="T329" s="613">
        <f>IF(+'2012 Rates'!O545&lt;'2012 Rates'!$B$11,'2012 Rates'!$B$11,+'2012 Rates'!O545)</f>
        <v>30.349999999999998</v>
      </c>
      <c r="U329" s="447">
        <f t="shared" si="90"/>
        <v>9.832764687915696E-2</v>
      </c>
      <c r="V329" s="485"/>
      <c r="W329" s="623">
        <f t="shared" si="98"/>
        <v>364.2</v>
      </c>
      <c r="X329" s="442"/>
      <c r="Y329" s="485"/>
      <c r="Z329" s="485"/>
      <c r="AA329" s="485"/>
      <c r="AB329" s="485"/>
      <c r="AC329" s="485"/>
      <c r="AD329" s="485"/>
      <c r="AE329" s="485"/>
      <c r="AF329" s="485"/>
      <c r="AG329" s="485"/>
      <c r="AH329" s="485"/>
      <c r="AI329" s="485"/>
      <c r="AJ329" s="485"/>
      <c r="AK329" s="485"/>
      <c r="AL329" s="485"/>
      <c r="AM329" s="485"/>
      <c r="AN329" s="485"/>
      <c r="AO329" s="485"/>
      <c r="AP329" s="485"/>
      <c r="AQ329" s="485"/>
      <c r="AR329" s="485"/>
      <c r="AS329" s="485"/>
      <c r="AT329" s="485"/>
      <c r="AU329" s="485"/>
      <c r="AV329" s="485"/>
      <c r="AW329" s="485"/>
      <c r="AX329" s="485"/>
      <c r="AY329" s="485"/>
      <c r="AZ329" s="485"/>
      <c r="BA329" s="485"/>
      <c r="BB329" s="485"/>
      <c r="BC329" s="485"/>
      <c r="BD329" s="485"/>
      <c r="BE329" s="485"/>
      <c r="BF329" s="485"/>
      <c r="BG329" s="485"/>
      <c r="BH329" s="485"/>
      <c r="BI329" s="485"/>
      <c r="BJ329" s="485"/>
      <c r="BK329" s="485"/>
      <c r="BL329" s="485"/>
      <c r="BM329" s="485"/>
      <c r="BN329" s="485"/>
      <c r="BO329" s="485"/>
      <c r="BP329" s="485"/>
      <c r="BQ329" s="485"/>
      <c r="BR329" s="485"/>
      <c r="BS329" s="485"/>
      <c r="BT329" s="485"/>
      <c r="BU329" s="485"/>
      <c r="BV329" s="485"/>
      <c r="BW329" s="485"/>
      <c r="BX329" s="485"/>
      <c r="BY329" s="485"/>
      <c r="BZ329" s="485"/>
      <c r="CA329" s="485"/>
      <c r="CB329" s="485"/>
      <c r="CC329" s="485"/>
      <c r="CD329" s="485"/>
      <c r="CE329" s="485"/>
      <c r="CF329" s="485"/>
      <c r="CG329" s="485"/>
      <c r="CH329" s="485"/>
      <c r="CI329" s="485"/>
      <c r="CJ329" s="485"/>
      <c r="CK329" s="485"/>
      <c r="CL329" s="485"/>
      <c r="CM329" s="485"/>
      <c r="CN329" s="485"/>
      <c r="CO329" s="485"/>
      <c r="CP329" s="485"/>
      <c r="CQ329" s="485"/>
      <c r="CR329" s="485"/>
      <c r="CS329" s="485"/>
      <c r="CT329" s="485"/>
      <c r="CU329" s="485"/>
      <c r="CV329" s="485"/>
      <c r="CW329" s="485"/>
      <c r="CX329" s="485"/>
      <c r="CY329" s="485"/>
      <c r="CZ329" s="485"/>
      <c r="DA329" s="485"/>
      <c r="DB329" s="485"/>
      <c r="DC329" s="485"/>
      <c r="DD329" s="485"/>
      <c r="DE329" s="485"/>
      <c r="DF329" s="485"/>
      <c r="DG329" s="485"/>
      <c r="DH329" s="485"/>
      <c r="DI329" s="485"/>
      <c r="DJ329" s="485"/>
      <c r="DK329" s="485"/>
      <c r="DL329" s="485"/>
      <c r="DM329" s="485"/>
      <c r="DN329" s="485"/>
      <c r="DO329" s="485"/>
      <c r="DP329" s="485"/>
      <c r="DQ329" s="485"/>
      <c r="DR329" s="485"/>
      <c r="DS329" s="485"/>
      <c r="DT329" s="485"/>
      <c r="DU329" s="485"/>
      <c r="DV329" s="485"/>
      <c r="DW329" s="485"/>
      <c r="DX329" s="485"/>
      <c r="DY329" s="485"/>
      <c r="DZ329" s="485"/>
      <c r="EA329" s="485"/>
      <c r="EB329" s="485"/>
      <c r="EC329" s="485"/>
      <c r="ED329" s="485"/>
      <c r="EE329" s="485"/>
      <c r="EF329" s="485"/>
      <c r="EG329" s="485"/>
      <c r="EH329" s="485"/>
      <c r="EI329" s="485"/>
      <c r="EJ329" s="485"/>
      <c r="EK329" s="485"/>
      <c r="EL329" s="485"/>
      <c r="EM329" s="485"/>
      <c r="EN329" s="485"/>
      <c r="EO329" s="485"/>
      <c r="EP329" s="485"/>
    </row>
    <row r="330" spans="1:146" ht="15.75">
      <c r="A330" s="462">
        <v>1060</v>
      </c>
      <c r="B330" s="467" t="s">
        <v>393</v>
      </c>
      <c r="C330" s="624">
        <v>320</v>
      </c>
      <c r="D330" s="648">
        <v>124</v>
      </c>
      <c r="E330" s="611">
        <v>13.87</v>
      </c>
      <c r="F330" s="678">
        <f t="shared" si="83"/>
        <v>13.586039999999999</v>
      </c>
      <c r="G330" s="683">
        <v>1</v>
      </c>
      <c r="H330" s="682">
        <f t="shared" si="96"/>
        <v>1488</v>
      </c>
      <c r="I330" s="442">
        <f t="shared" si="97"/>
        <v>166.44</v>
      </c>
      <c r="J330" s="442"/>
      <c r="K330" s="443">
        <v>0.372</v>
      </c>
      <c r="L330" s="627">
        <f t="shared" si="92"/>
        <v>0.372</v>
      </c>
      <c r="M330" s="627"/>
      <c r="N330" s="609">
        <v>124</v>
      </c>
      <c r="O330" s="610">
        <v>13.8684247210759</v>
      </c>
      <c r="P330" s="617" t="str">
        <f t="shared" si="93"/>
        <v>---</v>
      </c>
      <c r="Q330" s="618">
        <f t="shared" si="94"/>
        <v>-1.5752789240988108E-3</v>
      </c>
      <c r="R330" s="485"/>
      <c r="S330" s="624" t="str">
        <f t="shared" si="95"/>
        <v>OK</v>
      </c>
      <c r="T330" s="613">
        <f>IF(+'2012 Rates'!O546&lt;'2012 Rates'!$B$11,'2012 Rates'!$B$11,+'2012 Rates'!O546)</f>
        <v>14.920000000000002</v>
      </c>
      <c r="U330" s="447">
        <f t="shared" si="90"/>
        <v>9.8186079240161428E-2</v>
      </c>
      <c r="V330" s="485"/>
      <c r="W330" s="623">
        <f t="shared" si="98"/>
        <v>179.04000000000002</v>
      </c>
      <c r="X330" s="442"/>
      <c r="Y330" s="485"/>
      <c r="Z330" s="485"/>
      <c r="AA330" s="485"/>
      <c r="AB330" s="485"/>
      <c r="AC330" s="485"/>
      <c r="AD330" s="485"/>
      <c r="AE330" s="485"/>
      <c r="AF330" s="485"/>
      <c r="AG330" s="485"/>
      <c r="AH330" s="485"/>
      <c r="AI330" s="485"/>
      <c r="AJ330" s="485"/>
      <c r="AK330" s="485"/>
      <c r="AL330" s="485"/>
      <c r="AM330" s="485"/>
      <c r="AN330" s="485"/>
      <c r="AO330" s="485"/>
      <c r="AP330" s="485"/>
      <c r="AQ330" s="485"/>
      <c r="AR330" s="485"/>
      <c r="AS330" s="485"/>
      <c r="AT330" s="485"/>
      <c r="AU330" s="485"/>
      <c r="AV330" s="485"/>
      <c r="AW330" s="485"/>
      <c r="AX330" s="485"/>
      <c r="AY330" s="485"/>
      <c r="AZ330" s="485"/>
      <c r="BA330" s="485"/>
      <c r="BB330" s="485"/>
      <c r="BC330" s="485"/>
      <c r="BD330" s="485"/>
      <c r="BE330" s="485"/>
      <c r="BF330" s="485"/>
      <c r="BG330" s="485"/>
      <c r="BH330" s="485"/>
      <c r="BI330" s="485"/>
      <c r="BJ330" s="485"/>
      <c r="BK330" s="485"/>
      <c r="BL330" s="485"/>
      <c r="BM330" s="485"/>
      <c r="BN330" s="485"/>
      <c r="BO330" s="485"/>
      <c r="BP330" s="485"/>
      <c r="BQ330" s="485"/>
      <c r="BR330" s="485"/>
      <c r="BS330" s="485"/>
      <c r="BT330" s="485"/>
      <c r="BU330" s="485"/>
      <c r="BV330" s="485"/>
      <c r="BW330" s="485"/>
      <c r="BX330" s="485"/>
      <c r="BY330" s="485"/>
      <c r="BZ330" s="485"/>
      <c r="CA330" s="485"/>
      <c r="CB330" s="485"/>
      <c r="CC330" s="485"/>
      <c r="CD330" s="485"/>
      <c r="CE330" s="485"/>
      <c r="CF330" s="485"/>
      <c r="CG330" s="485"/>
      <c r="CH330" s="485"/>
      <c r="CI330" s="485"/>
      <c r="CJ330" s="485"/>
      <c r="CK330" s="485"/>
      <c r="CL330" s="485"/>
      <c r="CM330" s="485"/>
      <c r="CN330" s="485"/>
      <c r="CO330" s="485"/>
      <c r="CP330" s="485"/>
      <c r="CQ330" s="485"/>
      <c r="CR330" s="485"/>
      <c r="CS330" s="485"/>
      <c r="CT330" s="485"/>
      <c r="CU330" s="485"/>
      <c r="CV330" s="485"/>
      <c r="CW330" s="485"/>
      <c r="CX330" s="485"/>
      <c r="CY330" s="485"/>
      <c r="CZ330" s="485"/>
      <c r="DA330" s="485"/>
      <c r="DB330" s="485"/>
      <c r="DC330" s="485"/>
      <c r="DD330" s="485"/>
      <c r="DE330" s="485"/>
      <c r="DF330" s="485"/>
      <c r="DG330" s="485"/>
      <c r="DH330" s="485"/>
      <c r="DI330" s="485"/>
      <c r="DJ330" s="485"/>
      <c r="DK330" s="485"/>
      <c r="DL330" s="485"/>
      <c r="DM330" s="485"/>
      <c r="DN330" s="485"/>
      <c r="DO330" s="485"/>
      <c r="DP330" s="485"/>
      <c r="DQ330" s="485"/>
      <c r="DR330" s="485"/>
      <c r="DS330" s="485"/>
      <c r="DT330" s="485"/>
      <c r="DU330" s="485"/>
      <c r="DV330" s="485"/>
      <c r="DW330" s="485"/>
      <c r="DX330" s="485"/>
      <c r="DY330" s="485"/>
      <c r="DZ330" s="485"/>
      <c r="EA330" s="485"/>
      <c r="EB330" s="485"/>
      <c r="EC330" s="485"/>
      <c r="ED330" s="485"/>
      <c r="EE330" s="485"/>
      <c r="EF330" s="485"/>
      <c r="EG330" s="485"/>
      <c r="EH330" s="485"/>
      <c r="EI330" s="485"/>
      <c r="EJ330" s="485"/>
      <c r="EK330" s="485"/>
      <c r="EL330" s="485"/>
      <c r="EM330" s="485"/>
      <c r="EN330" s="485"/>
      <c r="EO330" s="485"/>
      <c r="EP330" s="485"/>
    </row>
    <row r="331" spans="1:146" ht="15.75">
      <c r="A331" s="462">
        <v>1061</v>
      </c>
      <c r="B331" s="467" t="s">
        <v>393</v>
      </c>
      <c r="C331" s="624">
        <v>950</v>
      </c>
      <c r="D331" s="648">
        <v>385</v>
      </c>
      <c r="E331" s="611">
        <v>43.11</v>
      </c>
      <c r="F331" s="678">
        <f t="shared" si="83"/>
        <v>42.228349999999999</v>
      </c>
      <c r="G331" s="683">
        <v>1</v>
      </c>
      <c r="H331" s="682">
        <f t="shared" si="96"/>
        <v>4620</v>
      </c>
      <c r="I331" s="442">
        <f t="shared" si="97"/>
        <v>517.31999999999994</v>
      </c>
      <c r="J331" s="442"/>
      <c r="K331" s="443">
        <v>1.155</v>
      </c>
      <c r="L331" s="627">
        <f t="shared" si="92"/>
        <v>1.155</v>
      </c>
      <c r="M331" s="627"/>
      <c r="N331" s="609">
        <v>385</v>
      </c>
      <c r="O331" s="610">
        <v>43.111157400114685</v>
      </c>
      <c r="P331" s="617" t="str">
        <f t="shared" si="93"/>
        <v>---</v>
      </c>
      <c r="Q331" s="618">
        <f t="shared" si="94"/>
        <v>1.1574001146854584E-3</v>
      </c>
      <c r="R331" s="485"/>
      <c r="S331" s="624" t="str">
        <f t="shared" si="95"/>
        <v>OK</v>
      </c>
      <c r="T331" s="613">
        <f>IF(+'2012 Rates'!O547&lt;'2012 Rates'!$B$11,'2012 Rates'!$B$11,+'2012 Rates'!O547)</f>
        <v>46.38</v>
      </c>
      <c r="U331" s="447">
        <f t="shared" si="90"/>
        <v>9.8314284124290996E-2</v>
      </c>
      <c r="V331" s="485"/>
      <c r="W331" s="623">
        <f t="shared" si="98"/>
        <v>556.56000000000006</v>
      </c>
      <c r="X331" s="442"/>
      <c r="Y331" s="485"/>
      <c r="Z331" s="485"/>
      <c r="AA331" s="485"/>
      <c r="AB331" s="485"/>
      <c r="AC331" s="485"/>
      <c r="AD331" s="485"/>
      <c r="AE331" s="485"/>
      <c r="AF331" s="485"/>
      <c r="AG331" s="485"/>
      <c r="AH331" s="485"/>
      <c r="AI331" s="485"/>
      <c r="AJ331" s="485"/>
      <c r="AK331" s="485"/>
      <c r="AL331" s="485"/>
      <c r="AM331" s="485"/>
      <c r="AN331" s="485"/>
      <c r="AO331" s="485"/>
      <c r="AP331" s="485"/>
      <c r="AQ331" s="485"/>
      <c r="AR331" s="485"/>
      <c r="AS331" s="485"/>
      <c r="AT331" s="485"/>
      <c r="AU331" s="485"/>
      <c r="AV331" s="485"/>
      <c r="AW331" s="485"/>
      <c r="AX331" s="485"/>
      <c r="AY331" s="485"/>
      <c r="AZ331" s="485"/>
      <c r="BA331" s="485"/>
      <c r="BB331" s="485"/>
      <c r="BC331" s="485"/>
      <c r="BD331" s="485"/>
      <c r="BE331" s="485"/>
      <c r="BF331" s="485"/>
      <c r="BG331" s="485"/>
      <c r="BH331" s="485"/>
      <c r="BI331" s="485"/>
      <c r="BJ331" s="485"/>
      <c r="BK331" s="485"/>
      <c r="BL331" s="485"/>
      <c r="BM331" s="485"/>
      <c r="BN331" s="485"/>
      <c r="BO331" s="485"/>
      <c r="BP331" s="485"/>
      <c r="BQ331" s="485"/>
      <c r="BR331" s="485"/>
      <c r="BS331" s="485"/>
      <c r="BT331" s="485"/>
      <c r="BU331" s="485"/>
      <c r="BV331" s="485"/>
      <c r="BW331" s="485"/>
      <c r="BX331" s="485"/>
      <c r="BY331" s="485"/>
      <c r="BZ331" s="485"/>
      <c r="CA331" s="485"/>
      <c r="CB331" s="485"/>
      <c r="CC331" s="485"/>
      <c r="CD331" s="485"/>
      <c r="CE331" s="485"/>
      <c r="CF331" s="485"/>
      <c r="CG331" s="485"/>
      <c r="CH331" s="485"/>
      <c r="CI331" s="485"/>
      <c r="CJ331" s="485"/>
      <c r="CK331" s="485"/>
      <c r="CL331" s="485"/>
      <c r="CM331" s="485"/>
      <c r="CN331" s="485"/>
      <c r="CO331" s="485"/>
      <c r="CP331" s="485"/>
      <c r="CQ331" s="485"/>
      <c r="CR331" s="485"/>
      <c r="CS331" s="485"/>
      <c r="CT331" s="485"/>
      <c r="CU331" s="485"/>
      <c r="CV331" s="485"/>
      <c r="CW331" s="485"/>
      <c r="CX331" s="485"/>
      <c r="CY331" s="485"/>
      <c r="CZ331" s="485"/>
      <c r="DA331" s="485"/>
      <c r="DB331" s="485"/>
      <c r="DC331" s="485"/>
      <c r="DD331" s="485"/>
      <c r="DE331" s="485"/>
      <c r="DF331" s="485"/>
      <c r="DG331" s="485"/>
      <c r="DH331" s="485"/>
      <c r="DI331" s="485"/>
      <c r="DJ331" s="485"/>
      <c r="DK331" s="485"/>
      <c r="DL331" s="485"/>
      <c r="DM331" s="485"/>
      <c r="DN331" s="485"/>
      <c r="DO331" s="485"/>
      <c r="DP331" s="485"/>
      <c r="DQ331" s="485"/>
      <c r="DR331" s="485"/>
      <c r="DS331" s="485"/>
      <c r="DT331" s="485"/>
      <c r="DU331" s="485"/>
      <c r="DV331" s="485"/>
      <c r="DW331" s="485"/>
      <c r="DX331" s="485"/>
      <c r="DY331" s="485"/>
      <c r="DZ331" s="485"/>
      <c r="EA331" s="485"/>
      <c r="EB331" s="485"/>
      <c r="EC331" s="485"/>
      <c r="ED331" s="485"/>
      <c r="EE331" s="485"/>
      <c r="EF331" s="485"/>
      <c r="EG331" s="485"/>
      <c r="EH331" s="485"/>
      <c r="EI331" s="485"/>
      <c r="EJ331" s="485"/>
      <c r="EK331" s="485"/>
      <c r="EL331" s="485"/>
      <c r="EM331" s="485"/>
      <c r="EN331" s="485"/>
      <c r="EO331" s="485"/>
      <c r="EP331" s="485"/>
    </row>
    <row r="332" spans="1:146" ht="15.75">
      <c r="A332" s="462">
        <v>1062</v>
      </c>
      <c r="B332" s="467" t="s">
        <v>393</v>
      </c>
      <c r="C332" s="624">
        <v>228</v>
      </c>
      <c r="D332" s="648">
        <v>99</v>
      </c>
      <c r="E332" s="611">
        <v>11.07</v>
      </c>
      <c r="F332" s="678">
        <f t="shared" si="83"/>
        <v>10.84329</v>
      </c>
      <c r="G332" s="683">
        <v>1</v>
      </c>
      <c r="H332" s="682">
        <f t="shared" si="96"/>
        <v>1188</v>
      </c>
      <c r="I332" s="442">
        <f t="shared" si="97"/>
        <v>132.84</v>
      </c>
      <c r="J332" s="442"/>
      <c r="K332" s="443">
        <v>0.29599999999999999</v>
      </c>
      <c r="L332" s="627">
        <f t="shared" si="92"/>
        <v>0.29599999999999999</v>
      </c>
      <c r="M332" s="627"/>
      <c r="N332" s="609">
        <v>99</v>
      </c>
      <c r="O332" s="610">
        <v>11.07172618860092</v>
      </c>
      <c r="P332" s="617" t="str">
        <f t="shared" si="93"/>
        <v>---</v>
      </c>
      <c r="Q332" s="618">
        <f t="shared" si="94"/>
        <v>1.7261886009194427E-3</v>
      </c>
      <c r="R332" s="485"/>
      <c r="S332" s="624" t="str">
        <f t="shared" si="95"/>
        <v>OK</v>
      </c>
      <c r="T332" s="613">
        <f>IF(+'2012 Rates'!O548&lt;'2012 Rates'!$B$11,'2012 Rates'!$B$11,+'2012 Rates'!O548)</f>
        <v>11.91</v>
      </c>
      <c r="U332" s="447">
        <f t="shared" si="90"/>
        <v>9.8375124155122728E-2</v>
      </c>
      <c r="V332" s="485"/>
      <c r="W332" s="623">
        <f t="shared" si="98"/>
        <v>142.92000000000002</v>
      </c>
      <c r="X332" s="442"/>
      <c r="Y332" s="485"/>
      <c r="Z332" s="485"/>
      <c r="AA332" s="485"/>
      <c r="AB332" s="485"/>
      <c r="AC332" s="485"/>
      <c r="AD332" s="485"/>
      <c r="AE332" s="485"/>
      <c r="AF332" s="485"/>
      <c r="AG332" s="485"/>
      <c r="AH332" s="485"/>
      <c r="AI332" s="485"/>
      <c r="AJ332" s="485"/>
      <c r="AK332" s="485"/>
      <c r="AL332" s="485"/>
      <c r="AM332" s="485"/>
      <c r="AN332" s="485"/>
      <c r="AO332" s="485"/>
      <c r="AP332" s="485"/>
      <c r="AQ332" s="485"/>
      <c r="AR332" s="485"/>
      <c r="AS332" s="485"/>
      <c r="AT332" s="485"/>
      <c r="AU332" s="485"/>
      <c r="AV332" s="485"/>
      <c r="AW332" s="485"/>
      <c r="AX332" s="485"/>
      <c r="AY332" s="485"/>
      <c r="AZ332" s="485"/>
      <c r="BA332" s="485"/>
      <c r="BB332" s="485"/>
      <c r="BC332" s="485"/>
      <c r="BD332" s="485"/>
      <c r="BE332" s="485"/>
      <c r="BF332" s="485"/>
      <c r="BG332" s="485"/>
      <c r="BH332" s="485"/>
      <c r="BI332" s="485"/>
      <c r="BJ332" s="485"/>
      <c r="BK332" s="485"/>
      <c r="BL332" s="485"/>
      <c r="BM332" s="485"/>
      <c r="BN332" s="485"/>
      <c r="BO332" s="485"/>
      <c r="BP332" s="485"/>
      <c r="BQ332" s="485"/>
      <c r="BR332" s="485"/>
      <c r="BS332" s="485"/>
      <c r="BT332" s="485"/>
      <c r="BU332" s="485"/>
      <c r="BV332" s="485"/>
      <c r="BW332" s="485"/>
      <c r="BX332" s="485"/>
      <c r="BY332" s="485"/>
      <c r="BZ332" s="485"/>
      <c r="CA332" s="485"/>
      <c r="CB332" s="485"/>
      <c r="CC332" s="485"/>
      <c r="CD332" s="485"/>
      <c r="CE332" s="485"/>
      <c r="CF332" s="485"/>
      <c r="CG332" s="485"/>
      <c r="CH332" s="485"/>
      <c r="CI332" s="485"/>
      <c r="CJ332" s="485"/>
      <c r="CK332" s="485"/>
      <c r="CL332" s="485"/>
      <c r="CM332" s="485"/>
      <c r="CN332" s="485"/>
      <c r="CO332" s="485"/>
      <c r="CP332" s="485"/>
      <c r="CQ332" s="485"/>
      <c r="CR332" s="485"/>
      <c r="CS332" s="485"/>
      <c r="CT332" s="485"/>
      <c r="CU332" s="485"/>
      <c r="CV332" s="485"/>
      <c r="CW332" s="485"/>
      <c r="CX332" s="485"/>
      <c r="CY332" s="485"/>
      <c r="CZ332" s="485"/>
      <c r="DA332" s="485"/>
      <c r="DB332" s="485"/>
      <c r="DC332" s="485"/>
      <c r="DD332" s="485"/>
      <c r="DE332" s="485"/>
      <c r="DF332" s="485"/>
      <c r="DG332" s="485"/>
      <c r="DH332" s="485"/>
      <c r="DI332" s="485"/>
      <c r="DJ332" s="485"/>
      <c r="DK332" s="485"/>
      <c r="DL332" s="485"/>
      <c r="DM332" s="485"/>
      <c r="DN332" s="485"/>
      <c r="DO332" s="485"/>
      <c r="DP332" s="485"/>
      <c r="DQ332" s="485"/>
      <c r="DR332" s="485"/>
      <c r="DS332" s="485"/>
      <c r="DT332" s="485"/>
      <c r="DU332" s="485"/>
      <c r="DV332" s="485"/>
      <c r="DW332" s="485"/>
      <c r="DX332" s="485"/>
      <c r="DY332" s="485"/>
      <c r="DZ332" s="485"/>
      <c r="EA332" s="485"/>
      <c r="EB332" s="485"/>
      <c r="EC332" s="485"/>
      <c r="ED332" s="485"/>
      <c r="EE332" s="485"/>
      <c r="EF332" s="485"/>
      <c r="EG332" s="485"/>
      <c r="EH332" s="485"/>
      <c r="EI332" s="485"/>
      <c r="EJ332" s="485"/>
      <c r="EK332" s="485"/>
      <c r="EL332" s="485"/>
      <c r="EM332" s="485"/>
      <c r="EN332" s="485"/>
      <c r="EO332" s="485"/>
      <c r="EP332" s="485"/>
    </row>
    <row r="333" spans="1:146" ht="15.75">
      <c r="A333" s="462">
        <v>1063</v>
      </c>
      <c r="B333" s="467" t="s">
        <v>393</v>
      </c>
      <c r="C333" s="624">
        <v>510</v>
      </c>
      <c r="D333" s="648">
        <v>200</v>
      </c>
      <c r="E333" s="611">
        <v>22.4</v>
      </c>
      <c r="F333" s="678">
        <f t="shared" si="83"/>
        <v>21.942</v>
      </c>
      <c r="G333" s="683">
        <v>1</v>
      </c>
      <c r="H333" s="682">
        <f t="shared" si="96"/>
        <v>2400</v>
      </c>
      <c r="I333" s="442">
        <f t="shared" si="97"/>
        <v>268.79999999999995</v>
      </c>
      <c r="J333" s="442"/>
      <c r="K333" s="443">
        <v>0.6</v>
      </c>
      <c r="L333" s="627">
        <f t="shared" si="92"/>
        <v>0.6</v>
      </c>
      <c r="M333" s="627"/>
      <c r="N333" s="609">
        <v>200</v>
      </c>
      <c r="O333" s="610">
        <v>22.403588259799839</v>
      </c>
      <c r="P333" s="617" t="str">
        <f t="shared" si="93"/>
        <v>---</v>
      </c>
      <c r="Q333" s="618">
        <f t="shared" si="94"/>
        <v>3.5882597998408983E-3</v>
      </c>
      <c r="R333" s="485"/>
      <c r="S333" s="624" t="str">
        <f t="shared" si="95"/>
        <v>OK</v>
      </c>
      <c r="T333" s="613">
        <f>IF(+'2012 Rates'!O549&lt;'2012 Rates'!$B$11,'2012 Rates'!$B$11,+'2012 Rates'!O549)</f>
        <v>24.090000000000003</v>
      </c>
      <c r="U333" s="447">
        <f t="shared" si="90"/>
        <v>9.7894449001914241E-2</v>
      </c>
      <c r="V333" s="485"/>
      <c r="W333" s="623">
        <f t="shared" si="98"/>
        <v>289.08000000000004</v>
      </c>
      <c r="X333" s="442"/>
      <c r="Y333" s="485"/>
      <c r="Z333" s="485"/>
      <c r="AA333" s="485"/>
      <c r="AB333" s="485"/>
      <c r="AC333" s="485"/>
      <c r="AD333" s="485"/>
      <c r="AE333" s="485"/>
      <c r="AF333" s="485"/>
      <c r="AG333" s="485"/>
      <c r="AH333" s="485"/>
      <c r="AI333" s="485"/>
      <c r="AJ333" s="485"/>
      <c r="AK333" s="485"/>
      <c r="AL333" s="485"/>
      <c r="AM333" s="485"/>
      <c r="AN333" s="485"/>
      <c r="AO333" s="485"/>
      <c r="AP333" s="485"/>
      <c r="AQ333" s="485"/>
      <c r="AR333" s="485"/>
      <c r="AS333" s="485"/>
      <c r="AT333" s="485"/>
      <c r="AU333" s="485"/>
      <c r="AV333" s="485"/>
      <c r="AW333" s="485"/>
      <c r="AX333" s="485"/>
      <c r="AY333" s="485"/>
      <c r="AZ333" s="485"/>
      <c r="BA333" s="485"/>
      <c r="BB333" s="485"/>
      <c r="BC333" s="485"/>
      <c r="BD333" s="485"/>
      <c r="BE333" s="485"/>
      <c r="BF333" s="485"/>
      <c r="BG333" s="485"/>
      <c r="BH333" s="485"/>
      <c r="BI333" s="485"/>
      <c r="BJ333" s="485"/>
      <c r="BK333" s="485"/>
      <c r="BL333" s="485"/>
      <c r="BM333" s="485"/>
      <c r="BN333" s="485"/>
      <c r="BO333" s="485"/>
      <c r="BP333" s="485"/>
      <c r="BQ333" s="485"/>
      <c r="BR333" s="485"/>
      <c r="BS333" s="485"/>
      <c r="BT333" s="485"/>
      <c r="BU333" s="485"/>
      <c r="BV333" s="485"/>
      <c r="BW333" s="485"/>
      <c r="BX333" s="485"/>
      <c r="BY333" s="485"/>
      <c r="BZ333" s="485"/>
      <c r="CA333" s="485"/>
      <c r="CB333" s="485"/>
      <c r="CC333" s="485"/>
      <c r="CD333" s="485"/>
      <c r="CE333" s="485"/>
      <c r="CF333" s="485"/>
      <c r="CG333" s="485"/>
      <c r="CH333" s="485"/>
      <c r="CI333" s="485"/>
      <c r="CJ333" s="485"/>
      <c r="CK333" s="485"/>
      <c r="CL333" s="485"/>
      <c r="CM333" s="485"/>
      <c r="CN333" s="485"/>
      <c r="CO333" s="485"/>
      <c r="CP333" s="485"/>
      <c r="CQ333" s="485"/>
      <c r="CR333" s="485"/>
      <c r="CS333" s="485"/>
      <c r="CT333" s="485"/>
      <c r="CU333" s="485"/>
      <c r="CV333" s="485"/>
      <c r="CW333" s="485"/>
      <c r="CX333" s="485"/>
      <c r="CY333" s="485"/>
      <c r="CZ333" s="485"/>
      <c r="DA333" s="485"/>
      <c r="DB333" s="485"/>
      <c r="DC333" s="485"/>
      <c r="DD333" s="485"/>
      <c r="DE333" s="485"/>
      <c r="DF333" s="485"/>
      <c r="DG333" s="485"/>
      <c r="DH333" s="485"/>
      <c r="DI333" s="485"/>
      <c r="DJ333" s="485"/>
      <c r="DK333" s="485"/>
      <c r="DL333" s="485"/>
      <c r="DM333" s="485"/>
      <c r="DN333" s="485"/>
      <c r="DO333" s="485"/>
      <c r="DP333" s="485"/>
      <c r="DQ333" s="485"/>
      <c r="DR333" s="485"/>
      <c r="DS333" s="485"/>
      <c r="DT333" s="485"/>
      <c r="DU333" s="485"/>
      <c r="DV333" s="485"/>
      <c r="DW333" s="485"/>
      <c r="DX333" s="485"/>
      <c r="DY333" s="485"/>
      <c r="DZ333" s="485"/>
      <c r="EA333" s="485"/>
      <c r="EB333" s="485"/>
      <c r="EC333" s="485"/>
      <c r="ED333" s="485"/>
      <c r="EE333" s="485"/>
      <c r="EF333" s="485"/>
      <c r="EG333" s="485"/>
      <c r="EH333" s="485"/>
      <c r="EI333" s="485"/>
      <c r="EJ333" s="485"/>
      <c r="EK333" s="485"/>
      <c r="EL333" s="485"/>
      <c r="EM333" s="485"/>
      <c r="EN333" s="485"/>
      <c r="EO333" s="485"/>
      <c r="EP333" s="485"/>
    </row>
    <row r="334" spans="1:146" ht="15.75">
      <c r="A334" s="462">
        <v>1064</v>
      </c>
      <c r="B334" s="467" t="s">
        <v>393</v>
      </c>
      <c r="C334" s="624">
        <v>40</v>
      </c>
      <c r="D334" s="648">
        <v>13</v>
      </c>
      <c r="E334" s="611">
        <v>2.96</v>
      </c>
      <c r="F334" s="678">
        <f>E334</f>
        <v>2.96</v>
      </c>
      <c r="G334" s="683">
        <v>1</v>
      </c>
      <c r="H334" s="682">
        <f t="shared" si="96"/>
        <v>156</v>
      </c>
      <c r="I334" s="442">
        <f t="shared" si="97"/>
        <v>35.519999999999996</v>
      </c>
      <c r="J334" s="442"/>
      <c r="K334" s="443">
        <v>0.04</v>
      </c>
      <c r="L334" s="627">
        <f t="shared" si="92"/>
        <v>0.04</v>
      </c>
      <c r="M334" s="627"/>
      <c r="N334" s="609">
        <v>13</v>
      </c>
      <c r="O334" s="610">
        <v>2.96</v>
      </c>
      <c r="P334" s="617" t="str">
        <f t="shared" si="93"/>
        <v>---</v>
      </c>
      <c r="Q334" s="618" t="str">
        <f t="shared" si="94"/>
        <v>---</v>
      </c>
      <c r="R334" s="485"/>
      <c r="S334" s="624" t="str">
        <f t="shared" si="95"/>
        <v>OK</v>
      </c>
      <c r="T334" s="613">
        <f>IF(+'2012 Rates'!O550&lt;'2012 Rates'!$B$11,'2012 Rates'!$B$11,+'2012 Rates'!O550)</f>
        <v>3.2504153814512136</v>
      </c>
      <c r="U334" s="447">
        <f t="shared" si="90"/>
        <v>9.8113304544328983E-2</v>
      </c>
      <c r="V334" s="485"/>
      <c r="W334" s="623">
        <f t="shared" si="98"/>
        <v>39.004984577414561</v>
      </c>
      <c r="X334" s="442"/>
      <c r="Y334" s="485"/>
      <c r="Z334" s="485"/>
      <c r="AA334" s="485"/>
      <c r="AB334" s="485"/>
      <c r="AC334" s="485"/>
      <c r="AD334" s="485"/>
      <c r="AE334" s="485"/>
      <c r="AF334" s="485"/>
      <c r="AG334" s="485"/>
      <c r="AH334" s="485"/>
      <c r="AI334" s="485"/>
      <c r="AJ334" s="485"/>
      <c r="AK334" s="485"/>
      <c r="AL334" s="485"/>
      <c r="AM334" s="485"/>
      <c r="AN334" s="485"/>
      <c r="AO334" s="485"/>
      <c r="AP334" s="485"/>
      <c r="AQ334" s="485"/>
      <c r="AR334" s="485"/>
      <c r="AS334" s="485"/>
      <c r="AT334" s="485"/>
      <c r="AU334" s="485"/>
      <c r="AV334" s="485"/>
      <c r="AW334" s="485"/>
      <c r="AX334" s="485"/>
      <c r="AY334" s="485"/>
      <c r="AZ334" s="485"/>
      <c r="BA334" s="485"/>
      <c r="BB334" s="485"/>
      <c r="BC334" s="485"/>
      <c r="BD334" s="485"/>
      <c r="BE334" s="485"/>
      <c r="BF334" s="485"/>
      <c r="BG334" s="485"/>
      <c r="BH334" s="485"/>
      <c r="BI334" s="485"/>
      <c r="BJ334" s="485"/>
      <c r="BK334" s="485"/>
      <c r="BL334" s="485"/>
      <c r="BM334" s="485"/>
      <c r="BN334" s="485"/>
      <c r="BO334" s="485"/>
      <c r="BP334" s="485"/>
      <c r="BQ334" s="485"/>
      <c r="BR334" s="485"/>
      <c r="BS334" s="485"/>
      <c r="BT334" s="485"/>
      <c r="BU334" s="485"/>
      <c r="BV334" s="485"/>
      <c r="BW334" s="485"/>
      <c r="BX334" s="485"/>
      <c r="BY334" s="485"/>
      <c r="BZ334" s="485"/>
      <c r="CA334" s="485"/>
      <c r="CB334" s="485"/>
      <c r="CC334" s="485"/>
      <c r="CD334" s="485"/>
      <c r="CE334" s="485"/>
      <c r="CF334" s="485"/>
      <c r="CG334" s="485"/>
      <c r="CH334" s="485"/>
      <c r="CI334" s="485"/>
      <c r="CJ334" s="485"/>
      <c r="CK334" s="485"/>
      <c r="CL334" s="485"/>
      <c r="CM334" s="485"/>
      <c r="CN334" s="485"/>
      <c r="CO334" s="485"/>
      <c r="CP334" s="485"/>
      <c r="CQ334" s="485"/>
      <c r="CR334" s="485"/>
      <c r="CS334" s="485"/>
      <c r="CT334" s="485"/>
      <c r="CU334" s="485"/>
      <c r="CV334" s="485"/>
      <c r="CW334" s="485"/>
      <c r="CX334" s="485"/>
      <c r="CY334" s="485"/>
      <c r="CZ334" s="485"/>
      <c r="DA334" s="485"/>
      <c r="DB334" s="485"/>
      <c r="DC334" s="485"/>
      <c r="DD334" s="485"/>
      <c r="DE334" s="485"/>
      <c r="DF334" s="485"/>
      <c r="DG334" s="485"/>
      <c r="DH334" s="485"/>
      <c r="DI334" s="485"/>
      <c r="DJ334" s="485"/>
      <c r="DK334" s="485"/>
      <c r="DL334" s="485"/>
      <c r="DM334" s="485"/>
      <c r="DN334" s="485"/>
      <c r="DO334" s="485"/>
      <c r="DP334" s="485"/>
      <c r="DQ334" s="485"/>
      <c r="DR334" s="485"/>
      <c r="DS334" s="485"/>
      <c r="DT334" s="485"/>
      <c r="DU334" s="485"/>
      <c r="DV334" s="485"/>
      <c r="DW334" s="485"/>
      <c r="DX334" s="485"/>
      <c r="DY334" s="485"/>
      <c r="DZ334" s="485"/>
      <c r="EA334" s="485"/>
      <c r="EB334" s="485"/>
      <c r="EC334" s="485"/>
      <c r="ED334" s="485"/>
      <c r="EE334" s="485"/>
      <c r="EF334" s="485"/>
      <c r="EG334" s="485"/>
      <c r="EH334" s="485"/>
      <c r="EI334" s="485"/>
      <c r="EJ334" s="485"/>
      <c r="EK334" s="485"/>
      <c r="EL334" s="485"/>
      <c r="EM334" s="485"/>
      <c r="EN334" s="485"/>
      <c r="EO334" s="485"/>
      <c r="EP334" s="485"/>
    </row>
    <row r="335" spans="1:146" ht="15.75">
      <c r="A335" s="462">
        <v>1065</v>
      </c>
      <c r="B335" s="467" t="s">
        <v>580</v>
      </c>
      <c r="C335" s="624">
        <v>440</v>
      </c>
      <c r="D335" s="648">
        <v>180</v>
      </c>
      <c r="E335" s="611">
        <v>20.16</v>
      </c>
      <c r="F335" s="678">
        <f>E335</f>
        <v>20.16</v>
      </c>
      <c r="G335" s="683"/>
      <c r="H335" s="682">
        <f>+D335*G335*12</f>
        <v>0</v>
      </c>
      <c r="I335" s="442">
        <f>+E335*G335*12</f>
        <v>0</v>
      </c>
      <c r="J335" s="442"/>
      <c r="K335" s="443">
        <v>0.04</v>
      </c>
      <c r="L335" s="627">
        <f>G335*K335</f>
        <v>0</v>
      </c>
      <c r="M335" s="627"/>
      <c r="N335" s="609">
        <v>180</v>
      </c>
      <c r="O335" s="610">
        <v>20.16</v>
      </c>
      <c r="P335" s="617" t="str">
        <f t="shared" si="93"/>
        <v>---</v>
      </c>
      <c r="Q335" s="618" t="str">
        <f t="shared" si="94"/>
        <v>---</v>
      </c>
      <c r="R335" s="485"/>
      <c r="S335" s="624" t="str">
        <f t="shared" si="95"/>
        <v>OK</v>
      </c>
      <c r="T335" s="613">
        <f>IF(+'2012 Rates'!O551&lt;'2012 Rates'!$B$11,'2012 Rates'!$B$11,+'2012 Rates'!O551)</f>
        <v>21.68</v>
      </c>
      <c r="U335" s="447">
        <f t="shared" si="90"/>
        <v>7.5396825396825351E-2</v>
      </c>
      <c r="V335" s="485"/>
      <c r="W335" s="623">
        <f t="shared" si="98"/>
        <v>0</v>
      </c>
      <c r="X335" s="442"/>
      <c r="Y335" s="485"/>
      <c r="Z335" s="485"/>
      <c r="AA335" s="485"/>
      <c r="AB335" s="485"/>
      <c r="AC335" s="485"/>
      <c r="AD335" s="485"/>
      <c r="AE335" s="485"/>
      <c r="AF335" s="485"/>
      <c r="AG335" s="485"/>
      <c r="AH335" s="485"/>
      <c r="AI335" s="485"/>
      <c r="AJ335" s="485"/>
      <c r="AK335" s="485"/>
      <c r="AL335" s="485"/>
      <c r="AM335" s="485"/>
      <c r="AN335" s="485"/>
      <c r="AO335" s="485"/>
      <c r="AP335" s="485"/>
      <c r="AQ335" s="485"/>
      <c r="AR335" s="485"/>
      <c r="AS335" s="485"/>
      <c r="AT335" s="485"/>
      <c r="AU335" s="485"/>
      <c r="AV335" s="485"/>
      <c r="AW335" s="485"/>
      <c r="AX335" s="485"/>
      <c r="AY335" s="485"/>
      <c r="AZ335" s="485"/>
      <c r="BA335" s="485"/>
      <c r="BB335" s="485"/>
      <c r="BC335" s="485"/>
      <c r="BD335" s="485"/>
      <c r="BE335" s="485"/>
      <c r="BF335" s="485"/>
      <c r="BG335" s="485"/>
      <c r="BH335" s="485"/>
      <c r="BI335" s="485"/>
      <c r="BJ335" s="485"/>
      <c r="BK335" s="485"/>
      <c r="BL335" s="485"/>
      <c r="BM335" s="485"/>
      <c r="BN335" s="485"/>
      <c r="BO335" s="485"/>
      <c r="BP335" s="485"/>
      <c r="BQ335" s="485"/>
      <c r="BR335" s="485"/>
      <c r="BS335" s="485"/>
      <c r="BT335" s="485"/>
      <c r="BU335" s="485"/>
      <c r="BV335" s="485"/>
      <c r="BW335" s="485"/>
      <c r="BX335" s="485"/>
      <c r="BY335" s="485"/>
      <c r="BZ335" s="485"/>
      <c r="CA335" s="485"/>
      <c r="CB335" s="485"/>
      <c r="CC335" s="485"/>
      <c r="CD335" s="485"/>
      <c r="CE335" s="485"/>
      <c r="CF335" s="485"/>
      <c r="CG335" s="485"/>
      <c r="CH335" s="485"/>
      <c r="CI335" s="485"/>
      <c r="CJ335" s="485"/>
      <c r="CK335" s="485"/>
      <c r="CL335" s="485"/>
      <c r="CM335" s="485"/>
      <c r="CN335" s="485"/>
      <c r="CO335" s="485"/>
      <c r="CP335" s="485"/>
      <c r="CQ335" s="485"/>
      <c r="CR335" s="485"/>
      <c r="CS335" s="485"/>
      <c r="CT335" s="485"/>
      <c r="CU335" s="485"/>
      <c r="CV335" s="485"/>
      <c r="CW335" s="485"/>
      <c r="CX335" s="485"/>
      <c r="CY335" s="485"/>
      <c r="CZ335" s="485"/>
      <c r="DA335" s="485"/>
      <c r="DB335" s="485"/>
      <c r="DC335" s="485"/>
      <c r="DD335" s="485"/>
      <c r="DE335" s="485"/>
      <c r="DF335" s="485"/>
      <c r="DG335" s="485"/>
      <c r="DH335" s="485"/>
      <c r="DI335" s="485"/>
      <c r="DJ335" s="485"/>
      <c r="DK335" s="485"/>
      <c r="DL335" s="485"/>
      <c r="DM335" s="485"/>
      <c r="DN335" s="485"/>
      <c r="DO335" s="485"/>
      <c r="DP335" s="485"/>
      <c r="DQ335" s="485"/>
      <c r="DR335" s="485"/>
      <c r="DS335" s="485"/>
      <c r="DT335" s="485"/>
      <c r="DU335" s="485"/>
      <c r="DV335" s="485"/>
      <c r="DW335" s="485"/>
      <c r="DX335" s="485"/>
      <c r="DY335" s="485"/>
      <c r="DZ335" s="485"/>
      <c r="EA335" s="485"/>
      <c r="EB335" s="485"/>
      <c r="EC335" s="485"/>
      <c r="ED335" s="485"/>
      <c r="EE335" s="485"/>
      <c r="EF335" s="485"/>
      <c r="EG335" s="485"/>
      <c r="EH335" s="485"/>
      <c r="EI335" s="485"/>
      <c r="EJ335" s="485"/>
      <c r="EK335" s="485"/>
      <c r="EL335" s="485"/>
      <c r="EM335" s="485"/>
      <c r="EN335" s="485"/>
      <c r="EO335" s="485"/>
      <c r="EP335" s="485"/>
    </row>
    <row r="336" spans="1:146" ht="15.75">
      <c r="A336" s="462">
        <v>1066</v>
      </c>
      <c r="B336" s="467" t="s">
        <v>393</v>
      </c>
      <c r="C336" s="457">
        <v>550</v>
      </c>
      <c r="D336" s="648">
        <v>205</v>
      </c>
      <c r="E336" s="611">
        <v>22.95</v>
      </c>
      <c r="F336" s="678">
        <f t="shared" ref="F336:F402" si="99">E336-(D336*$C$10)</f>
        <v>22.480550000000001</v>
      </c>
      <c r="G336" s="683">
        <v>1</v>
      </c>
      <c r="H336" s="682">
        <f t="shared" si="96"/>
        <v>2460</v>
      </c>
      <c r="I336" s="442">
        <f t="shared" si="97"/>
        <v>275.39999999999998</v>
      </c>
      <c r="J336" s="442"/>
      <c r="K336" s="443">
        <v>0.55000000000000004</v>
      </c>
      <c r="L336" s="627">
        <f t="shared" ref="L336:L368" si="100">G336*K336</f>
        <v>0.55000000000000004</v>
      </c>
      <c r="M336" s="627"/>
      <c r="N336" s="609">
        <v>205</v>
      </c>
      <c r="O336" s="610">
        <v>22.948927966294828</v>
      </c>
      <c r="P336" s="617" t="str">
        <f t="shared" ref="P336:P368" si="101">IF(N336=D336,"---",N336-D336)</f>
        <v>---</v>
      </c>
      <c r="Q336" s="618">
        <f t="shared" ref="Q336:Q368" si="102">IF(O336=E336,"---",O336-E336)</f>
        <v>-1.0720337051708384E-3</v>
      </c>
      <c r="R336" s="485"/>
      <c r="S336" s="624" t="str">
        <f t="shared" ref="S336:S368" si="103">IF(N336=D336,"OK",N336)</f>
        <v>OK</v>
      </c>
      <c r="T336" s="613">
        <f>IF(+'2012 Rates'!O552&lt;'2012 Rates'!$B$11,'2012 Rates'!$B$11,+'2012 Rates'!O552)</f>
        <v>24.68</v>
      </c>
      <c r="U336" s="447">
        <f t="shared" ref="U336:U402" si="104">+T336/F336-1</f>
        <v>9.7837908770025628E-2</v>
      </c>
      <c r="V336" s="485"/>
      <c r="W336" s="623">
        <f t="shared" si="98"/>
        <v>296.15999999999997</v>
      </c>
      <c r="X336" s="442"/>
      <c r="Y336" s="485"/>
      <c r="Z336" s="485"/>
      <c r="AA336" s="485"/>
      <c r="AB336" s="485"/>
      <c r="AC336" s="485"/>
      <c r="AD336" s="485"/>
      <c r="AE336" s="485"/>
      <c r="AF336" s="485"/>
      <c r="AG336" s="485"/>
      <c r="AH336" s="485"/>
      <c r="AI336" s="485"/>
      <c r="AJ336" s="485"/>
      <c r="AK336" s="485"/>
      <c r="AL336" s="485"/>
      <c r="AM336" s="485"/>
      <c r="AN336" s="485"/>
      <c r="AO336" s="485"/>
      <c r="AP336" s="485"/>
      <c r="AQ336" s="485"/>
      <c r="AR336" s="485"/>
      <c r="AS336" s="485"/>
      <c r="AT336" s="485"/>
      <c r="AU336" s="485"/>
      <c r="AV336" s="485"/>
      <c r="AW336" s="485"/>
      <c r="AX336" s="485"/>
      <c r="AY336" s="485"/>
      <c r="AZ336" s="485"/>
      <c r="BA336" s="485"/>
      <c r="BB336" s="485"/>
      <c r="BC336" s="485"/>
      <c r="BD336" s="485"/>
      <c r="BE336" s="485"/>
      <c r="BF336" s="485"/>
      <c r="BG336" s="485"/>
      <c r="BH336" s="485"/>
      <c r="BI336" s="485"/>
      <c r="BJ336" s="485"/>
      <c r="BK336" s="485"/>
      <c r="BL336" s="485"/>
      <c r="BM336" s="485"/>
      <c r="BN336" s="485"/>
      <c r="BO336" s="485"/>
      <c r="BP336" s="485"/>
      <c r="BQ336" s="485"/>
      <c r="BR336" s="485"/>
      <c r="BS336" s="485"/>
      <c r="BT336" s="485"/>
      <c r="BU336" s="485"/>
      <c r="BV336" s="485"/>
      <c r="BW336" s="485"/>
      <c r="BX336" s="485"/>
      <c r="BY336" s="485"/>
      <c r="BZ336" s="485"/>
      <c r="CA336" s="485"/>
      <c r="CB336" s="485"/>
      <c r="CC336" s="485"/>
      <c r="CD336" s="485"/>
      <c r="CE336" s="485"/>
      <c r="CF336" s="485"/>
      <c r="CG336" s="485"/>
      <c r="CH336" s="485"/>
      <c r="CI336" s="485"/>
      <c r="CJ336" s="485"/>
      <c r="CK336" s="485"/>
      <c r="CL336" s="485"/>
      <c r="CM336" s="485"/>
      <c r="CN336" s="485"/>
      <c r="CO336" s="485"/>
      <c r="CP336" s="485"/>
      <c r="CQ336" s="485"/>
      <c r="CR336" s="485"/>
      <c r="CS336" s="485"/>
      <c r="CT336" s="485"/>
      <c r="CU336" s="485"/>
      <c r="CV336" s="485"/>
      <c r="CW336" s="485"/>
      <c r="CX336" s="485"/>
      <c r="CY336" s="485"/>
      <c r="CZ336" s="485"/>
      <c r="DA336" s="485"/>
      <c r="DB336" s="485"/>
      <c r="DC336" s="485"/>
      <c r="DD336" s="485"/>
      <c r="DE336" s="485"/>
      <c r="DF336" s="485"/>
      <c r="DG336" s="485"/>
      <c r="DH336" s="485"/>
      <c r="DI336" s="485"/>
      <c r="DJ336" s="485"/>
      <c r="DK336" s="485"/>
      <c r="DL336" s="485"/>
      <c r="DM336" s="485"/>
      <c r="DN336" s="485"/>
      <c r="DO336" s="485"/>
      <c r="DP336" s="485"/>
      <c r="DQ336" s="485"/>
      <c r="DR336" s="485"/>
      <c r="DS336" s="485"/>
      <c r="DT336" s="485"/>
      <c r="DU336" s="485"/>
      <c r="DV336" s="485"/>
      <c r="DW336" s="485"/>
      <c r="DX336" s="485"/>
      <c r="DY336" s="485"/>
      <c r="DZ336" s="485"/>
      <c r="EA336" s="485"/>
      <c r="EB336" s="485"/>
      <c r="EC336" s="485"/>
      <c r="ED336" s="485"/>
      <c r="EE336" s="485"/>
      <c r="EF336" s="485"/>
      <c r="EG336" s="485"/>
      <c r="EH336" s="485"/>
      <c r="EI336" s="485"/>
      <c r="EJ336" s="485"/>
      <c r="EK336" s="485"/>
      <c r="EL336" s="485"/>
      <c r="EM336" s="485"/>
      <c r="EN336" s="485"/>
      <c r="EO336" s="485"/>
      <c r="EP336" s="485"/>
    </row>
    <row r="337" spans="1:146" ht="15.75">
      <c r="A337" s="470">
        <v>1067</v>
      </c>
      <c r="B337" s="643" t="s">
        <v>393</v>
      </c>
      <c r="C337" s="650">
        <v>400</v>
      </c>
      <c r="D337" s="651">
        <v>73</v>
      </c>
      <c r="E337" s="652">
        <v>8.18</v>
      </c>
      <c r="F337" s="678">
        <f t="shared" si="99"/>
        <v>8.0128299999999992</v>
      </c>
      <c r="G337" s="683">
        <v>1</v>
      </c>
      <c r="H337" s="682">
        <f t="shared" si="96"/>
        <v>876</v>
      </c>
      <c r="I337" s="442">
        <f t="shared" si="97"/>
        <v>98.16</v>
      </c>
      <c r="J337" s="442"/>
      <c r="K337" s="443">
        <v>0.4</v>
      </c>
      <c r="L337" s="627">
        <f t="shared" si="100"/>
        <v>0.4</v>
      </c>
      <c r="M337" s="627"/>
      <c r="N337" s="609">
        <v>73</v>
      </c>
      <c r="O337" s="610">
        <v>8.179959714826941</v>
      </c>
      <c r="P337" s="617" t="str">
        <f t="shared" si="101"/>
        <v>---</v>
      </c>
      <c r="Q337" s="618">
        <f t="shared" si="102"/>
        <v>-4.028517305876278E-5</v>
      </c>
      <c r="R337" s="485"/>
      <c r="S337" s="624" t="str">
        <f t="shared" si="103"/>
        <v>OK</v>
      </c>
      <c r="T337" s="613">
        <f>IF(+'2012 Rates'!O553&lt;'2012 Rates'!$B$11,'2012 Rates'!$B$11,+'2012 Rates'!O553)</f>
        <v>8.81</v>
      </c>
      <c r="U337" s="447">
        <f t="shared" si="104"/>
        <v>9.948669820774958E-2</v>
      </c>
      <c r="V337" s="485"/>
      <c r="W337" s="623">
        <f t="shared" si="98"/>
        <v>105.72</v>
      </c>
      <c r="X337" s="442"/>
      <c r="Y337" s="485"/>
      <c r="Z337" s="485"/>
      <c r="AA337" s="485"/>
      <c r="AB337" s="485"/>
      <c r="AC337" s="485"/>
      <c r="AD337" s="485"/>
      <c r="AE337" s="485"/>
      <c r="AF337" s="485"/>
      <c r="AG337" s="485"/>
      <c r="AH337" s="485"/>
      <c r="AI337" s="485"/>
      <c r="AJ337" s="485"/>
      <c r="AK337" s="485"/>
      <c r="AL337" s="485"/>
      <c r="AM337" s="485"/>
      <c r="AN337" s="485"/>
      <c r="AO337" s="485"/>
      <c r="AP337" s="485"/>
      <c r="AQ337" s="485"/>
      <c r="AR337" s="485"/>
      <c r="AS337" s="485"/>
      <c r="AT337" s="485"/>
      <c r="AU337" s="485"/>
      <c r="AV337" s="485"/>
      <c r="AW337" s="485"/>
      <c r="AX337" s="485"/>
      <c r="AY337" s="485"/>
      <c r="AZ337" s="485"/>
      <c r="BA337" s="485"/>
      <c r="BB337" s="485"/>
      <c r="BC337" s="485"/>
      <c r="BD337" s="485"/>
      <c r="BE337" s="485"/>
      <c r="BF337" s="485"/>
      <c r="BG337" s="485"/>
      <c r="BH337" s="485"/>
      <c r="BI337" s="485"/>
      <c r="BJ337" s="485"/>
      <c r="BK337" s="485"/>
      <c r="BL337" s="485"/>
      <c r="BM337" s="485"/>
      <c r="BN337" s="485"/>
      <c r="BO337" s="485"/>
      <c r="BP337" s="485"/>
      <c r="BQ337" s="485"/>
      <c r="BR337" s="485"/>
      <c r="BS337" s="485"/>
      <c r="BT337" s="485"/>
      <c r="BU337" s="485"/>
      <c r="BV337" s="485"/>
      <c r="BW337" s="485"/>
      <c r="BX337" s="485"/>
      <c r="BY337" s="485"/>
      <c r="BZ337" s="485"/>
      <c r="CA337" s="485"/>
      <c r="CB337" s="485"/>
      <c r="CC337" s="485"/>
      <c r="CD337" s="485"/>
      <c r="CE337" s="485"/>
      <c r="CF337" s="485"/>
      <c r="CG337" s="485"/>
      <c r="CH337" s="485"/>
      <c r="CI337" s="485"/>
      <c r="CJ337" s="485"/>
      <c r="CK337" s="485"/>
      <c r="CL337" s="485"/>
      <c r="CM337" s="485"/>
      <c r="CN337" s="485"/>
      <c r="CO337" s="485"/>
      <c r="CP337" s="485"/>
      <c r="CQ337" s="485"/>
      <c r="CR337" s="485"/>
      <c r="CS337" s="485"/>
      <c r="CT337" s="485"/>
      <c r="CU337" s="485"/>
      <c r="CV337" s="485"/>
      <c r="CW337" s="485"/>
      <c r="CX337" s="485"/>
      <c r="CY337" s="485"/>
      <c r="CZ337" s="485"/>
      <c r="DA337" s="485"/>
      <c r="DB337" s="485"/>
      <c r="DC337" s="485"/>
      <c r="DD337" s="485"/>
      <c r="DE337" s="485"/>
      <c r="DF337" s="485"/>
      <c r="DG337" s="485"/>
      <c r="DH337" s="485"/>
      <c r="DI337" s="485"/>
      <c r="DJ337" s="485"/>
      <c r="DK337" s="485"/>
      <c r="DL337" s="485"/>
      <c r="DM337" s="485"/>
      <c r="DN337" s="485"/>
      <c r="DO337" s="485"/>
      <c r="DP337" s="485"/>
      <c r="DQ337" s="485"/>
      <c r="DR337" s="485"/>
      <c r="DS337" s="485"/>
      <c r="DT337" s="485"/>
      <c r="DU337" s="485"/>
      <c r="DV337" s="485"/>
      <c r="DW337" s="485"/>
      <c r="DX337" s="485"/>
      <c r="DY337" s="485"/>
      <c r="DZ337" s="485"/>
      <c r="EA337" s="485"/>
      <c r="EB337" s="485"/>
      <c r="EC337" s="485"/>
      <c r="ED337" s="485"/>
      <c r="EE337" s="485"/>
      <c r="EF337" s="485"/>
      <c r="EG337" s="485"/>
      <c r="EH337" s="485"/>
      <c r="EI337" s="485"/>
      <c r="EJ337" s="485"/>
      <c r="EK337" s="485"/>
      <c r="EL337" s="485"/>
      <c r="EM337" s="485"/>
      <c r="EN337" s="485"/>
      <c r="EO337" s="485"/>
      <c r="EP337" s="485"/>
    </row>
    <row r="338" spans="1:146" ht="15.75">
      <c r="A338" s="462">
        <v>1068</v>
      </c>
      <c r="B338" s="467" t="s">
        <v>393</v>
      </c>
      <c r="C338" s="457">
        <v>880</v>
      </c>
      <c r="D338" s="648">
        <v>336</v>
      </c>
      <c r="E338" s="611">
        <v>37.630000000000003</v>
      </c>
      <c r="F338" s="678">
        <f t="shared" si="99"/>
        <v>36.86056</v>
      </c>
      <c r="G338" s="683">
        <v>1</v>
      </c>
      <c r="H338" s="682">
        <f t="shared" si="96"/>
        <v>4032</v>
      </c>
      <c r="I338" s="442">
        <f t="shared" si="97"/>
        <v>451.56000000000006</v>
      </c>
      <c r="J338" s="442"/>
      <c r="K338" s="443">
        <v>0.88</v>
      </c>
      <c r="L338" s="627">
        <f t="shared" si="100"/>
        <v>0.88</v>
      </c>
      <c r="M338" s="627"/>
      <c r="N338" s="609">
        <v>336</v>
      </c>
      <c r="O338" s="610">
        <v>37.632828276463734</v>
      </c>
      <c r="P338" s="617" t="str">
        <f t="shared" si="101"/>
        <v>---</v>
      </c>
      <c r="Q338" s="618">
        <f t="shared" si="102"/>
        <v>2.828276463731072E-3</v>
      </c>
      <c r="R338" s="485"/>
      <c r="S338" s="624" t="str">
        <f t="shared" si="103"/>
        <v>OK</v>
      </c>
      <c r="T338" s="613">
        <f>IF(+'2012 Rates'!O554&lt;'2012 Rates'!$B$11,'2012 Rates'!$B$11,+'2012 Rates'!O554)</f>
        <v>40.480000000000004</v>
      </c>
      <c r="U338" s="447">
        <f t="shared" si="104"/>
        <v>9.8192756702556894E-2</v>
      </c>
      <c r="V338" s="485"/>
      <c r="W338" s="623">
        <f t="shared" si="98"/>
        <v>485.76000000000005</v>
      </c>
      <c r="X338" s="442"/>
      <c r="Y338" s="485"/>
      <c r="Z338" s="485"/>
      <c r="AA338" s="485"/>
      <c r="AB338" s="485"/>
      <c r="AC338" s="485"/>
      <c r="AD338" s="485"/>
      <c r="AE338" s="485"/>
      <c r="AF338" s="485"/>
      <c r="AG338" s="485"/>
      <c r="AH338" s="485"/>
      <c r="AI338" s="485"/>
      <c r="AJ338" s="485"/>
      <c r="AK338" s="485"/>
      <c r="AL338" s="485"/>
      <c r="AM338" s="485"/>
      <c r="AN338" s="485"/>
      <c r="AO338" s="485"/>
      <c r="AP338" s="485"/>
      <c r="AQ338" s="485"/>
      <c r="AR338" s="485"/>
      <c r="AS338" s="485"/>
      <c r="AT338" s="485"/>
      <c r="AU338" s="485"/>
      <c r="AV338" s="485"/>
      <c r="AW338" s="485"/>
      <c r="AX338" s="485"/>
      <c r="AY338" s="485"/>
      <c r="AZ338" s="485"/>
      <c r="BA338" s="485"/>
      <c r="BB338" s="485"/>
      <c r="BC338" s="485"/>
      <c r="BD338" s="485"/>
      <c r="BE338" s="485"/>
      <c r="BF338" s="485"/>
      <c r="BG338" s="485"/>
      <c r="BH338" s="485"/>
      <c r="BI338" s="485"/>
      <c r="BJ338" s="485"/>
      <c r="BK338" s="485"/>
      <c r="BL338" s="485"/>
      <c r="BM338" s="485"/>
      <c r="BN338" s="485"/>
      <c r="BO338" s="485"/>
      <c r="BP338" s="485"/>
      <c r="BQ338" s="485"/>
      <c r="BR338" s="485"/>
      <c r="BS338" s="485"/>
      <c r="BT338" s="485"/>
      <c r="BU338" s="485"/>
      <c r="BV338" s="485"/>
      <c r="BW338" s="485"/>
      <c r="BX338" s="485"/>
      <c r="BY338" s="485"/>
      <c r="BZ338" s="485"/>
      <c r="CA338" s="485"/>
      <c r="CB338" s="485"/>
      <c r="CC338" s="485"/>
      <c r="CD338" s="485"/>
      <c r="CE338" s="485"/>
      <c r="CF338" s="485"/>
      <c r="CG338" s="485"/>
      <c r="CH338" s="485"/>
      <c r="CI338" s="485"/>
      <c r="CJ338" s="485"/>
      <c r="CK338" s="485"/>
      <c r="CL338" s="485"/>
      <c r="CM338" s="485"/>
      <c r="CN338" s="485"/>
      <c r="CO338" s="485"/>
      <c r="CP338" s="485"/>
      <c r="CQ338" s="485"/>
      <c r="CR338" s="485"/>
      <c r="CS338" s="485"/>
      <c r="CT338" s="485"/>
      <c r="CU338" s="485"/>
      <c r="CV338" s="485"/>
      <c r="CW338" s="485"/>
      <c r="CX338" s="485"/>
      <c r="CY338" s="485"/>
      <c r="CZ338" s="485"/>
      <c r="DA338" s="485"/>
      <c r="DB338" s="485"/>
      <c r="DC338" s="485"/>
      <c r="DD338" s="485"/>
      <c r="DE338" s="485"/>
      <c r="DF338" s="485"/>
      <c r="DG338" s="485"/>
      <c r="DH338" s="485"/>
      <c r="DI338" s="485"/>
      <c r="DJ338" s="485"/>
      <c r="DK338" s="485"/>
      <c r="DL338" s="485"/>
      <c r="DM338" s="485"/>
      <c r="DN338" s="485"/>
      <c r="DO338" s="485"/>
      <c r="DP338" s="485"/>
      <c r="DQ338" s="485"/>
      <c r="DR338" s="485"/>
      <c r="DS338" s="485"/>
      <c r="DT338" s="485"/>
      <c r="DU338" s="485"/>
      <c r="DV338" s="485"/>
      <c r="DW338" s="485"/>
      <c r="DX338" s="485"/>
      <c r="DY338" s="485"/>
      <c r="DZ338" s="485"/>
      <c r="EA338" s="485"/>
      <c r="EB338" s="485"/>
      <c r="EC338" s="485"/>
      <c r="ED338" s="485"/>
      <c r="EE338" s="485"/>
      <c r="EF338" s="485"/>
      <c r="EG338" s="485"/>
      <c r="EH338" s="485"/>
      <c r="EI338" s="485"/>
      <c r="EJ338" s="485"/>
      <c r="EK338" s="485"/>
      <c r="EL338" s="485"/>
      <c r="EM338" s="485"/>
      <c r="EN338" s="485"/>
      <c r="EO338" s="485"/>
      <c r="EP338" s="485"/>
    </row>
    <row r="339" spans="1:146" ht="15.75">
      <c r="A339" s="462">
        <v>1069</v>
      </c>
      <c r="B339" s="467" t="s">
        <v>393</v>
      </c>
      <c r="C339" s="457">
        <v>5004</v>
      </c>
      <c r="D339" s="648">
        <v>1668</v>
      </c>
      <c r="E339" s="611">
        <v>186.8</v>
      </c>
      <c r="F339" s="678">
        <f t="shared" si="99"/>
        <v>182.98028000000002</v>
      </c>
      <c r="G339" s="683">
        <v>1</v>
      </c>
      <c r="H339" s="682">
        <f t="shared" si="96"/>
        <v>20016</v>
      </c>
      <c r="I339" s="442">
        <f t="shared" si="97"/>
        <v>2241.6000000000004</v>
      </c>
      <c r="J339" s="442"/>
      <c r="K339" s="443">
        <v>5.0039999999999996</v>
      </c>
      <c r="L339" s="627">
        <f t="shared" si="100"/>
        <v>5.0039999999999996</v>
      </c>
      <c r="M339" s="627"/>
      <c r="N339" s="609">
        <v>1668</v>
      </c>
      <c r="O339" s="610">
        <v>186.80332608673066</v>
      </c>
      <c r="P339" s="617" t="str">
        <f t="shared" si="101"/>
        <v>---</v>
      </c>
      <c r="Q339" s="618">
        <f t="shared" si="102"/>
        <v>3.3260867306523778E-3</v>
      </c>
      <c r="R339" s="485"/>
      <c r="S339" s="624" t="str">
        <f t="shared" si="103"/>
        <v>OK</v>
      </c>
      <c r="T339" s="613">
        <f>IF(+'2012 Rates'!O555&lt;'2012 Rates'!$B$11,'2012 Rates'!$B$11,+'2012 Rates'!O555)</f>
        <v>200.92999999999998</v>
      </c>
      <c r="U339" s="447">
        <f t="shared" si="104"/>
        <v>9.8096472472333884E-2</v>
      </c>
      <c r="V339" s="485"/>
      <c r="W339" s="623">
        <f t="shared" si="98"/>
        <v>2411.16</v>
      </c>
      <c r="X339" s="442"/>
      <c r="Y339" s="485"/>
      <c r="Z339" s="485"/>
      <c r="AA339" s="485"/>
      <c r="AB339" s="485"/>
      <c r="AC339" s="485"/>
      <c r="AD339" s="485"/>
      <c r="AE339" s="485"/>
      <c r="AF339" s="485"/>
      <c r="AG339" s="485"/>
      <c r="AH339" s="485"/>
      <c r="AI339" s="485"/>
      <c r="AJ339" s="485"/>
      <c r="AK339" s="485"/>
      <c r="AL339" s="485"/>
      <c r="AM339" s="485"/>
      <c r="AN339" s="485"/>
      <c r="AO339" s="485"/>
      <c r="AP339" s="485"/>
      <c r="AQ339" s="485"/>
      <c r="AR339" s="485"/>
      <c r="AS339" s="485"/>
      <c r="AT339" s="485"/>
      <c r="AU339" s="485"/>
      <c r="AV339" s="485"/>
      <c r="AW339" s="485"/>
      <c r="AX339" s="485"/>
      <c r="AY339" s="485"/>
      <c r="AZ339" s="485"/>
      <c r="BA339" s="485"/>
      <c r="BB339" s="485"/>
      <c r="BC339" s="485"/>
      <c r="BD339" s="485"/>
      <c r="BE339" s="485"/>
      <c r="BF339" s="485"/>
      <c r="BG339" s="485"/>
      <c r="BH339" s="485"/>
      <c r="BI339" s="485"/>
      <c r="BJ339" s="485"/>
      <c r="BK339" s="485"/>
      <c r="BL339" s="485"/>
      <c r="BM339" s="485"/>
      <c r="BN339" s="485"/>
      <c r="BO339" s="485"/>
      <c r="BP339" s="485"/>
      <c r="BQ339" s="485"/>
      <c r="BR339" s="485"/>
      <c r="BS339" s="485"/>
      <c r="BT339" s="485"/>
      <c r="BU339" s="485"/>
      <c r="BV339" s="485"/>
      <c r="BW339" s="485"/>
      <c r="BX339" s="485"/>
      <c r="BY339" s="485"/>
      <c r="BZ339" s="485"/>
      <c r="CA339" s="485"/>
      <c r="CB339" s="485"/>
      <c r="CC339" s="485"/>
      <c r="CD339" s="485"/>
      <c r="CE339" s="485"/>
      <c r="CF339" s="485"/>
      <c r="CG339" s="485"/>
      <c r="CH339" s="485"/>
      <c r="CI339" s="485"/>
      <c r="CJ339" s="485"/>
      <c r="CK339" s="485"/>
      <c r="CL339" s="485"/>
      <c r="CM339" s="485"/>
      <c r="CN339" s="485"/>
      <c r="CO339" s="485"/>
      <c r="CP339" s="485"/>
      <c r="CQ339" s="485"/>
      <c r="CR339" s="485"/>
      <c r="CS339" s="485"/>
      <c r="CT339" s="485"/>
      <c r="CU339" s="485"/>
      <c r="CV339" s="485"/>
      <c r="CW339" s="485"/>
      <c r="CX339" s="485"/>
      <c r="CY339" s="485"/>
      <c r="CZ339" s="485"/>
      <c r="DA339" s="485"/>
      <c r="DB339" s="485"/>
      <c r="DC339" s="485"/>
      <c r="DD339" s="485"/>
      <c r="DE339" s="485"/>
      <c r="DF339" s="485"/>
      <c r="DG339" s="485"/>
      <c r="DH339" s="485"/>
      <c r="DI339" s="485"/>
      <c r="DJ339" s="485"/>
      <c r="DK339" s="485"/>
      <c r="DL339" s="485"/>
      <c r="DM339" s="485"/>
      <c r="DN339" s="485"/>
      <c r="DO339" s="485"/>
      <c r="DP339" s="485"/>
      <c r="DQ339" s="485"/>
      <c r="DR339" s="485"/>
      <c r="DS339" s="485"/>
      <c r="DT339" s="485"/>
      <c r="DU339" s="485"/>
      <c r="DV339" s="485"/>
      <c r="DW339" s="485"/>
      <c r="DX339" s="485"/>
      <c r="DY339" s="485"/>
      <c r="DZ339" s="485"/>
      <c r="EA339" s="485"/>
      <c r="EB339" s="485"/>
      <c r="EC339" s="485"/>
      <c r="ED339" s="485"/>
      <c r="EE339" s="485"/>
      <c r="EF339" s="485"/>
      <c r="EG339" s="485"/>
      <c r="EH339" s="485"/>
      <c r="EI339" s="485"/>
      <c r="EJ339" s="485"/>
      <c r="EK339" s="485"/>
      <c r="EL339" s="485"/>
      <c r="EM339" s="485"/>
      <c r="EN339" s="485"/>
      <c r="EO339" s="485"/>
      <c r="EP339" s="485"/>
    </row>
    <row r="340" spans="1:146" ht="15.75">
      <c r="A340" s="462">
        <v>1070</v>
      </c>
      <c r="B340" s="467" t="s">
        <v>393</v>
      </c>
      <c r="C340" s="457">
        <v>720</v>
      </c>
      <c r="D340" s="648">
        <v>266</v>
      </c>
      <c r="E340" s="611">
        <v>29.8</v>
      </c>
      <c r="F340" s="678">
        <f t="shared" si="99"/>
        <v>29.190860000000001</v>
      </c>
      <c r="G340" s="683">
        <v>1</v>
      </c>
      <c r="H340" s="682">
        <f t="shared" si="96"/>
        <v>3192</v>
      </c>
      <c r="I340" s="442">
        <f t="shared" si="97"/>
        <v>357.6</v>
      </c>
      <c r="J340" s="442"/>
      <c r="K340" s="443">
        <v>0.72</v>
      </c>
      <c r="L340" s="627">
        <f t="shared" si="100"/>
        <v>0.72</v>
      </c>
      <c r="M340" s="627"/>
      <c r="N340" s="609">
        <v>266</v>
      </c>
      <c r="O340" s="610">
        <v>29.798072385533786</v>
      </c>
      <c r="P340" s="617" t="str">
        <f t="shared" si="101"/>
        <v>---</v>
      </c>
      <c r="Q340" s="618">
        <f t="shared" si="102"/>
        <v>-1.927614466215033E-3</v>
      </c>
      <c r="R340" s="485"/>
      <c r="S340" s="624" t="str">
        <f t="shared" si="103"/>
        <v>OK</v>
      </c>
      <c r="T340" s="613">
        <f>IF(+'2012 Rates'!O556&lt;'2012 Rates'!$B$11,'2012 Rates'!$B$11,+'2012 Rates'!O556)</f>
        <v>32.06</v>
      </c>
      <c r="U340" s="447">
        <f t="shared" si="104"/>
        <v>9.8288984976804494E-2</v>
      </c>
      <c r="V340" s="485"/>
      <c r="W340" s="623">
        <f t="shared" si="98"/>
        <v>384.72</v>
      </c>
      <c r="X340" s="442"/>
      <c r="Y340" s="485"/>
      <c r="Z340" s="485"/>
      <c r="AA340" s="485"/>
      <c r="AB340" s="485"/>
      <c r="AC340" s="485"/>
      <c r="AD340" s="485"/>
      <c r="AE340" s="485"/>
      <c r="AF340" s="485"/>
      <c r="AG340" s="485"/>
      <c r="AH340" s="485"/>
      <c r="AI340" s="485"/>
      <c r="AJ340" s="485"/>
      <c r="AK340" s="485"/>
      <c r="AL340" s="485"/>
      <c r="AM340" s="485"/>
      <c r="AN340" s="485"/>
      <c r="AO340" s="485"/>
      <c r="AP340" s="485"/>
      <c r="AQ340" s="485"/>
      <c r="AR340" s="485"/>
      <c r="AS340" s="485"/>
      <c r="AT340" s="485"/>
      <c r="AU340" s="485"/>
      <c r="AV340" s="485"/>
      <c r="AW340" s="485"/>
      <c r="AX340" s="485"/>
      <c r="AY340" s="485"/>
      <c r="AZ340" s="485"/>
      <c r="BA340" s="485"/>
      <c r="BB340" s="485"/>
      <c r="BC340" s="485"/>
      <c r="BD340" s="485"/>
      <c r="BE340" s="485"/>
      <c r="BF340" s="485"/>
      <c r="BG340" s="485"/>
      <c r="BH340" s="485"/>
      <c r="BI340" s="485"/>
      <c r="BJ340" s="485"/>
      <c r="BK340" s="485"/>
      <c r="BL340" s="485"/>
      <c r="BM340" s="485"/>
      <c r="BN340" s="485"/>
      <c r="BO340" s="485"/>
      <c r="BP340" s="485"/>
      <c r="BQ340" s="485"/>
      <c r="BR340" s="485"/>
      <c r="BS340" s="485"/>
      <c r="BT340" s="485"/>
      <c r="BU340" s="485"/>
      <c r="BV340" s="485"/>
      <c r="BW340" s="485"/>
      <c r="BX340" s="485"/>
      <c r="BY340" s="485"/>
      <c r="BZ340" s="485"/>
      <c r="CA340" s="485"/>
      <c r="CB340" s="485"/>
      <c r="CC340" s="485"/>
      <c r="CD340" s="485"/>
      <c r="CE340" s="485"/>
      <c r="CF340" s="485"/>
      <c r="CG340" s="485"/>
      <c r="CH340" s="485"/>
      <c r="CI340" s="485"/>
      <c r="CJ340" s="485"/>
      <c r="CK340" s="485"/>
      <c r="CL340" s="485"/>
      <c r="CM340" s="485"/>
      <c r="CN340" s="485"/>
      <c r="CO340" s="485"/>
      <c r="CP340" s="485"/>
      <c r="CQ340" s="485"/>
      <c r="CR340" s="485"/>
      <c r="CS340" s="485"/>
      <c r="CT340" s="485"/>
      <c r="CU340" s="485"/>
      <c r="CV340" s="485"/>
      <c r="CW340" s="485"/>
      <c r="CX340" s="485"/>
      <c r="CY340" s="485"/>
      <c r="CZ340" s="485"/>
      <c r="DA340" s="485"/>
      <c r="DB340" s="485"/>
      <c r="DC340" s="485"/>
      <c r="DD340" s="485"/>
      <c r="DE340" s="485"/>
      <c r="DF340" s="485"/>
      <c r="DG340" s="485"/>
      <c r="DH340" s="485"/>
      <c r="DI340" s="485"/>
      <c r="DJ340" s="485"/>
      <c r="DK340" s="485"/>
      <c r="DL340" s="485"/>
      <c r="DM340" s="485"/>
      <c r="DN340" s="485"/>
      <c r="DO340" s="485"/>
      <c r="DP340" s="485"/>
      <c r="DQ340" s="485"/>
      <c r="DR340" s="485"/>
      <c r="DS340" s="485"/>
      <c r="DT340" s="485"/>
      <c r="DU340" s="485"/>
      <c r="DV340" s="485"/>
      <c r="DW340" s="485"/>
      <c r="DX340" s="485"/>
      <c r="DY340" s="485"/>
      <c r="DZ340" s="485"/>
      <c r="EA340" s="485"/>
      <c r="EB340" s="485"/>
      <c r="EC340" s="485"/>
      <c r="ED340" s="485"/>
      <c r="EE340" s="485"/>
      <c r="EF340" s="485"/>
      <c r="EG340" s="485"/>
      <c r="EH340" s="485"/>
      <c r="EI340" s="485"/>
      <c r="EJ340" s="485"/>
      <c r="EK340" s="485"/>
      <c r="EL340" s="485"/>
      <c r="EM340" s="485"/>
      <c r="EN340" s="485"/>
      <c r="EO340" s="485"/>
      <c r="EP340" s="485"/>
    </row>
    <row r="341" spans="1:146" ht="15.75">
      <c r="A341" s="462">
        <v>1071</v>
      </c>
      <c r="B341" s="467" t="s">
        <v>393</v>
      </c>
      <c r="C341" s="457">
        <v>825</v>
      </c>
      <c r="D341" s="648">
        <v>340</v>
      </c>
      <c r="E341" s="611">
        <v>38.08</v>
      </c>
      <c r="F341" s="678">
        <f t="shared" si="99"/>
        <v>37.301400000000001</v>
      </c>
      <c r="G341" s="683">
        <v>1</v>
      </c>
      <c r="H341" s="682">
        <f t="shared" si="96"/>
        <v>4080</v>
      </c>
      <c r="I341" s="442">
        <f t="shared" si="97"/>
        <v>456.96</v>
      </c>
      <c r="J341" s="442"/>
      <c r="K341" s="443">
        <v>0.96</v>
      </c>
      <c r="L341" s="627">
        <f t="shared" si="100"/>
        <v>0.96</v>
      </c>
      <c r="M341" s="627"/>
      <c r="N341" s="609">
        <v>340</v>
      </c>
      <c r="O341" s="610">
        <v>38.083100041659719</v>
      </c>
      <c r="P341" s="617" t="str">
        <f t="shared" si="101"/>
        <v>---</v>
      </c>
      <c r="Q341" s="618">
        <f t="shared" si="102"/>
        <v>3.1000416597208869E-3</v>
      </c>
      <c r="R341" s="485"/>
      <c r="S341" s="624" t="str">
        <f t="shared" si="103"/>
        <v>OK</v>
      </c>
      <c r="T341" s="613">
        <f>IF(+'2012 Rates'!O557&lt;'2012 Rates'!$B$11,'2012 Rates'!$B$11,+'2012 Rates'!O557)</f>
        <v>40.96</v>
      </c>
      <c r="U341" s="447">
        <f t="shared" si="104"/>
        <v>9.8082109518677685E-2</v>
      </c>
      <c r="V341" s="485"/>
      <c r="W341" s="623">
        <f t="shared" si="98"/>
        <v>491.52</v>
      </c>
      <c r="X341" s="442"/>
      <c r="Y341" s="485"/>
      <c r="Z341" s="485"/>
      <c r="AA341" s="485"/>
      <c r="AB341" s="485"/>
      <c r="AC341" s="485"/>
      <c r="AD341" s="485"/>
      <c r="AE341" s="485"/>
      <c r="AF341" s="485"/>
      <c r="AG341" s="485"/>
      <c r="AH341" s="485"/>
      <c r="AI341" s="485"/>
      <c r="AJ341" s="485"/>
      <c r="AK341" s="485"/>
      <c r="AL341" s="485"/>
      <c r="AM341" s="485"/>
      <c r="AN341" s="485"/>
      <c r="AO341" s="485"/>
      <c r="AP341" s="485"/>
      <c r="AQ341" s="485"/>
      <c r="AR341" s="485"/>
      <c r="AS341" s="485"/>
      <c r="AT341" s="485"/>
      <c r="AU341" s="485"/>
      <c r="AV341" s="485"/>
      <c r="AW341" s="485"/>
      <c r="AX341" s="485"/>
      <c r="AY341" s="485"/>
      <c r="AZ341" s="485"/>
      <c r="BA341" s="485"/>
      <c r="BB341" s="485"/>
      <c r="BC341" s="485"/>
      <c r="BD341" s="485"/>
      <c r="BE341" s="485"/>
      <c r="BF341" s="485"/>
      <c r="BG341" s="485"/>
      <c r="BH341" s="485"/>
      <c r="BI341" s="485"/>
      <c r="BJ341" s="485"/>
      <c r="BK341" s="485"/>
      <c r="BL341" s="485"/>
      <c r="BM341" s="485"/>
      <c r="BN341" s="485"/>
      <c r="BO341" s="485"/>
      <c r="BP341" s="485"/>
      <c r="BQ341" s="485"/>
      <c r="BR341" s="485"/>
      <c r="BS341" s="485"/>
      <c r="BT341" s="485"/>
      <c r="BU341" s="485"/>
      <c r="BV341" s="485"/>
      <c r="BW341" s="485"/>
      <c r="BX341" s="485"/>
      <c r="BY341" s="485"/>
      <c r="BZ341" s="485"/>
      <c r="CA341" s="485"/>
      <c r="CB341" s="485"/>
      <c r="CC341" s="485"/>
      <c r="CD341" s="485"/>
      <c r="CE341" s="485"/>
      <c r="CF341" s="485"/>
      <c r="CG341" s="485"/>
      <c r="CH341" s="485"/>
      <c r="CI341" s="485"/>
      <c r="CJ341" s="485"/>
      <c r="CK341" s="485"/>
      <c r="CL341" s="485"/>
      <c r="CM341" s="485"/>
      <c r="CN341" s="485"/>
      <c r="CO341" s="485"/>
      <c r="CP341" s="485"/>
      <c r="CQ341" s="485"/>
      <c r="CR341" s="485"/>
      <c r="CS341" s="485"/>
      <c r="CT341" s="485"/>
      <c r="CU341" s="485"/>
      <c r="CV341" s="485"/>
      <c r="CW341" s="485"/>
      <c r="CX341" s="485"/>
      <c r="CY341" s="485"/>
      <c r="CZ341" s="485"/>
      <c r="DA341" s="485"/>
      <c r="DB341" s="485"/>
      <c r="DC341" s="485"/>
      <c r="DD341" s="485"/>
      <c r="DE341" s="485"/>
      <c r="DF341" s="485"/>
      <c r="DG341" s="485"/>
      <c r="DH341" s="485"/>
      <c r="DI341" s="485"/>
      <c r="DJ341" s="485"/>
      <c r="DK341" s="485"/>
      <c r="DL341" s="485"/>
      <c r="DM341" s="485"/>
      <c r="DN341" s="485"/>
      <c r="DO341" s="485"/>
      <c r="DP341" s="485"/>
      <c r="DQ341" s="485"/>
      <c r="DR341" s="485"/>
      <c r="DS341" s="485"/>
      <c r="DT341" s="485"/>
      <c r="DU341" s="485"/>
      <c r="DV341" s="485"/>
      <c r="DW341" s="485"/>
      <c r="DX341" s="485"/>
      <c r="DY341" s="485"/>
      <c r="DZ341" s="485"/>
      <c r="EA341" s="485"/>
      <c r="EB341" s="485"/>
      <c r="EC341" s="485"/>
      <c r="ED341" s="485"/>
      <c r="EE341" s="485"/>
      <c r="EF341" s="485"/>
      <c r="EG341" s="485"/>
      <c r="EH341" s="485"/>
      <c r="EI341" s="485"/>
      <c r="EJ341" s="485"/>
      <c r="EK341" s="485"/>
      <c r="EL341" s="485"/>
      <c r="EM341" s="485"/>
      <c r="EN341" s="485"/>
      <c r="EO341" s="485"/>
      <c r="EP341" s="485"/>
    </row>
    <row r="342" spans="1:146" ht="15.75">
      <c r="A342" s="462">
        <v>1072</v>
      </c>
      <c r="B342" s="467" t="s">
        <v>393</v>
      </c>
      <c r="C342" s="457">
        <v>624</v>
      </c>
      <c r="D342" s="648">
        <v>243</v>
      </c>
      <c r="E342" s="611">
        <v>27.2</v>
      </c>
      <c r="F342" s="678">
        <f t="shared" si="99"/>
        <v>26.643529999999998</v>
      </c>
      <c r="G342" s="683">
        <v>1</v>
      </c>
      <c r="H342" s="682">
        <f t="shared" si="96"/>
        <v>2916</v>
      </c>
      <c r="I342" s="442">
        <f t="shared" si="97"/>
        <v>326.39999999999998</v>
      </c>
      <c r="J342" s="442"/>
      <c r="K342" s="443">
        <v>0.72799999999999998</v>
      </c>
      <c r="L342" s="627">
        <f t="shared" si="100"/>
        <v>0.72799999999999998</v>
      </c>
      <c r="M342" s="627"/>
      <c r="N342" s="609">
        <v>243</v>
      </c>
      <c r="O342" s="610">
        <v>27.201509735656806</v>
      </c>
      <c r="P342" s="617" t="str">
        <f t="shared" si="101"/>
        <v>---</v>
      </c>
      <c r="Q342" s="618">
        <f t="shared" si="102"/>
        <v>1.5097356568070097E-3</v>
      </c>
      <c r="R342" s="485"/>
      <c r="S342" s="624" t="str">
        <f t="shared" si="103"/>
        <v>OK</v>
      </c>
      <c r="T342" s="613">
        <f>IF(+'2012 Rates'!O558&lt;'2012 Rates'!$B$11,'2012 Rates'!$B$11,+'2012 Rates'!O558)</f>
        <v>29.27</v>
      </c>
      <c r="U342" s="447">
        <f t="shared" si="104"/>
        <v>9.8578153870752194E-2</v>
      </c>
      <c r="V342" s="485"/>
      <c r="W342" s="623">
        <f t="shared" si="98"/>
        <v>351.24</v>
      </c>
      <c r="X342" s="442"/>
      <c r="Y342" s="485"/>
      <c r="Z342" s="485"/>
      <c r="AA342" s="485"/>
      <c r="AB342" s="485"/>
      <c r="AC342" s="485"/>
      <c r="AD342" s="485"/>
      <c r="AE342" s="485"/>
      <c r="AF342" s="485"/>
      <c r="AG342" s="485"/>
      <c r="AH342" s="485"/>
      <c r="AI342" s="485"/>
      <c r="AJ342" s="485"/>
      <c r="AK342" s="485"/>
      <c r="AL342" s="485"/>
      <c r="AM342" s="485"/>
      <c r="AN342" s="485"/>
      <c r="AO342" s="485"/>
      <c r="AP342" s="485"/>
      <c r="AQ342" s="485"/>
      <c r="AR342" s="485"/>
      <c r="AS342" s="485"/>
      <c r="AT342" s="485"/>
      <c r="AU342" s="485"/>
      <c r="AV342" s="485"/>
      <c r="AW342" s="485"/>
      <c r="AX342" s="485"/>
      <c r="AY342" s="485"/>
      <c r="AZ342" s="485"/>
      <c r="BA342" s="485"/>
      <c r="BB342" s="485"/>
      <c r="BC342" s="485"/>
      <c r="BD342" s="485"/>
      <c r="BE342" s="485"/>
      <c r="BF342" s="485"/>
      <c r="BG342" s="485"/>
      <c r="BH342" s="485"/>
      <c r="BI342" s="485"/>
      <c r="BJ342" s="485"/>
      <c r="BK342" s="485"/>
      <c r="BL342" s="485"/>
      <c r="BM342" s="485"/>
      <c r="BN342" s="485"/>
      <c r="BO342" s="485"/>
      <c r="BP342" s="485"/>
      <c r="BQ342" s="485"/>
      <c r="BR342" s="485"/>
      <c r="BS342" s="485"/>
      <c r="BT342" s="485"/>
      <c r="BU342" s="485"/>
      <c r="BV342" s="485"/>
      <c r="BW342" s="485"/>
      <c r="BX342" s="485"/>
      <c r="BY342" s="485"/>
      <c r="BZ342" s="485"/>
      <c r="CA342" s="485"/>
      <c r="CB342" s="485"/>
      <c r="CC342" s="485"/>
      <c r="CD342" s="485"/>
      <c r="CE342" s="485"/>
      <c r="CF342" s="485"/>
      <c r="CG342" s="485"/>
      <c r="CH342" s="485"/>
      <c r="CI342" s="485"/>
      <c r="CJ342" s="485"/>
      <c r="CK342" s="485"/>
      <c r="CL342" s="485"/>
      <c r="CM342" s="485"/>
      <c r="CN342" s="485"/>
      <c r="CO342" s="485"/>
      <c r="CP342" s="485"/>
      <c r="CQ342" s="485"/>
      <c r="CR342" s="485"/>
      <c r="CS342" s="485"/>
      <c r="CT342" s="485"/>
      <c r="CU342" s="485"/>
      <c r="CV342" s="485"/>
      <c r="CW342" s="485"/>
      <c r="CX342" s="485"/>
      <c r="CY342" s="485"/>
      <c r="CZ342" s="485"/>
      <c r="DA342" s="485"/>
      <c r="DB342" s="485"/>
      <c r="DC342" s="485"/>
      <c r="DD342" s="485"/>
      <c r="DE342" s="485"/>
      <c r="DF342" s="485"/>
      <c r="DG342" s="485"/>
      <c r="DH342" s="485"/>
      <c r="DI342" s="485"/>
      <c r="DJ342" s="485"/>
      <c r="DK342" s="485"/>
      <c r="DL342" s="485"/>
      <c r="DM342" s="485"/>
      <c r="DN342" s="485"/>
      <c r="DO342" s="485"/>
      <c r="DP342" s="485"/>
      <c r="DQ342" s="485"/>
      <c r="DR342" s="485"/>
      <c r="DS342" s="485"/>
      <c r="DT342" s="485"/>
      <c r="DU342" s="485"/>
      <c r="DV342" s="485"/>
      <c r="DW342" s="485"/>
      <c r="DX342" s="485"/>
      <c r="DY342" s="485"/>
      <c r="DZ342" s="485"/>
      <c r="EA342" s="485"/>
      <c r="EB342" s="485"/>
      <c r="EC342" s="485"/>
      <c r="ED342" s="485"/>
      <c r="EE342" s="485"/>
      <c r="EF342" s="485"/>
      <c r="EG342" s="485"/>
      <c r="EH342" s="485"/>
      <c r="EI342" s="485"/>
      <c r="EJ342" s="485"/>
      <c r="EK342" s="485"/>
      <c r="EL342" s="485"/>
      <c r="EM342" s="485"/>
      <c r="EN342" s="485"/>
      <c r="EO342" s="485"/>
      <c r="EP342" s="485"/>
    </row>
    <row r="343" spans="1:146" ht="15.75">
      <c r="A343" s="468">
        <v>1073</v>
      </c>
      <c r="B343" s="643" t="s">
        <v>393</v>
      </c>
      <c r="C343" s="653">
        <v>434</v>
      </c>
      <c r="D343" s="654">
        <v>172</v>
      </c>
      <c r="E343" s="439">
        <v>19.239999999999998</v>
      </c>
      <c r="F343" s="678">
        <f t="shared" si="99"/>
        <v>18.846119999999999</v>
      </c>
      <c r="G343" s="683">
        <v>1</v>
      </c>
      <c r="H343" s="682">
        <f t="shared" si="96"/>
        <v>2064</v>
      </c>
      <c r="I343" s="442">
        <f t="shared" si="97"/>
        <v>230.88</v>
      </c>
      <c r="J343" s="442"/>
      <c r="K343" s="443">
        <v>0.51600000000000001</v>
      </c>
      <c r="L343" s="627">
        <f t="shared" si="100"/>
        <v>0.51600000000000001</v>
      </c>
      <c r="M343" s="627"/>
      <c r="N343" s="609">
        <v>172</v>
      </c>
      <c r="O343" s="610">
        <v>19.241685903427861</v>
      </c>
      <c r="P343" s="617" t="str">
        <f t="shared" si="101"/>
        <v>---</v>
      </c>
      <c r="Q343" s="618">
        <f t="shared" si="102"/>
        <v>1.6859034278624563E-3</v>
      </c>
      <c r="R343" s="485"/>
      <c r="S343" s="624" t="str">
        <f t="shared" si="103"/>
        <v>OK</v>
      </c>
      <c r="T343" s="613">
        <f>IF(+'2012 Rates'!O562&lt;'2012 Rates'!$B$11,'2012 Rates'!$B$11,+'2012 Rates'!O562)</f>
        <v>20.709999999999997</v>
      </c>
      <c r="U343" s="447">
        <f t="shared" si="104"/>
        <v>9.8899932718246486E-2</v>
      </c>
      <c r="V343" s="485"/>
      <c r="W343" s="623">
        <f t="shared" si="98"/>
        <v>248.51999999999998</v>
      </c>
      <c r="X343" s="442"/>
      <c r="Y343" s="485"/>
      <c r="Z343" s="485"/>
      <c r="AA343" s="485"/>
      <c r="AB343" s="485"/>
      <c r="AC343" s="485"/>
      <c r="AD343" s="485"/>
      <c r="AE343" s="485"/>
      <c r="AF343" s="485"/>
      <c r="AG343" s="485"/>
      <c r="AH343" s="485"/>
      <c r="AI343" s="485"/>
      <c r="AJ343" s="485"/>
      <c r="AK343" s="485"/>
      <c r="AL343" s="485"/>
      <c r="AM343" s="485"/>
      <c r="AN343" s="485"/>
      <c r="AO343" s="485"/>
      <c r="AP343" s="485"/>
      <c r="AQ343" s="485"/>
      <c r="AR343" s="485"/>
      <c r="AS343" s="485"/>
      <c r="AT343" s="485"/>
      <c r="AU343" s="485"/>
      <c r="AV343" s="485"/>
      <c r="AW343" s="485"/>
      <c r="AX343" s="485"/>
      <c r="AY343" s="485"/>
      <c r="AZ343" s="485"/>
      <c r="BA343" s="485"/>
      <c r="BB343" s="485"/>
      <c r="BC343" s="485"/>
      <c r="BD343" s="485"/>
      <c r="BE343" s="485"/>
      <c r="BF343" s="485"/>
      <c r="BG343" s="485"/>
      <c r="BH343" s="485"/>
      <c r="BI343" s="485"/>
      <c r="BJ343" s="485"/>
      <c r="BK343" s="485"/>
      <c r="BL343" s="485"/>
      <c r="BM343" s="485"/>
      <c r="BN343" s="485"/>
      <c r="BO343" s="485"/>
      <c r="BP343" s="485"/>
      <c r="BQ343" s="485"/>
      <c r="BR343" s="485"/>
      <c r="BS343" s="485"/>
      <c r="BT343" s="485"/>
      <c r="BU343" s="485"/>
      <c r="BV343" s="485"/>
      <c r="BW343" s="485"/>
      <c r="BX343" s="485"/>
      <c r="BY343" s="485"/>
      <c r="BZ343" s="485"/>
      <c r="CA343" s="485"/>
      <c r="CB343" s="485"/>
      <c r="CC343" s="485"/>
      <c r="CD343" s="485"/>
      <c r="CE343" s="485"/>
      <c r="CF343" s="485"/>
      <c r="CG343" s="485"/>
      <c r="CH343" s="485"/>
      <c r="CI343" s="485"/>
      <c r="CJ343" s="485"/>
      <c r="CK343" s="485"/>
      <c r="CL343" s="485"/>
      <c r="CM343" s="485"/>
      <c r="CN343" s="485"/>
      <c r="CO343" s="485"/>
      <c r="CP343" s="485"/>
      <c r="CQ343" s="485"/>
      <c r="CR343" s="485"/>
      <c r="CS343" s="485"/>
      <c r="CT343" s="485"/>
      <c r="CU343" s="485"/>
      <c r="CV343" s="485"/>
      <c r="CW343" s="485"/>
      <c r="CX343" s="485"/>
      <c r="CY343" s="485"/>
      <c r="CZ343" s="485"/>
      <c r="DA343" s="485"/>
      <c r="DB343" s="485"/>
      <c r="DC343" s="485"/>
      <c r="DD343" s="485"/>
      <c r="DE343" s="485"/>
      <c r="DF343" s="485"/>
      <c r="DG343" s="485"/>
      <c r="DH343" s="485"/>
      <c r="DI343" s="485"/>
      <c r="DJ343" s="485"/>
      <c r="DK343" s="485"/>
      <c r="DL343" s="485"/>
      <c r="DM343" s="485"/>
      <c r="DN343" s="485"/>
      <c r="DO343" s="485"/>
      <c r="DP343" s="485"/>
      <c r="DQ343" s="485"/>
      <c r="DR343" s="485"/>
      <c r="DS343" s="485"/>
      <c r="DT343" s="485"/>
      <c r="DU343" s="485"/>
      <c r="DV343" s="485"/>
      <c r="DW343" s="485"/>
      <c r="DX343" s="485"/>
      <c r="DY343" s="485"/>
      <c r="DZ343" s="485"/>
      <c r="EA343" s="485"/>
      <c r="EB343" s="485"/>
      <c r="EC343" s="485"/>
      <c r="ED343" s="485"/>
      <c r="EE343" s="485"/>
      <c r="EF343" s="485"/>
      <c r="EG343" s="485"/>
      <c r="EH343" s="485"/>
      <c r="EI343" s="485"/>
      <c r="EJ343" s="485"/>
      <c r="EK343" s="485"/>
      <c r="EL343" s="485"/>
      <c r="EM343" s="485"/>
      <c r="EN343" s="485"/>
      <c r="EO343" s="485"/>
      <c r="EP343" s="485"/>
    </row>
    <row r="344" spans="1:146" ht="15.75">
      <c r="A344" s="462">
        <v>1075</v>
      </c>
      <c r="B344" s="467" t="s">
        <v>393</v>
      </c>
      <c r="C344" s="457">
        <v>1320</v>
      </c>
      <c r="D344" s="648">
        <v>480</v>
      </c>
      <c r="E344" s="611">
        <v>53.76</v>
      </c>
      <c r="F344" s="678">
        <f t="shared" si="99"/>
        <v>52.660799999999995</v>
      </c>
      <c r="G344" s="683">
        <v>1</v>
      </c>
      <c r="H344" s="682">
        <f t="shared" si="96"/>
        <v>5760</v>
      </c>
      <c r="I344" s="442">
        <f t="shared" si="97"/>
        <v>645.12</v>
      </c>
      <c r="J344" s="442"/>
      <c r="K344" s="443">
        <v>1.44</v>
      </c>
      <c r="L344" s="627">
        <f t="shared" si="100"/>
        <v>1.44</v>
      </c>
      <c r="M344" s="627"/>
      <c r="N344" s="609">
        <v>480</v>
      </c>
      <c r="O344" s="610">
        <v>53.762611823519613</v>
      </c>
      <c r="P344" s="617" t="str">
        <f t="shared" si="101"/>
        <v>---</v>
      </c>
      <c r="Q344" s="618">
        <f t="shared" si="102"/>
        <v>2.6118235196150863E-3</v>
      </c>
      <c r="R344" s="485"/>
      <c r="S344" s="624" t="str">
        <f t="shared" si="103"/>
        <v>OK</v>
      </c>
      <c r="T344" s="613">
        <f>IF(+'2012 Rates'!O564&lt;'2012 Rates'!$B$11,'2012 Rates'!$B$11,+'2012 Rates'!O564)</f>
        <v>57.82</v>
      </c>
      <c r="U344" s="447">
        <f t="shared" si="104"/>
        <v>9.7970406830127921E-2</v>
      </c>
      <c r="V344" s="485"/>
      <c r="W344" s="623">
        <f t="shared" si="98"/>
        <v>693.84</v>
      </c>
      <c r="X344" s="442"/>
      <c r="Y344" s="485"/>
      <c r="Z344" s="485"/>
      <c r="AA344" s="485"/>
      <c r="AB344" s="485"/>
      <c r="AC344" s="485"/>
      <c r="AD344" s="485"/>
      <c r="AE344" s="485"/>
      <c r="AF344" s="485"/>
      <c r="AG344" s="485"/>
      <c r="AH344" s="485"/>
      <c r="AI344" s="485"/>
      <c r="AJ344" s="485"/>
      <c r="AK344" s="485"/>
      <c r="AL344" s="485"/>
      <c r="AM344" s="485"/>
      <c r="AN344" s="485"/>
      <c r="AO344" s="485"/>
      <c r="AP344" s="485"/>
      <c r="AQ344" s="485"/>
      <c r="AR344" s="485"/>
      <c r="AS344" s="485"/>
      <c r="AT344" s="485"/>
      <c r="AU344" s="485"/>
      <c r="AV344" s="485"/>
      <c r="AW344" s="485"/>
      <c r="AX344" s="485"/>
      <c r="AY344" s="485"/>
      <c r="AZ344" s="485"/>
      <c r="BA344" s="485"/>
      <c r="BB344" s="485"/>
      <c r="BC344" s="485"/>
      <c r="BD344" s="485"/>
      <c r="BE344" s="485"/>
      <c r="BF344" s="485"/>
      <c r="BG344" s="485"/>
      <c r="BH344" s="485"/>
      <c r="BI344" s="485"/>
      <c r="BJ344" s="485"/>
      <c r="BK344" s="485"/>
      <c r="BL344" s="485"/>
      <c r="BM344" s="485"/>
      <c r="BN344" s="485"/>
      <c r="BO344" s="485"/>
      <c r="BP344" s="485"/>
      <c r="BQ344" s="485"/>
      <c r="BR344" s="485"/>
      <c r="BS344" s="485"/>
      <c r="BT344" s="485"/>
      <c r="BU344" s="485"/>
      <c r="BV344" s="485"/>
      <c r="BW344" s="485"/>
      <c r="BX344" s="485"/>
      <c r="BY344" s="485"/>
      <c r="BZ344" s="485"/>
      <c r="CA344" s="485"/>
      <c r="CB344" s="485"/>
      <c r="CC344" s="485"/>
      <c r="CD344" s="485"/>
      <c r="CE344" s="485"/>
      <c r="CF344" s="485"/>
      <c r="CG344" s="485"/>
      <c r="CH344" s="485"/>
      <c r="CI344" s="485"/>
      <c r="CJ344" s="485"/>
      <c r="CK344" s="485"/>
      <c r="CL344" s="485"/>
      <c r="CM344" s="485"/>
      <c r="CN344" s="485"/>
      <c r="CO344" s="485"/>
      <c r="CP344" s="485"/>
      <c r="CQ344" s="485"/>
      <c r="CR344" s="485"/>
      <c r="CS344" s="485"/>
      <c r="CT344" s="485"/>
      <c r="CU344" s="485"/>
      <c r="CV344" s="485"/>
      <c r="CW344" s="485"/>
      <c r="CX344" s="485"/>
      <c r="CY344" s="485"/>
      <c r="CZ344" s="485"/>
      <c r="DA344" s="485"/>
      <c r="DB344" s="485"/>
      <c r="DC344" s="485"/>
      <c r="DD344" s="485"/>
      <c r="DE344" s="485"/>
      <c r="DF344" s="485"/>
      <c r="DG344" s="485"/>
      <c r="DH344" s="485"/>
      <c r="DI344" s="485"/>
      <c r="DJ344" s="485"/>
      <c r="DK344" s="485"/>
      <c r="DL344" s="485"/>
      <c r="DM344" s="485"/>
      <c r="DN344" s="485"/>
      <c r="DO344" s="485"/>
      <c r="DP344" s="485"/>
      <c r="DQ344" s="485"/>
      <c r="DR344" s="485"/>
      <c r="DS344" s="485"/>
      <c r="DT344" s="485"/>
      <c r="DU344" s="485"/>
      <c r="DV344" s="485"/>
      <c r="DW344" s="485"/>
      <c r="DX344" s="485"/>
      <c r="DY344" s="485"/>
      <c r="DZ344" s="485"/>
      <c r="EA344" s="485"/>
      <c r="EB344" s="485"/>
      <c r="EC344" s="485"/>
      <c r="ED344" s="485"/>
      <c r="EE344" s="485"/>
      <c r="EF344" s="485"/>
      <c r="EG344" s="485"/>
      <c r="EH344" s="485"/>
      <c r="EI344" s="485"/>
      <c r="EJ344" s="485"/>
      <c r="EK344" s="485"/>
      <c r="EL344" s="485"/>
      <c r="EM344" s="485"/>
      <c r="EN344" s="485"/>
      <c r="EO344" s="485"/>
      <c r="EP344" s="485"/>
    </row>
    <row r="345" spans="1:146" ht="15.75">
      <c r="A345" s="468">
        <v>1076</v>
      </c>
      <c r="B345" s="643" t="s">
        <v>393</v>
      </c>
      <c r="C345" s="653">
        <v>590</v>
      </c>
      <c r="D345" s="654">
        <v>226</v>
      </c>
      <c r="E345" s="439">
        <v>25.28</v>
      </c>
      <c r="F345" s="678">
        <f t="shared" si="99"/>
        <v>24.762460000000001</v>
      </c>
      <c r="G345" s="683">
        <v>1</v>
      </c>
      <c r="H345" s="682">
        <f t="shared" si="96"/>
        <v>2712</v>
      </c>
      <c r="I345" s="442">
        <f t="shared" si="97"/>
        <v>303.36</v>
      </c>
      <c r="J345" s="442"/>
      <c r="K345" s="443">
        <v>0.67600000000000005</v>
      </c>
      <c r="L345" s="627">
        <f t="shared" si="100"/>
        <v>0.67600000000000005</v>
      </c>
      <c r="M345" s="627"/>
      <c r="N345" s="609">
        <v>226</v>
      </c>
      <c r="O345" s="610">
        <v>25.275354733573817</v>
      </c>
      <c r="P345" s="617" t="str">
        <f t="shared" si="101"/>
        <v>---</v>
      </c>
      <c r="Q345" s="618">
        <f t="shared" si="102"/>
        <v>-4.6452664261842358E-3</v>
      </c>
      <c r="R345" s="485"/>
      <c r="S345" s="624" t="str">
        <f t="shared" si="103"/>
        <v>OK</v>
      </c>
      <c r="T345" s="613">
        <f>IF(+'2012 Rates'!O569&lt;'2012 Rates'!$B$11,'2012 Rates'!$B$11,+'2012 Rates'!O569)</f>
        <v>27.18</v>
      </c>
      <c r="U345" s="447">
        <f t="shared" si="104"/>
        <v>9.7629233929100723E-2</v>
      </c>
      <c r="V345" s="485"/>
      <c r="W345" s="623">
        <f t="shared" si="98"/>
        <v>326.15999999999997</v>
      </c>
      <c r="X345" s="442"/>
      <c r="Y345" s="485"/>
      <c r="Z345" s="485"/>
      <c r="AA345" s="485"/>
      <c r="AB345" s="485"/>
      <c r="AC345" s="485"/>
      <c r="AD345" s="485"/>
      <c r="AE345" s="485"/>
      <c r="AF345" s="485"/>
      <c r="AG345" s="485"/>
      <c r="AH345" s="485"/>
      <c r="AI345" s="485"/>
      <c r="AJ345" s="485"/>
      <c r="AK345" s="485"/>
      <c r="AL345" s="485"/>
      <c r="AM345" s="485"/>
      <c r="AN345" s="485"/>
      <c r="AO345" s="485"/>
      <c r="AP345" s="485"/>
      <c r="AQ345" s="485"/>
      <c r="AR345" s="485"/>
      <c r="AS345" s="485"/>
      <c r="AT345" s="485"/>
      <c r="AU345" s="485"/>
      <c r="AV345" s="485"/>
      <c r="AW345" s="485"/>
      <c r="AX345" s="485"/>
      <c r="AY345" s="485"/>
      <c r="AZ345" s="485"/>
      <c r="BA345" s="485"/>
      <c r="BB345" s="485"/>
      <c r="BC345" s="485"/>
      <c r="BD345" s="485"/>
      <c r="BE345" s="485"/>
      <c r="BF345" s="485"/>
      <c r="BG345" s="485"/>
      <c r="BH345" s="485"/>
      <c r="BI345" s="485"/>
      <c r="BJ345" s="485"/>
      <c r="BK345" s="485"/>
      <c r="BL345" s="485"/>
      <c r="BM345" s="485"/>
      <c r="BN345" s="485"/>
      <c r="BO345" s="485"/>
      <c r="BP345" s="485"/>
      <c r="BQ345" s="485"/>
      <c r="BR345" s="485"/>
      <c r="BS345" s="485"/>
      <c r="BT345" s="485"/>
      <c r="BU345" s="485"/>
      <c r="BV345" s="485"/>
      <c r="BW345" s="485"/>
      <c r="BX345" s="485"/>
      <c r="BY345" s="485"/>
      <c r="BZ345" s="485"/>
      <c r="CA345" s="485"/>
      <c r="CB345" s="485"/>
      <c r="CC345" s="485"/>
      <c r="CD345" s="485"/>
      <c r="CE345" s="485"/>
      <c r="CF345" s="485"/>
      <c r="CG345" s="485"/>
      <c r="CH345" s="485"/>
      <c r="CI345" s="485"/>
      <c r="CJ345" s="485"/>
      <c r="CK345" s="485"/>
      <c r="CL345" s="485"/>
      <c r="CM345" s="485"/>
      <c r="CN345" s="485"/>
      <c r="CO345" s="485"/>
      <c r="CP345" s="485"/>
      <c r="CQ345" s="485"/>
      <c r="CR345" s="485"/>
      <c r="CS345" s="485"/>
      <c r="CT345" s="485"/>
      <c r="CU345" s="485"/>
      <c r="CV345" s="485"/>
      <c r="CW345" s="485"/>
      <c r="CX345" s="485"/>
      <c r="CY345" s="485"/>
      <c r="CZ345" s="485"/>
      <c r="DA345" s="485"/>
      <c r="DB345" s="485"/>
      <c r="DC345" s="485"/>
      <c r="DD345" s="485"/>
      <c r="DE345" s="485"/>
      <c r="DF345" s="485"/>
      <c r="DG345" s="485"/>
      <c r="DH345" s="485"/>
      <c r="DI345" s="485"/>
      <c r="DJ345" s="485"/>
      <c r="DK345" s="485"/>
      <c r="DL345" s="485"/>
      <c r="DM345" s="485"/>
      <c r="DN345" s="485"/>
      <c r="DO345" s="485"/>
      <c r="DP345" s="485"/>
      <c r="DQ345" s="485"/>
      <c r="DR345" s="485"/>
      <c r="DS345" s="485"/>
      <c r="DT345" s="485"/>
      <c r="DU345" s="485"/>
      <c r="DV345" s="485"/>
      <c r="DW345" s="485"/>
      <c r="DX345" s="485"/>
      <c r="DY345" s="485"/>
      <c r="DZ345" s="485"/>
      <c r="EA345" s="485"/>
      <c r="EB345" s="485"/>
      <c r="EC345" s="485"/>
      <c r="ED345" s="485"/>
      <c r="EE345" s="485"/>
      <c r="EF345" s="485"/>
      <c r="EG345" s="485"/>
      <c r="EH345" s="485"/>
      <c r="EI345" s="485"/>
      <c r="EJ345" s="485"/>
      <c r="EK345" s="485"/>
      <c r="EL345" s="485"/>
      <c r="EM345" s="485"/>
      <c r="EN345" s="485"/>
      <c r="EO345" s="485"/>
      <c r="EP345" s="485"/>
    </row>
    <row r="346" spans="1:146" ht="15.75">
      <c r="A346" s="468">
        <v>1077</v>
      </c>
      <c r="B346" s="643" t="s">
        <v>403</v>
      </c>
      <c r="C346" s="653">
        <v>700</v>
      </c>
      <c r="D346" s="654">
        <v>561</v>
      </c>
      <c r="E346" s="439">
        <v>49.06</v>
      </c>
      <c r="F346" s="678">
        <f t="shared" si="99"/>
        <v>47.775310000000005</v>
      </c>
      <c r="G346" s="683">
        <v>2</v>
      </c>
      <c r="H346" s="682">
        <f t="shared" si="96"/>
        <v>13464</v>
      </c>
      <c r="I346" s="442">
        <f t="shared" si="97"/>
        <v>1177.44</v>
      </c>
      <c r="J346" s="442"/>
      <c r="K346" s="443">
        <v>0.76800000000000002</v>
      </c>
      <c r="L346" s="627">
        <f t="shared" si="100"/>
        <v>1.536</v>
      </c>
      <c r="M346" s="627">
        <f>+L346</f>
        <v>1.536</v>
      </c>
      <c r="N346" s="609">
        <v>561</v>
      </c>
      <c r="O346" s="610">
        <v>49.063115068738547</v>
      </c>
      <c r="P346" s="617" t="str">
        <f t="shared" si="101"/>
        <v>---</v>
      </c>
      <c r="Q346" s="618">
        <f t="shared" si="102"/>
        <v>3.115068738544835E-3</v>
      </c>
      <c r="R346" s="485"/>
      <c r="S346" s="624" t="str">
        <f t="shared" si="103"/>
        <v>OK</v>
      </c>
      <c r="T346" s="613">
        <f>IF(+'2012 Rates'!O571&lt;'2012 Rates'!$B$11,'2012 Rates'!$B$11,+'2012 Rates'!P571)</f>
        <v>52.48</v>
      </c>
      <c r="U346" s="447">
        <f t="shared" si="104"/>
        <v>9.8475342179883185E-2</v>
      </c>
      <c r="V346" s="485"/>
      <c r="W346" s="623">
        <f t="shared" si="98"/>
        <v>1259.52</v>
      </c>
      <c r="X346" s="442"/>
      <c r="Y346" s="485"/>
      <c r="Z346" s="485"/>
      <c r="AA346" s="485"/>
      <c r="AB346" s="485"/>
      <c r="AC346" s="485"/>
      <c r="AD346" s="485"/>
      <c r="AE346" s="485"/>
      <c r="AF346" s="485"/>
      <c r="AG346" s="485"/>
      <c r="AH346" s="485"/>
      <c r="AI346" s="485"/>
      <c r="AJ346" s="485"/>
      <c r="AK346" s="485"/>
      <c r="AL346" s="485"/>
      <c r="AM346" s="485"/>
      <c r="AN346" s="485"/>
      <c r="AO346" s="485"/>
      <c r="AP346" s="485"/>
      <c r="AQ346" s="485"/>
      <c r="AR346" s="485"/>
      <c r="AS346" s="485"/>
      <c r="AT346" s="485"/>
      <c r="AU346" s="485"/>
      <c r="AV346" s="485"/>
      <c r="AW346" s="485"/>
      <c r="AX346" s="485"/>
      <c r="AY346" s="485"/>
      <c r="AZ346" s="485"/>
      <c r="BA346" s="485"/>
      <c r="BB346" s="485"/>
      <c r="BC346" s="485"/>
      <c r="BD346" s="485"/>
      <c r="BE346" s="485"/>
      <c r="BF346" s="485"/>
      <c r="BG346" s="485"/>
      <c r="BH346" s="485"/>
      <c r="BI346" s="485"/>
      <c r="BJ346" s="485"/>
      <c r="BK346" s="485"/>
      <c r="BL346" s="485"/>
      <c r="BM346" s="485"/>
      <c r="BN346" s="485"/>
      <c r="BO346" s="485"/>
      <c r="BP346" s="485"/>
      <c r="BQ346" s="485"/>
      <c r="BR346" s="485"/>
      <c r="BS346" s="485"/>
      <c r="BT346" s="485"/>
      <c r="BU346" s="485"/>
      <c r="BV346" s="485"/>
      <c r="BW346" s="485"/>
      <c r="BX346" s="485"/>
      <c r="BY346" s="485"/>
      <c r="BZ346" s="485"/>
      <c r="CA346" s="485"/>
      <c r="CB346" s="485"/>
      <c r="CC346" s="485"/>
      <c r="CD346" s="485"/>
      <c r="CE346" s="485"/>
      <c r="CF346" s="485"/>
      <c r="CG346" s="485"/>
      <c r="CH346" s="485"/>
      <c r="CI346" s="485"/>
      <c r="CJ346" s="485"/>
      <c r="CK346" s="485"/>
      <c r="CL346" s="485"/>
      <c r="CM346" s="485"/>
      <c r="CN346" s="485"/>
      <c r="CO346" s="485"/>
      <c r="CP346" s="485"/>
      <c r="CQ346" s="485"/>
      <c r="CR346" s="485"/>
      <c r="CS346" s="485"/>
      <c r="CT346" s="485"/>
      <c r="CU346" s="485"/>
      <c r="CV346" s="485"/>
      <c r="CW346" s="485"/>
      <c r="CX346" s="485"/>
      <c r="CY346" s="485"/>
      <c r="CZ346" s="485"/>
      <c r="DA346" s="485"/>
      <c r="DB346" s="485"/>
      <c r="DC346" s="485"/>
      <c r="DD346" s="485"/>
      <c r="DE346" s="485"/>
      <c r="DF346" s="485"/>
      <c r="DG346" s="485"/>
      <c r="DH346" s="485"/>
      <c r="DI346" s="485"/>
      <c r="DJ346" s="485"/>
      <c r="DK346" s="485"/>
      <c r="DL346" s="485"/>
      <c r="DM346" s="485"/>
      <c r="DN346" s="485"/>
      <c r="DO346" s="485"/>
      <c r="DP346" s="485"/>
      <c r="DQ346" s="485"/>
      <c r="DR346" s="485"/>
      <c r="DS346" s="485"/>
      <c r="DT346" s="485"/>
      <c r="DU346" s="485"/>
      <c r="DV346" s="485"/>
      <c r="DW346" s="485"/>
      <c r="DX346" s="485"/>
      <c r="DY346" s="485"/>
      <c r="DZ346" s="485"/>
      <c r="EA346" s="485"/>
      <c r="EB346" s="485"/>
      <c r="EC346" s="485"/>
      <c r="ED346" s="485"/>
      <c r="EE346" s="485"/>
      <c r="EF346" s="485"/>
      <c r="EG346" s="485"/>
      <c r="EH346" s="485"/>
      <c r="EI346" s="485"/>
      <c r="EJ346" s="485"/>
      <c r="EK346" s="485"/>
      <c r="EL346" s="485"/>
      <c r="EM346" s="485"/>
      <c r="EN346" s="485"/>
      <c r="EO346" s="485"/>
      <c r="EP346" s="485"/>
    </row>
    <row r="347" spans="1:146" ht="15.75">
      <c r="A347" s="468">
        <v>1078</v>
      </c>
      <c r="B347" s="643" t="s">
        <v>403</v>
      </c>
      <c r="C347" s="653">
        <v>1870</v>
      </c>
      <c r="D347" s="654">
        <v>1679</v>
      </c>
      <c r="E347" s="439">
        <v>146.86000000000001</v>
      </c>
      <c r="F347" s="678">
        <f t="shared" si="99"/>
        <v>143.01509000000001</v>
      </c>
      <c r="G347" s="683">
        <v>1</v>
      </c>
      <c r="H347" s="682">
        <f t="shared" si="96"/>
        <v>20148</v>
      </c>
      <c r="I347" s="442">
        <f t="shared" si="97"/>
        <v>1762.3200000000002</v>
      </c>
      <c r="J347" s="442"/>
      <c r="K347" s="443">
        <v>2.2999999999999998</v>
      </c>
      <c r="L347" s="627">
        <f t="shared" si="100"/>
        <v>2.2999999999999998</v>
      </c>
      <c r="M347" s="627">
        <f>+L347</f>
        <v>2.2999999999999998</v>
      </c>
      <c r="N347" s="609">
        <v>1679</v>
      </c>
      <c r="O347" s="610">
        <v>146.85907344101966</v>
      </c>
      <c r="P347" s="617" t="str">
        <f t="shared" si="101"/>
        <v>---</v>
      </c>
      <c r="Q347" s="618">
        <f t="shared" si="102"/>
        <v>-9.2655898035332029E-4</v>
      </c>
      <c r="R347" s="485"/>
      <c r="S347" s="624" t="str">
        <f t="shared" si="103"/>
        <v>OK</v>
      </c>
      <c r="T347" s="613">
        <f>IF(+'2012 Rates'!P572&lt;'2012 Rates'!$B$11,'2012 Rates'!$B$11,+'2012 Rates'!P572)</f>
        <v>157.04000000000002</v>
      </c>
      <c r="U347" s="447">
        <f t="shared" si="104"/>
        <v>9.8065945348843941E-2</v>
      </c>
      <c r="V347" s="485"/>
      <c r="W347" s="623">
        <f t="shared" si="98"/>
        <v>1884.4800000000002</v>
      </c>
      <c r="X347" s="442"/>
      <c r="Y347" s="485"/>
      <c r="Z347" s="485"/>
      <c r="AA347" s="485"/>
      <c r="AB347" s="485"/>
      <c r="AC347" s="485"/>
      <c r="AD347" s="485"/>
      <c r="AE347" s="485"/>
      <c r="AF347" s="485"/>
      <c r="AG347" s="485"/>
      <c r="AH347" s="485"/>
      <c r="AI347" s="485"/>
      <c r="AJ347" s="485"/>
      <c r="AK347" s="485"/>
      <c r="AL347" s="485"/>
      <c r="AM347" s="485"/>
      <c r="AN347" s="485"/>
      <c r="AO347" s="485"/>
      <c r="AP347" s="485"/>
      <c r="AQ347" s="485"/>
      <c r="AR347" s="485"/>
      <c r="AS347" s="485"/>
      <c r="AT347" s="485"/>
      <c r="AU347" s="485"/>
      <c r="AV347" s="485"/>
      <c r="AW347" s="485"/>
      <c r="AX347" s="485"/>
      <c r="AY347" s="485"/>
      <c r="AZ347" s="485"/>
      <c r="BA347" s="485"/>
      <c r="BB347" s="485"/>
      <c r="BC347" s="485"/>
      <c r="BD347" s="485"/>
      <c r="BE347" s="485"/>
      <c r="BF347" s="485"/>
      <c r="BG347" s="485"/>
      <c r="BH347" s="485"/>
      <c r="BI347" s="485"/>
      <c r="BJ347" s="485"/>
      <c r="BK347" s="485"/>
      <c r="BL347" s="485"/>
      <c r="BM347" s="485"/>
      <c r="BN347" s="485"/>
      <c r="BO347" s="485"/>
      <c r="BP347" s="485"/>
      <c r="BQ347" s="485"/>
      <c r="BR347" s="485"/>
      <c r="BS347" s="485"/>
      <c r="BT347" s="485"/>
      <c r="BU347" s="485"/>
      <c r="BV347" s="485"/>
      <c r="BW347" s="485"/>
      <c r="BX347" s="485"/>
      <c r="BY347" s="485"/>
      <c r="BZ347" s="485"/>
      <c r="CA347" s="485"/>
      <c r="CB347" s="485"/>
      <c r="CC347" s="485"/>
      <c r="CD347" s="485"/>
      <c r="CE347" s="485"/>
      <c r="CF347" s="485"/>
      <c r="CG347" s="485"/>
      <c r="CH347" s="485"/>
      <c r="CI347" s="485"/>
      <c r="CJ347" s="485"/>
      <c r="CK347" s="485"/>
      <c r="CL347" s="485"/>
      <c r="CM347" s="485"/>
      <c r="CN347" s="485"/>
      <c r="CO347" s="485"/>
      <c r="CP347" s="485"/>
      <c r="CQ347" s="485"/>
      <c r="CR347" s="485"/>
      <c r="CS347" s="485"/>
      <c r="CT347" s="485"/>
      <c r="CU347" s="485"/>
      <c r="CV347" s="485"/>
      <c r="CW347" s="485"/>
      <c r="CX347" s="485"/>
      <c r="CY347" s="485"/>
      <c r="CZ347" s="485"/>
      <c r="DA347" s="485"/>
      <c r="DB347" s="485"/>
      <c r="DC347" s="485"/>
      <c r="DD347" s="485"/>
      <c r="DE347" s="485"/>
      <c r="DF347" s="485"/>
      <c r="DG347" s="485"/>
      <c r="DH347" s="485"/>
      <c r="DI347" s="485"/>
      <c r="DJ347" s="485"/>
      <c r="DK347" s="485"/>
      <c r="DL347" s="485"/>
      <c r="DM347" s="485"/>
      <c r="DN347" s="485"/>
      <c r="DO347" s="485"/>
      <c r="DP347" s="485"/>
      <c r="DQ347" s="485"/>
      <c r="DR347" s="485"/>
      <c r="DS347" s="485"/>
      <c r="DT347" s="485"/>
      <c r="DU347" s="485"/>
      <c r="DV347" s="485"/>
      <c r="DW347" s="485"/>
      <c r="DX347" s="485"/>
      <c r="DY347" s="485"/>
      <c r="DZ347" s="485"/>
      <c r="EA347" s="485"/>
      <c r="EB347" s="485"/>
      <c r="EC347" s="485"/>
      <c r="ED347" s="485"/>
      <c r="EE347" s="485"/>
      <c r="EF347" s="485"/>
      <c r="EG347" s="485"/>
      <c r="EH347" s="485"/>
      <c r="EI347" s="485"/>
      <c r="EJ347" s="485"/>
      <c r="EK347" s="485"/>
      <c r="EL347" s="485"/>
      <c r="EM347" s="485"/>
      <c r="EN347" s="485"/>
      <c r="EO347" s="485"/>
      <c r="EP347" s="485"/>
    </row>
    <row r="348" spans="1:146" ht="15.75">
      <c r="A348" s="468">
        <v>1079</v>
      </c>
      <c r="B348" s="643" t="s">
        <v>393</v>
      </c>
      <c r="C348" s="653">
        <v>600</v>
      </c>
      <c r="D348" s="654">
        <v>224</v>
      </c>
      <c r="E348" s="439">
        <v>25.08</v>
      </c>
      <c r="F348" s="678">
        <f t="shared" si="99"/>
        <v>24.567039999999999</v>
      </c>
      <c r="G348" s="683">
        <v>1</v>
      </c>
      <c r="H348" s="682">
        <f t="shared" si="96"/>
        <v>2688</v>
      </c>
      <c r="I348" s="442">
        <f t="shared" si="97"/>
        <v>300.95999999999998</v>
      </c>
      <c r="J348" s="442"/>
      <c r="K348" s="443">
        <v>0.67200000000000004</v>
      </c>
      <c r="L348" s="627">
        <f t="shared" si="100"/>
        <v>0.67200000000000004</v>
      </c>
      <c r="M348" s="627"/>
      <c r="N348" s="609">
        <v>224</v>
      </c>
      <c r="O348" s="610">
        <v>25.075218850975823</v>
      </c>
      <c r="P348" s="617" t="str">
        <f t="shared" si="101"/>
        <v>---</v>
      </c>
      <c r="Q348" s="618">
        <f t="shared" si="102"/>
        <v>-4.7811490241755905E-3</v>
      </c>
      <c r="R348" s="485"/>
      <c r="S348" s="624" t="str">
        <f t="shared" si="103"/>
        <v>OK</v>
      </c>
      <c r="T348" s="613">
        <f>IF(+'2012 Rates'!O573&lt;'2012 Rates'!$B$11,'2012 Rates'!$B$11,+'2012 Rates'!O573)</f>
        <v>26.97</v>
      </c>
      <c r="U348" s="447">
        <f t="shared" si="104"/>
        <v>9.7812353462199741E-2</v>
      </c>
      <c r="V348" s="485"/>
      <c r="W348" s="623">
        <f t="shared" si="98"/>
        <v>323.64</v>
      </c>
      <c r="X348" s="442"/>
      <c r="Y348" s="485"/>
      <c r="Z348" s="485"/>
      <c r="AA348" s="485"/>
      <c r="AB348" s="485"/>
      <c r="AC348" s="485"/>
      <c r="AD348" s="485"/>
      <c r="AE348" s="485"/>
      <c r="AF348" s="485"/>
      <c r="AG348" s="485"/>
      <c r="AH348" s="485"/>
      <c r="AI348" s="485"/>
      <c r="AJ348" s="485"/>
      <c r="AK348" s="485"/>
      <c r="AL348" s="485"/>
      <c r="AM348" s="485"/>
      <c r="AN348" s="485"/>
      <c r="AO348" s="485"/>
      <c r="AP348" s="485"/>
      <c r="AQ348" s="485"/>
      <c r="AR348" s="485"/>
      <c r="AS348" s="485"/>
      <c r="AT348" s="485"/>
      <c r="AU348" s="485"/>
      <c r="AV348" s="485"/>
      <c r="AW348" s="485"/>
      <c r="AX348" s="485"/>
      <c r="AY348" s="485"/>
      <c r="AZ348" s="485"/>
      <c r="BA348" s="485"/>
      <c r="BB348" s="485"/>
      <c r="BC348" s="485"/>
      <c r="BD348" s="485"/>
      <c r="BE348" s="485"/>
      <c r="BF348" s="485"/>
      <c r="BG348" s="485"/>
      <c r="BH348" s="485"/>
      <c r="BI348" s="485"/>
      <c r="BJ348" s="485"/>
      <c r="BK348" s="485"/>
      <c r="BL348" s="485"/>
      <c r="BM348" s="485"/>
      <c r="BN348" s="485"/>
      <c r="BO348" s="485"/>
      <c r="BP348" s="485"/>
      <c r="BQ348" s="485"/>
      <c r="BR348" s="485"/>
      <c r="BS348" s="485"/>
      <c r="BT348" s="485"/>
      <c r="BU348" s="485"/>
      <c r="BV348" s="485"/>
      <c r="BW348" s="485"/>
      <c r="BX348" s="485"/>
      <c r="BY348" s="485"/>
      <c r="BZ348" s="485"/>
      <c r="CA348" s="485"/>
      <c r="CB348" s="485"/>
      <c r="CC348" s="485"/>
      <c r="CD348" s="485"/>
      <c r="CE348" s="485"/>
      <c r="CF348" s="485"/>
      <c r="CG348" s="485"/>
      <c r="CH348" s="485"/>
      <c r="CI348" s="485"/>
      <c r="CJ348" s="485"/>
      <c r="CK348" s="485"/>
      <c r="CL348" s="485"/>
      <c r="CM348" s="485"/>
      <c r="CN348" s="485"/>
      <c r="CO348" s="485"/>
      <c r="CP348" s="485"/>
      <c r="CQ348" s="485"/>
      <c r="CR348" s="485"/>
      <c r="CS348" s="485"/>
      <c r="CT348" s="485"/>
      <c r="CU348" s="485"/>
      <c r="CV348" s="485"/>
      <c r="CW348" s="485"/>
      <c r="CX348" s="485"/>
      <c r="CY348" s="485"/>
      <c r="CZ348" s="485"/>
      <c r="DA348" s="485"/>
      <c r="DB348" s="485"/>
      <c r="DC348" s="485"/>
      <c r="DD348" s="485"/>
      <c r="DE348" s="485"/>
      <c r="DF348" s="485"/>
      <c r="DG348" s="485"/>
      <c r="DH348" s="485"/>
      <c r="DI348" s="485"/>
      <c r="DJ348" s="485"/>
      <c r="DK348" s="485"/>
      <c r="DL348" s="485"/>
      <c r="DM348" s="485"/>
      <c r="DN348" s="485"/>
      <c r="DO348" s="485"/>
      <c r="DP348" s="485"/>
      <c r="DQ348" s="485"/>
      <c r="DR348" s="485"/>
      <c r="DS348" s="485"/>
      <c r="DT348" s="485"/>
      <c r="DU348" s="485"/>
      <c r="DV348" s="485"/>
      <c r="DW348" s="485"/>
      <c r="DX348" s="485"/>
      <c r="DY348" s="485"/>
      <c r="DZ348" s="485"/>
      <c r="EA348" s="485"/>
      <c r="EB348" s="485"/>
      <c r="EC348" s="485"/>
      <c r="ED348" s="485"/>
      <c r="EE348" s="485"/>
      <c r="EF348" s="485"/>
      <c r="EG348" s="485"/>
      <c r="EH348" s="485"/>
      <c r="EI348" s="485"/>
      <c r="EJ348" s="485"/>
      <c r="EK348" s="485"/>
      <c r="EL348" s="485"/>
      <c r="EM348" s="485"/>
      <c r="EN348" s="485"/>
      <c r="EO348" s="485"/>
      <c r="EP348" s="485"/>
    </row>
    <row r="349" spans="1:146" ht="15.75">
      <c r="A349" s="468">
        <v>1080</v>
      </c>
      <c r="B349" s="643" t="s">
        <v>393</v>
      </c>
      <c r="C349" s="653">
        <v>384</v>
      </c>
      <c r="D349" s="654">
        <v>154</v>
      </c>
      <c r="E349" s="439">
        <v>17.239999999999998</v>
      </c>
      <c r="F349" s="678">
        <f t="shared" si="99"/>
        <v>16.887339999999998</v>
      </c>
      <c r="G349" s="683"/>
      <c r="H349" s="682">
        <f t="shared" si="96"/>
        <v>0</v>
      </c>
      <c r="I349" s="442">
        <f t="shared" si="97"/>
        <v>0</v>
      </c>
      <c r="J349" s="442"/>
      <c r="K349" s="443">
        <v>0.46200000000000002</v>
      </c>
      <c r="L349" s="627">
        <f t="shared" si="100"/>
        <v>0</v>
      </c>
      <c r="M349" s="627"/>
      <c r="N349" s="609">
        <v>154</v>
      </c>
      <c r="O349" s="610">
        <v>17.240462960045875</v>
      </c>
      <c r="P349" s="617" t="str">
        <f t="shared" si="101"/>
        <v>---</v>
      </c>
      <c r="Q349" s="618">
        <f t="shared" si="102"/>
        <v>4.6296004587631501E-4</v>
      </c>
      <c r="R349" s="485"/>
      <c r="S349" s="624" t="str">
        <f t="shared" si="103"/>
        <v>OK</v>
      </c>
      <c r="T349" s="613">
        <f>IF(+'2012 Rates'!O574&lt;'2012 Rates'!$B$11,'2012 Rates'!$B$11,+'2012 Rates'!O574)</f>
        <v>18.54</v>
      </c>
      <c r="U349" s="447">
        <f t="shared" si="104"/>
        <v>9.7863843565653363E-2</v>
      </c>
      <c r="V349" s="485"/>
      <c r="W349" s="623">
        <f t="shared" si="98"/>
        <v>0</v>
      </c>
      <c r="X349" s="442"/>
      <c r="Y349" s="485"/>
      <c r="Z349" s="485"/>
      <c r="AA349" s="485"/>
      <c r="AB349" s="485"/>
      <c r="AC349" s="485"/>
      <c r="AD349" s="485"/>
      <c r="AE349" s="485"/>
      <c r="AF349" s="485"/>
      <c r="AG349" s="485"/>
      <c r="AH349" s="485"/>
      <c r="AI349" s="485"/>
      <c r="AJ349" s="485"/>
      <c r="AK349" s="485"/>
      <c r="AL349" s="485"/>
      <c r="AM349" s="485"/>
      <c r="AN349" s="485"/>
      <c r="AO349" s="485"/>
      <c r="AP349" s="485"/>
      <c r="AQ349" s="485"/>
      <c r="AR349" s="485"/>
      <c r="AS349" s="485"/>
      <c r="AT349" s="485"/>
      <c r="AU349" s="485"/>
      <c r="AV349" s="485"/>
      <c r="AW349" s="485"/>
      <c r="AX349" s="485"/>
      <c r="AY349" s="485"/>
      <c r="AZ349" s="485"/>
      <c r="BA349" s="485"/>
      <c r="BB349" s="485"/>
      <c r="BC349" s="485"/>
      <c r="BD349" s="485"/>
      <c r="BE349" s="485"/>
      <c r="BF349" s="485"/>
      <c r="BG349" s="485"/>
      <c r="BH349" s="485"/>
      <c r="BI349" s="485"/>
      <c r="BJ349" s="485"/>
      <c r="BK349" s="485"/>
      <c r="BL349" s="485"/>
      <c r="BM349" s="485"/>
      <c r="BN349" s="485"/>
      <c r="BO349" s="485"/>
      <c r="BP349" s="485"/>
      <c r="BQ349" s="485"/>
      <c r="BR349" s="485"/>
      <c r="BS349" s="485"/>
      <c r="BT349" s="485"/>
      <c r="BU349" s="485"/>
      <c r="BV349" s="485"/>
      <c r="BW349" s="485"/>
      <c r="BX349" s="485"/>
      <c r="BY349" s="485"/>
      <c r="BZ349" s="485"/>
      <c r="CA349" s="485"/>
      <c r="CB349" s="485"/>
      <c r="CC349" s="485"/>
      <c r="CD349" s="485"/>
      <c r="CE349" s="485"/>
      <c r="CF349" s="485"/>
      <c r="CG349" s="485"/>
      <c r="CH349" s="485"/>
      <c r="CI349" s="485"/>
      <c r="CJ349" s="485"/>
      <c r="CK349" s="485"/>
      <c r="CL349" s="485"/>
      <c r="CM349" s="485"/>
      <c r="CN349" s="485"/>
      <c r="CO349" s="485"/>
      <c r="CP349" s="485"/>
      <c r="CQ349" s="485"/>
      <c r="CR349" s="485"/>
      <c r="CS349" s="485"/>
      <c r="CT349" s="485"/>
      <c r="CU349" s="485"/>
      <c r="CV349" s="485"/>
      <c r="CW349" s="485"/>
      <c r="CX349" s="485"/>
      <c r="CY349" s="485"/>
      <c r="CZ349" s="485"/>
      <c r="DA349" s="485"/>
      <c r="DB349" s="485"/>
      <c r="DC349" s="485"/>
      <c r="DD349" s="485"/>
      <c r="DE349" s="485"/>
      <c r="DF349" s="485"/>
      <c r="DG349" s="485"/>
      <c r="DH349" s="485"/>
      <c r="DI349" s="485"/>
      <c r="DJ349" s="485"/>
      <c r="DK349" s="485"/>
      <c r="DL349" s="485"/>
      <c r="DM349" s="485"/>
      <c r="DN349" s="485"/>
      <c r="DO349" s="485"/>
      <c r="DP349" s="485"/>
      <c r="DQ349" s="485"/>
      <c r="DR349" s="485"/>
      <c r="DS349" s="485"/>
      <c r="DT349" s="485"/>
      <c r="DU349" s="485"/>
      <c r="DV349" s="485"/>
      <c r="DW349" s="485"/>
      <c r="DX349" s="485"/>
      <c r="DY349" s="485"/>
      <c r="DZ349" s="485"/>
      <c r="EA349" s="485"/>
      <c r="EB349" s="485"/>
      <c r="EC349" s="485"/>
      <c r="ED349" s="485"/>
      <c r="EE349" s="485"/>
      <c r="EF349" s="485"/>
      <c r="EG349" s="485"/>
      <c r="EH349" s="485"/>
      <c r="EI349" s="485"/>
      <c r="EJ349" s="485"/>
      <c r="EK349" s="485"/>
      <c r="EL349" s="485"/>
      <c r="EM349" s="485"/>
      <c r="EN349" s="485"/>
      <c r="EO349" s="485"/>
      <c r="EP349" s="485"/>
    </row>
    <row r="350" spans="1:146" ht="15.75">
      <c r="A350" s="468">
        <v>1081</v>
      </c>
      <c r="B350" s="643" t="s">
        <v>393</v>
      </c>
      <c r="C350" s="653">
        <v>102</v>
      </c>
      <c r="D350" s="654">
        <v>37</v>
      </c>
      <c r="E350" s="439">
        <v>4.1500000000000004</v>
      </c>
      <c r="F350" s="678">
        <f t="shared" si="99"/>
        <v>4.0652699999999999</v>
      </c>
      <c r="G350" s="683">
        <v>1</v>
      </c>
      <c r="H350" s="682">
        <f t="shared" si="96"/>
        <v>444</v>
      </c>
      <c r="I350" s="442">
        <f t="shared" si="97"/>
        <v>49.800000000000004</v>
      </c>
      <c r="J350" s="442"/>
      <c r="K350" s="443">
        <v>0.112</v>
      </c>
      <c r="L350" s="627">
        <f t="shared" si="100"/>
        <v>0.112</v>
      </c>
      <c r="M350" s="627"/>
      <c r="N350" s="609">
        <v>37</v>
      </c>
      <c r="O350" s="610">
        <v>4.1475138280629702</v>
      </c>
      <c r="P350" s="617" t="str">
        <f t="shared" si="101"/>
        <v>---</v>
      </c>
      <c r="Q350" s="618">
        <f t="shared" si="102"/>
        <v>-2.4861719370301572E-3</v>
      </c>
      <c r="R350" s="485"/>
      <c r="S350" s="624" t="str">
        <f t="shared" si="103"/>
        <v>OK</v>
      </c>
      <c r="T350" s="613">
        <f>IF(+'2012 Rates'!O578&lt;'2012 Rates'!$B$11,'2012 Rates'!$B$11,+'2012 Rates'!O578)</f>
        <v>4.4499999999999993</v>
      </c>
      <c r="U350" s="447">
        <f t="shared" si="104"/>
        <v>9.4638240510470206E-2</v>
      </c>
      <c r="V350" s="485"/>
      <c r="W350" s="623">
        <f t="shared" si="98"/>
        <v>53.399999999999991</v>
      </c>
      <c r="X350" s="442"/>
      <c r="Y350" s="485"/>
      <c r="Z350" s="485"/>
      <c r="AA350" s="485"/>
      <c r="AB350" s="485"/>
      <c r="AC350" s="485"/>
      <c r="AD350" s="485"/>
      <c r="AE350" s="485"/>
      <c r="AF350" s="485"/>
      <c r="AG350" s="485"/>
      <c r="AH350" s="485"/>
      <c r="AI350" s="485"/>
      <c r="AJ350" s="485"/>
      <c r="AK350" s="485"/>
      <c r="AL350" s="485"/>
      <c r="AM350" s="485"/>
      <c r="AN350" s="485"/>
      <c r="AO350" s="485"/>
      <c r="AP350" s="485"/>
      <c r="AQ350" s="485"/>
      <c r="AR350" s="485"/>
      <c r="AS350" s="485"/>
      <c r="AT350" s="485"/>
      <c r="AU350" s="485"/>
      <c r="AV350" s="485"/>
      <c r="AW350" s="485"/>
      <c r="AX350" s="485"/>
      <c r="AY350" s="485"/>
      <c r="AZ350" s="485"/>
      <c r="BA350" s="485"/>
      <c r="BB350" s="485"/>
      <c r="BC350" s="485"/>
      <c r="BD350" s="485"/>
      <c r="BE350" s="485"/>
      <c r="BF350" s="485"/>
      <c r="BG350" s="485"/>
      <c r="BH350" s="485"/>
      <c r="BI350" s="485"/>
      <c r="BJ350" s="485"/>
      <c r="BK350" s="485"/>
      <c r="BL350" s="485"/>
      <c r="BM350" s="485"/>
      <c r="BN350" s="485"/>
      <c r="BO350" s="485"/>
      <c r="BP350" s="485"/>
      <c r="BQ350" s="485"/>
      <c r="BR350" s="485"/>
      <c r="BS350" s="485"/>
      <c r="BT350" s="485"/>
      <c r="BU350" s="485"/>
      <c r="BV350" s="485"/>
      <c r="BW350" s="485"/>
      <c r="BX350" s="485"/>
      <c r="BY350" s="485"/>
      <c r="BZ350" s="485"/>
      <c r="CA350" s="485"/>
      <c r="CB350" s="485"/>
      <c r="CC350" s="485"/>
      <c r="CD350" s="485"/>
      <c r="CE350" s="485"/>
      <c r="CF350" s="485"/>
      <c r="CG350" s="485"/>
      <c r="CH350" s="485"/>
      <c r="CI350" s="485"/>
      <c r="CJ350" s="485"/>
      <c r="CK350" s="485"/>
      <c r="CL350" s="485"/>
      <c r="CM350" s="485"/>
      <c r="CN350" s="485"/>
      <c r="CO350" s="485"/>
      <c r="CP350" s="485"/>
      <c r="CQ350" s="485"/>
      <c r="CR350" s="485"/>
      <c r="CS350" s="485"/>
      <c r="CT350" s="485"/>
      <c r="CU350" s="485"/>
      <c r="CV350" s="485"/>
      <c r="CW350" s="485"/>
      <c r="CX350" s="485"/>
      <c r="CY350" s="485"/>
      <c r="CZ350" s="485"/>
      <c r="DA350" s="485"/>
      <c r="DB350" s="485"/>
      <c r="DC350" s="485"/>
      <c r="DD350" s="485"/>
      <c r="DE350" s="485"/>
      <c r="DF350" s="485"/>
      <c r="DG350" s="485"/>
      <c r="DH350" s="485"/>
      <c r="DI350" s="485"/>
      <c r="DJ350" s="485"/>
      <c r="DK350" s="485"/>
      <c r="DL350" s="485"/>
      <c r="DM350" s="485"/>
      <c r="DN350" s="485"/>
      <c r="DO350" s="485"/>
      <c r="DP350" s="485"/>
      <c r="DQ350" s="485"/>
      <c r="DR350" s="485"/>
      <c r="DS350" s="485"/>
      <c r="DT350" s="485"/>
      <c r="DU350" s="485"/>
      <c r="DV350" s="485"/>
      <c r="DW350" s="485"/>
      <c r="DX350" s="485"/>
      <c r="DY350" s="485"/>
      <c r="DZ350" s="485"/>
      <c r="EA350" s="485"/>
      <c r="EB350" s="485"/>
      <c r="EC350" s="485"/>
      <c r="ED350" s="485"/>
      <c r="EE350" s="485"/>
      <c r="EF350" s="485"/>
      <c r="EG350" s="485"/>
      <c r="EH350" s="485"/>
      <c r="EI350" s="485"/>
      <c r="EJ350" s="485"/>
      <c r="EK350" s="485"/>
      <c r="EL350" s="485"/>
      <c r="EM350" s="485"/>
      <c r="EN350" s="485"/>
      <c r="EO350" s="485"/>
      <c r="EP350" s="485"/>
    </row>
    <row r="351" spans="1:146" ht="15.75">
      <c r="A351" s="468">
        <v>1082</v>
      </c>
      <c r="B351" s="643" t="s">
        <v>393</v>
      </c>
      <c r="C351" s="653">
        <v>1320</v>
      </c>
      <c r="D351" s="654">
        <v>504</v>
      </c>
      <c r="E351" s="439">
        <v>56.43</v>
      </c>
      <c r="F351" s="678">
        <f t="shared" si="99"/>
        <v>55.275840000000002</v>
      </c>
      <c r="G351" s="683">
        <v>1</v>
      </c>
      <c r="H351" s="682">
        <f t="shared" si="96"/>
        <v>6048</v>
      </c>
      <c r="I351" s="442">
        <f t="shared" si="97"/>
        <v>677.16</v>
      </c>
      <c r="J351" s="442"/>
      <c r="K351" s="443">
        <v>1.512</v>
      </c>
      <c r="L351" s="627">
        <f t="shared" si="100"/>
        <v>1.512</v>
      </c>
      <c r="M351" s="627"/>
      <c r="N351" s="609">
        <v>504</v>
      </c>
      <c r="O351" s="610">
        <v>56.434242414695596</v>
      </c>
      <c r="P351" s="617" t="str">
        <f t="shared" si="101"/>
        <v>---</v>
      </c>
      <c r="Q351" s="618">
        <f t="shared" si="102"/>
        <v>4.242414695596608E-3</v>
      </c>
      <c r="R351" s="485"/>
      <c r="S351" s="624" t="str">
        <f t="shared" si="103"/>
        <v>OK</v>
      </c>
      <c r="T351" s="613">
        <f>IF(+'2012 Rates'!O580&lt;'2012 Rates'!$B$11,'2012 Rates'!$B$11,+'2012 Rates'!O580)</f>
        <v>60.69</v>
      </c>
      <c r="U351" s="447">
        <f t="shared" si="104"/>
        <v>9.7948036610569833E-2</v>
      </c>
      <c r="V351" s="485"/>
      <c r="W351" s="623">
        <f t="shared" si="98"/>
        <v>728.28</v>
      </c>
      <c r="X351" s="442"/>
      <c r="Y351" s="485"/>
      <c r="Z351" s="485"/>
      <c r="AA351" s="485"/>
      <c r="AB351" s="485"/>
      <c r="AC351" s="485"/>
      <c r="AD351" s="485"/>
      <c r="AE351" s="485"/>
      <c r="AF351" s="485"/>
      <c r="AG351" s="485"/>
      <c r="AH351" s="485"/>
      <c r="AI351" s="485"/>
      <c r="AJ351" s="485"/>
      <c r="AK351" s="485"/>
      <c r="AL351" s="485"/>
      <c r="AM351" s="485"/>
      <c r="AN351" s="485"/>
      <c r="AO351" s="485"/>
      <c r="AP351" s="485"/>
      <c r="AQ351" s="485"/>
      <c r="AR351" s="485"/>
      <c r="AS351" s="485"/>
      <c r="AT351" s="485"/>
      <c r="AU351" s="485"/>
      <c r="AV351" s="485"/>
      <c r="AW351" s="485"/>
      <c r="AX351" s="485"/>
      <c r="AY351" s="485"/>
      <c r="AZ351" s="485"/>
      <c r="BA351" s="485"/>
      <c r="BB351" s="485"/>
      <c r="BC351" s="485"/>
      <c r="BD351" s="485"/>
      <c r="BE351" s="485"/>
      <c r="BF351" s="485"/>
      <c r="BG351" s="485"/>
      <c r="BH351" s="485"/>
      <c r="BI351" s="485"/>
      <c r="BJ351" s="485"/>
      <c r="BK351" s="485"/>
      <c r="BL351" s="485"/>
      <c r="BM351" s="485"/>
      <c r="BN351" s="485"/>
      <c r="BO351" s="485"/>
      <c r="BP351" s="485"/>
      <c r="BQ351" s="485"/>
      <c r="BR351" s="485"/>
      <c r="BS351" s="485"/>
      <c r="BT351" s="485"/>
      <c r="BU351" s="485"/>
      <c r="BV351" s="485"/>
      <c r="BW351" s="485"/>
      <c r="BX351" s="485"/>
      <c r="BY351" s="485"/>
      <c r="BZ351" s="485"/>
      <c r="CA351" s="485"/>
      <c r="CB351" s="485"/>
      <c r="CC351" s="485"/>
      <c r="CD351" s="485"/>
      <c r="CE351" s="485"/>
      <c r="CF351" s="485"/>
      <c r="CG351" s="485"/>
      <c r="CH351" s="485"/>
      <c r="CI351" s="485"/>
      <c r="CJ351" s="485"/>
      <c r="CK351" s="485"/>
      <c r="CL351" s="485"/>
      <c r="CM351" s="485"/>
      <c r="CN351" s="485"/>
      <c r="CO351" s="485"/>
      <c r="CP351" s="485"/>
      <c r="CQ351" s="485"/>
      <c r="CR351" s="485"/>
      <c r="CS351" s="485"/>
      <c r="CT351" s="485"/>
      <c r="CU351" s="485"/>
      <c r="CV351" s="485"/>
      <c r="CW351" s="485"/>
      <c r="CX351" s="485"/>
      <c r="CY351" s="485"/>
      <c r="CZ351" s="485"/>
      <c r="DA351" s="485"/>
      <c r="DB351" s="485"/>
      <c r="DC351" s="485"/>
      <c r="DD351" s="485"/>
      <c r="DE351" s="485"/>
      <c r="DF351" s="485"/>
      <c r="DG351" s="485"/>
      <c r="DH351" s="485"/>
      <c r="DI351" s="485"/>
      <c r="DJ351" s="485"/>
      <c r="DK351" s="485"/>
      <c r="DL351" s="485"/>
      <c r="DM351" s="485"/>
      <c r="DN351" s="485"/>
      <c r="DO351" s="485"/>
      <c r="DP351" s="485"/>
      <c r="DQ351" s="485"/>
      <c r="DR351" s="485"/>
      <c r="DS351" s="485"/>
      <c r="DT351" s="485"/>
      <c r="DU351" s="485"/>
      <c r="DV351" s="485"/>
      <c r="DW351" s="485"/>
      <c r="DX351" s="485"/>
      <c r="DY351" s="485"/>
      <c r="DZ351" s="485"/>
      <c r="EA351" s="485"/>
      <c r="EB351" s="485"/>
      <c r="EC351" s="485"/>
      <c r="ED351" s="485"/>
      <c r="EE351" s="485"/>
      <c r="EF351" s="485"/>
      <c r="EG351" s="485"/>
      <c r="EH351" s="485"/>
      <c r="EI351" s="485"/>
      <c r="EJ351" s="485"/>
      <c r="EK351" s="485"/>
      <c r="EL351" s="485"/>
      <c r="EM351" s="485"/>
      <c r="EN351" s="485"/>
      <c r="EO351" s="485"/>
      <c r="EP351" s="485"/>
    </row>
    <row r="352" spans="1:146" ht="15.75">
      <c r="A352" s="468">
        <v>1083</v>
      </c>
      <c r="B352" s="643" t="s">
        <v>393</v>
      </c>
      <c r="C352" s="653">
        <v>450</v>
      </c>
      <c r="D352" s="654">
        <v>165</v>
      </c>
      <c r="E352" s="439">
        <v>18.48</v>
      </c>
      <c r="F352" s="678">
        <f t="shared" si="99"/>
        <v>18.102150000000002</v>
      </c>
      <c r="G352" s="683">
        <v>1</v>
      </c>
      <c r="H352" s="682">
        <f t="shared" si="96"/>
        <v>1980</v>
      </c>
      <c r="I352" s="442">
        <f t="shared" si="97"/>
        <v>221.76</v>
      </c>
      <c r="J352" s="442"/>
      <c r="K352" s="443">
        <v>0.495</v>
      </c>
      <c r="L352" s="627">
        <f t="shared" si="100"/>
        <v>0.495</v>
      </c>
      <c r="M352" s="627"/>
      <c r="N352" s="609">
        <v>165</v>
      </c>
      <c r="O352" s="610">
        <v>18.476210314334864</v>
      </c>
      <c r="P352" s="617" t="str">
        <f t="shared" si="101"/>
        <v>---</v>
      </c>
      <c r="Q352" s="618">
        <f t="shared" si="102"/>
        <v>-3.7896856651364885E-3</v>
      </c>
      <c r="R352" s="485"/>
      <c r="S352" s="624" t="str">
        <f t="shared" si="103"/>
        <v>OK</v>
      </c>
      <c r="T352" s="613">
        <f>IF(+'2012 Rates'!O581&lt;'2012 Rates'!$B$11,'2012 Rates'!$B$11,+'2012 Rates'!O581)</f>
        <v>19.87</v>
      </c>
      <c r="U352" s="447">
        <f t="shared" si="104"/>
        <v>9.7659670260162423E-2</v>
      </c>
      <c r="V352" s="485"/>
      <c r="W352" s="623">
        <f t="shared" ref="W352:W382" si="105">+G352*T352*12</f>
        <v>238.44</v>
      </c>
      <c r="X352" s="442"/>
      <c r="Y352" s="485"/>
      <c r="Z352" s="485"/>
      <c r="AA352" s="485"/>
      <c r="AB352" s="485"/>
      <c r="AC352" s="485"/>
      <c r="AD352" s="485"/>
      <c r="AE352" s="485"/>
      <c r="AF352" s="485"/>
      <c r="AG352" s="485"/>
      <c r="AH352" s="485"/>
      <c r="AI352" s="485"/>
      <c r="AJ352" s="485"/>
      <c r="AK352" s="485"/>
      <c r="AL352" s="485"/>
      <c r="AM352" s="485"/>
      <c r="AN352" s="485"/>
      <c r="AO352" s="485"/>
      <c r="AP352" s="485"/>
      <c r="AQ352" s="485"/>
      <c r="AR352" s="485"/>
      <c r="AS352" s="485"/>
      <c r="AT352" s="485"/>
      <c r="AU352" s="485"/>
      <c r="AV352" s="485"/>
      <c r="AW352" s="485"/>
      <c r="AX352" s="485"/>
      <c r="AY352" s="485"/>
      <c r="AZ352" s="485"/>
      <c r="BA352" s="485"/>
      <c r="BB352" s="485"/>
      <c r="BC352" s="485"/>
      <c r="BD352" s="485"/>
      <c r="BE352" s="485"/>
      <c r="BF352" s="485"/>
      <c r="BG352" s="485"/>
      <c r="BH352" s="485"/>
      <c r="BI352" s="485"/>
      <c r="BJ352" s="485"/>
      <c r="BK352" s="485"/>
      <c r="BL352" s="485"/>
      <c r="BM352" s="485"/>
      <c r="BN352" s="485"/>
      <c r="BO352" s="485"/>
      <c r="BP352" s="485"/>
      <c r="BQ352" s="485"/>
      <c r="BR352" s="485"/>
      <c r="BS352" s="485"/>
      <c r="BT352" s="485"/>
      <c r="BU352" s="485"/>
      <c r="BV352" s="485"/>
      <c r="BW352" s="485"/>
      <c r="BX352" s="485"/>
      <c r="BY352" s="485"/>
      <c r="BZ352" s="485"/>
      <c r="CA352" s="485"/>
      <c r="CB352" s="485"/>
      <c r="CC352" s="485"/>
      <c r="CD352" s="485"/>
      <c r="CE352" s="485"/>
      <c r="CF352" s="485"/>
      <c r="CG352" s="485"/>
      <c r="CH352" s="485"/>
      <c r="CI352" s="485"/>
      <c r="CJ352" s="485"/>
      <c r="CK352" s="485"/>
      <c r="CL352" s="485"/>
      <c r="CM352" s="485"/>
      <c r="CN352" s="485"/>
      <c r="CO352" s="485"/>
      <c r="CP352" s="485"/>
      <c r="CQ352" s="485"/>
      <c r="CR352" s="485"/>
      <c r="CS352" s="485"/>
      <c r="CT352" s="485"/>
      <c r="CU352" s="485"/>
      <c r="CV352" s="485"/>
      <c r="CW352" s="485"/>
      <c r="CX352" s="485"/>
      <c r="CY352" s="485"/>
      <c r="CZ352" s="485"/>
      <c r="DA352" s="485"/>
      <c r="DB352" s="485"/>
      <c r="DC352" s="485"/>
      <c r="DD352" s="485"/>
      <c r="DE352" s="485"/>
      <c r="DF352" s="485"/>
      <c r="DG352" s="485"/>
      <c r="DH352" s="485"/>
      <c r="DI352" s="485"/>
      <c r="DJ352" s="485"/>
      <c r="DK352" s="485"/>
      <c r="DL352" s="485"/>
      <c r="DM352" s="485"/>
      <c r="DN352" s="485"/>
      <c r="DO352" s="485"/>
      <c r="DP352" s="485"/>
      <c r="DQ352" s="485"/>
      <c r="DR352" s="485"/>
      <c r="DS352" s="485"/>
      <c r="DT352" s="485"/>
      <c r="DU352" s="485"/>
      <c r="DV352" s="485"/>
      <c r="DW352" s="485"/>
      <c r="DX352" s="485"/>
      <c r="DY352" s="485"/>
      <c r="DZ352" s="485"/>
      <c r="EA352" s="485"/>
      <c r="EB352" s="485"/>
      <c r="EC352" s="485"/>
      <c r="ED352" s="485"/>
      <c r="EE352" s="485"/>
      <c r="EF352" s="485"/>
      <c r="EG352" s="485"/>
      <c r="EH352" s="485"/>
      <c r="EI352" s="485"/>
      <c r="EJ352" s="485"/>
      <c r="EK352" s="485"/>
      <c r="EL352" s="485"/>
      <c r="EM352" s="485"/>
      <c r="EN352" s="485"/>
      <c r="EO352" s="485"/>
      <c r="EP352" s="485"/>
    </row>
    <row r="353" spans="1:146" ht="15.75">
      <c r="A353" s="468">
        <v>1084</v>
      </c>
      <c r="B353" s="643" t="s">
        <v>393</v>
      </c>
      <c r="C353" s="653">
        <v>162</v>
      </c>
      <c r="D353" s="654">
        <v>59</v>
      </c>
      <c r="E353" s="439">
        <v>6.64</v>
      </c>
      <c r="F353" s="678">
        <f t="shared" si="99"/>
        <v>6.5048899999999996</v>
      </c>
      <c r="G353" s="683">
        <v>1</v>
      </c>
      <c r="H353" s="682">
        <f t="shared" si="96"/>
        <v>708</v>
      </c>
      <c r="I353" s="442">
        <f t="shared" si="97"/>
        <v>79.679999999999993</v>
      </c>
      <c r="J353" s="442"/>
      <c r="K353" s="443">
        <v>0.17799999999999999</v>
      </c>
      <c r="L353" s="627">
        <f t="shared" si="100"/>
        <v>0.17799999999999999</v>
      </c>
      <c r="M353" s="627"/>
      <c r="N353" s="609">
        <v>59</v>
      </c>
      <c r="O353" s="610">
        <v>6.6390085366409526</v>
      </c>
      <c r="P353" s="617" t="str">
        <f t="shared" si="101"/>
        <v>---</v>
      </c>
      <c r="Q353" s="618">
        <f t="shared" si="102"/>
        <v>-9.9146335904709559E-4</v>
      </c>
      <c r="R353" s="485"/>
      <c r="S353" s="624" t="str">
        <f t="shared" si="103"/>
        <v>OK</v>
      </c>
      <c r="T353" s="613">
        <f>IF(+'2012 Rates'!O582&lt;'2012 Rates'!$B$11,'2012 Rates'!$B$11,+'2012 Rates'!O582)</f>
        <v>7.13</v>
      </c>
      <c r="U353" s="447">
        <f t="shared" si="104"/>
        <v>9.6098473609853574E-2</v>
      </c>
      <c r="V353" s="485"/>
      <c r="W353" s="623">
        <f t="shared" si="105"/>
        <v>85.56</v>
      </c>
      <c r="X353" s="442"/>
      <c r="Y353" s="485"/>
      <c r="Z353" s="485"/>
      <c r="AA353" s="485"/>
      <c r="AB353" s="485"/>
      <c r="AC353" s="485"/>
      <c r="AD353" s="485"/>
      <c r="AE353" s="485"/>
      <c r="AF353" s="485"/>
      <c r="AG353" s="485"/>
      <c r="AH353" s="485"/>
      <c r="AI353" s="485"/>
      <c r="AJ353" s="485"/>
      <c r="AK353" s="485"/>
      <c r="AL353" s="485"/>
      <c r="AM353" s="485"/>
      <c r="AN353" s="485"/>
      <c r="AO353" s="485"/>
      <c r="AP353" s="485"/>
      <c r="AQ353" s="485"/>
      <c r="AR353" s="485"/>
      <c r="AS353" s="485"/>
      <c r="AT353" s="485"/>
      <c r="AU353" s="485"/>
      <c r="AV353" s="485"/>
      <c r="AW353" s="485"/>
      <c r="AX353" s="485"/>
      <c r="AY353" s="485"/>
      <c r="AZ353" s="485"/>
      <c r="BA353" s="485"/>
      <c r="BB353" s="485"/>
      <c r="BC353" s="485"/>
      <c r="BD353" s="485"/>
      <c r="BE353" s="485"/>
      <c r="BF353" s="485"/>
      <c r="BG353" s="485"/>
      <c r="BH353" s="485"/>
      <c r="BI353" s="485"/>
      <c r="BJ353" s="485"/>
      <c r="BK353" s="485"/>
      <c r="BL353" s="485"/>
      <c r="BM353" s="485"/>
      <c r="BN353" s="485"/>
      <c r="BO353" s="485"/>
      <c r="BP353" s="485"/>
      <c r="BQ353" s="485"/>
      <c r="BR353" s="485"/>
      <c r="BS353" s="485"/>
      <c r="BT353" s="485"/>
      <c r="BU353" s="485"/>
      <c r="BV353" s="485"/>
      <c r="BW353" s="485"/>
      <c r="BX353" s="485"/>
      <c r="BY353" s="485"/>
      <c r="BZ353" s="485"/>
      <c r="CA353" s="485"/>
      <c r="CB353" s="485"/>
      <c r="CC353" s="485"/>
      <c r="CD353" s="485"/>
      <c r="CE353" s="485"/>
      <c r="CF353" s="485"/>
      <c r="CG353" s="485"/>
      <c r="CH353" s="485"/>
      <c r="CI353" s="485"/>
      <c r="CJ353" s="485"/>
      <c r="CK353" s="485"/>
      <c r="CL353" s="485"/>
      <c r="CM353" s="485"/>
      <c r="CN353" s="485"/>
      <c r="CO353" s="485"/>
      <c r="CP353" s="485"/>
      <c r="CQ353" s="485"/>
      <c r="CR353" s="485"/>
      <c r="CS353" s="485"/>
      <c r="CT353" s="485"/>
      <c r="CU353" s="485"/>
      <c r="CV353" s="485"/>
      <c r="CW353" s="485"/>
      <c r="CX353" s="485"/>
      <c r="CY353" s="485"/>
      <c r="CZ353" s="485"/>
      <c r="DA353" s="485"/>
      <c r="DB353" s="485"/>
      <c r="DC353" s="485"/>
      <c r="DD353" s="485"/>
      <c r="DE353" s="485"/>
      <c r="DF353" s="485"/>
      <c r="DG353" s="485"/>
      <c r="DH353" s="485"/>
      <c r="DI353" s="485"/>
      <c r="DJ353" s="485"/>
      <c r="DK353" s="485"/>
      <c r="DL353" s="485"/>
      <c r="DM353" s="485"/>
      <c r="DN353" s="485"/>
      <c r="DO353" s="485"/>
      <c r="DP353" s="485"/>
      <c r="DQ353" s="485"/>
      <c r="DR353" s="485"/>
      <c r="DS353" s="485"/>
      <c r="DT353" s="485"/>
      <c r="DU353" s="485"/>
      <c r="DV353" s="485"/>
      <c r="DW353" s="485"/>
      <c r="DX353" s="485"/>
      <c r="DY353" s="485"/>
      <c r="DZ353" s="485"/>
      <c r="EA353" s="485"/>
      <c r="EB353" s="485"/>
      <c r="EC353" s="485"/>
      <c r="ED353" s="485"/>
      <c r="EE353" s="485"/>
      <c r="EF353" s="485"/>
      <c r="EG353" s="485"/>
      <c r="EH353" s="485"/>
      <c r="EI353" s="485"/>
      <c r="EJ353" s="485"/>
      <c r="EK353" s="485"/>
      <c r="EL353" s="485"/>
      <c r="EM353" s="485"/>
      <c r="EN353" s="485"/>
      <c r="EO353" s="485"/>
      <c r="EP353" s="485"/>
    </row>
    <row r="354" spans="1:146" ht="15.75">
      <c r="A354" s="468">
        <v>1085</v>
      </c>
      <c r="B354" s="643" t="s">
        <v>393</v>
      </c>
      <c r="C354" s="653">
        <v>425</v>
      </c>
      <c r="D354" s="654">
        <v>156</v>
      </c>
      <c r="E354" s="439">
        <v>17.489999999999998</v>
      </c>
      <c r="F354" s="678">
        <f t="shared" si="99"/>
        <v>17.132759999999998</v>
      </c>
      <c r="G354" s="683"/>
      <c r="H354" s="682">
        <f t="shared" si="96"/>
        <v>0</v>
      </c>
      <c r="I354" s="442">
        <f t="shared" si="97"/>
        <v>0</v>
      </c>
      <c r="J354" s="442"/>
      <c r="K354" s="443">
        <v>0.46800000000000003</v>
      </c>
      <c r="L354" s="627">
        <f t="shared" si="100"/>
        <v>0</v>
      </c>
      <c r="M354" s="627"/>
      <c r="N354" s="609">
        <v>156</v>
      </c>
      <c r="O354" s="610">
        <v>17.490598842643873</v>
      </c>
      <c r="P354" s="617" t="str">
        <f t="shared" si="101"/>
        <v>---</v>
      </c>
      <c r="Q354" s="618">
        <f t="shared" si="102"/>
        <v>5.9884264387477515E-4</v>
      </c>
      <c r="R354" s="485"/>
      <c r="S354" s="624" t="str">
        <f t="shared" si="103"/>
        <v>OK</v>
      </c>
      <c r="T354" s="613">
        <f>IF(+'2012 Rates'!O583&lt;'2012 Rates'!$B$11,'2012 Rates'!$B$11,+'2012 Rates'!O583)</f>
        <v>18.810000000000002</v>
      </c>
      <c r="U354" s="447">
        <f t="shared" si="104"/>
        <v>9.7896661133407781E-2</v>
      </c>
      <c r="V354" s="485"/>
      <c r="W354" s="623">
        <f t="shared" si="105"/>
        <v>0</v>
      </c>
      <c r="X354" s="442"/>
      <c r="Y354" s="485"/>
      <c r="Z354" s="485"/>
      <c r="AA354" s="485"/>
      <c r="AB354" s="485"/>
      <c r="AC354" s="485"/>
      <c r="AD354" s="485"/>
      <c r="AE354" s="485"/>
      <c r="AF354" s="485"/>
      <c r="AG354" s="485"/>
      <c r="AH354" s="485"/>
      <c r="AI354" s="485"/>
      <c r="AJ354" s="485"/>
      <c r="AK354" s="485"/>
      <c r="AL354" s="485"/>
      <c r="AM354" s="485"/>
      <c r="AN354" s="485"/>
      <c r="AO354" s="485"/>
      <c r="AP354" s="485"/>
      <c r="AQ354" s="485"/>
      <c r="AR354" s="485"/>
      <c r="AS354" s="485"/>
      <c r="AT354" s="485"/>
      <c r="AU354" s="485"/>
      <c r="AV354" s="485"/>
      <c r="AW354" s="485"/>
      <c r="AX354" s="485"/>
      <c r="AY354" s="485"/>
      <c r="AZ354" s="485"/>
      <c r="BA354" s="485"/>
      <c r="BB354" s="485"/>
      <c r="BC354" s="485"/>
      <c r="BD354" s="485"/>
      <c r="BE354" s="485"/>
      <c r="BF354" s="485"/>
      <c r="BG354" s="485"/>
      <c r="BH354" s="485"/>
      <c r="BI354" s="485"/>
      <c r="BJ354" s="485"/>
      <c r="BK354" s="485"/>
      <c r="BL354" s="485"/>
      <c r="BM354" s="485"/>
      <c r="BN354" s="485"/>
      <c r="BO354" s="485"/>
      <c r="BP354" s="485"/>
      <c r="BQ354" s="485"/>
      <c r="BR354" s="485"/>
      <c r="BS354" s="485"/>
      <c r="BT354" s="485"/>
      <c r="BU354" s="485"/>
      <c r="BV354" s="485"/>
      <c r="BW354" s="485"/>
      <c r="BX354" s="485"/>
      <c r="BY354" s="485"/>
      <c r="BZ354" s="485"/>
      <c r="CA354" s="485"/>
      <c r="CB354" s="485"/>
      <c r="CC354" s="485"/>
      <c r="CD354" s="485"/>
      <c r="CE354" s="485"/>
      <c r="CF354" s="485"/>
      <c r="CG354" s="485"/>
      <c r="CH354" s="485"/>
      <c r="CI354" s="485"/>
      <c r="CJ354" s="485"/>
      <c r="CK354" s="485"/>
      <c r="CL354" s="485"/>
      <c r="CM354" s="485"/>
      <c r="CN354" s="485"/>
      <c r="CO354" s="485"/>
      <c r="CP354" s="485"/>
      <c r="CQ354" s="485"/>
      <c r="CR354" s="485"/>
      <c r="CS354" s="485"/>
      <c r="CT354" s="485"/>
      <c r="CU354" s="485"/>
      <c r="CV354" s="485"/>
      <c r="CW354" s="485"/>
      <c r="CX354" s="485"/>
      <c r="CY354" s="485"/>
      <c r="CZ354" s="485"/>
      <c r="DA354" s="485"/>
      <c r="DB354" s="485"/>
      <c r="DC354" s="485"/>
      <c r="DD354" s="485"/>
      <c r="DE354" s="485"/>
      <c r="DF354" s="485"/>
      <c r="DG354" s="485"/>
      <c r="DH354" s="485"/>
      <c r="DI354" s="485"/>
      <c r="DJ354" s="485"/>
      <c r="DK354" s="485"/>
      <c r="DL354" s="485"/>
      <c r="DM354" s="485"/>
      <c r="DN354" s="485"/>
      <c r="DO354" s="485"/>
      <c r="DP354" s="485"/>
      <c r="DQ354" s="485"/>
      <c r="DR354" s="485"/>
      <c r="DS354" s="485"/>
      <c r="DT354" s="485"/>
      <c r="DU354" s="485"/>
      <c r="DV354" s="485"/>
      <c r="DW354" s="485"/>
      <c r="DX354" s="485"/>
      <c r="DY354" s="485"/>
      <c r="DZ354" s="485"/>
      <c r="EA354" s="485"/>
      <c r="EB354" s="485"/>
      <c r="EC354" s="485"/>
      <c r="ED354" s="485"/>
      <c r="EE354" s="485"/>
      <c r="EF354" s="485"/>
      <c r="EG354" s="485"/>
      <c r="EH354" s="485"/>
      <c r="EI354" s="485"/>
      <c r="EJ354" s="485"/>
      <c r="EK354" s="485"/>
      <c r="EL354" s="485"/>
      <c r="EM354" s="485"/>
      <c r="EN354" s="485"/>
      <c r="EO354" s="485"/>
      <c r="EP354" s="485"/>
    </row>
    <row r="355" spans="1:146" ht="15.75">
      <c r="A355" s="468">
        <v>1086</v>
      </c>
      <c r="B355" s="643" t="s">
        <v>393</v>
      </c>
      <c r="C355" s="653">
        <v>720</v>
      </c>
      <c r="D355" s="654">
        <v>264</v>
      </c>
      <c r="E355" s="439">
        <v>29.56</v>
      </c>
      <c r="F355" s="678">
        <f t="shared" si="99"/>
        <v>28.955439999999999</v>
      </c>
      <c r="G355" s="683">
        <v>1</v>
      </c>
      <c r="H355" s="682">
        <f t="shared" si="96"/>
        <v>3168</v>
      </c>
      <c r="I355" s="442">
        <f t="shared" si="97"/>
        <v>354.71999999999997</v>
      </c>
      <c r="J355" s="442"/>
      <c r="K355" s="443">
        <v>0.79200000000000004</v>
      </c>
      <c r="L355" s="627">
        <f t="shared" si="100"/>
        <v>0.79200000000000004</v>
      </c>
      <c r="M355" s="627"/>
      <c r="N355" s="609">
        <v>264</v>
      </c>
      <c r="O355" s="610">
        <v>29.557936502935789</v>
      </c>
      <c r="P355" s="617" t="str">
        <f t="shared" si="101"/>
        <v>---</v>
      </c>
      <c r="Q355" s="618">
        <f t="shared" si="102"/>
        <v>-2.0634970642099404E-3</v>
      </c>
      <c r="R355" s="485"/>
      <c r="S355" s="624" t="str">
        <f t="shared" si="103"/>
        <v>OK</v>
      </c>
      <c r="T355" s="613">
        <f>IF(+'2012 Rates'!O584&lt;'2012 Rates'!$B$11,'2012 Rates'!$B$11,+'2012 Rates'!O584)</f>
        <v>31.790000000000003</v>
      </c>
      <c r="U355" s="447">
        <f t="shared" si="104"/>
        <v>9.7893867266392931E-2</v>
      </c>
      <c r="V355" s="485"/>
      <c r="W355" s="623">
        <f t="shared" si="105"/>
        <v>381.48</v>
      </c>
      <c r="X355" s="442"/>
      <c r="Y355" s="485"/>
      <c r="Z355" s="485"/>
      <c r="AA355" s="485"/>
      <c r="AB355" s="485"/>
      <c r="AC355" s="485"/>
      <c r="AD355" s="485"/>
      <c r="AE355" s="485"/>
      <c r="AF355" s="485"/>
      <c r="AG355" s="485"/>
      <c r="AH355" s="485"/>
      <c r="AI355" s="485"/>
      <c r="AJ355" s="485"/>
      <c r="AK355" s="485"/>
      <c r="AL355" s="485"/>
      <c r="AM355" s="485"/>
      <c r="AN355" s="485"/>
      <c r="AO355" s="485"/>
      <c r="AP355" s="485"/>
      <c r="AQ355" s="485"/>
      <c r="AR355" s="485"/>
      <c r="AS355" s="485"/>
      <c r="AT355" s="485"/>
      <c r="AU355" s="485"/>
      <c r="AV355" s="485"/>
      <c r="AW355" s="485"/>
      <c r="AX355" s="485"/>
      <c r="AY355" s="485"/>
      <c r="AZ355" s="485"/>
      <c r="BA355" s="485"/>
      <c r="BB355" s="485"/>
      <c r="BC355" s="485"/>
      <c r="BD355" s="485"/>
      <c r="BE355" s="485"/>
      <c r="BF355" s="485"/>
      <c r="BG355" s="485"/>
      <c r="BH355" s="485"/>
      <c r="BI355" s="485"/>
      <c r="BJ355" s="485"/>
      <c r="BK355" s="485"/>
      <c r="BL355" s="485"/>
      <c r="BM355" s="485"/>
      <c r="BN355" s="485"/>
      <c r="BO355" s="485"/>
      <c r="BP355" s="485"/>
      <c r="BQ355" s="485"/>
      <c r="BR355" s="485"/>
      <c r="BS355" s="485"/>
      <c r="BT355" s="485"/>
      <c r="BU355" s="485"/>
      <c r="BV355" s="485"/>
      <c r="BW355" s="485"/>
      <c r="BX355" s="485"/>
      <c r="BY355" s="485"/>
      <c r="BZ355" s="485"/>
      <c r="CA355" s="485"/>
      <c r="CB355" s="485"/>
      <c r="CC355" s="485"/>
      <c r="CD355" s="485"/>
      <c r="CE355" s="485"/>
      <c r="CF355" s="485"/>
      <c r="CG355" s="485"/>
      <c r="CH355" s="485"/>
      <c r="CI355" s="485"/>
      <c r="CJ355" s="485"/>
      <c r="CK355" s="485"/>
      <c r="CL355" s="485"/>
      <c r="CM355" s="485"/>
      <c r="CN355" s="485"/>
      <c r="CO355" s="485"/>
      <c r="CP355" s="485"/>
      <c r="CQ355" s="485"/>
      <c r="CR355" s="485"/>
      <c r="CS355" s="485"/>
      <c r="CT355" s="485"/>
      <c r="CU355" s="485"/>
      <c r="CV355" s="485"/>
      <c r="CW355" s="485"/>
      <c r="CX355" s="485"/>
      <c r="CY355" s="485"/>
      <c r="CZ355" s="485"/>
      <c r="DA355" s="485"/>
      <c r="DB355" s="485"/>
      <c r="DC355" s="485"/>
      <c r="DD355" s="485"/>
      <c r="DE355" s="485"/>
      <c r="DF355" s="485"/>
      <c r="DG355" s="485"/>
      <c r="DH355" s="485"/>
      <c r="DI355" s="485"/>
      <c r="DJ355" s="485"/>
      <c r="DK355" s="485"/>
      <c r="DL355" s="485"/>
      <c r="DM355" s="485"/>
      <c r="DN355" s="485"/>
      <c r="DO355" s="485"/>
      <c r="DP355" s="485"/>
      <c r="DQ355" s="485"/>
      <c r="DR355" s="485"/>
      <c r="DS355" s="485"/>
      <c r="DT355" s="485"/>
      <c r="DU355" s="485"/>
      <c r="DV355" s="485"/>
      <c r="DW355" s="485"/>
      <c r="DX355" s="485"/>
      <c r="DY355" s="485"/>
      <c r="DZ355" s="485"/>
      <c r="EA355" s="485"/>
      <c r="EB355" s="485"/>
      <c r="EC355" s="485"/>
      <c r="ED355" s="485"/>
      <c r="EE355" s="485"/>
      <c r="EF355" s="485"/>
      <c r="EG355" s="485"/>
      <c r="EH355" s="485"/>
      <c r="EI355" s="485"/>
      <c r="EJ355" s="485"/>
      <c r="EK355" s="485"/>
      <c r="EL355" s="485"/>
      <c r="EM355" s="485"/>
      <c r="EN355" s="485"/>
      <c r="EO355" s="485"/>
      <c r="EP355" s="485"/>
    </row>
    <row r="356" spans="1:146" ht="15.75">
      <c r="A356" s="468">
        <v>1087</v>
      </c>
      <c r="B356" s="643" t="s">
        <v>393</v>
      </c>
      <c r="C356" s="653">
        <v>1200</v>
      </c>
      <c r="D356" s="654">
        <v>480</v>
      </c>
      <c r="E356" s="439">
        <v>53.76</v>
      </c>
      <c r="F356" s="678">
        <f t="shared" si="99"/>
        <v>52.660799999999995</v>
      </c>
      <c r="G356" s="683">
        <v>1</v>
      </c>
      <c r="H356" s="682">
        <f t="shared" si="96"/>
        <v>5760</v>
      </c>
      <c r="I356" s="442">
        <f t="shared" si="97"/>
        <v>645.12</v>
      </c>
      <c r="J356" s="442"/>
      <c r="K356" s="443">
        <v>0.79200000000000004</v>
      </c>
      <c r="L356" s="627">
        <f>G356*K356</f>
        <v>0.79200000000000004</v>
      </c>
      <c r="M356" s="627"/>
      <c r="N356" s="609">
        <v>480</v>
      </c>
      <c r="O356" s="610">
        <v>53.76</v>
      </c>
      <c r="P356" s="617" t="str">
        <f t="shared" si="101"/>
        <v>---</v>
      </c>
      <c r="Q356" s="618" t="str">
        <f t="shared" si="102"/>
        <v>---</v>
      </c>
      <c r="R356" s="485"/>
      <c r="S356" s="624" t="str">
        <f t="shared" si="103"/>
        <v>OK</v>
      </c>
      <c r="T356" s="613">
        <f>IF(+'2012 Rates'!O585&lt;'2012 Rates'!$B$11,'2012 Rates'!$B$11,+'2012 Rates'!O585)</f>
        <v>57.82</v>
      </c>
      <c r="U356" s="447">
        <f>+T356/F356-1</f>
        <v>9.7970406830127921E-2</v>
      </c>
      <c r="V356" s="485"/>
      <c r="W356" s="623">
        <f>+G356*T356*12</f>
        <v>693.84</v>
      </c>
      <c r="X356" s="442"/>
      <c r="Y356" s="485"/>
      <c r="Z356" s="485"/>
      <c r="AA356" s="485"/>
      <c r="AB356" s="485"/>
      <c r="AC356" s="485"/>
      <c r="AD356" s="485"/>
      <c r="AE356" s="485"/>
      <c r="AF356" s="485"/>
      <c r="AG356" s="485"/>
      <c r="AH356" s="485"/>
      <c r="AI356" s="485"/>
      <c r="AJ356" s="485"/>
      <c r="AK356" s="485"/>
      <c r="AL356" s="485"/>
      <c r="AM356" s="485"/>
      <c r="AN356" s="485"/>
      <c r="AO356" s="485"/>
      <c r="AP356" s="485"/>
      <c r="AQ356" s="485"/>
      <c r="AR356" s="485"/>
      <c r="AS356" s="485"/>
      <c r="AT356" s="485"/>
      <c r="AU356" s="485"/>
      <c r="AV356" s="485"/>
      <c r="AW356" s="485"/>
      <c r="AX356" s="485"/>
      <c r="AY356" s="485"/>
      <c r="AZ356" s="485"/>
      <c r="BA356" s="485"/>
      <c r="BB356" s="485"/>
      <c r="BC356" s="485"/>
      <c r="BD356" s="485"/>
      <c r="BE356" s="485"/>
      <c r="BF356" s="485"/>
      <c r="BG356" s="485"/>
      <c r="BH356" s="485"/>
      <c r="BI356" s="485"/>
      <c r="BJ356" s="485"/>
      <c r="BK356" s="485"/>
      <c r="BL356" s="485"/>
      <c r="BM356" s="485"/>
      <c r="BN356" s="485"/>
      <c r="BO356" s="485"/>
      <c r="BP356" s="485"/>
      <c r="BQ356" s="485"/>
      <c r="BR356" s="485"/>
      <c r="BS356" s="485"/>
      <c r="BT356" s="485"/>
      <c r="BU356" s="485"/>
      <c r="BV356" s="485"/>
      <c r="BW356" s="485"/>
      <c r="BX356" s="485"/>
      <c r="BY356" s="485"/>
      <c r="BZ356" s="485"/>
      <c r="CA356" s="485"/>
      <c r="CB356" s="485"/>
      <c r="CC356" s="485"/>
      <c r="CD356" s="485"/>
      <c r="CE356" s="485"/>
      <c r="CF356" s="485"/>
      <c r="CG356" s="485"/>
      <c r="CH356" s="485"/>
      <c r="CI356" s="485"/>
      <c r="CJ356" s="485"/>
      <c r="CK356" s="485"/>
      <c r="CL356" s="485"/>
      <c r="CM356" s="485"/>
      <c r="CN356" s="485"/>
      <c r="CO356" s="485"/>
      <c r="CP356" s="485"/>
      <c r="CQ356" s="485"/>
      <c r="CR356" s="485"/>
      <c r="CS356" s="485"/>
      <c r="CT356" s="485"/>
      <c r="CU356" s="485"/>
      <c r="CV356" s="485"/>
      <c r="CW356" s="485"/>
      <c r="CX356" s="485"/>
      <c r="CY356" s="485"/>
      <c r="CZ356" s="485"/>
      <c r="DA356" s="485"/>
      <c r="DB356" s="485"/>
      <c r="DC356" s="485"/>
      <c r="DD356" s="485"/>
      <c r="DE356" s="485"/>
      <c r="DF356" s="485"/>
      <c r="DG356" s="485"/>
      <c r="DH356" s="485"/>
      <c r="DI356" s="485"/>
      <c r="DJ356" s="485"/>
      <c r="DK356" s="485"/>
      <c r="DL356" s="485"/>
      <c r="DM356" s="485"/>
      <c r="DN356" s="485"/>
      <c r="DO356" s="485"/>
      <c r="DP356" s="485"/>
      <c r="DQ356" s="485"/>
      <c r="DR356" s="485"/>
      <c r="DS356" s="485"/>
      <c r="DT356" s="485"/>
      <c r="DU356" s="485"/>
      <c r="DV356" s="485"/>
      <c r="DW356" s="485"/>
      <c r="DX356" s="485"/>
      <c r="DY356" s="485"/>
      <c r="DZ356" s="485"/>
      <c r="EA356" s="485"/>
      <c r="EB356" s="485"/>
      <c r="EC356" s="485"/>
      <c r="ED356" s="485"/>
      <c r="EE356" s="485"/>
      <c r="EF356" s="485"/>
      <c r="EG356" s="485"/>
      <c r="EH356" s="485"/>
      <c r="EI356" s="485"/>
      <c r="EJ356" s="485"/>
      <c r="EK356" s="485"/>
      <c r="EL356" s="485"/>
      <c r="EM356" s="485"/>
      <c r="EN356" s="485"/>
      <c r="EO356" s="485"/>
      <c r="EP356" s="485"/>
    </row>
    <row r="357" spans="1:146" ht="15.75">
      <c r="A357" s="468">
        <v>1088</v>
      </c>
      <c r="B357" s="643" t="s">
        <v>393</v>
      </c>
      <c r="C357" s="653">
        <v>1800</v>
      </c>
      <c r="D357" s="654">
        <v>684</v>
      </c>
      <c r="E357" s="439">
        <v>76.599999999999994</v>
      </c>
      <c r="F357" s="678">
        <f t="shared" si="99"/>
        <v>75.033639999999991</v>
      </c>
      <c r="G357" s="683">
        <v>4</v>
      </c>
      <c r="H357" s="682">
        <f t="shared" si="96"/>
        <v>32832</v>
      </c>
      <c r="I357" s="442">
        <f t="shared" si="97"/>
        <v>3676.7999999999997</v>
      </c>
      <c r="J357" s="442"/>
      <c r="K357" s="443">
        <v>2.052</v>
      </c>
      <c r="L357" s="627">
        <f t="shared" si="100"/>
        <v>8.2080000000000002</v>
      </c>
      <c r="M357" s="627"/>
      <c r="N357" s="609">
        <v>684</v>
      </c>
      <c r="O357" s="610">
        <v>76.596471848515449</v>
      </c>
      <c r="P357" s="617" t="str">
        <f t="shared" si="101"/>
        <v>---</v>
      </c>
      <c r="Q357" s="618">
        <f t="shared" si="102"/>
        <v>-3.5281514845451056E-3</v>
      </c>
      <c r="R357" s="485"/>
      <c r="S357" s="624" t="str">
        <f t="shared" si="103"/>
        <v>OK</v>
      </c>
      <c r="T357" s="613">
        <f>IF(+'2012 Rates'!O586&lt;'2012 Rates'!$B$11,'2012 Rates'!$B$11,+'2012 Rates'!O586)</f>
        <v>82.38</v>
      </c>
      <c r="U357" s="447">
        <f t="shared" si="104"/>
        <v>9.7907551866069698E-2</v>
      </c>
      <c r="V357" s="485"/>
      <c r="W357" s="623">
        <f t="shared" si="105"/>
        <v>3954.24</v>
      </c>
      <c r="X357" s="442"/>
      <c r="Y357" s="485"/>
      <c r="Z357" s="485"/>
      <c r="AA357" s="485"/>
      <c r="AB357" s="485"/>
      <c r="AC357" s="485"/>
      <c r="AD357" s="485"/>
      <c r="AE357" s="485"/>
      <c r="AF357" s="485"/>
      <c r="AG357" s="485"/>
      <c r="AH357" s="485"/>
      <c r="AI357" s="485"/>
      <c r="AJ357" s="485"/>
      <c r="AK357" s="485"/>
      <c r="AL357" s="485"/>
      <c r="AM357" s="485"/>
      <c r="AN357" s="485"/>
      <c r="AO357" s="485"/>
      <c r="AP357" s="485"/>
      <c r="AQ357" s="485"/>
      <c r="AR357" s="485"/>
      <c r="AS357" s="485"/>
      <c r="AT357" s="485"/>
      <c r="AU357" s="485"/>
      <c r="AV357" s="485"/>
      <c r="AW357" s="485"/>
      <c r="AX357" s="485"/>
      <c r="AY357" s="485"/>
      <c r="AZ357" s="485"/>
      <c r="BA357" s="485"/>
      <c r="BB357" s="485"/>
      <c r="BC357" s="485"/>
      <c r="BD357" s="485"/>
      <c r="BE357" s="485"/>
      <c r="BF357" s="485"/>
      <c r="BG357" s="485"/>
      <c r="BH357" s="485"/>
      <c r="BI357" s="485"/>
      <c r="BJ357" s="485"/>
      <c r="BK357" s="485"/>
      <c r="BL357" s="485"/>
      <c r="BM357" s="485"/>
      <c r="BN357" s="485"/>
      <c r="BO357" s="485"/>
      <c r="BP357" s="485"/>
      <c r="BQ357" s="485"/>
      <c r="BR357" s="485"/>
      <c r="BS357" s="485"/>
      <c r="BT357" s="485"/>
      <c r="BU357" s="485"/>
      <c r="BV357" s="485"/>
      <c r="BW357" s="485"/>
      <c r="BX357" s="485"/>
      <c r="BY357" s="485"/>
      <c r="BZ357" s="485"/>
      <c r="CA357" s="485"/>
      <c r="CB357" s="485"/>
      <c r="CC357" s="485"/>
      <c r="CD357" s="485"/>
      <c r="CE357" s="485"/>
      <c r="CF357" s="485"/>
      <c r="CG357" s="485"/>
      <c r="CH357" s="485"/>
      <c r="CI357" s="485"/>
      <c r="CJ357" s="485"/>
      <c r="CK357" s="485"/>
      <c r="CL357" s="485"/>
      <c r="CM357" s="485"/>
      <c r="CN357" s="485"/>
      <c r="CO357" s="485"/>
      <c r="CP357" s="485"/>
      <c r="CQ357" s="485"/>
      <c r="CR357" s="485"/>
      <c r="CS357" s="485"/>
      <c r="CT357" s="485"/>
      <c r="CU357" s="485"/>
      <c r="CV357" s="485"/>
      <c r="CW357" s="485"/>
      <c r="CX357" s="485"/>
      <c r="CY357" s="485"/>
      <c r="CZ357" s="485"/>
      <c r="DA357" s="485"/>
      <c r="DB357" s="485"/>
      <c r="DC357" s="485"/>
      <c r="DD357" s="485"/>
      <c r="DE357" s="485"/>
      <c r="DF357" s="485"/>
      <c r="DG357" s="485"/>
      <c r="DH357" s="485"/>
      <c r="DI357" s="485"/>
      <c r="DJ357" s="485"/>
      <c r="DK357" s="485"/>
      <c r="DL357" s="485"/>
      <c r="DM357" s="485"/>
      <c r="DN357" s="485"/>
      <c r="DO357" s="485"/>
      <c r="DP357" s="485"/>
      <c r="DQ357" s="485"/>
      <c r="DR357" s="485"/>
      <c r="DS357" s="485"/>
      <c r="DT357" s="485"/>
      <c r="DU357" s="485"/>
      <c r="DV357" s="485"/>
      <c r="DW357" s="485"/>
      <c r="DX357" s="485"/>
      <c r="DY357" s="485"/>
      <c r="DZ357" s="485"/>
      <c r="EA357" s="485"/>
      <c r="EB357" s="485"/>
      <c r="EC357" s="485"/>
      <c r="ED357" s="485"/>
      <c r="EE357" s="485"/>
      <c r="EF357" s="485"/>
      <c r="EG357" s="485"/>
      <c r="EH357" s="485"/>
      <c r="EI357" s="485"/>
      <c r="EJ357" s="485"/>
      <c r="EK357" s="485"/>
      <c r="EL357" s="485"/>
      <c r="EM357" s="485"/>
      <c r="EN357" s="485"/>
      <c r="EO357" s="485"/>
      <c r="EP357" s="485"/>
    </row>
    <row r="358" spans="1:146" ht="15.75">
      <c r="A358" s="468">
        <v>1089</v>
      </c>
      <c r="B358" s="643" t="s">
        <v>393</v>
      </c>
      <c r="C358" s="653">
        <v>1800</v>
      </c>
      <c r="D358" s="654">
        <v>600</v>
      </c>
      <c r="E358" s="439">
        <v>67.19</v>
      </c>
      <c r="F358" s="678">
        <f t="shared" si="99"/>
        <v>65.816000000000003</v>
      </c>
      <c r="G358" s="683">
        <v>2</v>
      </c>
      <c r="H358" s="682">
        <f t="shared" si="96"/>
        <v>14400</v>
      </c>
      <c r="I358" s="442">
        <f t="shared" si="97"/>
        <v>1612.56</v>
      </c>
      <c r="J358" s="442"/>
      <c r="K358" s="443">
        <v>1.8</v>
      </c>
      <c r="L358" s="627">
        <f t="shared" si="100"/>
        <v>3.6</v>
      </c>
      <c r="M358" s="627"/>
      <c r="N358" s="609">
        <v>600</v>
      </c>
      <c r="O358" s="610">
        <v>67.19076477939953</v>
      </c>
      <c r="P358" s="617" t="str">
        <f t="shared" si="101"/>
        <v>---</v>
      </c>
      <c r="Q358" s="618">
        <f t="shared" si="102"/>
        <v>7.6477939953178975E-4</v>
      </c>
      <c r="R358" s="485"/>
      <c r="S358" s="624" t="str">
        <f t="shared" si="103"/>
        <v>OK</v>
      </c>
      <c r="T358" s="613">
        <f>IF(+'2012 Rates'!O587&lt;'2012 Rates'!$B$11,'2012 Rates'!$B$11,+'2012 Rates'!O587)</f>
        <v>72.28</v>
      </c>
      <c r="U358" s="447">
        <f t="shared" si="104"/>
        <v>9.8213200437583525E-2</v>
      </c>
      <c r="V358" s="485"/>
      <c r="W358" s="623">
        <f t="shared" si="105"/>
        <v>1734.72</v>
      </c>
      <c r="X358" s="442"/>
      <c r="Y358" s="485"/>
      <c r="Z358" s="485"/>
      <c r="AA358" s="485"/>
      <c r="AB358" s="485"/>
      <c r="AC358" s="485"/>
      <c r="AD358" s="485"/>
      <c r="AE358" s="485"/>
      <c r="AF358" s="485"/>
      <c r="AG358" s="485"/>
      <c r="AH358" s="485"/>
      <c r="AI358" s="485"/>
      <c r="AJ358" s="485"/>
      <c r="AK358" s="485"/>
      <c r="AL358" s="485"/>
      <c r="AM358" s="485"/>
      <c r="AN358" s="485"/>
      <c r="AO358" s="485"/>
      <c r="AP358" s="485"/>
      <c r="AQ358" s="485"/>
      <c r="AR358" s="485"/>
      <c r="AS358" s="485"/>
      <c r="AT358" s="485"/>
      <c r="AU358" s="485"/>
      <c r="AV358" s="485"/>
      <c r="AW358" s="485"/>
      <c r="AX358" s="485"/>
      <c r="AY358" s="485"/>
      <c r="AZ358" s="485"/>
      <c r="BA358" s="485"/>
      <c r="BB358" s="485"/>
      <c r="BC358" s="485"/>
      <c r="BD358" s="485"/>
      <c r="BE358" s="485"/>
      <c r="BF358" s="485"/>
      <c r="BG358" s="485"/>
      <c r="BH358" s="485"/>
      <c r="BI358" s="485"/>
      <c r="BJ358" s="485"/>
      <c r="BK358" s="485"/>
      <c r="BL358" s="485"/>
      <c r="BM358" s="485"/>
      <c r="BN358" s="485"/>
      <c r="BO358" s="485"/>
      <c r="BP358" s="485"/>
      <c r="BQ358" s="485"/>
      <c r="BR358" s="485"/>
      <c r="BS358" s="485"/>
      <c r="BT358" s="485"/>
      <c r="BU358" s="485"/>
      <c r="BV358" s="485"/>
      <c r="BW358" s="485"/>
      <c r="BX358" s="485"/>
      <c r="BY358" s="485"/>
      <c r="BZ358" s="485"/>
      <c r="CA358" s="485"/>
      <c r="CB358" s="485"/>
      <c r="CC358" s="485"/>
      <c r="CD358" s="485"/>
      <c r="CE358" s="485"/>
      <c r="CF358" s="485"/>
      <c r="CG358" s="485"/>
      <c r="CH358" s="485"/>
      <c r="CI358" s="485"/>
      <c r="CJ358" s="485"/>
      <c r="CK358" s="485"/>
      <c r="CL358" s="485"/>
      <c r="CM358" s="485"/>
      <c r="CN358" s="485"/>
      <c r="CO358" s="485"/>
      <c r="CP358" s="485"/>
      <c r="CQ358" s="485"/>
      <c r="CR358" s="485"/>
      <c r="CS358" s="485"/>
      <c r="CT358" s="485"/>
      <c r="CU358" s="485"/>
      <c r="CV358" s="485"/>
      <c r="CW358" s="485"/>
      <c r="CX358" s="485"/>
      <c r="CY358" s="485"/>
      <c r="CZ358" s="485"/>
      <c r="DA358" s="485"/>
      <c r="DB358" s="485"/>
      <c r="DC358" s="485"/>
      <c r="DD358" s="485"/>
      <c r="DE358" s="485"/>
      <c r="DF358" s="485"/>
      <c r="DG358" s="485"/>
      <c r="DH358" s="485"/>
      <c r="DI358" s="485"/>
      <c r="DJ358" s="485"/>
      <c r="DK358" s="485"/>
      <c r="DL358" s="485"/>
      <c r="DM358" s="485"/>
      <c r="DN358" s="485"/>
      <c r="DO358" s="485"/>
      <c r="DP358" s="485"/>
      <c r="DQ358" s="485"/>
      <c r="DR358" s="485"/>
      <c r="DS358" s="485"/>
      <c r="DT358" s="485"/>
      <c r="DU358" s="485"/>
      <c r="DV358" s="485"/>
      <c r="DW358" s="485"/>
      <c r="DX358" s="485"/>
      <c r="DY358" s="485"/>
      <c r="DZ358" s="485"/>
      <c r="EA358" s="485"/>
      <c r="EB358" s="485"/>
      <c r="EC358" s="485"/>
      <c r="ED358" s="485"/>
      <c r="EE358" s="485"/>
      <c r="EF358" s="485"/>
      <c r="EG358" s="485"/>
      <c r="EH358" s="485"/>
      <c r="EI358" s="485"/>
      <c r="EJ358" s="485"/>
      <c r="EK358" s="485"/>
      <c r="EL358" s="485"/>
      <c r="EM358" s="485"/>
      <c r="EN358" s="485"/>
      <c r="EO358" s="485"/>
      <c r="EP358" s="485"/>
    </row>
    <row r="359" spans="1:146" ht="15.75">
      <c r="A359" s="468">
        <v>1090</v>
      </c>
      <c r="B359" s="643" t="s">
        <v>393</v>
      </c>
      <c r="C359" s="653">
        <v>792</v>
      </c>
      <c r="D359" s="654">
        <v>264</v>
      </c>
      <c r="E359" s="439">
        <v>29.56</v>
      </c>
      <c r="F359" s="678">
        <f t="shared" si="99"/>
        <v>28.955439999999999</v>
      </c>
      <c r="G359" s="683">
        <v>1</v>
      </c>
      <c r="H359" s="682">
        <f t="shared" si="96"/>
        <v>3168</v>
      </c>
      <c r="I359" s="442">
        <f t="shared" si="97"/>
        <v>354.71999999999997</v>
      </c>
      <c r="J359" s="442"/>
      <c r="K359" s="443">
        <v>0.79200000000000004</v>
      </c>
      <c r="L359" s="627">
        <f t="shared" si="100"/>
        <v>0.79200000000000004</v>
      </c>
      <c r="M359" s="627"/>
      <c r="N359" s="609">
        <v>264</v>
      </c>
      <c r="O359" s="610">
        <v>29.557936502935789</v>
      </c>
      <c r="P359" s="617" t="str">
        <f t="shared" si="101"/>
        <v>---</v>
      </c>
      <c r="Q359" s="618">
        <f t="shared" si="102"/>
        <v>-2.0634970642099404E-3</v>
      </c>
      <c r="R359" s="485"/>
      <c r="S359" s="624" t="str">
        <f t="shared" si="103"/>
        <v>OK</v>
      </c>
      <c r="T359" s="613">
        <f>IF(+'2012 Rates'!O588&lt;'2012 Rates'!$B$11,'2012 Rates'!$B$11,+'2012 Rates'!O588)</f>
        <v>31.790000000000003</v>
      </c>
      <c r="U359" s="447">
        <f t="shared" si="104"/>
        <v>9.7893867266392931E-2</v>
      </c>
      <c r="V359" s="485"/>
      <c r="W359" s="623">
        <f t="shared" si="105"/>
        <v>381.48</v>
      </c>
      <c r="X359" s="442"/>
      <c r="Y359" s="485"/>
      <c r="Z359" s="485"/>
      <c r="AA359" s="485"/>
      <c r="AB359" s="485"/>
      <c r="AC359" s="485"/>
      <c r="AD359" s="485"/>
      <c r="AE359" s="485"/>
      <c r="AF359" s="485"/>
      <c r="AG359" s="485"/>
      <c r="AH359" s="485"/>
      <c r="AI359" s="485"/>
      <c r="AJ359" s="485"/>
      <c r="AK359" s="485"/>
      <c r="AL359" s="485"/>
      <c r="AM359" s="485"/>
      <c r="AN359" s="485"/>
      <c r="AO359" s="485"/>
      <c r="AP359" s="485"/>
      <c r="AQ359" s="485"/>
      <c r="AR359" s="485"/>
      <c r="AS359" s="485"/>
      <c r="AT359" s="485"/>
      <c r="AU359" s="485"/>
      <c r="AV359" s="485"/>
      <c r="AW359" s="485"/>
      <c r="AX359" s="485"/>
      <c r="AY359" s="485"/>
      <c r="AZ359" s="485"/>
      <c r="BA359" s="485"/>
      <c r="BB359" s="485"/>
      <c r="BC359" s="485"/>
      <c r="BD359" s="485"/>
      <c r="BE359" s="485"/>
      <c r="BF359" s="485"/>
      <c r="BG359" s="485"/>
      <c r="BH359" s="485"/>
      <c r="BI359" s="485"/>
      <c r="BJ359" s="485"/>
      <c r="BK359" s="485"/>
      <c r="BL359" s="485"/>
      <c r="BM359" s="485"/>
      <c r="BN359" s="485"/>
      <c r="BO359" s="485"/>
      <c r="BP359" s="485"/>
      <c r="BQ359" s="485"/>
      <c r="BR359" s="485"/>
      <c r="BS359" s="485"/>
      <c r="BT359" s="485"/>
      <c r="BU359" s="485"/>
      <c r="BV359" s="485"/>
      <c r="BW359" s="485"/>
      <c r="BX359" s="485"/>
      <c r="BY359" s="485"/>
      <c r="BZ359" s="485"/>
      <c r="CA359" s="485"/>
      <c r="CB359" s="485"/>
      <c r="CC359" s="485"/>
      <c r="CD359" s="485"/>
      <c r="CE359" s="485"/>
      <c r="CF359" s="485"/>
      <c r="CG359" s="485"/>
      <c r="CH359" s="485"/>
      <c r="CI359" s="485"/>
      <c r="CJ359" s="485"/>
      <c r="CK359" s="485"/>
      <c r="CL359" s="485"/>
      <c r="CM359" s="485"/>
      <c r="CN359" s="485"/>
      <c r="CO359" s="485"/>
      <c r="CP359" s="485"/>
      <c r="CQ359" s="485"/>
      <c r="CR359" s="485"/>
      <c r="CS359" s="485"/>
      <c r="CT359" s="485"/>
      <c r="CU359" s="485"/>
      <c r="CV359" s="485"/>
      <c r="CW359" s="485"/>
      <c r="CX359" s="485"/>
      <c r="CY359" s="485"/>
      <c r="CZ359" s="485"/>
      <c r="DA359" s="485"/>
      <c r="DB359" s="485"/>
      <c r="DC359" s="485"/>
      <c r="DD359" s="485"/>
      <c r="DE359" s="485"/>
      <c r="DF359" s="485"/>
      <c r="DG359" s="485"/>
      <c r="DH359" s="485"/>
      <c r="DI359" s="485"/>
      <c r="DJ359" s="485"/>
      <c r="DK359" s="485"/>
      <c r="DL359" s="485"/>
      <c r="DM359" s="485"/>
      <c r="DN359" s="485"/>
      <c r="DO359" s="485"/>
      <c r="DP359" s="485"/>
      <c r="DQ359" s="485"/>
      <c r="DR359" s="485"/>
      <c r="DS359" s="485"/>
      <c r="DT359" s="485"/>
      <c r="DU359" s="485"/>
      <c r="DV359" s="485"/>
      <c r="DW359" s="485"/>
      <c r="DX359" s="485"/>
      <c r="DY359" s="485"/>
      <c r="DZ359" s="485"/>
      <c r="EA359" s="485"/>
      <c r="EB359" s="485"/>
      <c r="EC359" s="485"/>
      <c r="ED359" s="485"/>
      <c r="EE359" s="485"/>
      <c r="EF359" s="485"/>
      <c r="EG359" s="485"/>
      <c r="EH359" s="485"/>
      <c r="EI359" s="485"/>
      <c r="EJ359" s="485"/>
      <c r="EK359" s="485"/>
      <c r="EL359" s="485"/>
      <c r="EM359" s="485"/>
      <c r="EN359" s="485"/>
      <c r="EO359" s="485"/>
      <c r="EP359" s="485"/>
    </row>
    <row r="360" spans="1:146" ht="15.75">
      <c r="A360" s="468">
        <v>1091</v>
      </c>
      <c r="B360" s="643" t="s">
        <v>393</v>
      </c>
      <c r="C360" s="653">
        <f>'2012 Rates'!B591</f>
        <v>1520</v>
      </c>
      <c r="D360" s="654">
        <f>'2012 Rates'!G591</f>
        <v>793</v>
      </c>
      <c r="E360" s="439">
        <v>76.77</v>
      </c>
      <c r="F360" s="678">
        <f t="shared" si="99"/>
        <v>74.954030000000003</v>
      </c>
      <c r="G360" s="683">
        <v>1</v>
      </c>
      <c r="H360" s="682">
        <f t="shared" si="96"/>
        <v>9516</v>
      </c>
      <c r="I360" s="442">
        <f t="shared" si="97"/>
        <v>921.24</v>
      </c>
      <c r="J360" s="442"/>
      <c r="K360" s="443">
        <v>1.52</v>
      </c>
      <c r="L360" s="627">
        <f t="shared" si="100"/>
        <v>1.52</v>
      </c>
      <c r="M360" s="627"/>
      <c r="N360" s="609">
        <v>1104</v>
      </c>
      <c r="O360" s="610">
        <v>76.765007194095119</v>
      </c>
      <c r="P360" s="617">
        <f t="shared" si="101"/>
        <v>311</v>
      </c>
      <c r="Q360" s="618">
        <f t="shared" si="102"/>
        <v>-4.9928059048767182E-3</v>
      </c>
      <c r="R360" s="485"/>
      <c r="S360" s="624">
        <f t="shared" si="103"/>
        <v>1104</v>
      </c>
      <c r="T360" s="613">
        <f>IF(+'2012 Rates'!P591&lt;'2012 Rates'!$B$11,'2012 Rates'!$B$11,+'2012 Rates'!P591)</f>
        <v>81.34</v>
      </c>
      <c r="U360" s="447">
        <f t="shared" si="104"/>
        <v>8.5198487659702948E-2</v>
      </c>
      <c r="V360" s="485"/>
      <c r="W360" s="623">
        <f t="shared" si="105"/>
        <v>976.08</v>
      </c>
      <c r="X360" s="442"/>
      <c r="Y360" s="485"/>
      <c r="Z360" s="485"/>
      <c r="AA360" s="485"/>
      <c r="AB360" s="485"/>
      <c r="AC360" s="485"/>
      <c r="AD360" s="485"/>
      <c r="AE360" s="485"/>
      <c r="AF360" s="485"/>
      <c r="AG360" s="485"/>
      <c r="AH360" s="485"/>
      <c r="AI360" s="485"/>
      <c r="AJ360" s="485"/>
      <c r="AK360" s="485"/>
      <c r="AL360" s="485"/>
      <c r="AM360" s="485"/>
      <c r="AN360" s="485"/>
      <c r="AO360" s="485"/>
      <c r="AP360" s="485"/>
      <c r="AQ360" s="485"/>
      <c r="AR360" s="485"/>
      <c r="AS360" s="485"/>
      <c r="AT360" s="485"/>
      <c r="AU360" s="485"/>
      <c r="AV360" s="485"/>
      <c r="AW360" s="485"/>
      <c r="AX360" s="485"/>
      <c r="AY360" s="485"/>
      <c r="AZ360" s="485"/>
      <c r="BA360" s="485"/>
      <c r="BB360" s="485"/>
      <c r="BC360" s="485"/>
      <c r="BD360" s="485"/>
      <c r="BE360" s="485"/>
      <c r="BF360" s="485"/>
      <c r="BG360" s="485"/>
      <c r="BH360" s="485"/>
      <c r="BI360" s="485"/>
      <c r="BJ360" s="485"/>
      <c r="BK360" s="485"/>
      <c r="BL360" s="485"/>
      <c r="BM360" s="485"/>
      <c r="BN360" s="485"/>
      <c r="BO360" s="485"/>
      <c r="BP360" s="485"/>
      <c r="BQ360" s="485"/>
      <c r="BR360" s="485"/>
      <c r="BS360" s="485"/>
      <c r="BT360" s="485"/>
      <c r="BU360" s="485"/>
      <c r="BV360" s="485"/>
      <c r="BW360" s="485"/>
      <c r="BX360" s="485"/>
      <c r="BY360" s="485"/>
      <c r="BZ360" s="485"/>
      <c r="CA360" s="485"/>
      <c r="CB360" s="485"/>
      <c r="CC360" s="485"/>
      <c r="CD360" s="485"/>
      <c r="CE360" s="485"/>
      <c r="CF360" s="485"/>
      <c r="CG360" s="485"/>
      <c r="CH360" s="485"/>
      <c r="CI360" s="485"/>
      <c r="CJ360" s="485"/>
      <c r="CK360" s="485"/>
      <c r="CL360" s="485"/>
      <c r="CM360" s="485"/>
      <c r="CN360" s="485"/>
      <c r="CO360" s="485"/>
      <c r="CP360" s="485"/>
      <c r="CQ360" s="485"/>
      <c r="CR360" s="485"/>
      <c r="CS360" s="485"/>
      <c r="CT360" s="485"/>
      <c r="CU360" s="485"/>
      <c r="CV360" s="485"/>
      <c r="CW360" s="485"/>
      <c r="CX360" s="485"/>
      <c r="CY360" s="485"/>
      <c r="CZ360" s="485"/>
      <c r="DA360" s="485"/>
      <c r="DB360" s="485"/>
      <c r="DC360" s="485"/>
      <c r="DD360" s="485"/>
      <c r="DE360" s="485"/>
      <c r="DF360" s="485"/>
      <c r="DG360" s="485"/>
      <c r="DH360" s="485"/>
      <c r="DI360" s="485"/>
      <c r="DJ360" s="485"/>
      <c r="DK360" s="485"/>
      <c r="DL360" s="485"/>
      <c r="DM360" s="485"/>
      <c r="DN360" s="485"/>
      <c r="DO360" s="485"/>
      <c r="DP360" s="485"/>
      <c r="DQ360" s="485"/>
      <c r="DR360" s="485"/>
      <c r="DS360" s="485"/>
      <c r="DT360" s="485"/>
      <c r="DU360" s="485"/>
      <c r="DV360" s="485"/>
      <c r="DW360" s="485"/>
      <c r="DX360" s="485"/>
      <c r="DY360" s="485"/>
      <c r="DZ360" s="485"/>
      <c r="EA360" s="485"/>
      <c r="EB360" s="485"/>
      <c r="EC360" s="485"/>
      <c r="ED360" s="485"/>
      <c r="EE360" s="485"/>
      <c r="EF360" s="485"/>
      <c r="EG360" s="485"/>
      <c r="EH360" s="485"/>
      <c r="EI360" s="485"/>
      <c r="EJ360" s="485"/>
      <c r="EK360" s="485"/>
      <c r="EL360" s="485"/>
      <c r="EM360" s="485"/>
      <c r="EN360" s="485"/>
      <c r="EO360" s="485"/>
      <c r="EP360" s="485"/>
    </row>
    <row r="361" spans="1:146" ht="15.75">
      <c r="A361" s="468">
        <v>1092</v>
      </c>
      <c r="B361" s="643" t="s">
        <v>393</v>
      </c>
      <c r="C361" s="653">
        <v>2400</v>
      </c>
      <c r="D361" s="654">
        <v>58</v>
      </c>
      <c r="E361" s="439">
        <v>26.18</v>
      </c>
      <c r="F361" s="678">
        <f t="shared" si="99"/>
        <v>26.047180000000001</v>
      </c>
      <c r="G361" s="683">
        <v>1</v>
      </c>
      <c r="H361" s="682">
        <f t="shared" si="96"/>
        <v>696</v>
      </c>
      <c r="I361" s="442">
        <f t="shared" si="97"/>
        <v>314.15999999999997</v>
      </c>
      <c r="J361" s="442"/>
      <c r="K361" s="443">
        <v>2.4</v>
      </c>
      <c r="L361" s="627">
        <f t="shared" si="100"/>
        <v>2.4</v>
      </c>
      <c r="M361" s="627"/>
      <c r="N361" s="609">
        <v>58</v>
      </c>
      <c r="O361" s="610">
        <v>26.183940595341952</v>
      </c>
      <c r="P361" s="617" t="str">
        <f t="shared" si="101"/>
        <v>---</v>
      </c>
      <c r="Q361" s="618">
        <f t="shared" si="102"/>
        <v>3.9405953419517914E-3</v>
      </c>
      <c r="R361" s="485"/>
      <c r="S361" s="624" t="str">
        <f t="shared" si="103"/>
        <v>OK</v>
      </c>
      <c r="T361" s="613">
        <f>IF(+'2012 Rates'!O592&lt;'2012 Rates'!$B$11,'2012 Rates'!$B$11,+'2012 Rates'!O592)</f>
        <v>28.6</v>
      </c>
      <c r="U361" s="447">
        <f t="shared" si="104"/>
        <v>9.8007538627981949E-2</v>
      </c>
      <c r="V361" s="485"/>
      <c r="W361" s="623">
        <f t="shared" si="105"/>
        <v>343.20000000000005</v>
      </c>
      <c r="X361" s="442"/>
      <c r="Y361" s="485"/>
      <c r="Z361" s="485"/>
      <c r="AA361" s="485"/>
      <c r="AB361" s="485"/>
      <c r="AC361" s="485"/>
      <c r="AD361" s="485"/>
      <c r="AE361" s="485"/>
      <c r="AF361" s="485"/>
      <c r="AG361" s="485"/>
      <c r="AH361" s="485"/>
      <c r="AI361" s="485"/>
      <c r="AJ361" s="485"/>
      <c r="AK361" s="485"/>
      <c r="AL361" s="485"/>
      <c r="AM361" s="485"/>
      <c r="AN361" s="485"/>
      <c r="AO361" s="485"/>
      <c r="AP361" s="485"/>
      <c r="AQ361" s="485"/>
      <c r="AR361" s="485"/>
      <c r="AS361" s="485"/>
      <c r="AT361" s="485"/>
      <c r="AU361" s="485"/>
      <c r="AV361" s="485"/>
      <c r="AW361" s="485"/>
      <c r="AX361" s="485"/>
      <c r="AY361" s="485"/>
      <c r="AZ361" s="485"/>
      <c r="BA361" s="485"/>
      <c r="BB361" s="485"/>
      <c r="BC361" s="485"/>
      <c r="BD361" s="485"/>
      <c r="BE361" s="485"/>
      <c r="BF361" s="485"/>
      <c r="BG361" s="485"/>
      <c r="BH361" s="485"/>
      <c r="BI361" s="485"/>
      <c r="BJ361" s="485"/>
      <c r="BK361" s="485"/>
      <c r="BL361" s="485"/>
      <c r="BM361" s="485"/>
      <c r="BN361" s="485"/>
      <c r="BO361" s="485"/>
      <c r="BP361" s="485"/>
      <c r="BQ361" s="485"/>
      <c r="BR361" s="485"/>
      <c r="BS361" s="485"/>
      <c r="BT361" s="485"/>
      <c r="BU361" s="485"/>
      <c r="BV361" s="485"/>
      <c r="BW361" s="485"/>
      <c r="BX361" s="485"/>
      <c r="BY361" s="485"/>
      <c r="BZ361" s="485"/>
      <c r="CA361" s="485"/>
      <c r="CB361" s="485"/>
      <c r="CC361" s="485"/>
      <c r="CD361" s="485"/>
      <c r="CE361" s="485"/>
      <c r="CF361" s="485"/>
      <c r="CG361" s="485"/>
      <c r="CH361" s="485"/>
      <c r="CI361" s="485"/>
      <c r="CJ361" s="485"/>
      <c r="CK361" s="485"/>
      <c r="CL361" s="485"/>
      <c r="CM361" s="485"/>
      <c r="CN361" s="485"/>
      <c r="CO361" s="485"/>
      <c r="CP361" s="485"/>
      <c r="CQ361" s="485"/>
      <c r="CR361" s="485"/>
      <c r="CS361" s="485"/>
      <c r="CT361" s="485"/>
      <c r="CU361" s="485"/>
      <c r="CV361" s="485"/>
      <c r="CW361" s="485"/>
      <c r="CX361" s="485"/>
      <c r="CY361" s="485"/>
      <c r="CZ361" s="485"/>
      <c r="DA361" s="485"/>
      <c r="DB361" s="485"/>
      <c r="DC361" s="485"/>
      <c r="DD361" s="485"/>
      <c r="DE361" s="485"/>
      <c r="DF361" s="485"/>
      <c r="DG361" s="485"/>
      <c r="DH361" s="485"/>
      <c r="DI361" s="485"/>
      <c r="DJ361" s="485"/>
      <c r="DK361" s="485"/>
      <c r="DL361" s="485"/>
      <c r="DM361" s="485"/>
      <c r="DN361" s="485"/>
      <c r="DO361" s="485"/>
      <c r="DP361" s="485"/>
      <c r="DQ361" s="485"/>
      <c r="DR361" s="485"/>
      <c r="DS361" s="485"/>
      <c r="DT361" s="485"/>
      <c r="DU361" s="485"/>
      <c r="DV361" s="485"/>
      <c r="DW361" s="485"/>
      <c r="DX361" s="485"/>
      <c r="DY361" s="485"/>
      <c r="DZ361" s="485"/>
      <c r="EA361" s="485"/>
      <c r="EB361" s="485"/>
      <c r="EC361" s="485"/>
      <c r="ED361" s="485"/>
      <c r="EE361" s="485"/>
      <c r="EF361" s="485"/>
      <c r="EG361" s="485"/>
      <c r="EH361" s="485"/>
      <c r="EI361" s="485"/>
      <c r="EJ361" s="485"/>
      <c r="EK361" s="485"/>
      <c r="EL361" s="485"/>
      <c r="EM361" s="485"/>
      <c r="EN361" s="485"/>
      <c r="EO361" s="485"/>
      <c r="EP361" s="485"/>
    </row>
    <row r="362" spans="1:146" ht="15.75">
      <c r="A362" s="468">
        <v>1093</v>
      </c>
      <c r="B362" s="643" t="s">
        <v>393</v>
      </c>
      <c r="C362" s="653">
        <v>120</v>
      </c>
      <c r="D362" s="654">
        <v>44</v>
      </c>
      <c r="E362" s="439">
        <v>4.9000000000000004</v>
      </c>
      <c r="F362" s="678">
        <f t="shared" si="99"/>
        <v>4.7992400000000002</v>
      </c>
      <c r="G362" s="683">
        <v>1</v>
      </c>
      <c r="H362" s="682">
        <f t="shared" si="96"/>
        <v>528</v>
      </c>
      <c r="I362" s="442">
        <f t="shared" si="97"/>
        <v>58.800000000000004</v>
      </c>
      <c r="J362" s="442"/>
      <c r="K362" s="443">
        <v>0.13200000000000001</v>
      </c>
      <c r="L362" s="627">
        <f t="shared" si="100"/>
        <v>0.13200000000000001</v>
      </c>
      <c r="M362" s="627"/>
      <c r="N362" s="609">
        <v>44</v>
      </c>
      <c r="O362" s="610">
        <v>4.9029894171559638</v>
      </c>
      <c r="P362" s="617" t="str">
        <f t="shared" si="101"/>
        <v>---</v>
      </c>
      <c r="Q362" s="618">
        <f t="shared" si="102"/>
        <v>2.9894171559634586E-3</v>
      </c>
      <c r="R362" s="485"/>
      <c r="S362" s="624" t="str">
        <f t="shared" si="103"/>
        <v>OK</v>
      </c>
      <c r="T362" s="613">
        <f>IF(+'2012 Rates'!O593&lt;'2012 Rates'!$B$11,'2012 Rates'!$B$11,+'2012 Rates'!O593)</f>
        <v>5.29</v>
      </c>
      <c r="U362" s="447">
        <f t="shared" si="104"/>
        <v>0.1022578574941031</v>
      </c>
      <c r="V362" s="485"/>
      <c r="W362" s="623">
        <f t="shared" si="105"/>
        <v>63.480000000000004</v>
      </c>
      <c r="X362" s="442"/>
      <c r="Y362" s="485"/>
      <c r="Z362" s="485"/>
      <c r="AA362" s="485"/>
      <c r="AB362" s="485"/>
      <c r="AC362" s="485"/>
      <c r="AD362" s="485"/>
      <c r="AE362" s="485"/>
      <c r="AF362" s="485"/>
      <c r="AG362" s="485"/>
      <c r="AH362" s="485"/>
      <c r="AI362" s="485"/>
      <c r="AJ362" s="485"/>
      <c r="AK362" s="485"/>
      <c r="AL362" s="485"/>
      <c r="AM362" s="485"/>
      <c r="AN362" s="485"/>
      <c r="AO362" s="485"/>
      <c r="AP362" s="485"/>
      <c r="AQ362" s="485"/>
      <c r="AR362" s="485"/>
      <c r="AS362" s="485"/>
      <c r="AT362" s="485"/>
      <c r="AU362" s="485"/>
      <c r="AV362" s="485"/>
      <c r="AW362" s="485"/>
      <c r="AX362" s="485"/>
      <c r="AY362" s="485"/>
      <c r="AZ362" s="485"/>
      <c r="BA362" s="485"/>
      <c r="BB362" s="485"/>
      <c r="BC362" s="485"/>
      <c r="BD362" s="485"/>
      <c r="BE362" s="485"/>
      <c r="BF362" s="485"/>
      <c r="BG362" s="485"/>
      <c r="BH362" s="485"/>
      <c r="BI362" s="485"/>
      <c r="BJ362" s="485"/>
      <c r="BK362" s="485"/>
      <c r="BL362" s="485"/>
      <c r="BM362" s="485"/>
      <c r="BN362" s="485"/>
      <c r="BO362" s="485"/>
      <c r="BP362" s="485"/>
      <c r="BQ362" s="485"/>
      <c r="BR362" s="485"/>
      <c r="BS362" s="485"/>
      <c r="BT362" s="485"/>
      <c r="BU362" s="485"/>
      <c r="BV362" s="485"/>
      <c r="BW362" s="485"/>
      <c r="BX362" s="485"/>
      <c r="BY362" s="485"/>
      <c r="BZ362" s="485"/>
      <c r="CA362" s="485"/>
      <c r="CB362" s="485"/>
      <c r="CC362" s="485"/>
      <c r="CD362" s="485"/>
      <c r="CE362" s="485"/>
      <c r="CF362" s="485"/>
      <c r="CG362" s="485"/>
      <c r="CH362" s="485"/>
      <c r="CI362" s="485"/>
      <c r="CJ362" s="485"/>
      <c r="CK362" s="485"/>
      <c r="CL362" s="485"/>
      <c r="CM362" s="485"/>
      <c r="CN362" s="485"/>
      <c r="CO362" s="485"/>
      <c r="CP362" s="485"/>
      <c r="CQ362" s="485"/>
      <c r="CR362" s="485"/>
      <c r="CS362" s="485"/>
      <c r="CT362" s="485"/>
      <c r="CU362" s="485"/>
      <c r="CV362" s="485"/>
      <c r="CW362" s="485"/>
      <c r="CX362" s="485"/>
      <c r="CY362" s="485"/>
      <c r="CZ362" s="485"/>
      <c r="DA362" s="485"/>
      <c r="DB362" s="485"/>
      <c r="DC362" s="485"/>
      <c r="DD362" s="485"/>
      <c r="DE362" s="485"/>
      <c r="DF362" s="485"/>
      <c r="DG362" s="485"/>
      <c r="DH362" s="485"/>
      <c r="DI362" s="485"/>
      <c r="DJ362" s="485"/>
      <c r="DK362" s="485"/>
      <c r="DL362" s="485"/>
      <c r="DM362" s="485"/>
      <c r="DN362" s="485"/>
      <c r="DO362" s="485"/>
      <c r="DP362" s="485"/>
      <c r="DQ362" s="485"/>
      <c r="DR362" s="485"/>
      <c r="DS362" s="485"/>
      <c r="DT362" s="485"/>
      <c r="DU362" s="485"/>
      <c r="DV362" s="485"/>
      <c r="DW362" s="485"/>
      <c r="DX362" s="485"/>
      <c r="DY362" s="485"/>
      <c r="DZ362" s="485"/>
      <c r="EA362" s="485"/>
      <c r="EB362" s="485"/>
      <c r="EC362" s="485"/>
      <c r="ED362" s="485"/>
      <c r="EE362" s="485"/>
      <c r="EF362" s="485"/>
      <c r="EG362" s="485"/>
      <c r="EH362" s="485"/>
      <c r="EI362" s="485"/>
      <c r="EJ362" s="485"/>
      <c r="EK362" s="485"/>
      <c r="EL362" s="485"/>
      <c r="EM362" s="485"/>
      <c r="EN362" s="485"/>
      <c r="EO362" s="485"/>
      <c r="EP362" s="485"/>
    </row>
    <row r="363" spans="1:146" ht="15.75">
      <c r="A363" s="468">
        <v>1094</v>
      </c>
      <c r="B363" s="643" t="s">
        <v>393</v>
      </c>
      <c r="C363" s="653">
        <v>385</v>
      </c>
      <c r="D363" s="654">
        <v>128</v>
      </c>
      <c r="E363" s="439">
        <v>20.010000000000002</v>
      </c>
      <c r="F363" s="678">
        <f t="shared" si="99"/>
        <v>19.716880000000003</v>
      </c>
      <c r="G363" s="683">
        <v>1</v>
      </c>
      <c r="H363" s="682">
        <f t="shared" si="96"/>
        <v>1536</v>
      </c>
      <c r="I363" s="442">
        <f t="shared" si="97"/>
        <v>240.12</v>
      </c>
      <c r="J363" s="442"/>
      <c r="K363" s="443">
        <v>0.38500000000000001</v>
      </c>
      <c r="L363" s="627">
        <f t="shared" si="100"/>
        <v>0.38500000000000001</v>
      </c>
      <c r="M363" s="627"/>
      <c r="N363" s="609">
        <v>128</v>
      </c>
      <c r="O363" s="610">
        <v>20.008696486271898</v>
      </c>
      <c r="P363" s="617" t="str">
        <f t="shared" si="101"/>
        <v>---</v>
      </c>
      <c r="Q363" s="618">
        <f t="shared" si="102"/>
        <v>-1.3035137281036668E-3</v>
      </c>
      <c r="R363" s="485"/>
      <c r="S363" s="624" t="str">
        <f t="shared" si="103"/>
        <v>OK</v>
      </c>
      <c r="T363" s="613">
        <f>IF(+'2012 Rates'!O594&lt;'2012 Rates'!$B$11,'2012 Rates'!$B$11,+'2012 Rates'!O594)</f>
        <v>21.68</v>
      </c>
      <c r="U363" s="447">
        <f t="shared" si="104"/>
        <v>9.9565448488807329E-2</v>
      </c>
      <c r="V363" s="485"/>
      <c r="W363" s="623">
        <f t="shared" si="105"/>
        <v>260.15999999999997</v>
      </c>
      <c r="X363" s="442"/>
      <c r="Y363" s="485"/>
      <c r="Z363" s="485"/>
      <c r="AA363" s="485"/>
      <c r="AB363" s="485"/>
      <c r="AC363" s="485"/>
      <c r="AD363" s="485"/>
      <c r="AE363" s="485"/>
      <c r="AF363" s="485"/>
      <c r="AG363" s="485"/>
      <c r="AH363" s="485"/>
      <c r="AI363" s="485"/>
      <c r="AJ363" s="485"/>
      <c r="AK363" s="485"/>
      <c r="AL363" s="485"/>
      <c r="AM363" s="485"/>
      <c r="AN363" s="485"/>
      <c r="AO363" s="485"/>
      <c r="AP363" s="485"/>
      <c r="AQ363" s="485"/>
      <c r="AR363" s="485"/>
      <c r="AS363" s="485"/>
      <c r="AT363" s="485"/>
      <c r="AU363" s="485"/>
      <c r="AV363" s="485"/>
      <c r="AW363" s="485"/>
      <c r="AX363" s="485"/>
      <c r="AY363" s="485"/>
      <c r="AZ363" s="485"/>
      <c r="BA363" s="485"/>
      <c r="BB363" s="485"/>
      <c r="BC363" s="485"/>
      <c r="BD363" s="485"/>
      <c r="BE363" s="485"/>
      <c r="BF363" s="485"/>
      <c r="BG363" s="485"/>
      <c r="BH363" s="485"/>
      <c r="BI363" s="485"/>
      <c r="BJ363" s="485"/>
      <c r="BK363" s="485"/>
      <c r="BL363" s="485"/>
      <c r="BM363" s="485"/>
      <c r="BN363" s="485"/>
      <c r="BO363" s="485"/>
      <c r="BP363" s="485"/>
      <c r="BQ363" s="485"/>
      <c r="BR363" s="485"/>
      <c r="BS363" s="485"/>
      <c r="BT363" s="485"/>
      <c r="BU363" s="485"/>
      <c r="BV363" s="485"/>
      <c r="BW363" s="485"/>
      <c r="BX363" s="485"/>
      <c r="BY363" s="485"/>
      <c r="BZ363" s="485"/>
      <c r="CA363" s="485"/>
      <c r="CB363" s="485"/>
      <c r="CC363" s="485"/>
      <c r="CD363" s="485"/>
      <c r="CE363" s="485"/>
      <c r="CF363" s="485"/>
      <c r="CG363" s="485"/>
      <c r="CH363" s="485"/>
      <c r="CI363" s="485"/>
      <c r="CJ363" s="485"/>
      <c r="CK363" s="485"/>
      <c r="CL363" s="485"/>
      <c r="CM363" s="485"/>
      <c r="CN363" s="485"/>
      <c r="CO363" s="485"/>
      <c r="CP363" s="485"/>
      <c r="CQ363" s="485"/>
      <c r="CR363" s="485"/>
      <c r="CS363" s="485"/>
      <c r="CT363" s="485"/>
      <c r="CU363" s="485"/>
      <c r="CV363" s="485"/>
      <c r="CW363" s="485"/>
      <c r="CX363" s="485"/>
      <c r="CY363" s="485"/>
      <c r="CZ363" s="485"/>
      <c r="DA363" s="485"/>
      <c r="DB363" s="485"/>
      <c r="DC363" s="485"/>
      <c r="DD363" s="485"/>
      <c r="DE363" s="485"/>
      <c r="DF363" s="485"/>
      <c r="DG363" s="485"/>
      <c r="DH363" s="485"/>
      <c r="DI363" s="485"/>
      <c r="DJ363" s="485"/>
      <c r="DK363" s="485"/>
      <c r="DL363" s="485"/>
      <c r="DM363" s="485"/>
      <c r="DN363" s="485"/>
      <c r="DO363" s="485"/>
      <c r="DP363" s="485"/>
      <c r="DQ363" s="485"/>
      <c r="DR363" s="485"/>
      <c r="DS363" s="485"/>
      <c r="DT363" s="485"/>
      <c r="DU363" s="485"/>
      <c r="DV363" s="485"/>
      <c r="DW363" s="485"/>
      <c r="DX363" s="485"/>
      <c r="DY363" s="485"/>
      <c r="DZ363" s="485"/>
      <c r="EA363" s="485"/>
      <c r="EB363" s="485"/>
      <c r="EC363" s="485"/>
      <c r="ED363" s="485"/>
      <c r="EE363" s="485"/>
      <c r="EF363" s="485"/>
      <c r="EG363" s="485"/>
      <c r="EH363" s="485"/>
      <c r="EI363" s="485"/>
      <c r="EJ363" s="485"/>
      <c r="EK363" s="485"/>
      <c r="EL363" s="485"/>
      <c r="EM363" s="485"/>
      <c r="EN363" s="485"/>
      <c r="EO363" s="485"/>
      <c r="EP363" s="485"/>
    </row>
    <row r="364" spans="1:146" ht="15.75">
      <c r="A364" s="468">
        <v>393</v>
      </c>
      <c r="B364" s="643" t="s">
        <v>393</v>
      </c>
      <c r="C364" s="653">
        <v>75</v>
      </c>
      <c r="D364" s="654">
        <v>25</v>
      </c>
      <c r="E364" s="439">
        <v>2.96</v>
      </c>
      <c r="F364" s="678">
        <f>E364</f>
        <v>2.96</v>
      </c>
      <c r="G364" s="683">
        <v>1</v>
      </c>
      <c r="H364" s="682">
        <f t="shared" si="96"/>
        <v>300</v>
      </c>
      <c r="I364" s="442">
        <f t="shared" si="97"/>
        <v>35.519999999999996</v>
      </c>
      <c r="J364" s="442"/>
      <c r="K364" s="443">
        <v>7.4999999999999997E-2</v>
      </c>
      <c r="L364" s="627">
        <f t="shared" si="100"/>
        <v>7.4999999999999997E-2</v>
      </c>
      <c r="M364" s="627"/>
      <c r="N364" s="609">
        <v>25</v>
      </c>
      <c r="O364" s="610">
        <v>2.9642500000000003</v>
      </c>
      <c r="P364" s="617" t="str">
        <f t="shared" si="101"/>
        <v>---</v>
      </c>
      <c r="Q364" s="617">
        <f t="shared" si="102"/>
        <v>4.2500000000003091E-3</v>
      </c>
      <c r="R364" s="485"/>
      <c r="S364" s="624" t="str">
        <f t="shared" si="103"/>
        <v>OK</v>
      </c>
      <c r="T364" s="613">
        <f>IF(+'2012 Rates'!O595&lt;'2012 Rates'!$B$11,'2012 Rates'!$B$11,+'2012 Rates'!O595)</f>
        <v>3.2504153814512136</v>
      </c>
      <c r="U364" s="447">
        <f t="shared" si="104"/>
        <v>9.8113304544328983E-2</v>
      </c>
      <c r="V364" s="485"/>
      <c r="W364" s="623">
        <f t="shared" si="105"/>
        <v>39.004984577414561</v>
      </c>
      <c r="X364" s="442"/>
      <c r="Y364" s="485"/>
      <c r="Z364" s="485"/>
      <c r="AA364" s="485"/>
      <c r="AB364" s="485"/>
      <c r="AC364" s="485"/>
      <c r="AD364" s="485"/>
      <c r="AE364" s="485"/>
      <c r="AF364" s="485"/>
      <c r="AG364" s="485"/>
      <c r="AH364" s="485"/>
      <c r="AI364" s="485"/>
      <c r="AJ364" s="485"/>
      <c r="AK364" s="485"/>
      <c r="AL364" s="485"/>
      <c r="AM364" s="485"/>
      <c r="AN364" s="485"/>
      <c r="AO364" s="485"/>
      <c r="AP364" s="485"/>
      <c r="AQ364" s="485"/>
      <c r="AR364" s="485"/>
      <c r="AS364" s="485"/>
      <c r="AT364" s="485"/>
      <c r="AU364" s="485"/>
      <c r="AV364" s="485"/>
      <c r="AW364" s="485"/>
      <c r="AX364" s="485"/>
      <c r="AY364" s="485"/>
      <c r="AZ364" s="485"/>
      <c r="BA364" s="485"/>
      <c r="BB364" s="485"/>
      <c r="BC364" s="485"/>
      <c r="BD364" s="485"/>
      <c r="BE364" s="485"/>
      <c r="BF364" s="485"/>
      <c r="BG364" s="485"/>
      <c r="BH364" s="485"/>
      <c r="BI364" s="485"/>
      <c r="BJ364" s="485"/>
      <c r="BK364" s="485"/>
      <c r="BL364" s="485"/>
      <c r="BM364" s="485"/>
      <c r="BN364" s="485"/>
      <c r="BO364" s="485"/>
      <c r="BP364" s="485"/>
      <c r="BQ364" s="485"/>
      <c r="BR364" s="485"/>
      <c r="BS364" s="485"/>
      <c r="BT364" s="485"/>
      <c r="BU364" s="485"/>
      <c r="BV364" s="485"/>
      <c r="BW364" s="485"/>
      <c r="BX364" s="485"/>
      <c r="BY364" s="485"/>
      <c r="BZ364" s="485"/>
      <c r="CA364" s="485"/>
      <c r="CB364" s="485"/>
      <c r="CC364" s="485"/>
      <c r="CD364" s="485"/>
      <c r="CE364" s="485"/>
      <c r="CF364" s="485"/>
      <c r="CG364" s="485"/>
      <c r="CH364" s="485"/>
      <c r="CI364" s="485"/>
      <c r="CJ364" s="485"/>
      <c r="CK364" s="485"/>
      <c r="CL364" s="485"/>
      <c r="CM364" s="485"/>
      <c r="CN364" s="485"/>
      <c r="CO364" s="485"/>
      <c r="CP364" s="485"/>
      <c r="CQ364" s="485"/>
      <c r="CR364" s="485"/>
      <c r="CS364" s="485"/>
      <c r="CT364" s="485"/>
      <c r="CU364" s="485"/>
      <c r="CV364" s="485"/>
      <c r="CW364" s="485"/>
      <c r="CX364" s="485"/>
      <c r="CY364" s="485"/>
      <c r="CZ364" s="485"/>
      <c r="DA364" s="485"/>
      <c r="DB364" s="485"/>
      <c r="DC364" s="485"/>
      <c r="DD364" s="485"/>
      <c r="DE364" s="485"/>
      <c r="DF364" s="485"/>
      <c r="DG364" s="485"/>
      <c r="DH364" s="485"/>
      <c r="DI364" s="485"/>
      <c r="DJ364" s="485"/>
      <c r="DK364" s="485"/>
      <c r="DL364" s="485"/>
      <c r="DM364" s="485"/>
      <c r="DN364" s="485"/>
      <c r="DO364" s="485"/>
      <c r="DP364" s="485"/>
      <c r="DQ364" s="485"/>
      <c r="DR364" s="485"/>
      <c r="DS364" s="485"/>
      <c r="DT364" s="485"/>
      <c r="DU364" s="485"/>
      <c r="DV364" s="485"/>
      <c r="DW364" s="485"/>
      <c r="DX364" s="485"/>
      <c r="DY364" s="485"/>
      <c r="DZ364" s="485"/>
      <c r="EA364" s="485"/>
      <c r="EB364" s="485"/>
      <c r="EC364" s="485"/>
      <c r="ED364" s="485"/>
      <c r="EE364" s="485"/>
      <c r="EF364" s="485"/>
      <c r="EG364" s="485"/>
      <c r="EH364" s="485"/>
      <c r="EI364" s="485"/>
      <c r="EJ364" s="485"/>
      <c r="EK364" s="485"/>
      <c r="EL364" s="485"/>
      <c r="EM364" s="485"/>
      <c r="EN364" s="485"/>
      <c r="EO364" s="485"/>
      <c r="EP364" s="485"/>
    </row>
    <row r="365" spans="1:146" ht="15.75">
      <c r="A365" s="468">
        <v>394</v>
      </c>
      <c r="B365" s="643" t="s">
        <v>393</v>
      </c>
      <c r="C365" s="653">
        <v>900</v>
      </c>
      <c r="D365" s="654">
        <v>657</v>
      </c>
      <c r="E365" s="439">
        <v>57.46</v>
      </c>
      <c r="F365" s="678">
        <f t="shared" si="99"/>
        <v>55.955469999999998</v>
      </c>
      <c r="G365" s="683">
        <v>2</v>
      </c>
      <c r="H365" s="682">
        <f t="shared" si="96"/>
        <v>15768</v>
      </c>
      <c r="I365" s="442">
        <v>55.07</v>
      </c>
      <c r="J365" s="442"/>
      <c r="K365" s="443">
        <v>0.9</v>
      </c>
      <c r="L365" s="627">
        <f t="shared" si="100"/>
        <v>1.8</v>
      </c>
      <c r="M365" s="627"/>
      <c r="N365" s="609">
        <v>657</v>
      </c>
      <c r="O365" s="610">
        <v>57.459637433442467</v>
      </c>
      <c r="P365" s="617" t="str">
        <f t="shared" si="101"/>
        <v>---</v>
      </c>
      <c r="Q365" s="617">
        <f t="shared" si="102"/>
        <v>-3.6256655753419409E-4</v>
      </c>
      <c r="R365" s="485"/>
      <c r="S365" s="624" t="str">
        <f t="shared" si="103"/>
        <v>OK</v>
      </c>
      <c r="T365" s="613">
        <f>IF(+'2012 Rates'!P596&lt;'2012 Rates'!$B$11,'2012 Rates'!$B$11,+'2012 Rates'!P596)</f>
        <v>61.45</v>
      </c>
      <c r="U365" s="447">
        <f t="shared" si="104"/>
        <v>9.8194689455740614E-2</v>
      </c>
      <c r="V365" s="485"/>
      <c r="W365" s="623">
        <f t="shared" si="105"/>
        <v>1474.8000000000002</v>
      </c>
      <c r="X365" s="442"/>
      <c r="Y365" s="485"/>
      <c r="Z365" s="485"/>
      <c r="AA365" s="485"/>
      <c r="AB365" s="485"/>
      <c r="AC365" s="485"/>
      <c r="AD365" s="485"/>
      <c r="AE365" s="485"/>
      <c r="AF365" s="485"/>
      <c r="AG365" s="485"/>
      <c r="AH365" s="485"/>
      <c r="AI365" s="485"/>
      <c r="AJ365" s="485"/>
      <c r="AK365" s="485"/>
      <c r="AL365" s="485"/>
      <c r="AM365" s="485"/>
      <c r="AN365" s="485"/>
      <c r="AO365" s="485"/>
      <c r="AP365" s="485"/>
      <c r="AQ365" s="485"/>
      <c r="AR365" s="485"/>
      <c r="AS365" s="485"/>
      <c r="AT365" s="485"/>
      <c r="AU365" s="485"/>
      <c r="AV365" s="485"/>
      <c r="AW365" s="485"/>
      <c r="AX365" s="485"/>
      <c r="AY365" s="485"/>
      <c r="AZ365" s="485"/>
      <c r="BA365" s="485"/>
      <c r="BB365" s="485"/>
      <c r="BC365" s="485"/>
      <c r="BD365" s="485"/>
      <c r="BE365" s="485"/>
      <c r="BF365" s="485"/>
      <c r="BG365" s="485"/>
      <c r="BH365" s="485"/>
      <c r="BI365" s="485"/>
      <c r="BJ365" s="485"/>
      <c r="BK365" s="485"/>
      <c r="BL365" s="485"/>
      <c r="BM365" s="485"/>
      <c r="BN365" s="485"/>
      <c r="BO365" s="485"/>
      <c r="BP365" s="485"/>
      <c r="BQ365" s="485"/>
      <c r="BR365" s="485"/>
      <c r="BS365" s="485"/>
      <c r="BT365" s="485"/>
      <c r="BU365" s="485"/>
      <c r="BV365" s="485"/>
      <c r="BW365" s="485"/>
      <c r="BX365" s="485"/>
      <c r="BY365" s="485"/>
      <c r="BZ365" s="485"/>
      <c r="CA365" s="485"/>
      <c r="CB365" s="485"/>
      <c r="CC365" s="485"/>
      <c r="CD365" s="485"/>
      <c r="CE365" s="485"/>
      <c r="CF365" s="485"/>
      <c r="CG365" s="485"/>
      <c r="CH365" s="485"/>
      <c r="CI365" s="485"/>
      <c r="CJ365" s="485"/>
      <c r="CK365" s="485"/>
      <c r="CL365" s="485"/>
      <c r="CM365" s="485"/>
      <c r="CN365" s="485"/>
      <c r="CO365" s="485"/>
      <c r="CP365" s="485"/>
      <c r="CQ365" s="485"/>
      <c r="CR365" s="485"/>
      <c r="CS365" s="485"/>
      <c r="CT365" s="485"/>
      <c r="CU365" s="485"/>
      <c r="CV365" s="485"/>
      <c r="CW365" s="485"/>
      <c r="CX365" s="485"/>
      <c r="CY365" s="485"/>
      <c r="CZ365" s="485"/>
      <c r="DA365" s="485"/>
      <c r="DB365" s="485"/>
      <c r="DC365" s="485"/>
      <c r="DD365" s="485"/>
      <c r="DE365" s="485"/>
      <c r="DF365" s="485"/>
      <c r="DG365" s="485"/>
      <c r="DH365" s="485"/>
      <c r="DI365" s="485"/>
      <c r="DJ365" s="485"/>
      <c r="DK365" s="485"/>
      <c r="DL365" s="485"/>
      <c r="DM365" s="485"/>
      <c r="DN365" s="485"/>
      <c r="DO365" s="485"/>
      <c r="DP365" s="485"/>
      <c r="DQ365" s="485"/>
      <c r="DR365" s="485"/>
      <c r="DS365" s="485"/>
      <c r="DT365" s="485"/>
      <c r="DU365" s="485"/>
      <c r="DV365" s="485"/>
      <c r="DW365" s="485"/>
      <c r="DX365" s="485"/>
      <c r="DY365" s="485"/>
      <c r="DZ365" s="485"/>
      <c r="EA365" s="485"/>
      <c r="EB365" s="485"/>
      <c r="EC365" s="485"/>
      <c r="ED365" s="485"/>
      <c r="EE365" s="485"/>
      <c r="EF365" s="485"/>
      <c r="EG365" s="485"/>
      <c r="EH365" s="485"/>
      <c r="EI365" s="485"/>
      <c r="EJ365" s="485"/>
      <c r="EK365" s="485"/>
      <c r="EL365" s="485"/>
      <c r="EM365" s="485"/>
      <c r="EN365" s="485"/>
      <c r="EO365" s="485"/>
      <c r="EP365" s="485"/>
    </row>
    <row r="366" spans="1:146" ht="15.75">
      <c r="A366" s="468">
        <v>395</v>
      </c>
      <c r="B366" s="643" t="s">
        <v>393</v>
      </c>
      <c r="C366" s="653">
        <f>12+125</f>
        <v>137</v>
      </c>
      <c r="D366" s="654">
        <v>47</v>
      </c>
      <c r="E366" s="439">
        <v>5.19</v>
      </c>
      <c r="F366" s="678">
        <f t="shared" si="99"/>
        <v>5.0823700000000001</v>
      </c>
      <c r="G366" s="683">
        <v>3</v>
      </c>
      <c r="H366" s="682">
        <f t="shared" si="96"/>
        <v>1692</v>
      </c>
      <c r="I366" s="442">
        <f t="shared" ref="I366:I388" si="106">+E366*G366*12</f>
        <v>186.84</v>
      </c>
      <c r="J366" s="442"/>
      <c r="K366" s="443">
        <v>0.13700000000000001</v>
      </c>
      <c r="L366" s="627">
        <f t="shared" si="100"/>
        <v>0.41100000000000003</v>
      </c>
      <c r="M366" s="627"/>
      <c r="N366" s="609">
        <v>47</v>
      </c>
      <c r="O366" s="610">
        <v>5.1881932410529634</v>
      </c>
      <c r="P366" s="617" t="str">
        <f t="shared" si="101"/>
        <v>---</v>
      </c>
      <c r="Q366" s="617">
        <f t="shared" si="102"/>
        <v>-1.8067589470369683E-3</v>
      </c>
      <c r="R366" s="485"/>
      <c r="S366" s="624" t="str">
        <f t="shared" si="103"/>
        <v>OK</v>
      </c>
      <c r="T366" s="613">
        <f>IF(+'2012 Rates'!O599&lt;'2012 Rates'!$B$11,'2012 Rates'!$B$11,+'2012 Rates'!O599)</f>
        <v>5.58</v>
      </c>
      <c r="U366" s="447">
        <f t="shared" si="104"/>
        <v>9.7912981542075839E-2</v>
      </c>
      <c r="V366" s="485"/>
      <c r="W366" s="623">
        <f t="shared" si="105"/>
        <v>200.88000000000002</v>
      </c>
      <c r="X366" s="442"/>
      <c r="Y366" s="485"/>
      <c r="Z366" s="485"/>
      <c r="AA366" s="485"/>
      <c r="AB366" s="485"/>
      <c r="AC366" s="485"/>
      <c r="AD366" s="485"/>
      <c r="AE366" s="485"/>
      <c r="AF366" s="485"/>
      <c r="AG366" s="485"/>
      <c r="AH366" s="485"/>
      <c r="AI366" s="485"/>
      <c r="AJ366" s="485"/>
      <c r="AK366" s="485"/>
      <c r="AL366" s="485"/>
      <c r="AM366" s="485"/>
      <c r="AN366" s="485"/>
      <c r="AO366" s="485"/>
      <c r="AP366" s="485"/>
      <c r="AQ366" s="485"/>
      <c r="AR366" s="485"/>
      <c r="AS366" s="485"/>
      <c r="AT366" s="485"/>
      <c r="AU366" s="485"/>
      <c r="AV366" s="485"/>
      <c r="AW366" s="485"/>
      <c r="AX366" s="485"/>
      <c r="AY366" s="485"/>
      <c r="AZ366" s="485"/>
      <c r="BA366" s="485"/>
      <c r="BB366" s="485"/>
      <c r="BC366" s="485"/>
      <c r="BD366" s="485"/>
      <c r="BE366" s="485"/>
      <c r="BF366" s="485"/>
      <c r="BG366" s="485"/>
      <c r="BH366" s="485"/>
      <c r="BI366" s="485"/>
      <c r="BJ366" s="485"/>
      <c r="BK366" s="485"/>
      <c r="BL366" s="485"/>
      <c r="BM366" s="485"/>
      <c r="BN366" s="485"/>
      <c r="BO366" s="485"/>
      <c r="BP366" s="485"/>
      <c r="BQ366" s="485"/>
      <c r="BR366" s="485"/>
      <c r="BS366" s="485"/>
      <c r="BT366" s="485"/>
      <c r="BU366" s="485"/>
      <c r="BV366" s="485"/>
      <c r="BW366" s="485"/>
      <c r="BX366" s="485"/>
      <c r="BY366" s="485"/>
      <c r="BZ366" s="485"/>
      <c r="CA366" s="485"/>
      <c r="CB366" s="485"/>
      <c r="CC366" s="485"/>
      <c r="CD366" s="485"/>
      <c r="CE366" s="485"/>
      <c r="CF366" s="485"/>
      <c r="CG366" s="485"/>
      <c r="CH366" s="485"/>
      <c r="CI366" s="485"/>
      <c r="CJ366" s="485"/>
      <c r="CK366" s="485"/>
      <c r="CL366" s="485"/>
      <c r="CM366" s="485"/>
      <c r="CN366" s="485"/>
      <c r="CO366" s="485"/>
      <c r="CP366" s="485"/>
      <c r="CQ366" s="485"/>
      <c r="CR366" s="485"/>
      <c r="CS366" s="485"/>
      <c r="CT366" s="485"/>
      <c r="CU366" s="485"/>
      <c r="CV366" s="485"/>
      <c r="CW366" s="485"/>
      <c r="CX366" s="485"/>
      <c r="CY366" s="485"/>
      <c r="CZ366" s="485"/>
      <c r="DA366" s="485"/>
      <c r="DB366" s="485"/>
      <c r="DC366" s="485"/>
      <c r="DD366" s="485"/>
      <c r="DE366" s="485"/>
      <c r="DF366" s="485"/>
      <c r="DG366" s="485"/>
      <c r="DH366" s="485"/>
      <c r="DI366" s="485"/>
      <c r="DJ366" s="485"/>
      <c r="DK366" s="485"/>
      <c r="DL366" s="485"/>
      <c r="DM366" s="485"/>
      <c r="DN366" s="485"/>
      <c r="DO366" s="485"/>
      <c r="DP366" s="485"/>
      <c r="DQ366" s="485"/>
      <c r="DR366" s="485"/>
      <c r="DS366" s="485"/>
      <c r="DT366" s="485"/>
      <c r="DU366" s="485"/>
      <c r="DV366" s="485"/>
      <c r="DW366" s="485"/>
      <c r="DX366" s="485"/>
      <c r="DY366" s="485"/>
      <c r="DZ366" s="485"/>
      <c r="EA366" s="485"/>
      <c r="EB366" s="485"/>
      <c r="EC366" s="485"/>
      <c r="ED366" s="485"/>
      <c r="EE366" s="485"/>
      <c r="EF366" s="485"/>
      <c r="EG366" s="485"/>
      <c r="EH366" s="485"/>
      <c r="EI366" s="485"/>
      <c r="EJ366" s="485"/>
      <c r="EK366" s="485"/>
      <c r="EL366" s="485"/>
      <c r="EM366" s="485"/>
      <c r="EN366" s="485"/>
      <c r="EO366" s="485"/>
      <c r="EP366" s="485"/>
    </row>
    <row r="367" spans="1:146" ht="15.75">
      <c r="A367" s="468">
        <v>396</v>
      </c>
      <c r="B367" s="643" t="s">
        <v>393</v>
      </c>
      <c r="C367" s="653">
        <v>124</v>
      </c>
      <c r="D367" s="654">
        <v>48</v>
      </c>
      <c r="E367" s="439">
        <v>5.07</v>
      </c>
      <c r="F367" s="678">
        <f t="shared" si="99"/>
        <v>4.9600800000000005</v>
      </c>
      <c r="G367" s="683">
        <v>1</v>
      </c>
      <c r="H367" s="682">
        <f t="shared" si="96"/>
        <v>576</v>
      </c>
      <c r="I367" s="442">
        <f t="shared" si="106"/>
        <v>60.84</v>
      </c>
      <c r="J367" s="442"/>
      <c r="K367" s="443">
        <v>0.124</v>
      </c>
      <c r="L367" s="627">
        <f t="shared" si="100"/>
        <v>0.124</v>
      </c>
      <c r="M367" s="627"/>
      <c r="N367" s="609">
        <v>48</v>
      </c>
      <c r="O367" s="610">
        <v>5.0732611823519624</v>
      </c>
      <c r="P367" s="617" t="str">
        <f t="shared" si="101"/>
        <v>---</v>
      </c>
      <c r="Q367" s="617">
        <f t="shared" si="102"/>
        <v>3.2611823519621552E-3</v>
      </c>
      <c r="R367" s="485"/>
      <c r="S367" s="624" t="str">
        <f t="shared" si="103"/>
        <v>OK</v>
      </c>
      <c r="T367" s="613">
        <f>IF(+'2012 Rates'!O602&lt;'2012 Rates'!$B$11,'2012 Rates'!$B$11,+'2012 Rates'!O602)</f>
        <v>5.45</v>
      </c>
      <c r="U367" s="447">
        <f t="shared" si="104"/>
        <v>9.877260044192826E-2</v>
      </c>
      <c r="V367" s="485"/>
      <c r="W367" s="623">
        <f t="shared" si="105"/>
        <v>65.400000000000006</v>
      </c>
      <c r="X367" s="442"/>
      <c r="Y367" s="485"/>
      <c r="Z367" s="485"/>
      <c r="AA367" s="485"/>
      <c r="AB367" s="485"/>
      <c r="AC367" s="485"/>
      <c r="AD367" s="485"/>
      <c r="AE367" s="485"/>
      <c r="AF367" s="485"/>
      <c r="AG367" s="485"/>
      <c r="AH367" s="485"/>
      <c r="AI367" s="485"/>
      <c r="AJ367" s="485"/>
      <c r="AK367" s="485"/>
      <c r="AL367" s="485"/>
      <c r="AM367" s="485"/>
      <c r="AN367" s="485"/>
      <c r="AO367" s="485"/>
      <c r="AP367" s="485"/>
      <c r="AQ367" s="485"/>
      <c r="AR367" s="485"/>
      <c r="AS367" s="485"/>
      <c r="AT367" s="485"/>
      <c r="AU367" s="485"/>
      <c r="AV367" s="485"/>
      <c r="AW367" s="485"/>
      <c r="AX367" s="485"/>
      <c r="AY367" s="485"/>
      <c r="AZ367" s="485"/>
      <c r="BA367" s="485"/>
      <c r="BB367" s="485"/>
      <c r="BC367" s="485"/>
      <c r="BD367" s="485"/>
      <c r="BE367" s="485"/>
      <c r="BF367" s="485"/>
      <c r="BG367" s="485"/>
      <c r="BH367" s="485"/>
      <c r="BI367" s="485"/>
      <c r="BJ367" s="485"/>
      <c r="BK367" s="485"/>
      <c r="BL367" s="485"/>
      <c r="BM367" s="485"/>
      <c r="BN367" s="485"/>
      <c r="BO367" s="485"/>
      <c r="BP367" s="485"/>
      <c r="BQ367" s="485"/>
      <c r="BR367" s="485"/>
      <c r="BS367" s="485"/>
      <c r="BT367" s="485"/>
      <c r="BU367" s="485"/>
      <c r="BV367" s="485"/>
      <c r="BW367" s="485"/>
      <c r="BX367" s="485"/>
      <c r="BY367" s="485"/>
      <c r="BZ367" s="485"/>
      <c r="CA367" s="485"/>
      <c r="CB367" s="485"/>
      <c r="CC367" s="485"/>
      <c r="CD367" s="485"/>
      <c r="CE367" s="485"/>
      <c r="CF367" s="485"/>
      <c r="CG367" s="485"/>
      <c r="CH367" s="485"/>
      <c r="CI367" s="485"/>
      <c r="CJ367" s="485"/>
      <c r="CK367" s="485"/>
      <c r="CL367" s="485"/>
      <c r="CM367" s="485"/>
      <c r="CN367" s="485"/>
      <c r="CO367" s="485"/>
      <c r="CP367" s="485"/>
      <c r="CQ367" s="485"/>
      <c r="CR367" s="485"/>
      <c r="CS367" s="485"/>
      <c r="CT367" s="485"/>
      <c r="CU367" s="485"/>
      <c r="CV367" s="485"/>
      <c r="CW367" s="485"/>
      <c r="CX367" s="485"/>
      <c r="CY367" s="485"/>
      <c r="CZ367" s="485"/>
      <c r="DA367" s="485"/>
      <c r="DB367" s="485"/>
      <c r="DC367" s="485"/>
      <c r="DD367" s="485"/>
      <c r="DE367" s="485"/>
      <c r="DF367" s="485"/>
      <c r="DG367" s="485"/>
      <c r="DH367" s="485"/>
      <c r="DI367" s="485"/>
      <c r="DJ367" s="485"/>
      <c r="DK367" s="485"/>
      <c r="DL367" s="485"/>
      <c r="DM367" s="485"/>
      <c r="DN367" s="485"/>
      <c r="DO367" s="485"/>
      <c r="DP367" s="485"/>
      <c r="DQ367" s="485"/>
      <c r="DR367" s="485"/>
      <c r="DS367" s="485"/>
      <c r="DT367" s="485"/>
      <c r="DU367" s="485"/>
      <c r="DV367" s="485"/>
      <c r="DW367" s="485"/>
      <c r="DX367" s="485"/>
      <c r="DY367" s="485"/>
      <c r="DZ367" s="485"/>
      <c r="EA367" s="485"/>
      <c r="EB367" s="485"/>
      <c r="EC367" s="485"/>
      <c r="ED367" s="485"/>
      <c r="EE367" s="485"/>
      <c r="EF367" s="485"/>
      <c r="EG367" s="485"/>
      <c r="EH367" s="485"/>
      <c r="EI367" s="485"/>
      <c r="EJ367" s="485"/>
      <c r="EK367" s="485"/>
      <c r="EL367" s="485"/>
      <c r="EM367" s="485"/>
      <c r="EN367" s="485"/>
      <c r="EO367" s="485"/>
      <c r="EP367" s="485"/>
    </row>
    <row r="368" spans="1:146" ht="15.75">
      <c r="A368" s="468">
        <v>397</v>
      </c>
      <c r="B368" s="643" t="s">
        <v>468</v>
      </c>
      <c r="C368" s="653"/>
      <c r="D368" s="654">
        <v>461</v>
      </c>
      <c r="E368" s="439">
        <v>70.12</v>
      </c>
      <c r="F368" s="678">
        <f t="shared" si="99"/>
        <v>69.064310000000006</v>
      </c>
      <c r="G368" s="683">
        <v>1</v>
      </c>
      <c r="H368" s="682">
        <v>5530</v>
      </c>
      <c r="I368" s="442">
        <f t="shared" si="106"/>
        <v>841.44</v>
      </c>
      <c r="J368" s="442"/>
      <c r="K368" s="443">
        <v>0</v>
      </c>
      <c r="L368" s="627">
        <f t="shared" si="100"/>
        <v>0</v>
      </c>
      <c r="M368" s="627"/>
      <c r="N368" s="609">
        <v>461</v>
      </c>
      <c r="O368" s="610">
        <v>70.116320938838641</v>
      </c>
      <c r="P368" s="617" t="str">
        <f t="shared" si="101"/>
        <v>---</v>
      </c>
      <c r="Q368" s="617">
        <f t="shared" si="102"/>
        <v>-3.6790611613639612E-3</v>
      </c>
      <c r="R368" s="485"/>
      <c r="S368" s="624" t="str">
        <f t="shared" si="103"/>
        <v>OK</v>
      </c>
      <c r="T368" s="613">
        <f>IF(+'2012 Rates'!G221&lt;'2012 Rates'!$B$11,'2012 Rates'!$B$11,+'2012 Rates'!G221)</f>
        <v>70.09</v>
      </c>
      <c r="U368" s="447">
        <f t="shared" si="104"/>
        <v>1.4851230686298011E-2</v>
      </c>
      <c r="V368" s="485" t="s">
        <v>342</v>
      </c>
      <c r="W368" s="623">
        <f t="shared" si="105"/>
        <v>841.08</v>
      </c>
      <c r="X368" s="442"/>
      <c r="Y368" s="485"/>
      <c r="Z368" s="485"/>
      <c r="AA368" s="485"/>
      <c r="AB368" s="485"/>
      <c r="AC368" s="485"/>
      <c r="AD368" s="485"/>
      <c r="AE368" s="485"/>
      <c r="AF368" s="485"/>
      <c r="AG368" s="485"/>
      <c r="AH368" s="485"/>
      <c r="AI368" s="485"/>
      <c r="AJ368" s="485"/>
      <c r="AK368" s="485"/>
      <c r="AL368" s="485"/>
      <c r="AM368" s="485"/>
      <c r="AN368" s="485"/>
      <c r="AO368" s="485"/>
      <c r="AP368" s="485"/>
      <c r="AQ368" s="485"/>
      <c r="AR368" s="485"/>
      <c r="AS368" s="485"/>
      <c r="AT368" s="485"/>
      <c r="AU368" s="485"/>
      <c r="AV368" s="485"/>
      <c r="AW368" s="485"/>
      <c r="AX368" s="485"/>
      <c r="AY368" s="485"/>
      <c r="AZ368" s="485"/>
      <c r="BA368" s="485"/>
      <c r="BB368" s="485"/>
      <c r="BC368" s="485"/>
      <c r="BD368" s="485"/>
      <c r="BE368" s="485"/>
      <c r="BF368" s="485"/>
      <c r="BG368" s="485"/>
      <c r="BH368" s="485"/>
      <c r="BI368" s="485"/>
      <c r="BJ368" s="485"/>
      <c r="BK368" s="485"/>
      <c r="BL368" s="485"/>
      <c r="BM368" s="485"/>
      <c r="BN368" s="485"/>
      <c r="BO368" s="485"/>
      <c r="BP368" s="485"/>
      <c r="BQ368" s="485"/>
      <c r="BR368" s="485"/>
      <c r="BS368" s="485"/>
      <c r="BT368" s="485"/>
      <c r="BU368" s="485"/>
      <c r="BV368" s="485"/>
      <c r="BW368" s="485"/>
      <c r="BX368" s="485"/>
      <c r="BY368" s="485"/>
      <c r="BZ368" s="485"/>
      <c r="CA368" s="485"/>
      <c r="CB368" s="485"/>
      <c r="CC368" s="485"/>
      <c r="CD368" s="485"/>
      <c r="CE368" s="485"/>
      <c r="CF368" s="485"/>
      <c r="CG368" s="485"/>
      <c r="CH368" s="485"/>
      <c r="CI368" s="485"/>
      <c r="CJ368" s="485"/>
      <c r="CK368" s="485"/>
      <c r="CL368" s="485"/>
      <c r="CM368" s="485"/>
      <c r="CN368" s="485"/>
      <c r="CO368" s="485"/>
      <c r="CP368" s="485"/>
      <c r="CQ368" s="485"/>
      <c r="CR368" s="485"/>
      <c r="CS368" s="485"/>
      <c r="CT368" s="485"/>
      <c r="CU368" s="485"/>
      <c r="CV368" s="485"/>
      <c r="CW368" s="485"/>
      <c r="CX368" s="485"/>
      <c r="CY368" s="485"/>
      <c r="CZ368" s="485"/>
      <c r="DA368" s="485"/>
      <c r="DB368" s="485"/>
      <c r="DC368" s="485"/>
      <c r="DD368" s="485"/>
      <c r="DE368" s="485"/>
      <c r="DF368" s="485"/>
      <c r="DG368" s="485"/>
      <c r="DH368" s="485"/>
      <c r="DI368" s="485"/>
      <c r="DJ368" s="485"/>
      <c r="DK368" s="485"/>
      <c r="DL368" s="485"/>
      <c r="DM368" s="485"/>
      <c r="DN368" s="485"/>
      <c r="DO368" s="485"/>
      <c r="DP368" s="485"/>
      <c r="DQ368" s="485"/>
      <c r="DR368" s="485"/>
      <c r="DS368" s="485"/>
      <c r="DT368" s="485"/>
      <c r="DU368" s="485"/>
      <c r="DV368" s="485"/>
      <c r="DW368" s="485"/>
      <c r="DX368" s="485"/>
      <c r="DY368" s="485"/>
      <c r="DZ368" s="485"/>
      <c r="EA368" s="485"/>
      <c r="EB368" s="485"/>
      <c r="EC368" s="485"/>
      <c r="ED368" s="485"/>
      <c r="EE368" s="485"/>
      <c r="EF368" s="485"/>
      <c r="EG368" s="485"/>
      <c r="EH368" s="485"/>
      <c r="EI368" s="485"/>
      <c r="EJ368" s="485"/>
      <c r="EK368" s="485"/>
      <c r="EL368" s="485"/>
      <c r="EM368" s="485"/>
      <c r="EN368" s="485"/>
      <c r="EO368" s="485"/>
      <c r="EP368" s="485"/>
    </row>
    <row r="369" spans="1:146" ht="15.75">
      <c r="A369" s="468">
        <v>398</v>
      </c>
      <c r="B369" s="643" t="s">
        <v>468</v>
      </c>
      <c r="C369" s="653"/>
      <c r="D369" s="654">
        <v>519</v>
      </c>
      <c r="E369" s="439">
        <v>76.95</v>
      </c>
      <c r="F369" s="678">
        <f t="shared" si="99"/>
        <v>75.761490000000009</v>
      </c>
      <c r="G369" s="683">
        <v>1</v>
      </c>
      <c r="H369" s="682">
        <v>6223</v>
      </c>
      <c r="I369" s="442">
        <f t="shared" si="106"/>
        <v>923.40000000000009</v>
      </c>
      <c r="J369" s="442"/>
      <c r="K369" s="443">
        <v>0</v>
      </c>
      <c r="L369" s="627">
        <f t="shared" ref="L369:L399" si="107">G369*K369</f>
        <v>0</v>
      </c>
      <c r="M369" s="627"/>
      <c r="N369" s="609">
        <v>519</v>
      </c>
      <c r="O369" s="610">
        <v>76.950261534180584</v>
      </c>
      <c r="P369" s="617" t="str">
        <f t="shared" ref="P369:P388" si="108">IF(N369=D369,"---",N369-D369)</f>
        <v>---</v>
      </c>
      <c r="Q369" s="617">
        <f t="shared" ref="Q369:Q388" si="109">IF(O369=E369,"---",O369-E369)</f>
        <v>2.6153418058072475E-4</v>
      </c>
      <c r="R369" s="485"/>
      <c r="S369" s="624" t="str">
        <f t="shared" ref="S369:S382" si="110">IF(N369=D369,"OK",N369)</f>
        <v>OK</v>
      </c>
      <c r="T369" s="613">
        <f>IF(+'2012 Rates'!G227&lt;'2012 Rates'!$B$11,'2012 Rates'!$B$11,+'2012 Rates'!G227)</f>
        <v>76.91</v>
      </c>
      <c r="U369" s="447">
        <f t="shared" si="104"/>
        <v>1.5159548736435768E-2</v>
      </c>
      <c r="V369" s="485" t="s">
        <v>342</v>
      </c>
      <c r="W369" s="623">
        <f t="shared" si="105"/>
        <v>922.92</v>
      </c>
      <c r="X369" s="442"/>
      <c r="Y369" s="485"/>
      <c r="Z369" s="485"/>
      <c r="AA369" s="485"/>
      <c r="AB369" s="485"/>
      <c r="AC369" s="485"/>
      <c r="AD369" s="485"/>
      <c r="AE369" s="485"/>
      <c r="AF369" s="485"/>
      <c r="AG369" s="485"/>
      <c r="AH369" s="485"/>
      <c r="AI369" s="485"/>
      <c r="AJ369" s="485"/>
      <c r="AK369" s="485"/>
      <c r="AL369" s="485"/>
      <c r="AM369" s="485"/>
      <c r="AN369" s="485"/>
      <c r="AO369" s="485"/>
      <c r="AP369" s="485"/>
      <c r="AQ369" s="485"/>
      <c r="AR369" s="485"/>
      <c r="AS369" s="485"/>
      <c r="AT369" s="485"/>
      <c r="AU369" s="485"/>
      <c r="AV369" s="485"/>
      <c r="AW369" s="485"/>
      <c r="AX369" s="485"/>
      <c r="AY369" s="485"/>
      <c r="AZ369" s="485"/>
      <c r="BA369" s="485"/>
      <c r="BB369" s="485"/>
      <c r="BC369" s="485"/>
      <c r="BD369" s="485"/>
      <c r="BE369" s="485"/>
      <c r="BF369" s="485"/>
      <c r="BG369" s="485"/>
      <c r="BH369" s="485"/>
      <c r="BI369" s="485"/>
      <c r="BJ369" s="485"/>
      <c r="BK369" s="485"/>
      <c r="BL369" s="485"/>
      <c r="BM369" s="485"/>
      <c r="BN369" s="485"/>
      <c r="BO369" s="485"/>
      <c r="BP369" s="485"/>
      <c r="BQ369" s="485"/>
      <c r="BR369" s="485"/>
      <c r="BS369" s="485"/>
      <c r="BT369" s="485"/>
      <c r="BU369" s="485"/>
      <c r="BV369" s="485"/>
      <c r="BW369" s="485"/>
      <c r="BX369" s="485"/>
      <c r="BY369" s="485"/>
      <c r="BZ369" s="485"/>
      <c r="CA369" s="485"/>
      <c r="CB369" s="485"/>
      <c r="CC369" s="485"/>
      <c r="CD369" s="485"/>
      <c r="CE369" s="485"/>
      <c r="CF369" s="485"/>
      <c r="CG369" s="485"/>
      <c r="CH369" s="485"/>
      <c r="CI369" s="485"/>
      <c r="CJ369" s="485"/>
      <c r="CK369" s="485"/>
      <c r="CL369" s="485"/>
      <c r="CM369" s="485"/>
      <c r="CN369" s="485"/>
      <c r="CO369" s="485"/>
      <c r="CP369" s="485"/>
      <c r="CQ369" s="485"/>
      <c r="CR369" s="485"/>
      <c r="CS369" s="485"/>
      <c r="CT369" s="485"/>
      <c r="CU369" s="485"/>
      <c r="CV369" s="485"/>
      <c r="CW369" s="485"/>
      <c r="CX369" s="485"/>
      <c r="CY369" s="485"/>
      <c r="CZ369" s="485"/>
      <c r="DA369" s="485"/>
      <c r="DB369" s="485"/>
      <c r="DC369" s="485"/>
      <c r="DD369" s="485"/>
      <c r="DE369" s="485"/>
      <c r="DF369" s="485"/>
      <c r="DG369" s="485"/>
      <c r="DH369" s="485"/>
      <c r="DI369" s="485"/>
      <c r="DJ369" s="485"/>
      <c r="DK369" s="485"/>
      <c r="DL369" s="485"/>
      <c r="DM369" s="485"/>
      <c r="DN369" s="485"/>
      <c r="DO369" s="485"/>
      <c r="DP369" s="485"/>
      <c r="DQ369" s="485"/>
      <c r="DR369" s="485"/>
      <c r="DS369" s="485"/>
      <c r="DT369" s="485"/>
      <c r="DU369" s="485"/>
      <c r="DV369" s="485"/>
      <c r="DW369" s="485"/>
      <c r="DX369" s="485"/>
      <c r="DY369" s="485"/>
      <c r="DZ369" s="485"/>
      <c r="EA369" s="485"/>
      <c r="EB369" s="485"/>
      <c r="EC369" s="485"/>
      <c r="ED369" s="485"/>
      <c r="EE369" s="485"/>
      <c r="EF369" s="485"/>
      <c r="EG369" s="485"/>
      <c r="EH369" s="485"/>
      <c r="EI369" s="485"/>
      <c r="EJ369" s="485"/>
      <c r="EK369" s="485"/>
      <c r="EL369" s="485"/>
      <c r="EM369" s="485"/>
      <c r="EN369" s="485"/>
      <c r="EO369" s="485"/>
      <c r="EP369" s="485"/>
    </row>
    <row r="370" spans="1:146" ht="15.75">
      <c r="A370" s="468">
        <v>353</v>
      </c>
      <c r="B370" s="643" t="s">
        <v>393</v>
      </c>
      <c r="C370" s="653">
        <v>1100</v>
      </c>
      <c r="D370" s="654">
        <v>403</v>
      </c>
      <c r="E370" s="439">
        <v>45.14</v>
      </c>
      <c r="F370" s="678">
        <f t="shared" si="99"/>
        <v>44.217129999999997</v>
      </c>
      <c r="G370" s="683">
        <v>1</v>
      </c>
      <c r="H370" s="682">
        <f t="shared" ref="H370:H388" si="111">+D370*G370*12</f>
        <v>4836</v>
      </c>
      <c r="I370" s="442">
        <f t="shared" si="106"/>
        <v>541.68000000000006</v>
      </c>
      <c r="J370" s="442"/>
      <c r="K370" s="443">
        <v>1.21</v>
      </c>
      <c r="L370" s="627">
        <f t="shared" si="107"/>
        <v>1.21</v>
      </c>
      <c r="M370" s="627"/>
      <c r="N370" s="609">
        <v>403</v>
      </c>
      <c r="O370" s="610">
        <v>45.142380343496676</v>
      </c>
      <c r="P370" s="617" t="str">
        <f t="shared" si="108"/>
        <v>---</v>
      </c>
      <c r="Q370" s="617">
        <f t="shared" si="109"/>
        <v>2.3803434966751524E-3</v>
      </c>
      <c r="R370" s="485"/>
      <c r="S370" s="624" t="str">
        <f t="shared" si="110"/>
        <v>OK</v>
      </c>
      <c r="T370" s="613">
        <f>IF(+'2012 Rates'!O605&lt;'2012 Rates'!$B$11,'2012 Rates'!$B$11,+'2012 Rates'!O605)</f>
        <v>48.570000000000007</v>
      </c>
      <c r="U370" s="447">
        <f t="shared" si="104"/>
        <v>9.8443069461993771E-2</v>
      </c>
      <c r="V370" s="485"/>
      <c r="W370" s="623">
        <f t="shared" si="105"/>
        <v>582.84000000000015</v>
      </c>
      <c r="X370" s="442"/>
      <c r="Y370" s="485"/>
      <c r="Z370" s="485"/>
      <c r="AA370" s="485"/>
      <c r="AB370" s="485"/>
      <c r="AC370" s="485"/>
      <c r="AD370" s="485"/>
      <c r="AE370" s="485"/>
      <c r="AF370" s="485"/>
      <c r="AG370" s="485"/>
      <c r="AH370" s="485"/>
      <c r="AI370" s="485"/>
      <c r="AJ370" s="485"/>
      <c r="AK370" s="485"/>
      <c r="AL370" s="485"/>
      <c r="AM370" s="485"/>
      <c r="AN370" s="485"/>
      <c r="AO370" s="485"/>
      <c r="AP370" s="485"/>
      <c r="AQ370" s="485"/>
      <c r="AR370" s="485"/>
      <c r="AS370" s="485"/>
      <c r="AT370" s="485"/>
      <c r="AU370" s="485"/>
      <c r="AV370" s="485"/>
      <c r="AW370" s="485"/>
      <c r="AX370" s="485"/>
      <c r="AY370" s="485"/>
      <c r="AZ370" s="485"/>
      <c r="BA370" s="485"/>
      <c r="BB370" s="485"/>
      <c r="BC370" s="485"/>
      <c r="BD370" s="485"/>
      <c r="BE370" s="485"/>
      <c r="BF370" s="485"/>
      <c r="BG370" s="485"/>
      <c r="BH370" s="485"/>
      <c r="BI370" s="485"/>
      <c r="BJ370" s="485"/>
      <c r="BK370" s="485"/>
      <c r="BL370" s="485"/>
      <c r="BM370" s="485"/>
      <c r="BN370" s="485"/>
      <c r="BO370" s="485"/>
      <c r="BP370" s="485"/>
      <c r="BQ370" s="485"/>
      <c r="BR370" s="485"/>
      <c r="BS370" s="485"/>
      <c r="BT370" s="485"/>
      <c r="BU370" s="485"/>
      <c r="BV370" s="485"/>
      <c r="BW370" s="485"/>
      <c r="BX370" s="485"/>
      <c r="BY370" s="485"/>
      <c r="BZ370" s="485"/>
      <c r="CA370" s="485"/>
      <c r="CB370" s="485"/>
      <c r="CC370" s="485"/>
      <c r="CD370" s="485"/>
      <c r="CE370" s="485"/>
      <c r="CF370" s="485"/>
      <c r="CG370" s="485"/>
      <c r="CH370" s="485"/>
      <c r="CI370" s="485"/>
      <c r="CJ370" s="485"/>
      <c r="CK370" s="485"/>
      <c r="CL370" s="485"/>
      <c r="CM370" s="485"/>
      <c r="CN370" s="485"/>
      <c r="CO370" s="485"/>
      <c r="CP370" s="485"/>
      <c r="CQ370" s="485"/>
      <c r="CR370" s="485"/>
      <c r="CS370" s="485"/>
      <c r="CT370" s="485"/>
      <c r="CU370" s="485"/>
      <c r="CV370" s="485"/>
      <c r="CW370" s="485"/>
      <c r="CX370" s="485"/>
      <c r="CY370" s="485"/>
      <c r="CZ370" s="485"/>
      <c r="DA370" s="485"/>
      <c r="DB370" s="485"/>
      <c r="DC370" s="485"/>
      <c r="DD370" s="485"/>
      <c r="DE370" s="485"/>
      <c r="DF370" s="485"/>
      <c r="DG370" s="485"/>
      <c r="DH370" s="485"/>
      <c r="DI370" s="485"/>
      <c r="DJ370" s="485"/>
      <c r="DK370" s="485"/>
      <c r="DL370" s="485"/>
      <c r="DM370" s="485"/>
      <c r="DN370" s="485"/>
      <c r="DO370" s="485"/>
      <c r="DP370" s="485"/>
      <c r="DQ370" s="485"/>
      <c r="DR370" s="485"/>
      <c r="DS370" s="485"/>
      <c r="DT370" s="485"/>
      <c r="DU370" s="485"/>
      <c r="DV370" s="485"/>
      <c r="DW370" s="485"/>
      <c r="DX370" s="485"/>
      <c r="DY370" s="485"/>
      <c r="DZ370" s="485"/>
      <c r="EA370" s="485"/>
      <c r="EB370" s="485"/>
      <c r="EC370" s="485"/>
      <c r="ED370" s="485"/>
      <c r="EE370" s="485"/>
      <c r="EF370" s="485"/>
      <c r="EG370" s="485"/>
      <c r="EH370" s="485"/>
      <c r="EI370" s="485"/>
      <c r="EJ370" s="485"/>
      <c r="EK370" s="485"/>
      <c r="EL370" s="485"/>
      <c r="EM370" s="485"/>
      <c r="EN370" s="485"/>
      <c r="EO370" s="485"/>
      <c r="EP370" s="485"/>
    </row>
    <row r="371" spans="1:146" ht="15.75">
      <c r="A371" s="468">
        <v>387</v>
      </c>
      <c r="B371" s="643" t="s">
        <v>403</v>
      </c>
      <c r="C371" s="653">
        <v>810</v>
      </c>
      <c r="D371" s="654">
        <v>540</v>
      </c>
      <c r="E371" s="439">
        <v>48.29</v>
      </c>
      <c r="F371" s="678">
        <f t="shared" si="99"/>
        <v>47.053399999999996</v>
      </c>
      <c r="G371" s="683">
        <v>55</v>
      </c>
      <c r="H371" s="682">
        <f t="shared" si="111"/>
        <v>356400</v>
      </c>
      <c r="I371" s="442">
        <f t="shared" si="106"/>
        <v>31871.399999999998</v>
      </c>
      <c r="J371" s="442"/>
      <c r="K371" s="443">
        <v>0.81</v>
      </c>
      <c r="L371" s="627">
        <f t="shared" si="107"/>
        <v>44.550000000000004</v>
      </c>
      <c r="M371" s="627">
        <f>L371</f>
        <v>44.550000000000004</v>
      </c>
      <c r="N371" s="609">
        <v>540</v>
      </c>
      <c r="O371" s="610">
        <v>48.286688301459563</v>
      </c>
      <c r="P371" s="617" t="str">
        <f t="shared" si="108"/>
        <v>---</v>
      </c>
      <c r="Q371" s="617">
        <f t="shared" si="109"/>
        <v>-3.3116985404362254E-3</v>
      </c>
      <c r="R371" s="485"/>
      <c r="S371" s="624" t="str">
        <f t="shared" si="110"/>
        <v>OK</v>
      </c>
      <c r="T371" s="613">
        <f>IF(+'2012 Rates'!P608&lt;'2012 Rates'!$B$11,'2012 Rates'!$B$11,+'2012 Rates'!P608)</f>
        <v>51.660000000000004</v>
      </c>
      <c r="U371" s="447">
        <f t="shared" si="104"/>
        <v>9.7901533151695919E-2</v>
      </c>
      <c r="V371" s="485"/>
      <c r="W371" s="623">
        <f t="shared" si="105"/>
        <v>34095.600000000006</v>
      </c>
      <c r="X371" s="442"/>
      <c r="Y371" s="485"/>
      <c r="Z371" s="485"/>
      <c r="AA371" s="485"/>
      <c r="AB371" s="485"/>
      <c r="AC371" s="485"/>
      <c r="AD371" s="485"/>
      <c r="AE371" s="485"/>
      <c r="AF371" s="485"/>
      <c r="AG371" s="485"/>
      <c r="AH371" s="485"/>
      <c r="AI371" s="485"/>
      <c r="AJ371" s="485"/>
      <c r="AK371" s="485"/>
      <c r="AL371" s="485"/>
      <c r="AM371" s="485"/>
      <c r="AN371" s="485"/>
      <c r="AO371" s="485"/>
      <c r="AP371" s="485"/>
      <c r="AQ371" s="485"/>
      <c r="AR371" s="485"/>
      <c r="AS371" s="485"/>
      <c r="AT371" s="485"/>
      <c r="AU371" s="485"/>
      <c r="AV371" s="485"/>
      <c r="AW371" s="485"/>
      <c r="AX371" s="485"/>
      <c r="AY371" s="485"/>
      <c r="AZ371" s="485"/>
      <c r="BA371" s="485"/>
      <c r="BB371" s="485"/>
      <c r="BC371" s="485"/>
      <c r="BD371" s="485"/>
      <c r="BE371" s="485"/>
      <c r="BF371" s="485"/>
      <c r="BG371" s="485"/>
      <c r="BH371" s="485"/>
      <c r="BI371" s="485"/>
      <c r="BJ371" s="485"/>
      <c r="BK371" s="485"/>
      <c r="BL371" s="485"/>
      <c r="BM371" s="485"/>
      <c r="BN371" s="485"/>
      <c r="BO371" s="485"/>
      <c r="BP371" s="485"/>
      <c r="BQ371" s="485"/>
      <c r="BR371" s="485"/>
      <c r="BS371" s="485"/>
      <c r="BT371" s="485"/>
      <c r="BU371" s="485"/>
      <c r="BV371" s="485"/>
      <c r="BW371" s="485"/>
      <c r="BX371" s="485"/>
      <c r="BY371" s="485"/>
      <c r="BZ371" s="485"/>
      <c r="CA371" s="485"/>
      <c r="CB371" s="485"/>
      <c r="CC371" s="485"/>
      <c r="CD371" s="485"/>
      <c r="CE371" s="485"/>
      <c r="CF371" s="485"/>
      <c r="CG371" s="485"/>
      <c r="CH371" s="485"/>
      <c r="CI371" s="485"/>
      <c r="CJ371" s="485"/>
      <c r="CK371" s="485"/>
      <c r="CL371" s="485"/>
      <c r="CM371" s="485"/>
      <c r="CN371" s="485"/>
      <c r="CO371" s="485"/>
      <c r="CP371" s="485"/>
      <c r="CQ371" s="485"/>
      <c r="CR371" s="485"/>
      <c r="CS371" s="485"/>
      <c r="CT371" s="485"/>
      <c r="CU371" s="485"/>
      <c r="CV371" s="485"/>
      <c r="CW371" s="485"/>
      <c r="CX371" s="485"/>
      <c r="CY371" s="485"/>
      <c r="CZ371" s="485"/>
      <c r="DA371" s="485"/>
      <c r="DB371" s="485"/>
      <c r="DC371" s="485"/>
      <c r="DD371" s="485"/>
      <c r="DE371" s="485"/>
      <c r="DF371" s="485"/>
      <c r="DG371" s="485"/>
      <c r="DH371" s="485"/>
      <c r="DI371" s="485"/>
      <c r="DJ371" s="485"/>
      <c r="DK371" s="485"/>
      <c r="DL371" s="485"/>
      <c r="DM371" s="485"/>
      <c r="DN371" s="485"/>
      <c r="DO371" s="485"/>
      <c r="DP371" s="485"/>
      <c r="DQ371" s="485"/>
      <c r="DR371" s="485"/>
      <c r="DS371" s="485"/>
      <c r="DT371" s="485"/>
      <c r="DU371" s="485"/>
      <c r="DV371" s="485"/>
      <c r="DW371" s="485"/>
      <c r="DX371" s="485"/>
      <c r="DY371" s="485"/>
      <c r="DZ371" s="485"/>
      <c r="EA371" s="485"/>
      <c r="EB371" s="485"/>
      <c r="EC371" s="485"/>
      <c r="ED371" s="485"/>
      <c r="EE371" s="485"/>
      <c r="EF371" s="485"/>
      <c r="EG371" s="485"/>
      <c r="EH371" s="485"/>
      <c r="EI371" s="485"/>
      <c r="EJ371" s="485"/>
      <c r="EK371" s="485"/>
      <c r="EL371" s="485"/>
      <c r="EM371" s="485"/>
      <c r="EN371" s="485"/>
      <c r="EO371" s="485"/>
      <c r="EP371" s="485"/>
    </row>
    <row r="372" spans="1:146" ht="15.75">
      <c r="A372" s="468">
        <v>378</v>
      </c>
      <c r="B372" s="643" t="s">
        <v>403</v>
      </c>
      <c r="C372" s="653">
        <v>1031</v>
      </c>
      <c r="D372" s="654">
        <v>700</v>
      </c>
      <c r="E372" s="439">
        <v>62.31</v>
      </c>
      <c r="F372" s="678">
        <f t="shared" si="99"/>
        <v>60.707000000000001</v>
      </c>
      <c r="G372" s="683">
        <v>78</v>
      </c>
      <c r="H372" s="682">
        <f t="shared" si="111"/>
        <v>655200</v>
      </c>
      <c r="I372" s="442">
        <f t="shared" si="106"/>
        <v>58322.16</v>
      </c>
      <c r="J372" s="442"/>
      <c r="K372" s="443">
        <v>1.0309999999999999</v>
      </c>
      <c r="L372" s="627">
        <f t="shared" si="107"/>
        <v>80.417999999999992</v>
      </c>
      <c r="M372" s="627">
        <f>L372</f>
        <v>80.417999999999992</v>
      </c>
      <c r="N372" s="609">
        <v>700</v>
      </c>
      <c r="O372" s="610">
        <v>62.307558909299445</v>
      </c>
      <c r="P372" s="617" t="str">
        <f t="shared" si="108"/>
        <v>---</v>
      </c>
      <c r="Q372" s="617">
        <f t="shared" si="109"/>
        <v>-2.4410907005574245E-3</v>
      </c>
      <c r="R372" s="485"/>
      <c r="S372" s="624" t="str">
        <f t="shared" si="110"/>
        <v>OK</v>
      </c>
      <c r="T372" s="613">
        <f>IF(+'2012 Rates'!P612&lt;'2012 Rates'!$B$11,'2012 Rates'!$B$11,+'2012 Rates'!P612)</f>
        <v>66.650000000000006</v>
      </c>
      <c r="U372" s="447">
        <f t="shared" si="104"/>
        <v>9.7896453456767896E-2</v>
      </c>
      <c r="V372" s="485"/>
      <c r="W372" s="623">
        <f t="shared" si="105"/>
        <v>62384.400000000009</v>
      </c>
      <c r="X372" s="442"/>
      <c r="Y372" s="485"/>
      <c r="Z372" s="485"/>
      <c r="AA372" s="485"/>
      <c r="AB372" s="485"/>
      <c r="AC372" s="485"/>
      <c r="AD372" s="485"/>
      <c r="AE372" s="485"/>
      <c r="AF372" s="485"/>
      <c r="AG372" s="485"/>
      <c r="AH372" s="485"/>
      <c r="AI372" s="485"/>
      <c r="AJ372" s="485"/>
      <c r="AK372" s="485"/>
      <c r="AL372" s="485"/>
      <c r="AM372" s="485"/>
      <c r="AN372" s="485"/>
      <c r="AO372" s="485"/>
      <c r="AP372" s="485"/>
      <c r="AQ372" s="485"/>
      <c r="AR372" s="485"/>
      <c r="AS372" s="485"/>
      <c r="AT372" s="485"/>
      <c r="AU372" s="485"/>
      <c r="AV372" s="485"/>
      <c r="AW372" s="485"/>
      <c r="AX372" s="485"/>
      <c r="AY372" s="485"/>
      <c r="AZ372" s="485"/>
      <c r="BA372" s="485"/>
      <c r="BB372" s="485"/>
      <c r="BC372" s="485"/>
      <c r="BD372" s="485"/>
      <c r="BE372" s="485"/>
      <c r="BF372" s="485"/>
      <c r="BG372" s="485"/>
      <c r="BH372" s="485"/>
      <c r="BI372" s="485"/>
      <c r="BJ372" s="485"/>
      <c r="BK372" s="485"/>
      <c r="BL372" s="485"/>
      <c r="BM372" s="485"/>
      <c r="BN372" s="485"/>
      <c r="BO372" s="485"/>
      <c r="BP372" s="485"/>
      <c r="BQ372" s="485"/>
      <c r="BR372" s="485"/>
      <c r="BS372" s="485"/>
      <c r="BT372" s="485"/>
      <c r="BU372" s="485"/>
      <c r="BV372" s="485"/>
      <c r="BW372" s="485"/>
      <c r="BX372" s="485"/>
      <c r="BY372" s="485"/>
      <c r="BZ372" s="485"/>
      <c r="CA372" s="485"/>
      <c r="CB372" s="485"/>
      <c r="CC372" s="485"/>
      <c r="CD372" s="485"/>
      <c r="CE372" s="485"/>
      <c r="CF372" s="485"/>
      <c r="CG372" s="485"/>
      <c r="CH372" s="485"/>
      <c r="CI372" s="485"/>
      <c r="CJ372" s="485"/>
      <c r="CK372" s="485"/>
      <c r="CL372" s="485"/>
      <c r="CM372" s="485"/>
      <c r="CN372" s="485"/>
      <c r="CO372" s="485"/>
      <c r="CP372" s="485"/>
      <c r="CQ372" s="485"/>
      <c r="CR372" s="485"/>
      <c r="CS372" s="485"/>
      <c r="CT372" s="485"/>
      <c r="CU372" s="485"/>
      <c r="CV372" s="485"/>
      <c r="CW372" s="485"/>
      <c r="CX372" s="485"/>
      <c r="CY372" s="485"/>
      <c r="CZ372" s="485"/>
      <c r="DA372" s="485"/>
      <c r="DB372" s="485"/>
      <c r="DC372" s="485"/>
      <c r="DD372" s="485"/>
      <c r="DE372" s="485"/>
      <c r="DF372" s="485"/>
      <c r="DG372" s="485"/>
      <c r="DH372" s="485"/>
      <c r="DI372" s="485"/>
      <c r="DJ372" s="485"/>
      <c r="DK372" s="485"/>
      <c r="DL372" s="485"/>
      <c r="DM372" s="485"/>
      <c r="DN372" s="485"/>
      <c r="DO372" s="485"/>
      <c r="DP372" s="485"/>
      <c r="DQ372" s="485"/>
      <c r="DR372" s="485"/>
      <c r="DS372" s="485"/>
      <c r="DT372" s="485"/>
      <c r="DU372" s="485"/>
      <c r="DV372" s="485"/>
      <c r="DW372" s="485"/>
      <c r="DX372" s="485"/>
      <c r="DY372" s="485"/>
      <c r="DZ372" s="485"/>
      <c r="EA372" s="485"/>
      <c r="EB372" s="485"/>
      <c r="EC372" s="485"/>
      <c r="ED372" s="485"/>
      <c r="EE372" s="485"/>
      <c r="EF372" s="485"/>
      <c r="EG372" s="485"/>
      <c r="EH372" s="485"/>
      <c r="EI372" s="485"/>
      <c r="EJ372" s="485"/>
      <c r="EK372" s="485"/>
      <c r="EL372" s="485"/>
      <c r="EM372" s="485"/>
      <c r="EN372" s="485"/>
      <c r="EO372" s="485"/>
      <c r="EP372" s="485"/>
    </row>
    <row r="373" spans="1:146" ht="15.75">
      <c r="A373" s="468">
        <v>1095</v>
      </c>
      <c r="B373" s="643" t="s">
        <v>393</v>
      </c>
      <c r="C373" s="653">
        <v>690</v>
      </c>
      <c r="D373" s="654">
        <v>304</v>
      </c>
      <c r="E373" s="439">
        <v>34.07</v>
      </c>
      <c r="F373" s="678">
        <f t="shared" si="99"/>
        <v>33.373840000000001</v>
      </c>
      <c r="G373" s="683">
        <v>1</v>
      </c>
      <c r="H373" s="682">
        <f t="shared" si="111"/>
        <v>3648</v>
      </c>
      <c r="I373" s="442">
        <f t="shared" si="106"/>
        <v>408.84000000000003</v>
      </c>
      <c r="J373" s="442"/>
      <c r="K373" s="443">
        <v>0.91300000000000003</v>
      </c>
      <c r="L373" s="627">
        <f t="shared" si="107"/>
        <v>0.91300000000000003</v>
      </c>
      <c r="M373" s="627">
        <f>L373</f>
        <v>0.91300000000000003</v>
      </c>
      <c r="N373" s="609">
        <v>304</v>
      </c>
      <c r="O373" s="610">
        <v>34.070654154895756</v>
      </c>
      <c r="P373" s="617" t="str">
        <f t="shared" si="108"/>
        <v>---</v>
      </c>
      <c r="Q373" s="617">
        <f t="shared" si="109"/>
        <v>6.5415489575570973E-4</v>
      </c>
      <c r="R373" s="485"/>
      <c r="S373" s="624" t="str">
        <f t="shared" si="110"/>
        <v>OK</v>
      </c>
      <c r="T373" s="613">
        <f>IF(+'2012 Rates'!O616&lt;'2012 Rates'!$B$11,'2012 Rates'!$B$11,+'2012 Rates'!O616)</f>
        <v>36.65</v>
      </c>
      <c r="U373" s="447">
        <f t="shared" si="104"/>
        <v>9.8165509273131279E-2</v>
      </c>
      <c r="V373" s="485"/>
      <c r="W373" s="623">
        <f t="shared" si="105"/>
        <v>439.79999999999995</v>
      </c>
      <c r="X373" s="442"/>
      <c r="Y373" s="485"/>
      <c r="Z373" s="485"/>
      <c r="AA373" s="485"/>
      <c r="AB373" s="485"/>
      <c r="AC373" s="485"/>
      <c r="AD373" s="485"/>
      <c r="AE373" s="485"/>
      <c r="AF373" s="485"/>
      <c r="AG373" s="485"/>
      <c r="AH373" s="485"/>
      <c r="AI373" s="485"/>
      <c r="AJ373" s="485"/>
      <c r="AK373" s="485"/>
      <c r="AL373" s="485"/>
      <c r="AM373" s="485"/>
      <c r="AN373" s="485"/>
      <c r="AO373" s="485"/>
      <c r="AP373" s="485"/>
      <c r="AQ373" s="485"/>
      <c r="AR373" s="485"/>
      <c r="AS373" s="485"/>
      <c r="AT373" s="485"/>
      <c r="AU373" s="485"/>
      <c r="AV373" s="485"/>
      <c r="AW373" s="485"/>
      <c r="AX373" s="485"/>
      <c r="AY373" s="485"/>
      <c r="AZ373" s="485"/>
      <c r="BA373" s="485"/>
      <c r="BB373" s="485"/>
      <c r="BC373" s="485"/>
      <c r="BD373" s="485"/>
      <c r="BE373" s="485"/>
      <c r="BF373" s="485"/>
      <c r="BG373" s="485"/>
      <c r="BH373" s="485"/>
      <c r="BI373" s="485"/>
      <c r="BJ373" s="485"/>
      <c r="BK373" s="485"/>
      <c r="BL373" s="485"/>
      <c r="BM373" s="485"/>
      <c r="BN373" s="485"/>
      <c r="BO373" s="485"/>
      <c r="BP373" s="485"/>
      <c r="BQ373" s="485"/>
      <c r="BR373" s="485"/>
      <c r="BS373" s="485"/>
      <c r="BT373" s="485"/>
      <c r="BU373" s="485"/>
      <c r="BV373" s="485"/>
      <c r="BW373" s="485"/>
      <c r="BX373" s="485"/>
      <c r="BY373" s="485"/>
      <c r="BZ373" s="485"/>
      <c r="CA373" s="485"/>
      <c r="CB373" s="485"/>
      <c r="CC373" s="485"/>
      <c r="CD373" s="485"/>
      <c r="CE373" s="485"/>
      <c r="CF373" s="485"/>
      <c r="CG373" s="485"/>
      <c r="CH373" s="485"/>
      <c r="CI373" s="485"/>
      <c r="CJ373" s="485"/>
      <c r="CK373" s="485"/>
      <c r="CL373" s="485"/>
      <c r="CM373" s="485"/>
      <c r="CN373" s="485"/>
      <c r="CO373" s="485"/>
      <c r="CP373" s="485"/>
      <c r="CQ373" s="485"/>
      <c r="CR373" s="485"/>
      <c r="CS373" s="485"/>
      <c r="CT373" s="485"/>
      <c r="CU373" s="485"/>
      <c r="CV373" s="485"/>
      <c r="CW373" s="485"/>
      <c r="CX373" s="485"/>
      <c r="CY373" s="485"/>
      <c r="CZ373" s="485"/>
      <c r="DA373" s="485"/>
      <c r="DB373" s="485"/>
      <c r="DC373" s="485"/>
      <c r="DD373" s="485"/>
      <c r="DE373" s="485"/>
      <c r="DF373" s="485"/>
      <c r="DG373" s="485"/>
      <c r="DH373" s="485"/>
      <c r="DI373" s="485"/>
      <c r="DJ373" s="485"/>
      <c r="DK373" s="485"/>
      <c r="DL373" s="485"/>
      <c r="DM373" s="485"/>
      <c r="DN373" s="485"/>
      <c r="DO373" s="485"/>
      <c r="DP373" s="485"/>
      <c r="DQ373" s="485"/>
      <c r="DR373" s="485"/>
      <c r="DS373" s="485"/>
      <c r="DT373" s="485"/>
      <c r="DU373" s="485"/>
      <c r="DV373" s="485"/>
      <c r="DW373" s="485"/>
      <c r="DX373" s="485"/>
      <c r="DY373" s="485"/>
      <c r="DZ373" s="485"/>
      <c r="EA373" s="485"/>
      <c r="EB373" s="485"/>
      <c r="EC373" s="485"/>
      <c r="ED373" s="485"/>
      <c r="EE373" s="485"/>
      <c r="EF373" s="485"/>
      <c r="EG373" s="485"/>
      <c r="EH373" s="485"/>
      <c r="EI373" s="485"/>
      <c r="EJ373" s="485"/>
      <c r="EK373" s="485"/>
      <c r="EL373" s="485"/>
      <c r="EM373" s="485"/>
      <c r="EN373" s="485"/>
      <c r="EO373" s="485"/>
      <c r="EP373" s="485"/>
    </row>
    <row r="374" spans="1:146" ht="15.75">
      <c r="A374" s="468">
        <v>1096</v>
      </c>
      <c r="B374" s="643" t="s">
        <v>393</v>
      </c>
      <c r="C374" s="653">
        <v>2165</v>
      </c>
      <c r="D374" s="654">
        <v>866</v>
      </c>
      <c r="E374" s="439">
        <v>97</v>
      </c>
      <c r="F374" s="678">
        <f t="shared" si="99"/>
        <v>95.016859999999994</v>
      </c>
      <c r="G374" s="683">
        <v>1</v>
      </c>
      <c r="H374" s="682">
        <f t="shared" si="111"/>
        <v>10392</v>
      </c>
      <c r="I374" s="442">
        <f t="shared" si="106"/>
        <v>1164</v>
      </c>
      <c r="J374" s="442"/>
      <c r="K374" s="443">
        <v>2.5979999999999999</v>
      </c>
      <c r="L374" s="627">
        <f t="shared" si="107"/>
        <v>2.5979999999999999</v>
      </c>
      <c r="M374" s="627">
        <f>L374</f>
        <v>2.5979999999999999</v>
      </c>
      <c r="N374" s="609">
        <v>866</v>
      </c>
      <c r="O374" s="610">
        <v>96.99883716493332</v>
      </c>
      <c r="P374" s="617" t="str">
        <f t="shared" si="108"/>
        <v>---</v>
      </c>
      <c r="Q374" s="617">
        <f t="shared" si="109"/>
        <v>-1.1628350666796905E-3</v>
      </c>
      <c r="R374" s="485"/>
      <c r="S374" s="624" t="str">
        <f t="shared" si="110"/>
        <v>OK</v>
      </c>
      <c r="T374" s="613">
        <f>IF(+'2012 Rates'!O619&lt;'2012 Rates'!$B$11,'2012 Rates'!$B$11,+'2012 Rates'!O619)</f>
        <v>104.32000000000001</v>
      </c>
      <c r="U374" s="447">
        <f t="shared" si="104"/>
        <v>9.7910412951975223E-2</v>
      </c>
      <c r="V374" s="485"/>
      <c r="W374" s="623">
        <f t="shared" si="105"/>
        <v>1251.8400000000001</v>
      </c>
      <c r="X374" s="442"/>
      <c r="Y374" s="485"/>
      <c r="Z374" s="485"/>
      <c r="AA374" s="485"/>
      <c r="AB374" s="485"/>
      <c r="AC374" s="485"/>
      <c r="AD374" s="485"/>
      <c r="AE374" s="485"/>
      <c r="AF374" s="485"/>
      <c r="AG374" s="485"/>
      <c r="AH374" s="485"/>
      <c r="AI374" s="485"/>
      <c r="AJ374" s="485"/>
      <c r="AK374" s="485"/>
      <c r="AL374" s="485"/>
      <c r="AM374" s="485"/>
      <c r="AN374" s="485"/>
      <c r="AO374" s="485"/>
      <c r="AP374" s="485"/>
      <c r="AQ374" s="485"/>
      <c r="AR374" s="485"/>
      <c r="AS374" s="485"/>
      <c r="AT374" s="485"/>
      <c r="AU374" s="485"/>
      <c r="AV374" s="485"/>
      <c r="AW374" s="485"/>
      <c r="AX374" s="485"/>
      <c r="AY374" s="485"/>
      <c r="AZ374" s="485"/>
      <c r="BA374" s="485"/>
      <c r="BB374" s="485"/>
      <c r="BC374" s="485"/>
      <c r="BD374" s="485"/>
      <c r="BE374" s="485"/>
      <c r="BF374" s="485"/>
      <c r="BG374" s="485"/>
      <c r="BH374" s="485"/>
      <c r="BI374" s="485"/>
      <c r="BJ374" s="485"/>
      <c r="BK374" s="485"/>
      <c r="BL374" s="485"/>
      <c r="BM374" s="485"/>
      <c r="BN374" s="485"/>
      <c r="BO374" s="485"/>
      <c r="BP374" s="485"/>
      <c r="BQ374" s="485"/>
      <c r="BR374" s="485"/>
      <c r="BS374" s="485"/>
      <c r="BT374" s="485"/>
      <c r="BU374" s="485"/>
      <c r="BV374" s="485"/>
      <c r="BW374" s="485"/>
      <c r="BX374" s="485"/>
      <c r="BY374" s="485"/>
      <c r="BZ374" s="485"/>
      <c r="CA374" s="485"/>
      <c r="CB374" s="485"/>
      <c r="CC374" s="485"/>
      <c r="CD374" s="485"/>
      <c r="CE374" s="485"/>
      <c r="CF374" s="485"/>
      <c r="CG374" s="485"/>
      <c r="CH374" s="485"/>
      <c r="CI374" s="485"/>
      <c r="CJ374" s="485"/>
      <c r="CK374" s="485"/>
      <c r="CL374" s="485"/>
      <c r="CM374" s="485"/>
      <c r="CN374" s="485"/>
      <c r="CO374" s="485"/>
      <c r="CP374" s="485"/>
      <c r="CQ374" s="485"/>
      <c r="CR374" s="485"/>
      <c r="CS374" s="485"/>
      <c r="CT374" s="485"/>
      <c r="CU374" s="485"/>
      <c r="CV374" s="485"/>
      <c r="CW374" s="485"/>
      <c r="CX374" s="485"/>
      <c r="CY374" s="485"/>
      <c r="CZ374" s="485"/>
      <c r="DA374" s="485"/>
      <c r="DB374" s="485"/>
      <c r="DC374" s="485"/>
      <c r="DD374" s="485"/>
      <c r="DE374" s="485"/>
      <c r="DF374" s="485"/>
      <c r="DG374" s="485"/>
      <c r="DH374" s="485"/>
      <c r="DI374" s="485"/>
      <c r="DJ374" s="485"/>
      <c r="DK374" s="485"/>
      <c r="DL374" s="485"/>
      <c r="DM374" s="485"/>
      <c r="DN374" s="485"/>
      <c r="DO374" s="485"/>
      <c r="DP374" s="485"/>
      <c r="DQ374" s="485"/>
      <c r="DR374" s="485"/>
      <c r="DS374" s="485"/>
      <c r="DT374" s="485"/>
      <c r="DU374" s="485"/>
      <c r="DV374" s="485"/>
      <c r="DW374" s="485"/>
      <c r="DX374" s="485"/>
      <c r="DY374" s="485"/>
      <c r="DZ374" s="485"/>
      <c r="EA374" s="485"/>
      <c r="EB374" s="485"/>
      <c r="EC374" s="485"/>
      <c r="ED374" s="485"/>
      <c r="EE374" s="485"/>
      <c r="EF374" s="485"/>
      <c r="EG374" s="485"/>
      <c r="EH374" s="485"/>
      <c r="EI374" s="485"/>
      <c r="EJ374" s="485"/>
      <c r="EK374" s="485"/>
      <c r="EL374" s="485"/>
      <c r="EM374" s="485"/>
      <c r="EN374" s="485"/>
      <c r="EO374" s="485"/>
      <c r="EP374" s="485"/>
    </row>
    <row r="375" spans="1:146" ht="15.75">
      <c r="A375" s="468">
        <v>1097</v>
      </c>
      <c r="B375" s="643" t="s">
        <v>393</v>
      </c>
      <c r="C375" s="653">
        <v>300</v>
      </c>
      <c r="D375" s="654">
        <v>115</v>
      </c>
      <c r="E375" s="439">
        <v>12.87</v>
      </c>
      <c r="F375" s="678">
        <f t="shared" si="99"/>
        <v>12.606649999999998</v>
      </c>
      <c r="G375" s="683">
        <v>1</v>
      </c>
      <c r="H375" s="682">
        <f t="shared" si="111"/>
        <v>1380</v>
      </c>
      <c r="I375" s="442">
        <f t="shared" si="106"/>
        <v>154.44</v>
      </c>
      <c r="J375" s="442"/>
      <c r="K375" s="443">
        <v>0.34399999999999997</v>
      </c>
      <c r="L375" s="627">
        <f t="shared" si="107"/>
        <v>0.34399999999999997</v>
      </c>
      <c r="M375" s="627"/>
      <c r="N375" s="609">
        <v>115</v>
      </c>
      <c r="O375" s="610">
        <v>12.872813249384908</v>
      </c>
      <c r="P375" s="617" t="str">
        <f t="shared" si="108"/>
        <v>---</v>
      </c>
      <c r="Q375" s="617">
        <f t="shared" si="109"/>
        <v>2.8132493849089002E-3</v>
      </c>
      <c r="R375" s="485"/>
      <c r="S375" s="624" t="str">
        <f t="shared" si="110"/>
        <v>OK</v>
      </c>
      <c r="T375" s="613">
        <f>IF(+'2012 Rates'!O620&lt;'2012 Rates'!$B$11,'2012 Rates'!$B$11,+'2012 Rates'!O620)</f>
        <v>13.84</v>
      </c>
      <c r="U375" s="447">
        <f t="shared" si="104"/>
        <v>9.7833286400431652E-2</v>
      </c>
      <c r="V375" s="485"/>
      <c r="W375" s="623">
        <f t="shared" si="105"/>
        <v>166.07999999999998</v>
      </c>
      <c r="X375" s="442"/>
      <c r="Y375" s="485"/>
      <c r="Z375" s="485"/>
      <c r="AA375" s="485"/>
      <c r="AB375" s="485"/>
      <c r="AC375" s="485"/>
      <c r="AD375" s="485"/>
      <c r="AE375" s="485"/>
      <c r="AF375" s="485"/>
      <c r="AG375" s="485"/>
      <c r="AH375" s="485"/>
      <c r="AI375" s="485"/>
      <c r="AJ375" s="485"/>
      <c r="AK375" s="485"/>
      <c r="AL375" s="485"/>
      <c r="AM375" s="485"/>
      <c r="AN375" s="485"/>
      <c r="AO375" s="485"/>
      <c r="AP375" s="485"/>
      <c r="AQ375" s="485"/>
      <c r="AR375" s="485"/>
      <c r="AS375" s="485"/>
      <c r="AT375" s="485"/>
      <c r="AU375" s="485"/>
      <c r="AV375" s="485"/>
      <c r="AW375" s="485"/>
      <c r="AX375" s="485"/>
      <c r="AY375" s="485"/>
      <c r="AZ375" s="485"/>
      <c r="BA375" s="485"/>
      <c r="BB375" s="485"/>
      <c r="BC375" s="485"/>
      <c r="BD375" s="485"/>
      <c r="BE375" s="485"/>
      <c r="BF375" s="485"/>
      <c r="BG375" s="485"/>
      <c r="BH375" s="485"/>
      <c r="BI375" s="485"/>
      <c r="BJ375" s="485"/>
      <c r="BK375" s="485"/>
      <c r="BL375" s="485"/>
      <c r="BM375" s="485"/>
      <c r="BN375" s="485"/>
      <c r="BO375" s="485"/>
      <c r="BP375" s="485"/>
      <c r="BQ375" s="485"/>
      <c r="BR375" s="485"/>
      <c r="BS375" s="485"/>
      <c r="BT375" s="485"/>
      <c r="BU375" s="485"/>
      <c r="BV375" s="485"/>
      <c r="BW375" s="485"/>
      <c r="BX375" s="485"/>
      <c r="BY375" s="485"/>
      <c r="BZ375" s="485"/>
      <c r="CA375" s="485"/>
      <c r="CB375" s="485"/>
      <c r="CC375" s="485"/>
      <c r="CD375" s="485"/>
      <c r="CE375" s="485"/>
      <c r="CF375" s="485"/>
      <c r="CG375" s="485"/>
      <c r="CH375" s="485"/>
      <c r="CI375" s="485"/>
      <c r="CJ375" s="485"/>
      <c r="CK375" s="485"/>
      <c r="CL375" s="485"/>
      <c r="CM375" s="485"/>
      <c r="CN375" s="485"/>
      <c r="CO375" s="485"/>
      <c r="CP375" s="485"/>
      <c r="CQ375" s="485"/>
      <c r="CR375" s="485"/>
      <c r="CS375" s="485"/>
      <c r="CT375" s="485"/>
      <c r="CU375" s="485"/>
      <c r="CV375" s="485"/>
      <c r="CW375" s="485"/>
      <c r="CX375" s="485"/>
      <c r="CY375" s="485"/>
      <c r="CZ375" s="485"/>
      <c r="DA375" s="485"/>
      <c r="DB375" s="485"/>
      <c r="DC375" s="485"/>
      <c r="DD375" s="485"/>
      <c r="DE375" s="485"/>
      <c r="DF375" s="485"/>
      <c r="DG375" s="485"/>
      <c r="DH375" s="485"/>
      <c r="DI375" s="485"/>
      <c r="DJ375" s="485"/>
      <c r="DK375" s="485"/>
      <c r="DL375" s="485"/>
      <c r="DM375" s="485"/>
      <c r="DN375" s="485"/>
      <c r="DO375" s="485"/>
      <c r="DP375" s="485"/>
      <c r="DQ375" s="485"/>
      <c r="DR375" s="485"/>
      <c r="DS375" s="485"/>
      <c r="DT375" s="485"/>
      <c r="DU375" s="485"/>
      <c r="DV375" s="485"/>
      <c r="DW375" s="485"/>
      <c r="DX375" s="485"/>
      <c r="DY375" s="485"/>
      <c r="DZ375" s="485"/>
      <c r="EA375" s="485"/>
      <c r="EB375" s="485"/>
      <c r="EC375" s="485"/>
      <c r="ED375" s="485"/>
      <c r="EE375" s="485"/>
      <c r="EF375" s="485"/>
      <c r="EG375" s="485"/>
      <c r="EH375" s="485"/>
      <c r="EI375" s="485"/>
      <c r="EJ375" s="485"/>
      <c r="EK375" s="485"/>
      <c r="EL375" s="485"/>
      <c r="EM375" s="485"/>
      <c r="EN375" s="485"/>
      <c r="EO375" s="485"/>
      <c r="EP375" s="485"/>
    </row>
    <row r="376" spans="1:146" ht="15.75">
      <c r="A376" s="468">
        <v>1098</v>
      </c>
      <c r="B376" s="643" t="s">
        <v>393</v>
      </c>
      <c r="C376" s="653">
        <v>375</v>
      </c>
      <c r="D376" s="654">
        <v>132</v>
      </c>
      <c r="E376" s="439">
        <v>14.78</v>
      </c>
      <c r="F376" s="678">
        <f t="shared" si="99"/>
        <v>14.47772</v>
      </c>
      <c r="G376" s="683">
        <v>1</v>
      </c>
      <c r="H376" s="682">
        <f t="shared" si="111"/>
        <v>1584</v>
      </c>
      <c r="I376" s="442">
        <f t="shared" si="106"/>
        <v>177.35999999999999</v>
      </c>
      <c r="J376" s="442"/>
      <c r="K376" s="443">
        <v>0.39600000000000002</v>
      </c>
      <c r="L376" s="627">
        <f t="shared" si="107"/>
        <v>0.39600000000000002</v>
      </c>
      <c r="M376" s="627"/>
      <c r="N376" s="609">
        <v>132</v>
      </c>
      <c r="O376" s="610">
        <v>14.778968251467894</v>
      </c>
      <c r="P376" s="617" t="str">
        <f t="shared" si="108"/>
        <v>---</v>
      </c>
      <c r="Q376" s="617">
        <f t="shared" si="109"/>
        <v>-1.0317485321049702E-3</v>
      </c>
      <c r="R376" s="485"/>
      <c r="S376" s="624" t="str">
        <f t="shared" si="110"/>
        <v>OK</v>
      </c>
      <c r="T376" s="613">
        <f>IF(+'2012 Rates'!O621&lt;'2012 Rates'!$B$11,'2012 Rates'!$B$11,+'2012 Rates'!O621)</f>
        <v>15.9</v>
      </c>
      <c r="U376" s="447">
        <f t="shared" si="104"/>
        <v>9.8239225513409689E-2</v>
      </c>
      <c r="V376" s="485"/>
      <c r="W376" s="623">
        <f t="shared" si="105"/>
        <v>190.8</v>
      </c>
      <c r="X376" s="442"/>
      <c r="Y376" s="485"/>
      <c r="Z376" s="485"/>
      <c r="AA376" s="485"/>
      <c r="AB376" s="485"/>
      <c r="AC376" s="485"/>
      <c r="AD376" s="485"/>
      <c r="AE376" s="485"/>
      <c r="AF376" s="485"/>
      <c r="AG376" s="485"/>
      <c r="AH376" s="485"/>
      <c r="AI376" s="485"/>
      <c r="AJ376" s="485"/>
      <c r="AK376" s="485"/>
      <c r="AL376" s="485"/>
      <c r="AM376" s="485"/>
      <c r="AN376" s="485"/>
      <c r="AO376" s="485"/>
      <c r="AP376" s="485"/>
      <c r="AQ376" s="485"/>
      <c r="AR376" s="485"/>
      <c r="AS376" s="485"/>
      <c r="AT376" s="485"/>
      <c r="AU376" s="485"/>
      <c r="AV376" s="485"/>
      <c r="AW376" s="485"/>
      <c r="AX376" s="485"/>
      <c r="AY376" s="485"/>
      <c r="AZ376" s="485"/>
      <c r="BA376" s="485"/>
      <c r="BB376" s="485"/>
      <c r="BC376" s="485"/>
      <c r="BD376" s="485"/>
      <c r="BE376" s="485"/>
      <c r="BF376" s="485"/>
      <c r="BG376" s="485"/>
      <c r="BH376" s="485"/>
      <c r="BI376" s="485"/>
      <c r="BJ376" s="485"/>
      <c r="BK376" s="485"/>
      <c r="BL376" s="485"/>
      <c r="BM376" s="485"/>
      <c r="BN376" s="485"/>
      <c r="BO376" s="485"/>
      <c r="BP376" s="485"/>
      <c r="BQ376" s="485"/>
      <c r="BR376" s="485"/>
      <c r="BS376" s="485"/>
      <c r="BT376" s="485"/>
      <c r="BU376" s="485"/>
      <c r="BV376" s="485"/>
      <c r="BW376" s="485"/>
      <c r="BX376" s="485"/>
      <c r="BY376" s="485"/>
      <c r="BZ376" s="485"/>
      <c r="CA376" s="485"/>
      <c r="CB376" s="485"/>
      <c r="CC376" s="485"/>
      <c r="CD376" s="485"/>
      <c r="CE376" s="485"/>
      <c r="CF376" s="485"/>
      <c r="CG376" s="485"/>
      <c r="CH376" s="485"/>
      <c r="CI376" s="485"/>
      <c r="CJ376" s="485"/>
      <c r="CK376" s="485"/>
      <c r="CL376" s="485"/>
      <c r="CM376" s="485"/>
      <c r="CN376" s="485"/>
      <c r="CO376" s="485"/>
      <c r="CP376" s="485"/>
      <c r="CQ376" s="485"/>
      <c r="CR376" s="485"/>
      <c r="CS376" s="485"/>
      <c r="CT376" s="485"/>
      <c r="CU376" s="485"/>
      <c r="CV376" s="485"/>
      <c r="CW376" s="485"/>
      <c r="CX376" s="485"/>
      <c r="CY376" s="485"/>
      <c r="CZ376" s="485"/>
      <c r="DA376" s="485"/>
      <c r="DB376" s="485"/>
      <c r="DC376" s="485"/>
      <c r="DD376" s="485"/>
      <c r="DE376" s="485"/>
      <c r="DF376" s="485"/>
      <c r="DG376" s="485"/>
      <c r="DH376" s="485"/>
      <c r="DI376" s="485"/>
      <c r="DJ376" s="485"/>
      <c r="DK376" s="485"/>
      <c r="DL376" s="485"/>
      <c r="DM376" s="485"/>
      <c r="DN376" s="485"/>
      <c r="DO376" s="485"/>
      <c r="DP376" s="485"/>
      <c r="DQ376" s="485"/>
      <c r="DR376" s="485"/>
      <c r="DS376" s="485"/>
      <c r="DT376" s="485"/>
      <c r="DU376" s="485"/>
      <c r="DV376" s="485"/>
      <c r="DW376" s="485"/>
      <c r="DX376" s="485"/>
      <c r="DY376" s="485"/>
      <c r="DZ376" s="485"/>
      <c r="EA376" s="485"/>
      <c r="EB376" s="485"/>
      <c r="EC376" s="485"/>
      <c r="ED376" s="485"/>
      <c r="EE376" s="485"/>
      <c r="EF376" s="485"/>
      <c r="EG376" s="485"/>
      <c r="EH376" s="485"/>
      <c r="EI376" s="485"/>
      <c r="EJ376" s="485"/>
      <c r="EK376" s="485"/>
      <c r="EL376" s="485"/>
      <c r="EM376" s="485"/>
      <c r="EN376" s="485"/>
      <c r="EO376" s="485"/>
      <c r="EP376" s="485"/>
    </row>
    <row r="377" spans="1:146" ht="15.75">
      <c r="A377" s="468">
        <v>1099</v>
      </c>
      <c r="B377" s="643" t="s">
        <v>393</v>
      </c>
      <c r="C377" s="653">
        <v>0</v>
      </c>
      <c r="D377" s="654">
        <v>3</v>
      </c>
      <c r="E377" s="439">
        <v>12.66</v>
      </c>
      <c r="F377" s="678">
        <f t="shared" si="99"/>
        <v>12.653130000000001</v>
      </c>
      <c r="G377" s="683">
        <v>1</v>
      </c>
      <c r="H377" s="682">
        <f t="shared" si="111"/>
        <v>36</v>
      </c>
      <c r="I377" s="442">
        <f t="shared" si="106"/>
        <v>151.92000000000002</v>
      </c>
      <c r="J377" s="442"/>
      <c r="K377" s="443">
        <v>0</v>
      </c>
      <c r="L377" s="627">
        <f t="shared" si="107"/>
        <v>0</v>
      </c>
      <c r="M377" s="627"/>
      <c r="N377" s="609">
        <v>3</v>
      </c>
      <c r="O377" s="610">
        <v>12.655203823896997</v>
      </c>
      <c r="P377" s="617" t="str">
        <f t="shared" si="108"/>
        <v>---</v>
      </c>
      <c r="Q377" s="617">
        <f t="shared" si="109"/>
        <v>-4.7961761030030914E-3</v>
      </c>
      <c r="R377" s="485"/>
      <c r="S377" s="624" t="str">
        <f t="shared" si="110"/>
        <v>OK</v>
      </c>
      <c r="T377" s="874">
        <v>13.89</v>
      </c>
      <c r="U377" s="447">
        <f t="shared" si="104"/>
        <v>9.7752097702307639E-2</v>
      </c>
      <c r="V377" s="485" t="s">
        <v>469</v>
      </c>
      <c r="W377" s="623">
        <f t="shared" si="105"/>
        <v>166.68</v>
      </c>
      <c r="X377" s="442"/>
      <c r="Y377" s="485"/>
      <c r="Z377" s="485"/>
      <c r="AA377" s="485"/>
      <c r="AB377" s="485"/>
      <c r="AC377" s="485"/>
      <c r="AD377" s="485"/>
      <c r="AE377" s="485"/>
      <c r="AF377" s="485"/>
      <c r="AG377" s="485"/>
      <c r="AH377" s="485"/>
      <c r="AI377" s="485"/>
      <c r="AJ377" s="485"/>
      <c r="AK377" s="485"/>
      <c r="AL377" s="485"/>
      <c r="AM377" s="485"/>
      <c r="AN377" s="485"/>
      <c r="AO377" s="485"/>
      <c r="AP377" s="485"/>
      <c r="AQ377" s="485"/>
      <c r="AR377" s="485"/>
      <c r="AS377" s="485"/>
      <c r="AT377" s="485"/>
      <c r="AU377" s="485"/>
      <c r="AV377" s="485"/>
      <c r="AW377" s="485"/>
      <c r="AX377" s="485"/>
      <c r="AY377" s="485"/>
      <c r="AZ377" s="485"/>
      <c r="BA377" s="485"/>
      <c r="BB377" s="485"/>
      <c r="BC377" s="485"/>
      <c r="BD377" s="485"/>
      <c r="BE377" s="485"/>
      <c r="BF377" s="485"/>
      <c r="BG377" s="485"/>
      <c r="BH377" s="485"/>
      <c r="BI377" s="485"/>
      <c r="BJ377" s="485"/>
      <c r="BK377" s="485"/>
      <c r="BL377" s="485"/>
      <c r="BM377" s="485"/>
      <c r="BN377" s="485"/>
      <c r="BO377" s="485"/>
      <c r="BP377" s="485"/>
      <c r="BQ377" s="485"/>
      <c r="BR377" s="485"/>
      <c r="BS377" s="485"/>
      <c r="BT377" s="485"/>
      <c r="BU377" s="485"/>
      <c r="BV377" s="485"/>
      <c r="BW377" s="485"/>
      <c r="BX377" s="485"/>
      <c r="BY377" s="485"/>
      <c r="BZ377" s="485"/>
      <c r="CA377" s="485"/>
      <c r="CB377" s="485"/>
      <c r="CC377" s="485"/>
      <c r="CD377" s="485"/>
      <c r="CE377" s="485"/>
      <c r="CF377" s="485"/>
      <c r="CG377" s="485"/>
      <c r="CH377" s="485"/>
      <c r="CI377" s="485"/>
      <c r="CJ377" s="485"/>
      <c r="CK377" s="485"/>
      <c r="CL377" s="485"/>
      <c r="CM377" s="485"/>
      <c r="CN377" s="485"/>
      <c r="CO377" s="485"/>
      <c r="CP377" s="485"/>
      <c r="CQ377" s="485"/>
      <c r="CR377" s="485"/>
      <c r="CS377" s="485"/>
      <c r="CT377" s="485"/>
      <c r="CU377" s="485"/>
      <c r="CV377" s="485"/>
      <c r="CW377" s="485"/>
      <c r="CX377" s="485"/>
      <c r="CY377" s="485"/>
      <c r="CZ377" s="485"/>
      <c r="DA377" s="485"/>
      <c r="DB377" s="485"/>
      <c r="DC377" s="485"/>
      <c r="DD377" s="485"/>
      <c r="DE377" s="485"/>
      <c r="DF377" s="485"/>
      <c r="DG377" s="485"/>
      <c r="DH377" s="485"/>
      <c r="DI377" s="485"/>
      <c r="DJ377" s="485"/>
      <c r="DK377" s="485"/>
      <c r="DL377" s="485"/>
      <c r="DM377" s="485"/>
      <c r="DN377" s="485"/>
      <c r="DO377" s="485"/>
      <c r="DP377" s="485"/>
      <c r="DQ377" s="485"/>
      <c r="DR377" s="485"/>
      <c r="DS377" s="485"/>
      <c r="DT377" s="485"/>
      <c r="DU377" s="485"/>
      <c r="DV377" s="485"/>
      <c r="DW377" s="485"/>
      <c r="DX377" s="485"/>
      <c r="DY377" s="485"/>
      <c r="DZ377" s="485"/>
      <c r="EA377" s="485"/>
      <c r="EB377" s="485"/>
      <c r="EC377" s="485"/>
      <c r="ED377" s="485"/>
      <c r="EE377" s="485"/>
      <c r="EF377" s="485"/>
      <c r="EG377" s="485"/>
      <c r="EH377" s="485"/>
      <c r="EI377" s="485"/>
      <c r="EJ377" s="485"/>
      <c r="EK377" s="485"/>
      <c r="EL377" s="485"/>
      <c r="EM377" s="485"/>
      <c r="EN377" s="485"/>
      <c r="EO377" s="485"/>
      <c r="EP377" s="485"/>
    </row>
    <row r="378" spans="1:146" ht="15.75">
      <c r="A378" s="468">
        <v>1100</v>
      </c>
      <c r="B378" s="643" t="s">
        <v>393</v>
      </c>
      <c r="C378" s="653">
        <v>500</v>
      </c>
      <c r="D378" s="654">
        <v>100</v>
      </c>
      <c r="E378" s="439">
        <v>14.21</v>
      </c>
      <c r="F378" s="678">
        <f t="shared" si="99"/>
        <v>13.981000000000002</v>
      </c>
      <c r="G378" s="683">
        <v>1</v>
      </c>
      <c r="H378" s="682">
        <f t="shared" si="111"/>
        <v>1200</v>
      </c>
      <c r="I378" s="442">
        <f t="shared" si="106"/>
        <v>170.52</v>
      </c>
      <c r="J378" s="442"/>
      <c r="K378" s="443">
        <v>0.5</v>
      </c>
      <c r="L378" s="627">
        <f t="shared" si="107"/>
        <v>0.5</v>
      </c>
      <c r="M378" s="627"/>
      <c r="N378" s="609">
        <v>100</v>
      </c>
      <c r="O378" s="610">
        <v>14.206794129899917</v>
      </c>
      <c r="P378" s="617" t="str">
        <f t="shared" si="108"/>
        <v>---</v>
      </c>
      <c r="Q378" s="617">
        <f t="shared" si="109"/>
        <v>-3.2058701000838852E-3</v>
      </c>
      <c r="R378" s="485"/>
      <c r="S378" s="624" t="str">
        <f t="shared" si="110"/>
        <v>OK</v>
      </c>
      <c r="T378" s="613">
        <f>IF(+'2012 Rates'!O623&lt;'2012 Rates'!$B$11,'2012 Rates'!$B$11,+'2012 Rates'!O623)</f>
        <v>15.35</v>
      </c>
      <c r="U378" s="447">
        <f t="shared" si="104"/>
        <v>9.7918603819469041E-2</v>
      </c>
      <c r="V378" s="485"/>
      <c r="W378" s="623">
        <f t="shared" si="105"/>
        <v>184.2</v>
      </c>
      <c r="X378" s="442"/>
      <c r="Y378" s="485"/>
      <c r="Z378" s="485"/>
      <c r="AA378" s="485"/>
      <c r="AB378" s="485"/>
      <c r="AC378" s="485"/>
      <c r="AD378" s="485"/>
      <c r="AE378" s="485"/>
      <c r="AF378" s="485"/>
      <c r="AG378" s="485"/>
      <c r="AH378" s="485"/>
      <c r="AI378" s="485"/>
      <c r="AJ378" s="485"/>
      <c r="AK378" s="485"/>
      <c r="AL378" s="485"/>
      <c r="AM378" s="485"/>
      <c r="AN378" s="485"/>
      <c r="AO378" s="485"/>
      <c r="AP378" s="485"/>
      <c r="AQ378" s="485"/>
      <c r="AR378" s="485"/>
      <c r="AS378" s="485"/>
      <c r="AT378" s="485"/>
      <c r="AU378" s="485"/>
      <c r="AV378" s="485"/>
      <c r="AW378" s="485"/>
      <c r="AX378" s="485"/>
      <c r="AY378" s="485"/>
      <c r="AZ378" s="485"/>
      <c r="BA378" s="485"/>
      <c r="BB378" s="485"/>
      <c r="BC378" s="485"/>
      <c r="BD378" s="485"/>
      <c r="BE378" s="485"/>
      <c r="BF378" s="485"/>
      <c r="BG378" s="485"/>
      <c r="BH378" s="485"/>
      <c r="BI378" s="485"/>
      <c r="BJ378" s="485"/>
      <c r="BK378" s="485"/>
      <c r="BL378" s="485"/>
      <c r="BM378" s="485"/>
      <c r="BN378" s="485"/>
      <c r="BO378" s="485"/>
      <c r="BP378" s="485"/>
      <c r="BQ378" s="485"/>
      <c r="BR378" s="485"/>
      <c r="BS378" s="485"/>
      <c r="BT378" s="485"/>
      <c r="BU378" s="485"/>
      <c r="BV378" s="485"/>
      <c r="BW378" s="485"/>
      <c r="BX378" s="485"/>
      <c r="BY378" s="485"/>
      <c r="BZ378" s="485"/>
      <c r="CA378" s="485"/>
      <c r="CB378" s="485"/>
      <c r="CC378" s="485"/>
      <c r="CD378" s="485"/>
      <c r="CE378" s="485"/>
      <c r="CF378" s="485"/>
      <c r="CG378" s="485"/>
      <c r="CH378" s="485"/>
      <c r="CI378" s="485"/>
      <c r="CJ378" s="485"/>
      <c r="CK378" s="485"/>
      <c r="CL378" s="485"/>
      <c r="CM378" s="485"/>
      <c r="CN378" s="485"/>
      <c r="CO378" s="485"/>
      <c r="CP378" s="485"/>
      <c r="CQ378" s="485"/>
      <c r="CR378" s="485"/>
      <c r="CS378" s="485"/>
      <c r="CT378" s="485"/>
      <c r="CU378" s="485"/>
      <c r="CV378" s="485"/>
      <c r="CW378" s="485"/>
      <c r="CX378" s="485"/>
      <c r="CY378" s="485"/>
      <c r="CZ378" s="485"/>
      <c r="DA378" s="485"/>
      <c r="DB378" s="485"/>
      <c r="DC378" s="485"/>
      <c r="DD378" s="485"/>
      <c r="DE378" s="485"/>
      <c r="DF378" s="485"/>
      <c r="DG378" s="485"/>
      <c r="DH378" s="485"/>
      <c r="DI378" s="485"/>
      <c r="DJ378" s="485"/>
      <c r="DK378" s="485"/>
      <c r="DL378" s="485"/>
      <c r="DM378" s="485"/>
      <c r="DN378" s="485"/>
      <c r="DO378" s="485"/>
      <c r="DP378" s="485"/>
      <c r="DQ378" s="485"/>
      <c r="DR378" s="485"/>
      <c r="DS378" s="485"/>
      <c r="DT378" s="485"/>
      <c r="DU378" s="485"/>
      <c r="DV378" s="485"/>
      <c r="DW378" s="485"/>
      <c r="DX378" s="485"/>
      <c r="DY378" s="485"/>
      <c r="DZ378" s="485"/>
      <c r="EA378" s="485"/>
      <c r="EB378" s="485"/>
      <c r="EC378" s="485"/>
      <c r="ED378" s="485"/>
      <c r="EE378" s="485"/>
      <c r="EF378" s="485"/>
      <c r="EG378" s="485"/>
      <c r="EH378" s="485"/>
      <c r="EI378" s="485"/>
      <c r="EJ378" s="485"/>
      <c r="EK378" s="485"/>
      <c r="EL378" s="485"/>
      <c r="EM378" s="485"/>
      <c r="EN378" s="485"/>
      <c r="EO378" s="485"/>
      <c r="EP378" s="485"/>
    </row>
    <row r="379" spans="1:146" ht="15.75">
      <c r="A379" s="468">
        <v>1101</v>
      </c>
      <c r="B379" s="643" t="s">
        <v>403</v>
      </c>
      <c r="C379" s="653">
        <v>2486</v>
      </c>
      <c r="D379" s="654">
        <v>1815</v>
      </c>
      <c r="E379" s="439">
        <v>158.74</v>
      </c>
      <c r="F379" s="678">
        <f t="shared" si="99"/>
        <v>154.58365000000001</v>
      </c>
      <c r="G379" s="683"/>
      <c r="H379" s="682">
        <f t="shared" si="111"/>
        <v>0</v>
      </c>
      <c r="I379" s="442">
        <f t="shared" si="106"/>
        <v>0</v>
      </c>
      <c r="J379" s="442"/>
      <c r="K379" s="443">
        <v>2.4860000000000002</v>
      </c>
      <c r="L379" s="627">
        <f t="shared" si="107"/>
        <v>0</v>
      </c>
      <c r="M379" s="627">
        <f>L379</f>
        <v>0</v>
      </c>
      <c r="N379" s="609">
        <v>1815</v>
      </c>
      <c r="O379" s="610">
        <v>158.73831345768349</v>
      </c>
      <c r="P379" s="617" t="str">
        <f t="shared" si="108"/>
        <v>---</v>
      </c>
      <c r="Q379" s="617">
        <f t="shared" si="109"/>
        <v>-1.68654231651999E-3</v>
      </c>
      <c r="R379" s="485"/>
      <c r="S379" s="624" t="str">
        <f t="shared" si="110"/>
        <v>OK</v>
      </c>
      <c r="T379" s="613">
        <f>IF(+'2012 Rates'!P624&lt;'2012 Rates'!$B$11,'2012 Rates'!$B$11,+'2012 Rates'!P624)</f>
        <v>169.75</v>
      </c>
      <c r="U379" s="447">
        <f t="shared" si="104"/>
        <v>9.8110958047633146E-2</v>
      </c>
      <c r="V379" s="485"/>
      <c r="W379" s="623">
        <f t="shared" si="105"/>
        <v>0</v>
      </c>
      <c r="X379" s="442"/>
      <c r="Y379" s="485"/>
      <c r="Z379" s="485"/>
      <c r="AA379" s="485"/>
      <c r="AB379" s="485"/>
      <c r="AC379" s="485"/>
      <c r="AD379" s="485"/>
      <c r="AE379" s="485"/>
      <c r="AF379" s="485"/>
      <c r="AG379" s="485"/>
      <c r="AH379" s="485"/>
      <c r="AI379" s="485"/>
      <c r="AJ379" s="485"/>
      <c r="AK379" s="485"/>
      <c r="AL379" s="485"/>
      <c r="AM379" s="485"/>
      <c r="AN379" s="485"/>
      <c r="AO379" s="485"/>
      <c r="AP379" s="485"/>
      <c r="AQ379" s="485"/>
      <c r="AR379" s="485"/>
      <c r="AS379" s="485"/>
      <c r="AT379" s="485"/>
      <c r="AU379" s="485"/>
      <c r="AV379" s="485"/>
      <c r="AW379" s="485"/>
      <c r="AX379" s="485"/>
      <c r="AY379" s="485"/>
      <c r="AZ379" s="485"/>
      <c r="BA379" s="485"/>
      <c r="BB379" s="485"/>
      <c r="BC379" s="485"/>
      <c r="BD379" s="485"/>
      <c r="BE379" s="485"/>
      <c r="BF379" s="485"/>
      <c r="BG379" s="485"/>
      <c r="BH379" s="485"/>
      <c r="BI379" s="485"/>
      <c r="BJ379" s="485"/>
      <c r="BK379" s="485"/>
      <c r="BL379" s="485"/>
      <c r="BM379" s="485"/>
      <c r="BN379" s="485"/>
      <c r="BO379" s="485"/>
      <c r="BP379" s="485"/>
      <c r="BQ379" s="485"/>
      <c r="BR379" s="485"/>
      <c r="BS379" s="485"/>
      <c r="BT379" s="485"/>
      <c r="BU379" s="485"/>
      <c r="BV379" s="485"/>
      <c r="BW379" s="485"/>
      <c r="BX379" s="485"/>
      <c r="BY379" s="485"/>
      <c r="BZ379" s="485"/>
      <c r="CA379" s="485"/>
      <c r="CB379" s="485"/>
      <c r="CC379" s="485"/>
      <c r="CD379" s="485"/>
      <c r="CE379" s="485"/>
      <c r="CF379" s="485"/>
      <c r="CG379" s="485"/>
      <c r="CH379" s="485"/>
      <c r="CI379" s="485"/>
      <c r="CJ379" s="485"/>
      <c r="CK379" s="485"/>
      <c r="CL379" s="485"/>
      <c r="CM379" s="485"/>
      <c r="CN379" s="485"/>
      <c r="CO379" s="485"/>
      <c r="CP379" s="485"/>
      <c r="CQ379" s="485"/>
      <c r="CR379" s="485"/>
      <c r="CS379" s="485"/>
      <c r="CT379" s="485"/>
      <c r="CU379" s="485"/>
      <c r="CV379" s="485"/>
      <c r="CW379" s="485"/>
      <c r="CX379" s="485"/>
      <c r="CY379" s="485"/>
      <c r="CZ379" s="485"/>
      <c r="DA379" s="485"/>
      <c r="DB379" s="485"/>
      <c r="DC379" s="485"/>
      <c r="DD379" s="485"/>
      <c r="DE379" s="485"/>
      <c r="DF379" s="485"/>
      <c r="DG379" s="485"/>
      <c r="DH379" s="485"/>
      <c r="DI379" s="485"/>
      <c r="DJ379" s="485"/>
      <c r="DK379" s="485"/>
      <c r="DL379" s="485"/>
      <c r="DM379" s="485"/>
      <c r="DN379" s="485"/>
      <c r="DO379" s="485"/>
      <c r="DP379" s="485"/>
      <c r="DQ379" s="485"/>
      <c r="DR379" s="485"/>
      <c r="DS379" s="485"/>
      <c r="DT379" s="485"/>
      <c r="DU379" s="485"/>
      <c r="DV379" s="485"/>
      <c r="DW379" s="485"/>
      <c r="DX379" s="485"/>
      <c r="DY379" s="485"/>
      <c r="DZ379" s="485"/>
      <c r="EA379" s="485"/>
      <c r="EB379" s="485"/>
      <c r="EC379" s="485"/>
      <c r="ED379" s="485"/>
      <c r="EE379" s="485"/>
      <c r="EF379" s="485"/>
      <c r="EG379" s="485"/>
      <c r="EH379" s="485"/>
      <c r="EI379" s="485"/>
      <c r="EJ379" s="485"/>
      <c r="EK379" s="485"/>
      <c r="EL379" s="485"/>
      <c r="EM379" s="485"/>
      <c r="EN379" s="485"/>
      <c r="EO379" s="485"/>
      <c r="EP379" s="485"/>
    </row>
    <row r="380" spans="1:146" s="600" customFormat="1" ht="15.75">
      <c r="A380" s="468">
        <v>1102</v>
      </c>
      <c r="B380" s="643" t="s">
        <v>403</v>
      </c>
      <c r="C380" s="653">
        <v>5.4</v>
      </c>
      <c r="D380" s="654">
        <v>4</v>
      </c>
      <c r="E380" s="439">
        <v>0.34</v>
      </c>
      <c r="F380" s="678">
        <f t="shared" si="99"/>
        <v>0.33084000000000002</v>
      </c>
      <c r="G380" s="683"/>
      <c r="H380" s="682">
        <f t="shared" si="111"/>
        <v>0</v>
      </c>
      <c r="I380" s="442">
        <f t="shared" si="106"/>
        <v>0</v>
      </c>
      <c r="J380" s="442"/>
      <c r="K380" s="443">
        <v>5.0000000000000001E-3</v>
      </c>
      <c r="L380" s="627">
        <f t="shared" si="107"/>
        <v>0</v>
      </c>
      <c r="M380" s="627">
        <f>L380</f>
        <v>0</v>
      </c>
      <c r="N380" s="609" t="e">
        <v>#N/A</v>
      </c>
      <c r="O380" s="610" t="e">
        <v>#N/A</v>
      </c>
      <c r="P380" s="617" t="e">
        <f t="shared" si="108"/>
        <v>#N/A</v>
      </c>
      <c r="Q380" s="617" t="e">
        <f t="shared" si="109"/>
        <v>#N/A</v>
      </c>
      <c r="R380" s="485"/>
      <c r="S380" s="624" t="e">
        <f t="shared" si="110"/>
        <v>#N/A</v>
      </c>
      <c r="T380" s="613">
        <f>IF(+'2012 Rates'!P625&lt;'2012 Rates'!$B$11,'2012 Rates'!$B$11,+'2012 Rates'!P625)</f>
        <v>3.2504153814512136</v>
      </c>
      <c r="U380" s="447">
        <f t="shared" si="104"/>
        <v>8.8247351633756903</v>
      </c>
      <c r="V380" s="485"/>
      <c r="W380" s="623">
        <f t="shared" si="105"/>
        <v>0</v>
      </c>
      <c r="X380" s="442"/>
      <c r="Y380" s="485"/>
      <c r="Z380" s="485"/>
      <c r="AA380" s="485"/>
      <c r="AB380" s="485"/>
      <c r="AC380" s="485"/>
      <c r="AD380" s="485"/>
      <c r="AE380" s="485"/>
      <c r="AF380" s="485"/>
      <c r="AG380" s="485"/>
      <c r="AH380" s="485"/>
      <c r="AI380" s="485"/>
      <c r="AJ380" s="485"/>
      <c r="AK380" s="485"/>
      <c r="AL380" s="485"/>
      <c r="AM380" s="485"/>
      <c r="AN380" s="485"/>
      <c r="AO380" s="485"/>
      <c r="AP380" s="485"/>
      <c r="AQ380" s="485"/>
      <c r="AR380" s="485"/>
      <c r="AS380" s="485"/>
      <c r="AT380" s="485"/>
      <c r="AU380" s="485"/>
      <c r="AV380" s="485"/>
      <c r="AW380" s="485"/>
      <c r="AX380" s="485"/>
      <c r="AY380" s="485"/>
      <c r="AZ380" s="485"/>
      <c r="BA380" s="485"/>
      <c r="BB380" s="485"/>
      <c r="BC380" s="485"/>
      <c r="BD380" s="485"/>
      <c r="BE380" s="485"/>
      <c r="BF380" s="485"/>
      <c r="BG380" s="485"/>
      <c r="BH380" s="485"/>
      <c r="BI380" s="485"/>
      <c r="BJ380" s="485"/>
      <c r="BK380" s="485"/>
      <c r="BL380" s="485"/>
      <c r="BM380" s="485"/>
      <c r="BN380" s="485"/>
      <c r="BO380" s="485"/>
      <c r="BP380" s="485"/>
      <c r="BQ380" s="485"/>
      <c r="BR380" s="485"/>
      <c r="BS380" s="485"/>
      <c r="BT380" s="485"/>
      <c r="BU380" s="485"/>
      <c r="BV380" s="485"/>
      <c r="BW380" s="485"/>
      <c r="BX380" s="485"/>
      <c r="BY380" s="485"/>
      <c r="BZ380" s="485"/>
      <c r="CA380" s="485"/>
      <c r="CB380" s="485"/>
      <c r="CC380" s="485"/>
      <c r="CD380" s="485"/>
      <c r="CE380" s="485"/>
      <c r="CF380" s="485"/>
      <c r="CG380" s="485"/>
      <c r="CH380" s="485"/>
      <c r="CI380" s="485"/>
      <c r="CJ380" s="485"/>
      <c r="CK380" s="485"/>
      <c r="CL380" s="485"/>
      <c r="CM380" s="485"/>
      <c r="CN380" s="485"/>
      <c r="CO380" s="485"/>
      <c r="CP380" s="485"/>
      <c r="CQ380" s="485"/>
      <c r="CR380" s="485"/>
      <c r="CS380" s="485"/>
      <c r="CT380" s="485"/>
      <c r="CU380" s="485"/>
      <c r="CV380" s="485"/>
      <c r="CW380" s="485"/>
      <c r="CX380" s="485"/>
      <c r="CY380" s="485"/>
      <c r="CZ380" s="485"/>
      <c r="DA380" s="485"/>
      <c r="DB380" s="485"/>
      <c r="DC380" s="485"/>
      <c r="DD380" s="485"/>
      <c r="DE380" s="485"/>
      <c r="DF380" s="485"/>
      <c r="DG380" s="485"/>
      <c r="DH380" s="485"/>
      <c r="DI380" s="485"/>
      <c r="DJ380" s="485"/>
      <c r="DK380" s="485"/>
      <c r="DL380" s="485"/>
      <c r="DM380" s="485"/>
      <c r="DN380" s="485"/>
      <c r="DO380" s="485"/>
      <c r="DP380" s="485"/>
      <c r="DQ380" s="485"/>
      <c r="DR380" s="485"/>
      <c r="DS380" s="485"/>
      <c r="DT380" s="485"/>
      <c r="DU380" s="485"/>
      <c r="DV380" s="485"/>
      <c r="DW380" s="485"/>
      <c r="DX380" s="485"/>
      <c r="DY380" s="485"/>
      <c r="DZ380" s="485"/>
      <c r="EA380" s="485"/>
      <c r="EB380" s="485"/>
      <c r="EC380" s="485"/>
      <c r="ED380" s="485"/>
      <c r="EE380" s="485"/>
      <c r="EF380" s="485"/>
      <c r="EG380" s="485"/>
      <c r="EH380" s="485"/>
      <c r="EI380" s="485"/>
      <c r="EJ380" s="485"/>
      <c r="EK380" s="485"/>
      <c r="EL380" s="485"/>
      <c r="EM380" s="485"/>
      <c r="EN380" s="485"/>
      <c r="EO380" s="485"/>
      <c r="EP380" s="485"/>
    </row>
    <row r="381" spans="1:146" ht="15.75">
      <c r="A381" s="468">
        <v>1103</v>
      </c>
      <c r="B381" s="643" t="s">
        <v>393</v>
      </c>
      <c r="C381" s="653">
        <v>280</v>
      </c>
      <c r="D381" s="654">
        <v>93</v>
      </c>
      <c r="E381" s="439">
        <v>12.92</v>
      </c>
      <c r="F381" s="678">
        <f t="shared" si="99"/>
        <v>12.70703</v>
      </c>
      <c r="G381" s="683">
        <v>1</v>
      </c>
      <c r="H381" s="682">
        <f t="shared" si="111"/>
        <v>1116</v>
      </c>
      <c r="I381" s="442">
        <f t="shared" si="106"/>
        <v>155.04</v>
      </c>
      <c r="J381" s="442"/>
      <c r="K381" s="443">
        <v>0.28000000000000003</v>
      </c>
      <c r="L381" s="627">
        <f t="shared" si="107"/>
        <v>0.28000000000000003</v>
      </c>
      <c r="M381" s="627"/>
      <c r="N381" s="609">
        <v>93</v>
      </c>
      <c r="O381" s="610">
        <v>12.921318540806926</v>
      </c>
      <c r="P381" s="617" t="str">
        <f t="shared" si="108"/>
        <v>---</v>
      </c>
      <c r="Q381" s="617">
        <f t="shared" si="109"/>
        <v>1.3185408069258386E-3</v>
      </c>
      <c r="R381" s="485"/>
      <c r="S381" s="624" t="str">
        <f t="shared" si="110"/>
        <v>OK</v>
      </c>
      <c r="T381" s="613">
        <f>IF(+'2012 Rates'!O626&lt;'2012 Rates'!$B$11,'2012 Rates'!$B$11,+'2012 Rates'!O626)</f>
        <v>11.220000000000002</v>
      </c>
      <c r="U381" s="447">
        <f t="shared" si="104"/>
        <v>-0.11702419841615208</v>
      </c>
      <c r="V381" s="485"/>
      <c r="W381" s="623">
        <f t="shared" si="105"/>
        <v>134.64000000000004</v>
      </c>
      <c r="X381" s="442"/>
      <c r="Y381" s="485"/>
      <c r="Z381" s="485"/>
      <c r="AA381" s="485"/>
      <c r="AB381" s="485"/>
      <c r="AC381" s="485"/>
      <c r="AD381" s="485"/>
      <c r="AE381" s="485"/>
      <c r="AF381" s="485"/>
      <c r="AG381" s="485"/>
      <c r="AH381" s="485"/>
      <c r="AI381" s="485"/>
      <c r="AJ381" s="485"/>
      <c r="AK381" s="485"/>
      <c r="AL381" s="485"/>
      <c r="AM381" s="485"/>
      <c r="AN381" s="485"/>
      <c r="AO381" s="485"/>
      <c r="AP381" s="485"/>
      <c r="AQ381" s="485"/>
      <c r="AR381" s="485"/>
      <c r="AS381" s="485"/>
      <c r="AT381" s="485"/>
      <c r="AU381" s="485"/>
      <c r="AV381" s="485"/>
      <c r="AW381" s="485"/>
      <c r="AX381" s="485"/>
      <c r="AY381" s="485"/>
      <c r="AZ381" s="485"/>
      <c r="BA381" s="485"/>
      <c r="BB381" s="485"/>
      <c r="BC381" s="485"/>
      <c r="BD381" s="485"/>
      <c r="BE381" s="485"/>
      <c r="BF381" s="485"/>
      <c r="BG381" s="485"/>
      <c r="BH381" s="485"/>
      <c r="BI381" s="485"/>
      <c r="BJ381" s="485"/>
      <c r="BK381" s="485"/>
      <c r="BL381" s="485"/>
      <c r="BM381" s="485"/>
      <c r="BN381" s="485"/>
      <c r="BO381" s="485"/>
      <c r="BP381" s="485"/>
      <c r="BQ381" s="485"/>
      <c r="BR381" s="485"/>
      <c r="BS381" s="485"/>
      <c r="BT381" s="485"/>
      <c r="BU381" s="485"/>
      <c r="BV381" s="485"/>
      <c r="BW381" s="485"/>
      <c r="BX381" s="485"/>
      <c r="BY381" s="485"/>
      <c r="BZ381" s="485"/>
      <c r="CA381" s="485"/>
      <c r="CB381" s="485"/>
      <c r="CC381" s="485"/>
      <c r="CD381" s="485"/>
      <c r="CE381" s="485"/>
      <c r="CF381" s="485"/>
      <c r="CG381" s="485"/>
      <c r="CH381" s="485"/>
      <c r="CI381" s="485"/>
      <c r="CJ381" s="485"/>
      <c r="CK381" s="485"/>
      <c r="CL381" s="485"/>
      <c r="CM381" s="485"/>
      <c r="CN381" s="485"/>
      <c r="CO381" s="485"/>
      <c r="CP381" s="485"/>
      <c r="CQ381" s="485"/>
      <c r="CR381" s="485"/>
      <c r="CS381" s="485"/>
      <c r="CT381" s="485"/>
      <c r="CU381" s="485"/>
      <c r="CV381" s="485"/>
      <c r="CW381" s="485"/>
      <c r="CX381" s="485"/>
      <c r="CY381" s="485"/>
      <c r="CZ381" s="485"/>
      <c r="DA381" s="485"/>
      <c r="DB381" s="485"/>
      <c r="DC381" s="485"/>
      <c r="DD381" s="485"/>
      <c r="DE381" s="485"/>
      <c r="DF381" s="485"/>
      <c r="DG381" s="485"/>
      <c r="DH381" s="485"/>
      <c r="DI381" s="485"/>
      <c r="DJ381" s="485"/>
      <c r="DK381" s="485"/>
      <c r="DL381" s="485"/>
      <c r="DM381" s="485"/>
      <c r="DN381" s="485"/>
      <c r="DO381" s="485"/>
      <c r="DP381" s="485"/>
      <c r="DQ381" s="485"/>
      <c r="DR381" s="485"/>
      <c r="DS381" s="485"/>
      <c r="DT381" s="485"/>
      <c r="DU381" s="485"/>
      <c r="DV381" s="485"/>
      <c r="DW381" s="485"/>
      <c r="DX381" s="485"/>
      <c r="DY381" s="485"/>
      <c r="DZ381" s="485"/>
      <c r="EA381" s="485"/>
      <c r="EB381" s="485"/>
      <c r="EC381" s="485"/>
      <c r="ED381" s="485"/>
      <c r="EE381" s="485"/>
      <c r="EF381" s="485"/>
      <c r="EG381" s="485"/>
      <c r="EH381" s="485"/>
      <c r="EI381" s="485"/>
      <c r="EJ381" s="485"/>
      <c r="EK381" s="485"/>
      <c r="EL381" s="485"/>
      <c r="EM381" s="485"/>
      <c r="EN381" s="485"/>
      <c r="EO381" s="485"/>
      <c r="EP381" s="485"/>
    </row>
    <row r="382" spans="1:146" ht="15.75">
      <c r="A382" s="468">
        <v>1104</v>
      </c>
      <c r="B382" s="643" t="s">
        <v>393</v>
      </c>
      <c r="C382" s="653">
        <v>1000</v>
      </c>
      <c r="D382" s="654">
        <v>240</v>
      </c>
      <c r="E382" s="439">
        <v>31.1</v>
      </c>
      <c r="F382" s="678">
        <f t="shared" si="99"/>
        <v>30.5504</v>
      </c>
      <c r="G382" s="683">
        <v>1</v>
      </c>
      <c r="H382" s="682">
        <f t="shared" si="111"/>
        <v>2880</v>
      </c>
      <c r="I382" s="442">
        <f t="shared" si="106"/>
        <v>373.20000000000005</v>
      </c>
      <c r="J382" s="442"/>
      <c r="K382" s="443">
        <v>1</v>
      </c>
      <c r="L382" s="627">
        <f t="shared" si="107"/>
        <v>1</v>
      </c>
      <c r="M382" s="627"/>
      <c r="N382" s="609">
        <v>240</v>
      </c>
      <c r="O382" s="610">
        <v>31.096305911759814</v>
      </c>
      <c r="P382" s="617" t="str">
        <f t="shared" si="108"/>
        <v>---</v>
      </c>
      <c r="Q382" s="617">
        <f t="shared" si="109"/>
        <v>-3.6940882401879094E-3</v>
      </c>
      <c r="R382" s="485"/>
      <c r="S382" s="624" t="str">
        <f t="shared" si="110"/>
        <v>OK</v>
      </c>
      <c r="T382" s="613">
        <f>IF(+'2012 Rates'!O627&lt;'2012 Rates'!$B$11,'2012 Rates'!$B$11,+'2012 Rates'!O627)</f>
        <v>33.54</v>
      </c>
      <c r="U382" s="447">
        <f t="shared" si="104"/>
        <v>9.7857965853147544E-2</v>
      </c>
      <c r="V382" s="485"/>
      <c r="W382" s="623">
        <f t="shared" si="105"/>
        <v>402.48</v>
      </c>
      <c r="X382" s="442"/>
      <c r="Y382" s="485"/>
      <c r="Z382" s="485"/>
      <c r="AA382" s="485"/>
      <c r="AB382" s="485"/>
      <c r="AC382" s="485"/>
      <c r="AD382" s="485"/>
      <c r="AE382" s="485"/>
      <c r="AF382" s="485"/>
      <c r="AG382" s="485"/>
      <c r="AH382" s="485"/>
      <c r="AI382" s="485"/>
      <c r="AJ382" s="485"/>
      <c r="AK382" s="485"/>
      <c r="AL382" s="485"/>
      <c r="AM382" s="485"/>
      <c r="AN382" s="485"/>
      <c r="AO382" s="485"/>
      <c r="AP382" s="485"/>
      <c r="AQ382" s="485"/>
      <c r="AR382" s="485"/>
      <c r="AS382" s="485"/>
      <c r="AT382" s="485"/>
      <c r="AU382" s="485"/>
      <c r="AV382" s="485"/>
      <c r="AW382" s="485"/>
      <c r="AX382" s="485"/>
      <c r="AY382" s="485"/>
      <c r="AZ382" s="485"/>
      <c r="BA382" s="485"/>
      <c r="BB382" s="485"/>
      <c r="BC382" s="485"/>
      <c r="BD382" s="485"/>
      <c r="BE382" s="485"/>
      <c r="BF382" s="485"/>
      <c r="BG382" s="485"/>
      <c r="BH382" s="485"/>
      <c r="BI382" s="485"/>
      <c r="BJ382" s="485"/>
      <c r="BK382" s="485"/>
      <c r="BL382" s="485"/>
      <c r="BM382" s="485"/>
      <c r="BN382" s="485"/>
      <c r="BO382" s="485"/>
      <c r="BP382" s="485"/>
      <c r="BQ382" s="485"/>
      <c r="BR382" s="485"/>
      <c r="BS382" s="485"/>
      <c r="BT382" s="485"/>
      <c r="BU382" s="485"/>
      <c r="BV382" s="485"/>
      <c r="BW382" s="485"/>
      <c r="BX382" s="485"/>
      <c r="BY382" s="485"/>
      <c r="BZ382" s="485"/>
      <c r="CA382" s="485"/>
      <c r="CB382" s="485"/>
      <c r="CC382" s="485"/>
      <c r="CD382" s="485"/>
      <c r="CE382" s="485"/>
      <c r="CF382" s="485"/>
      <c r="CG382" s="485"/>
      <c r="CH382" s="485"/>
      <c r="CI382" s="485"/>
      <c r="CJ382" s="485"/>
      <c r="CK382" s="485"/>
      <c r="CL382" s="485"/>
      <c r="CM382" s="485"/>
      <c r="CN382" s="485"/>
      <c r="CO382" s="485"/>
      <c r="CP382" s="485"/>
      <c r="CQ382" s="485"/>
      <c r="CR382" s="485"/>
      <c r="CS382" s="485"/>
      <c r="CT382" s="485"/>
      <c r="CU382" s="485"/>
      <c r="CV382" s="485"/>
      <c r="CW382" s="485"/>
      <c r="CX382" s="485"/>
      <c r="CY382" s="485"/>
      <c r="CZ382" s="485"/>
      <c r="DA382" s="485"/>
      <c r="DB382" s="485"/>
      <c r="DC382" s="485"/>
      <c r="DD382" s="485"/>
      <c r="DE382" s="485"/>
      <c r="DF382" s="485"/>
      <c r="DG382" s="485"/>
      <c r="DH382" s="485"/>
      <c r="DI382" s="485"/>
      <c r="DJ382" s="485"/>
      <c r="DK382" s="485"/>
      <c r="DL382" s="485"/>
      <c r="DM382" s="485"/>
      <c r="DN382" s="485"/>
      <c r="DO382" s="485"/>
      <c r="DP382" s="485"/>
      <c r="DQ382" s="485"/>
      <c r="DR382" s="485"/>
      <c r="DS382" s="485"/>
      <c r="DT382" s="485"/>
      <c r="DU382" s="485"/>
      <c r="DV382" s="485"/>
      <c r="DW382" s="485"/>
      <c r="DX382" s="485"/>
      <c r="DY382" s="485"/>
      <c r="DZ382" s="485"/>
      <c r="EA382" s="485"/>
      <c r="EB382" s="485"/>
      <c r="EC382" s="485"/>
      <c r="ED382" s="485"/>
      <c r="EE382" s="485"/>
      <c r="EF382" s="485"/>
      <c r="EG382" s="485"/>
      <c r="EH382" s="485"/>
      <c r="EI382" s="485"/>
      <c r="EJ382" s="485"/>
      <c r="EK382" s="485"/>
      <c r="EL382" s="485"/>
      <c r="EM382" s="485"/>
      <c r="EN382" s="485"/>
      <c r="EO382" s="485"/>
      <c r="EP382" s="485"/>
    </row>
    <row r="383" spans="1:146" ht="15.75">
      <c r="A383" s="468">
        <v>1105</v>
      </c>
      <c r="B383" s="643" t="s">
        <v>472</v>
      </c>
      <c r="C383" s="653"/>
      <c r="D383" s="654">
        <v>129</v>
      </c>
      <c r="E383" s="439">
        <v>29.88</v>
      </c>
      <c r="F383" s="678">
        <f t="shared" si="99"/>
        <v>29.584589999999999</v>
      </c>
      <c r="G383" s="683">
        <v>1</v>
      </c>
      <c r="H383" s="682">
        <f t="shared" si="111"/>
        <v>1548</v>
      </c>
      <c r="I383" s="442">
        <f t="shared" si="106"/>
        <v>358.56</v>
      </c>
      <c r="J383" s="442"/>
      <c r="K383" s="443"/>
      <c r="L383" s="627">
        <f t="shared" si="107"/>
        <v>0</v>
      </c>
      <c r="M383" s="627"/>
      <c r="N383" s="609">
        <v>129</v>
      </c>
      <c r="O383" s="610">
        <v>29.883764427570895</v>
      </c>
      <c r="P383" s="617" t="str">
        <f t="shared" si="108"/>
        <v>---</v>
      </c>
      <c r="Q383" s="617">
        <f t="shared" si="109"/>
        <v>3.7644275708963448E-3</v>
      </c>
      <c r="R383" s="485"/>
      <c r="S383" s="624" t="str">
        <f t="shared" ref="S383:S423" si="112">IF(N383=D383,"OK",N383)</f>
        <v>OK</v>
      </c>
      <c r="T383" s="672">
        <f>'2012 Rates'!G632</f>
        <v>29.9</v>
      </c>
      <c r="U383" s="447">
        <f t="shared" si="104"/>
        <v>1.0661293599133925E-2</v>
      </c>
      <c r="V383" s="485"/>
      <c r="W383" s="623">
        <f t="shared" ref="W383:W423" si="113">+G383*T383*12</f>
        <v>358.79999999999995</v>
      </c>
      <c r="X383" s="442"/>
      <c r="Y383" s="485"/>
      <c r="Z383" s="485"/>
      <c r="AA383" s="485"/>
      <c r="AB383" s="485"/>
      <c r="AC383" s="485"/>
      <c r="AD383" s="485"/>
      <c r="AE383" s="485"/>
      <c r="AF383" s="485"/>
      <c r="AG383" s="485"/>
      <c r="AH383" s="485"/>
      <c r="AI383" s="485"/>
      <c r="AJ383" s="485"/>
      <c r="AK383" s="485"/>
      <c r="AL383" s="485"/>
      <c r="AM383" s="485"/>
      <c r="AN383" s="485"/>
      <c r="AO383" s="485"/>
      <c r="AP383" s="485"/>
      <c r="AQ383" s="485"/>
      <c r="AR383" s="485"/>
      <c r="AS383" s="485"/>
      <c r="AT383" s="485"/>
      <c r="AU383" s="485"/>
      <c r="AV383" s="485"/>
      <c r="AW383" s="485"/>
      <c r="AX383" s="485"/>
      <c r="AY383" s="485"/>
      <c r="AZ383" s="485"/>
      <c r="BA383" s="485"/>
      <c r="BB383" s="485"/>
      <c r="BC383" s="485"/>
      <c r="BD383" s="485"/>
      <c r="BE383" s="485"/>
      <c r="BF383" s="485"/>
      <c r="BG383" s="485"/>
      <c r="BH383" s="485"/>
      <c r="BI383" s="485"/>
      <c r="BJ383" s="485"/>
      <c r="BK383" s="485"/>
      <c r="BL383" s="485"/>
      <c r="BM383" s="485"/>
      <c r="BN383" s="485"/>
      <c r="BO383" s="485"/>
      <c r="BP383" s="485"/>
      <c r="BQ383" s="485"/>
      <c r="BR383" s="485"/>
      <c r="BS383" s="485"/>
      <c r="BT383" s="485"/>
      <c r="BU383" s="485"/>
      <c r="BV383" s="485"/>
      <c r="BW383" s="485"/>
      <c r="BX383" s="485"/>
      <c r="BY383" s="485"/>
      <c r="BZ383" s="485"/>
      <c r="CA383" s="485"/>
      <c r="CB383" s="485"/>
      <c r="CC383" s="485"/>
      <c r="CD383" s="485"/>
      <c r="CE383" s="485"/>
      <c r="CF383" s="485"/>
      <c r="CG383" s="485"/>
      <c r="CH383" s="485"/>
      <c r="CI383" s="485"/>
      <c r="CJ383" s="485"/>
      <c r="CK383" s="485"/>
      <c r="CL383" s="485"/>
      <c r="CM383" s="485"/>
      <c r="CN383" s="485"/>
      <c r="CO383" s="485"/>
      <c r="CP383" s="485"/>
      <c r="CQ383" s="485"/>
      <c r="CR383" s="485"/>
      <c r="CS383" s="485"/>
      <c r="CT383" s="485"/>
      <c r="CU383" s="485"/>
      <c r="CV383" s="485"/>
      <c r="CW383" s="485"/>
      <c r="CX383" s="485"/>
      <c r="CY383" s="485"/>
      <c r="CZ383" s="485"/>
      <c r="DA383" s="485"/>
      <c r="DB383" s="485"/>
      <c r="DC383" s="485"/>
      <c r="DD383" s="485"/>
      <c r="DE383" s="485"/>
      <c r="DF383" s="485"/>
      <c r="DG383" s="485"/>
      <c r="DH383" s="485"/>
      <c r="DI383" s="485"/>
      <c r="DJ383" s="485"/>
      <c r="DK383" s="485"/>
      <c r="DL383" s="485"/>
      <c r="DM383" s="485"/>
      <c r="DN383" s="485"/>
      <c r="DO383" s="485"/>
      <c r="DP383" s="485"/>
      <c r="DQ383" s="485"/>
      <c r="DR383" s="485"/>
      <c r="DS383" s="485"/>
      <c r="DT383" s="485"/>
      <c r="DU383" s="485"/>
      <c r="DV383" s="485"/>
      <c r="DW383" s="485"/>
      <c r="DX383" s="485"/>
      <c r="DY383" s="485"/>
      <c r="DZ383" s="485"/>
      <c r="EA383" s="485"/>
      <c r="EB383" s="485"/>
      <c r="EC383" s="485"/>
      <c r="ED383" s="485"/>
      <c r="EE383" s="485"/>
      <c r="EF383" s="485"/>
      <c r="EG383" s="485"/>
      <c r="EH383" s="485"/>
      <c r="EI383" s="485"/>
      <c r="EJ383" s="485"/>
      <c r="EK383" s="485"/>
      <c r="EL383" s="485"/>
      <c r="EM383" s="485"/>
      <c r="EN383" s="485"/>
      <c r="EO383" s="485"/>
      <c r="EP383" s="485"/>
    </row>
    <row r="384" spans="1:146" ht="15.75">
      <c r="A384" s="468">
        <v>1106</v>
      </c>
      <c r="B384" s="643" t="s">
        <v>473</v>
      </c>
      <c r="C384" s="653"/>
      <c r="D384" s="654">
        <v>5</v>
      </c>
      <c r="E384" s="439">
        <v>13.33</v>
      </c>
      <c r="F384" s="678">
        <f t="shared" si="99"/>
        <v>13.31855</v>
      </c>
      <c r="G384" s="683">
        <v>1</v>
      </c>
      <c r="H384" s="682">
        <f t="shared" si="111"/>
        <v>60</v>
      </c>
      <c r="I384" s="442">
        <f t="shared" si="106"/>
        <v>159.96</v>
      </c>
      <c r="J384" s="442"/>
      <c r="K384" s="443"/>
      <c r="L384" s="627">
        <f t="shared" si="107"/>
        <v>0</v>
      </c>
      <c r="M384" s="627"/>
      <c r="N384" s="609">
        <v>5</v>
      </c>
      <c r="O384" s="610">
        <v>13.325339706494997</v>
      </c>
      <c r="P384" s="617" t="str">
        <f t="shared" si="108"/>
        <v>---</v>
      </c>
      <c r="Q384" s="617">
        <f t="shared" si="109"/>
        <v>-4.6602935050028549E-3</v>
      </c>
      <c r="R384" s="485"/>
      <c r="S384" s="624" t="str">
        <f t="shared" si="112"/>
        <v>OK</v>
      </c>
      <c r="T384" s="672">
        <f>'2012 Rates'!G631</f>
        <v>13.32</v>
      </c>
      <c r="U384" s="447">
        <f t="shared" si="104"/>
        <v>1.0887071040022178E-4</v>
      </c>
      <c r="V384" s="485"/>
      <c r="W384" s="623">
        <f t="shared" si="113"/>
        <v>159.84</v>
      </c>
      <c r="X384" s="442"/>
      <c r="Y384" s="485"/>
      <c r="Z384" s="485"/>
      <c r="AA384" s="485"/>
      <c r="AB384" s="485"/>
      <c r="AC384" s="485"/>
      <c r="AD384" s="485"/>
      <c r="AE384" s="485"/>
      <c r="AF384" s="485"/>
      <c r="AG384" s="485"/>
      <c r="AH384" s="485"/>
      <c r="AI384" s="485"/>
      <c r="AJ384" s="485"/>
      <c r="AK384" s="485"/>
      <c r="AL384" s="485"/>
      <c r="AM384" s="485"/>
      <c r="AN384" s="485"/>
      <c r="AO384" s="485"/>
      <c r="AP384" s="485"/>
      <c r="AQ384" s="485"/>
      <c r="AR384" s="485"/>
      <c r="AS384" s="485"/>
      <c r="AT384" s="485"/>
      <c r="AU384" s="485"/>
      <c r="AV384" s="485"/>
      <c r="AW384" s="485"/>
      <c r="AX384" s="485"/>
      <c r="AY384" s="485"/>
      <c r="AZ384" s="485"/>
      <c r="BA384" s="485"/>
      <c r="BB384" s="485"/>
      <c r="BC384" s="485"/>
      <c r="BD384" s="485"/>
      <c r="BE384" s="485"/>
      <c r="BF384" s="485"/>
      <c r="BG384" s="485"/>
      <c r="BH384" s="485"/>
      <c r="BI384" s="485"/>
      <c r="BJ384" s="485"/>
      <c r="BK384" s="485"/>
      <c r="BL384" s="485"/>
      <c r="BM384" s="485"/>
      <c r="BN384" s="485"/>
      <c r="BO384" s="485"/>
      <c r="BP384" s="485"/>
      <c r="BQ384" s="485"/>
      <c r="BR384" s="485"/>
      <c r="BS384" s="485"/>
      <c r="BT384" s="485"/>
      <c r="BU384" s="485"/>
      <c r="BV384" s="485"/>
      <c r="BW384" s="485"/>
      <c r="BX384" s="485"/>
      <c r="BY384" s="485"/>
      <c r="BZ384" s="485"/>
      <c r="CA384" s="485"/>
      <c r="CB384" s="485"/>
      <c r="CC384" s="485"/>
      <c r="CD384" s="485"/>
      <c r="CE384" s="485"/>
      <c r="CF384" s="485"/>
      <c r="CG384" s="485"/>
      <c r="CH384" s="485"/>
      <c r="CI384" s="485"/>
      <c r="CJ384" s="485"/>
      <c r="CK384" s="485"/>
      <c r="CL384" s="485"/>
      <c r="CM384" s="485"/>
      <c r="CN384" s="485"/>
      <c r="CO384" s="485"/>
      <c r="CP384" s="485"/>
      <c r="CQ384" s="485"/>
      <c r="CR384" s="485"/>
      <c r="CS384" s="485"/>
      <c r="CT384" s="485"/>
      <c r="CU384" s="485"/>
      <c r="CV384" s="485"/>
      <c r="CW384" s="485"/>
      <c r="CX384" s="485"/>
      <c r="CY384" s="485"/>
      <c r="CZ384" s="485"/>
      <c r="DA384" s="485"/>
      <c r="DB384" s="485"/>
      <c r="DC384" s="485"/>
      <c r="DD384" s="485"/>
      <c r="DE384" s="485"/>
      <c r="DF384" s="485"/>
      <c r="DG384" s="485"/>
      <c r="DH384" s="485"/>
      <c r="DI384" s="485"/>
      <c r="DJ384" s="485"/>
      <c r="DK384" s="485"/>
      <c r="DL384" s="485"/>
      <c r="DM384" s="485"/>
      <c r="DN384" s="485"/>
      <c r="DO384" s="485"/>
      <c r="DP384" s="485"/>
      <c r="DQ384" s="485"/>
      <c r="DR384" s="485"/>
      <c r="DS384" s="485"/>
      <c r="DT384" s="485"/>
      <c r="DU384" s="485"/>
      <c r="DV384" s="485"/>
      <c r="DW384" s="485"/>
      <c r="DX384" s="485"/>
      <c r="DY384" s="485"/>
      <c r="DZ384" s="485"/>
      <c r="EA384" s="485"/>
      <c r="EB384" s="485"/>
      <c r="EC384" s="485"/>
      <c r="ED384" s="485"/>
      <c r="EE384" s="485"/>
      <c r="EF384" s="485"/>
      <c r="EG384" s="485"/>
      <c r="EH384" s="485"/>
      <c r="EI384" s="485"/>
      <c r="EJ384" s="485"/>
      <c r="EK384" s="485"/>
      <c r="EL384" s="485"/>
      <c r="EM384" s="485"/>
      <c r="EN384" s="485"/>
      <c r="EO384" s="485"/>
      <c r="EP384" s="485"/>
    </row>
    <row r="385" spans="1:146" ht="15.75">
      <c r="A385" s="468">
        <v>1108</v>
      </c>
      <c r="B385" s="643" t="s">
        <v>581</v>
      </c>
      <c r="C385" s="653">
        <v>204</v>
      </c>
      <c r="D385" s="654">
        <v>173</v>
      </c>
      <c r="E385" s="439">
        <v>15.37</v>
      </c>
      <c r="F385" s="678">
        <f t="shared" si="99"/>
        <v>14.97383</v>
      </c>
      <c r="G385" s="683">
        <v>1</v>
      </c>
      <c r="H385" s="682">
        <f t="shared" si="111"/>
        <v>2076</v>
      </c>
      <c r="I385" s="442">
        <f t="shared" si="106"/>
        <v>184.44</v>
      </c>
      <c r="J385" s="442"/>
      <c r="K385" s="443"/>
      <c r="L385" s="627">
        <f t="shared" si="107"/>
        <v>0</v>
      </c>
      <c r="M385" s="627"/>
      <c r="N385" s="609">
        <v>173</v>
      </c>
      <c r="O385" s="610">
        <v>15.37</v>
      </c>
      <c r="P385" s="617" t="str">
        <f t="shared" si="108"/>
        <v>---</v>
      </c>
      <c r="Q385" s="617" t="str">
        <f t="shared" si="109"/>
        <v>---</v>
      </c>
      <c r="R385" s="485"/>
      <c r="S385" s="624" t="str">
        <f t="shared" si="112"/>
        <v>OK</v>
      </c>
      <c r="T385" s="613">
        <f>IF(+'2012 Rates'!P630&lt;'2012 Rates'!$B$11,'2012 Rates'!$B$11,+'2012 Rates'!P630)</f>
        <v>16.16</v>
      </c>
      <c r="U385" s="447">
        <f t="shared" si="104"/>
        <v>7.9216205873847922E-2</v>
      </c>
      <c r="V385" s="485"/>
      <c r="W385" s="623"/>
      <c r="X385" s="442"/>
      <c r="Y385" s="485"/>
      <c r="Z385" s="485"/>
      <c r="AA385" s="485"/>
      <c r="AB385" s="485"/>
      <c r="AC385" s="485"/>
      <c r="AD385" s="485"/>
      <c r="AE385" s="485"/>
      <c r="AF385" s="485"/>
      <c r="AG385" s="485"/>
      <c r="AH385" s="485"/>
      <c r="AI385" s="485"/>
      <c r="AJ385" s="485"/>
      <c r="AK385" s="485"/>
      <c r="AL385" s="485"/>
      <c r="AM385" s="485"/>
      <c r="AN385" s="485"/>
      <c r="AO385" s="485"/>
      <c r="AP385" s="485"/>
      <c r="AQ385" s="485"/>
      <c r="AR385" s="485"/>
      <c r="AS385" s="485"/>
      <c r="AT385" s="485"/>
      <c r="AU385" s="485"/>
      <c r="AV385" s="485"/>
      <c r="AW385" s="485"/>
      <c r="AX385" s="485"/>
      <c r="AY385" s="485"/>
      <c r="AZ385" s="485"/>
      <c r="BA385" s="485"/>
      <c r="BB385" s="485"/>
      <c r="BC385" s="485"/>
      <c r="BD385" s="485"/>
      <c r="BE385" s="485"/>
      <c r="BF385" s="485"/>
      <c r="BG385" s="485"/>
      <c r="BH385" s="485"/>
      <c r="BI385" s="485"/>
      <c r="BJ385" s="485"/>
      <c r="BK385" s="485"/>
      <c r="BL385" s="485"/>
      <c r="BM385" s="485"/>
      <c r="BN385" s="485"/>
      <c r="BO385" s="485"/>
      <c r="BP385" s="485"/>
      <c r="BQ385" s="485"/>
      <c r="BR385" s="485"/>
      <c r="BS385" s="485"/>
      <c r="BT385" s="485"/>
      <c r="BU385" s="485"/>
      <c r="BV385" s="485"/>
      <c r="BW385" s="485"/>
      <c r="BX385" s="485"/>
      <c r="BY385" s="485"/>
      <c r="BZ385" s="485"/>
      <c r="CA385" s="485"/>
      <c r="CB385" s="485"/>
      <c r="CC385" s="485"/>
      <c r="CD385" s="485"/>
      <c r="CE385" s="485"/>
      <c r="CF385" s="485"/>
      <c r="CG385" s="485"/>
      <c r="CH385" s="485"/>
      <c r="CI385" s="485"/>
      <c r="CJ385" s="485"/>
      <c r="CK385" s="485"/>
      <c r="CL385" s="485"/>
      <c r="CM385" s="485"/>
      <c r="CN385" s="485"/>
      <c r="CO385" s="485"/>
      <c r="CP385" s="485"/>
      <c r="CQ385" s="485"/>
      <c r="CR385" s="485"/>
      <c r="CS385" s="485"/>
      <c r="CT385" s="485"/>
      <c r="CU385" s="485"/>
      <c r="CV385" s="485"/>
      <c r="CW385" s="485"/>
      <c r="CX385" s="485"/>
      <c r="CY385" s="485"/>
      <c r="CZ385" s="485"/>
      <c r="DA385" s="485"/>
      <c r="DB385" s="485"/>
      <c r="DC385" s="485"/>
      <c r="DD385" s="485"/>
      <c r="DE385" s="485"/>
      <c r="DF385" s="485"/>
      <c r="DG385" s="485"/>
      <c r="DH385" s="485"/>
      <c r="DI385" s="485"/>
      <c r="DJ385" s="485"/>
      <c r="DK385" s="485"/>
      <c r="DL385" s="485"/>
      <c r="DM385" s="485"/>
      <c r="DN385" s="485"/>
      <c r="DO385" s="485"/>
      <c r="DP385" s="485"/>
      <c r="DQ385" s="485"/>
      <c r="DR385" s="485"/>
      <c r="DS385" s="485"/>
      <c r="DT385" s="485"/>
      <c r="DU385" s="485"/>
      <c r="DV385" s="485"/>
      <c r="DW385" s="485"/>
      <c r="DX385" s="485"/>
      <c r="DY385" s="485"/>
      <c r="DZ385" s="485"/>
      <c r="EA385" s="485"/>
      <c r="EB385" s="485"/>
      <c r="EC385" s="485"/>
      <c r="ED385" s="485"/>
      <c r="EE385" s="485"/>
      <c r="EF385" s="485"/>
      <c r="EG385" s="485"/>
      <c r="EH385" s="485"/>
      <c r="EI385" s="485"/>
      <c r="EJ385" s="485"/>
      <c r="EK385" s="485"/>
      <c r="EL385" s="485"/>
      <c r="EM385" s="485"/>
      <c r="EN385" s="485"/>
      <c r="EO385" s="485"/>
      <c r="EP385" s="485"/>
    </row>
    <row r="386" spans="1:146" ht="15.75">
      <c r="A386" s="468">
        <v>1109</v>
      </c>
      <c r="B386" s="643" t="s">
        <v>582</v>
      </c>
      <c r="C386" s="653">
        <v>660</v>
      </c>
      <c r="D386" s="654">
        <v>248</v>
      </c>
      <c r="E386" s="439">
        <v>27.78</v>
      </c>
      <c r="F386" s="678">
        <f t="shared" si="99"/>
        <v>27.21208</v>
      </c>
      <c r="G386" s="683">
        <v>1</v>
      </c>
      <c r="H386" s="682">
        <f t="shared" si="111"/>
        <v>2976</v>
      </c>
      <c r="I386" s="442">
        <f t="shared" si="106"/>
        <v>333.36</v>
      </c>
      <c r="J386" s="442"/>
      <c r="K386" s="443"/>
      <c r="L386" s="627">
        <f t="shared" si="107"/>
        <v>0</v>
      </c>
      <c r="M386" s="627"/>
      <c r="N386" s="609">
        <v>248</v>
      </c>
      <c r="O386" s="610">
        <v>27.78</v>
      </c>
      <c r="P386" s="617" t="str">
        <f t="shared" si="108"/>
        <v>---</v>
      </c>
      <c r="Q386" s="617" t="str">
        <f t="shared" si="109"/>
        <v>---</v>
      </c>
      <c r="R386" s="485"/>
      <c r="S386" s="624" t="str">
        <f t="shared" si="112"/>
        <v>OK</v>
      </c>
      <c r="T386" s="613">
        <f>IF(+'2012 Rates'!O629&lt;'2012 Rates'!$B$11,'2012 Rates'!$B$11,+'2012 Rates'!O629)</f>
        <v>29.88</v>
      </c>
      <c r="U386" s="447">
        <f t="shared" si="104"/>
        <v>9.8041752045415098E-2</v>
      </c>
      <c r="V386" s="485"/>
      <c r="W386" s="623"/>
      <c r="X386" s="442"/>
      <c r="Y386" s="485"/>
      <c r="Z386" s="485"/>
      <c r="AA386" s="485"/>
      <c r="AB386" s="485"/>
      <c r="AC386" s="485"/>
      <c r="AD386" s="485"/>
      <c r="AE386" s="485"/>
      <c r="AF386" s="485"/>
      <c r="AG386" s="485"/>
      <c r="AH386" s="485"/>
      <c r="AI386" s="485"/>
      <c r="AJ386" s="485"/>
      <c r="AK386" s="485"/>
      <c r="AL386" s="485"/>
      <c r="AM386" s="485"/>
      <c r="AN386" s="485"/>
      <c r="AO386" s="485"/>
      <c r="AP386" s="485"/>
      <c r="AQ386" s="485"/>
      <c r="AR386" s="485"/>
      <c r="AS386" s="485"/>
      <c r="AT386" s="485"/>
      <c r="AU386" s="485"/>
      <c r="AV386" s="485"/>
      <c r="AW386" s="485"/>
      <c r="AX386" s="485"/>
      <c r="AY386" s="485"/>
      <c r="AZ386" s="485"/>
      <c r="BA386" s="485"/>
      <c r="BB386" s="485"/>
      <c r="BC386" s="485"/>
      <c r="BD386" s="485"/>
      <c r="BE386" s="485"/>
      <c r="BF386" s="485"/>
      <c r="BG386" s="485"/>
      <c r="BH386" s="485"/>
      <c r="BI386" s="485"/>
      <c r="BJ386" s="485"/>
      <c r="BK386" s="485"/>
      <c r="BL386" s="485"/>
      <c r="BM386" s="485"/>
      <c r="BN386" s="485"/>
      <c r="BO386" s="485"/>
      <c r="BP386" s="485"/>
      <c r="BQ386" s="485"/>
      <c r="BR386" s="485"/>
      <c r="BS386" s="485"/>
      <c r="BT386" s="485"/>
      <c r="BU386" s="485"/>
      <c r="BV386" s="485"/>
      <c r="BW386" s="485"/>
      <c r="BX386" s="485"/>
      <c r="BY386" s="485"/>
      <c r="BZ386" s="485"/>
      <c r="CA386" s="485"/>
      <c r="CB386" s="485"/>
      <c r="CC386" s="485"/>
      <c r="CD386" s="485"/>
      <c r="CE386" s="485"/>
      <c r="CF386" s="485"/>
      <c r="CG386" s="485"/>
      <c r="CH386" s="485"/>
      <c r="CI386" s="485"/>
      <c r="CJ386" s="485"/>
      <c r="CK386" s="485"/>
      <c r="CL386" s="485"/>
      <c r="CM386" s="485"/>
      <c r="CN386" s="485"/>
      <c r="CO386" s="485"/>
      <c r="CP386" s="485"/>
      <c r="CQ386" s="485"/>
      <c r="CR386" s="485"/>
      <c r="CS386" s="485"/>
      <c r="CT386" s="485"/>
      <c r="CU386" s="485"/>
      <c r="CV386" s="485"/>
      <c r="CW386" s="485"/>
      <c r="CX386" s="485"/>
      <c r="CY386" s="485"/>
      <c r="CZ386" s="485"/>
      <c r="DA386" s="485"/>
      <c r="DB386" s="485"/>
      <c r="DC386" s="485"/>
      <c r="DD386" s="485"/>
      <c r="DE386" s="485"/>
      <c r="DF386" s="485"/>
      <c r="DG386" s="485"/>
      <c r="DH386" s="485"/>
      <c r="DI386" s="485"/>
      <c r="DJ386" s="485"/>
      <c r="DK386" s="485"/>
      <c r="DL386" s="485"/>
      <c r="DM386" s="485"/>
      <c r="DN386" s="485"/>
      <c r="DO386" s="485"/>
      <c r="DP386" s="485"/>
      <c r="DQ386" s="485"/>
      <c r="DR386" s="485"/>
      <c r="DS386" s="485"/>
      <c r="DT386" s="485"/>
      <c r="DU386" s="485"/>
      <c r="DV386" s="485"/>
      <c r="DW386" s="485"/>
      <c r="DX386" s="485"/>
      <c r="DY386" s="485"/>
      <c r="DZ386" s="485"/>
      <c r="EA386" s="485"/>
      <c r="EB386" s="485"/>
      <c r="EC386" s="485"/>
      <c r="ED386" s="485"/>
      <c r="EE386" s="485"/>
      <c r="EF386" s="485"/>
      <c r="EG386" s="485"/>
      <c r="EH386" s="485"/>
      <c r="EI386" s="485"/>
      <c r="EJ386" s="485"/>
      <c r="EK386" s="485"/>
      <c r="EL386" s="485"/>
      <c r="EM386" s="485"/>
      <c r="EN386" s="485"/>
      <c r="EO386" s="485"/>
      <c r="EP386" s="485"/>
    </row>
    <row r="387" spans="1:146" ht="15.75">
      <c r="A387" s="468">
        <v>1110</v>
      </c>
      <c r="B387" s="643" t="s">
        <v>474</v>
      </c>
      <c r="C387" s="653">
        <v>24</v>
      </c>
      <c r="D387" s="654">
        <v>18</v>
      </c>
      <c r="E387" s="439">
        <v>12.7</v>
      </c>
      <c r="F387" s="678">
        <f t="shared" si="99"/>
        <v>12.65878</v>
      </c>
      <c r="G387" s="683">
        <v>1</v>
      </c>
      <c r="H387" s="682">
        <f t="shared" si="111"/>
        <v>216</v>
      </c>
      <c r="I387" s="442">
        <f t="shared" si="106"/>
        <v>152.39999999999998</v>
      </c>
      <c r="J387" s="442"/>
      <c r="K387" s="443"/>
      <c r="L387" s="627">
        <f t="shared" si="107"/>
        <v>0</v>
      </c>
      <c r="M387" s="627"/>
      <c r="N387" s="609">
        <v>18</v>
      </c>
      <c r="O387" s="610">
        <v>12.701222943381984</v>
      </c>
      <c r="P387" s="617" t="str">
        <f t="shared" si="108"/>
        <v>---</v>
      </c>
      <c r="Q387" s="617">
        <f t="shared" si="109"/>
        <v>1.2229433819843649E-3</v>
      </c>
      <c r="R387" s="485"/>
      <c r="S387" s="624" t="str">
        <f t="shared" si="112"/>
        <v>OK</v>
      </c>
      <c r="T387" s="613">
        <f>'2012 Rates'!P633</f>
        <v>13.89</v>
      </c>
      <c r="U387" s="447">
        <f t="shared" si="104"/>
        <v>9.7262137425565554E-2</v>
      </c>
      <c r="V387" s="485"/>
      <c r="W387" s="623">
        <f t="shared" si="113"/>
        <v>166.68</v>
      </c>
      <c r="X387" s="442"/>
      <c r="Y387" s="485"/>
      <c r="Z387" s="485"/>
      <c r="AA387" s="485"/>
      <c r="AB387" s="485"/>
      <c r="AC387" s="485"/>
      <c r="AD387" s="485"/>
      <c r="AE387" s="485"/>
      <c r="AF387" s="485"/>
      <c r="AG387" s="485"/>
      <c r="AH387" s="485"/>
      <c r="AI387" s="485"/>
      <c r="AJ387" s="485"/>
      <c r="AK387" s="485"/>
      <c r="AL387" s="485"/>
      <c r="AM387" s="485"/>
      <c r="AN387" s="485"/>
      <c r="AO387" s="485"/>
      <c r="AP387" s="485"/>
      <c r="AQ387" s="485"/>
      <c r="AR387" s="485"/>
      <c r="AS387" s="485"/>
      <c r="AT387" s="485"/>
      <c r="AU387" s="485"/>
      <c r="AV387" s="485"/>
      <c r="AW387" s="485"/>
      <c r="AX387" s="485"/>
      <c r="AY387" s="485"/>
      <c r="AZ387" s="485"/>
      <c r="BA387" s="485"/>
      <c r="BB387" s="485"/>
      <c r="BC387" s="485"/>
      <c r="BD387" s="485"/>
      <c r="BE387" s="485"/>
      <c r="BF387" s="485"/>
      <c r="BG387" s="485"/>
      <c r="BH387" s="485"/>
      <c r="BI387" s="485"/>
      <c r="BJ387" s="485"/>
      <c r="BK387" s="485"/>
      <c r="BL387" s="485"/>
      <c r="BM387" s="485"/>
      <c r="BN387" s="485"/>
      <c r="BO387" s="485"/>
      <c r="BP387" s="485"/>
      <c r="BQ387" s="485"/>
      <c r="BR387" s="485"/>
      <c r="BS387" s="485"/>
      <c r="BT387" s="485"/>
      <c r="BU387" s="485"/>
      <c r="BV387" s="485"/>
      <c r="BW387" s="485"/>
      <c r="BX387" s="485"/>
      <c r="BY387" s="485"/>
      <c r="BZ387" s="485"/>
      <c r="CA387" s="485"/>
      <c r="CB387" s="485"/>
      <c r="CC387" s="485"/>
      <c r="CD387" s="485"/>
      <c r="CE387" s="485"/>
      <c r="CF387" s="485"/>
      <c r="CG387" s="485"/>
      <c r="CH387" s="485"/>
      <c r="CI387" s="485"/>
      <c r="CJ387" s="485"/>
      <c r="CK387" s="485"/>
      <c r="CL387" s="485"/>
      <c r="CM387" s="485"/>
      <c r="CN387" s="485"/>
      <c r="CO387" s="485"/>
      <c r="CP387" s="485"/>
      <c r="CQ387" s="485"/>
      <c r="CR387" s="485"/>
      <c r="CS387" s="485"/>
      <c r="CT387" s="485"/>
      <c r="CU387" s="485"/>
      <c r="CV387" s="485"/>
      <c r="CW387" s="485"/>
      <c r="CX387" s="485"/>
      <c r="CY387" s="485"/>
      <c r="CZ387" s="485"/>
      <c r="DA387" s="485"/>
      <c r="DB387" s="485"/>
      <c r="DC387" s="485"/>
      <c r="DD387" s="485"/>
      <c r="DE387" s="485"/>
      <c r="DF387" s="485"/>
      <c r="DG387" s="485"/>
      <c r="DH387" s="485"/>
      <c r="DI387" s="485"/>
      <c r="DJ387" s="485"/>
      <c r="DK387" s="485"/>
      <c r="DL387" s="485"/>
      <c r="DM387" s="485"/>
      <c r="DN387" s="485"/>
      <c r="DO387" s="485"/>
      <c r="DP387" s="485"/>
      <c r="DQ387" s="485"/>
      <c r="DR387" s="485"/>
      <c r="DS387" s="485"/>
      <c r="DT387" s="485"/>
      <c r="DU387" s="485"/>
      <c r="DV387" s="485"/>
      <c r="DW387" s="485"/>
      <c r="DX387" s="485"/>
      <c r="DY387" s="485"/>
      <c r="DZ387" s="485"/>
      <c r="EA387" s="485"/>
      <c r="EB387" s="485"/>
      <c r="EC387" s="485"/>
      <c r="ED387" s="485"/>
      <c r="EE387" s="485"/>
      <c r="EF387" s="485"/>
      <c r="EG387" s="485"/>
      <c r="EH387" s="485"/>
      <c r="EI387" s="485"/>
      <c r="EJ387" s="485"/>
      <c r="EK387" s="485"/>
      <c r="EL387" s="485"/>
      <c r="EM387" s="485"/>
      <c r="EN387" s="485"/>
      <c r="EO387" s="485"/>
      <c r="EP387" s="485"/>
    </row>
    <row r="388" spans="1:146" ht="15.75">
      <c r="A388" s="468">
        <v>1111</v>
      </c>
      <c r="B388" s="643" t="s">
        <v>475</v>
      </c>
      <c r="C388" s="653">
        <v>1560</v>
      </c>
      <c r="D388" s="654">
        <v>663</v>
      </c>
      <c r="E388" s="439">
        <v>67.8</v>
      </c>
      <c r="F388" s="678">
        <f t="shared" si="99"/>
        <v>66.281729999999996</v>
      </c>
      <c r="G388" s="683">
        <v>1</v>
      </c>
      <c r="H388" s="682">
        <f t="shared" si="111"/>
        <v>7956</v>
      </c>
      <c r="I388" s="442">
        <f t="shared" si="106"/>
        <v>813.59999999999991</v>
      </c>
      <c r="J388" s="442"/>
      <c r="K388" s="443"/>
      <c r="L388" s="627">
        <f t="shared" si="107"/>
        <v>0</v>
      </c>
      <c r="M388" s="627"/>
      <c r="N388" s="609">
        <v>663</v>
      </c>
      <c r="O388" s="610">
        <v>67.800045081236476</v>
      </c>
      <c r="P388" s="617" t="str">
        <f t="shared" si="108"/>
        <v>---</v>
      </c>
      <c r="Q388" s="617">
        <f t="shared" si="109"/>
        <v>4.5081236478949904E-5</v>
      </c>
      <c r="R388" s="485"/>
      <c r="S388" s="624" t="str">
        <f t="shared" si="112"/>
        <v>OK</v>
      </c>
      <c r="T388" s="613">
        <f>IF(+'2012 Rates'!O636&lt;'2012 Rates'!$B$11,'2012 Rates'!$B$11,+'2012 Rates'!O636)</f>
        <v>72.77000000000001</v>
      </c>
      <c r="U388" s="447">
        <f t="shared" si="104"/>
        <v>9.7889267525153922E-2</v>
      </c>
      <c r="V388" s="485"/>
      <c r="W388" s="623">
        <f t="shared" si="113"/>
        <v>873.24000000000012</v>
      </c>
      <c r="X388" s="442"/>
      <c r="Y388" s="485"/>
      <c r="Z388" s="485"/>
      <c r="AA388" s="485"/>
      <c r="AB388" s="485"/>
      <c r="AC388" s="485"/>
      <c r="AD388" s="485"/>
      <c r="AE388" s="485"/>
      <c r="AF388" s="485"/>
      <c r="AG388" s="485"/>
      <c r="AH388" s="485"/>
      <c r="AI388" s="485"/>
      <c r="AJ388" s="485"/>
      <c r="AK388" s="485"/>
      <c r="AL388" s="485"/>
      <c r="AM388" s="485"/>
      <c r="AN388" s="485"/>
      <c r="AO388" s="485"/>
      <c r="AP388" s="485"/>
      <c r="AQ388" s="485"/>
      <c r="AR388" s="485"/>
      <c r="AS388" s="485"/>
      <c r="AT388" s="485"/>
      <c r="AU388" s="485"/>
      <c r="AV388" s="485"/>
      <c r="AW388" s="485"/>
      <c r="AX388" s="485"/>
      <c r="AY388" s="485"/>
      <c r="AZ388" s="485"/>
      <c r="BA388" s="485"/>
      <c r="BB388" s="485"/>
      <c r="BC388" s="485"/>
      <c r="BD388" s="485"/>
      <c r="BE388" s="485"/>
      <c r="BF388" s="485"/>
      <c r="BG388" s="485"/>
      <c r="BH388" s="485"/>
      <c r="BI388" s="485"/>
      <c r="BJ388" s="485"/>
      <c r="BK388" s="485"/>
      <c r="BL388" s="485"/>
      <c r="BM388" s="485"/>
      <c r="BN388" s="485"/>
      <c r="BO388" s="485"/>
      <c r="BP388" s="485"/>
      <c r="BQ388" s="485"/>
      <c r="BR388" s="485"/>
      <c r="BS388" s="485"/>
      <c r="BT388" s="485"/>
      <c r="BU388" s="485"/>
      <c r="BV388" s="485"/>
      <c r="BW388" s="485"/>
      <c r="BX388" s="485"/>
      <c r="BY388" s="485"/>
      <c r="BZ388" s="485"/>
      <c r="CA388" s="485"/>
      <c r="CB388" s="485"/>
      <c r="CC388" s="485"/>
      <c r="CD388" s="485"/>
      <c r="CE388" s="485"/>
      <c r="CF388" s="485"/>
      <c r="CG388" s="485"/>
      <c r="CH388" s="485"/>
      <c r="CI388" s="485"/>
      <c r="CJ388" s="485"/>
      <c r="CK388" s="485"/>
      <c r="CL388" s="485"/>
      <c r="CM388" s="485"/>
      <c r="CN388" s="485"/>
      <c r="CO388" s="485"/>
      <c r="CP388" s="485"/>
      <c r="CQ388" s="485"/>
      <c r="CR388" s="485"/>
      <c r="CS388" s="485"/>
      <c r="CT388" s="485"/>
      <c r="CU388" s="485"/>
      <c r="CV388" s="485"/>
      <c r="CW388" s="485"/>
      <c r="CX388" s="485"/>
      <c r="CY388" s="485"/>
      <c r="CZ388" s="485"/>
      <c r="DA388" s="485"/>
      <c r="DB388" s="485"/>
      <c r="DC388" s="485"/>
      <c r="DD388" s="485"/>
      <c r="DE388" s="485"/>
      <c r="DF388" s="485"/>
      <c r="DG388" s="485"/>
      <c r="DH388" s="485"/>
      <c r="DI388" s="485"/>
      <c r="DJ388" s="485"/>
      <c r="DK388" s="485"/>
      <c r="DL388" s="485"/>
      <c r="DM388" s="485"/>
      <c r="DN388" s="485"/>
      <c r="DO388" s="485"/>
      <c r="DP388" s="485"/>
      <c r="DQ388" s="485"/>
      <c r="DR388" s="485"/>
      <c r="DS388" s="485"/>
      <c r="DT388" s="485"/>
      <c r="DU388" s="485"/>
      <c r="DV388" s="485"/>
      <c r="DW388" s="485"/>
      <c r="DX388" s="485"/>
      <c r="DY388" s="485"/>
      <c r="DZ388" s="485"/>
      <c r="EA388" s="485"/>
      <c r="EB388" s="485"/>
      <c r="EC388" s="485"/>
      <c r="ED388" s="485"/>
      <c r="EE388" s="485"/>
      <c r="EF388" s="485"/>
      <c r="EG388" s="485"/>
      <c r="EH388" s="485"/>
      <c r="EI388" s="485"/>
      <c r="EJ388" s="485"/>
      <c r="EK388" s="485"/>
      <c r="EL388" s="485"/>
      <c r="EM388" s="485"/>
      <c r="EN388" s="485"/>
      <c r="EO388" s="485"/>
      <c r="EP388" s="485"/>
    </row>
    <row r="389" spans="1:146" s="542" customFormat="1" ht="15.75">
      <c r="A389" s="468">
        <v>1112</v>
      </c>
      <c r="B389" s="643"/>
      <c r="C389" s="653"/>
      <c r="D389" s="654"/>
      <c r="E389" s="439"/>
      <c r="F389" s="678"/>
      <c r="G389" s="683"/>
      <c r="H389" s="682">
        <f t="shared" ref="H389:H423" si="114">+D389*G389*12</f>
        <v>0</v>
      </c>
      <c r="I389" s="442">
        <f t="shared" ref="I389:I423" si="115">+E389*G389*12</f>
        <v>0</v>
      </c>
      <c r="J389" s="442"/>
      <c r="K389" s="443"/>
      <c r="L389" s="627">
        <f t="shared" si="107"/>
        <v>0</v>
      </c>
      <c r="M389" s="627"/>
      <c r="N389" s="609" t="e">
        <v>#N/A</v>
      </c>
      <c r="O389" s="610" t="e">
        <v>#N/A</v>
      </c>
      <c r="P389" s="617" t="e">
        <f t="shared" ref="P389:P423" si="116">IF(N389=D389,"---",N389-D389)</f>
        <v>#N/A</v>
      </c>
      <c r="Q389" s="617" t="e">
        <f t="shared" ref="Q389:Q428" si="117">IF(O389=E389,"---",O389-E389)</f>
        <v>#N/A</v>
      </c>
      <c r="R389" s="485"/>
      <c r="S389" s="624" t="e">
        <f t="shared" si="112"/>
        <v>#N/A</v>
      </c>
      <c r="T389" s="613">
        <f>IF(+'2012 Rates'!P638&lt;'2012 Rates'!$B$11,'2012 Rates'!$B$11,+'2012 Rates'!P638)</f>
        <v>45.08</v>
      </c>
      <c r="U389" s="447" t="e">
        <f t="shared" si="104"/>
        <v>#DIV/0!</v>
      </c>
      <c r="V389" s="485"/>
      <c r="W389" s="623">
        <f t="shared" si="113"/>
        <v>0</v>
      </c>
      <c r="X389" s="442"/>
      <c r="Y389" s="485"/>
      <c r="Z389" s="485"/>
      <c r="AA389" s="485"/>
      <c r="AB389" s="485"/>
      <c r="AC389" s="485"/>
      <c r="AD389" s="485"/>
      <c r="AE389" s="485"/>
      <c r="AF389" s="485"/>
      <c r="AG389" s="485"/>
      <c r="AH389" s="485"/>
      <c r="AI389" s="485"/>
      <c r="AJ389" s="485"/>
      <c r="AK389" s="485"/>
      <c r="AL389" s="485"/>
      <c r="AM389" s="485"/>
      <c r="AN389" s="485"/>
      <c r="AO389" s="485"/>
      <c r="AP389" s="485"/>
      <c r="AQ389" s="485"/>
      <c r="AR389" s="485"/>
      <c r="AS389" s="485"/>
      <c r="AT389" s="485"/>
      <c r="AU389" s="485"/>
      <c r="AV389" s="485"/>
      <c r="AW389" s="485"/>
      <c r="AX389" s="485"/>
      <c r="AY389" s="485"/>
      <c r="AZ389" s="485"/>
      <c r="BA389" s="485"/>
      <c r="BB389" s="485"/>
      <c r="BC389" s="485"/>
      <c r="BD389" s="485"/>
      <c r="BE389" s="485"/>
      <c r="BF389" s="485"/>
      <c r="BG389" s="485"/>
      <c r="BH389" s="485"/>
      <c r="BI389" s="485"/>
      <c r="BJ389" s="485"/>
      <c r="BK389" s="485"/>
      <c r="BL389" s="485"/>
      <c r="BM389" s="485"/>
      <c r="BN389" s="485"/>
      <c r="BO389" s="485"/>
      <c r="BP389" s="485"/>
      <c r="BQ389" s="485"/>
      <c r="BR389" s="485"/>
      <c r="BS389" s="485"/>
      <c r="BT389" s="485"/>
      <c r="BU389" s="485"/>
      <c r="BV389" s="485"/>
      <c r="BW389" s="485"/>
      <c r="BX389" s="485"/>
      <c r="BY389" s="485"/>
      <c r="BZ389" s="485"/>
      <c r="CA389" s="485"/>
      <c r="CB389" s="485"/>
      <c r="CC389" s="485"/>
      <c r="CD389" s="485"/>
      <c r="CE389" s="485"/>
      <c r="CF389" s="485"/>
      <c r="CG389" s="485"/>
      <c r="CH389" s="485"/>
      <c r="CI389" s="485"/>
      <c r="CJ389" s="485"/>
      <c r="CK389" s="485"/>
      <c r="CL389" s="485"/>
      <c r="CM389" s="485"/>
      <c r="CN389" s="485"/>
      <c r="CO389" s="485"/>
      <c r="CP389" s="485"/>
      <c r="CQ389" s="485"/>
      <c r="CR389" s="485"/>
      <c r="CS389" s="485"/>
      <c r="CT389" s="485"/>
      <c r="CU389" s="485"/>
      <c r="CV389" s="485"/>
      <c r="CW389" s="485"/>
      <c r="CX389" s="485"/>
      <c r="CY389" s="485"/>
      <c r="CZ389" s="485"/>
      <c r="DA389" s="485"/>
      <c r="DB389" s="485"/>
      <c r="DC389" s="485"/>
      <c r="DD389" s="485"/>
      <c r="DE389" s="485"/>
      <c r="DF389" s="485"/>
      <c r="DG389" s="485"/>
      <c r="DH389" s="485"/>
      <c r="DI389" s="485"/>
      <c r="DJ389" s="485"/>
      <c r="DK389" s="485"/>
      <c r="DL389" s="485"/>
      <c r="DM389" s="485"/>
      <c r="DN389" s="485"/>
      <c r="DO389" s="485"/>
      <c r="DP389" s="485"/>
      <c r="DQ389" s="485"/>
      <c r="DR389" s="485"/>
      <c r="DS389" s="485"/>
      <c r="DT389" s="485"/>
      <c r="DU389" s="485"/>
      <c r="DV389" s="485"/>
      <c r="DW389" s="485"/>
      <c r="DX389" s="485"/>
      <c r="DY389" s="485"/>
      <c r="DZ389" s="485"/>
      <c r="EA389" s="485"/>
      <c r="EB389" s="485"/>
      <c r="EC389" s="485"/>
      <c r="ED389" s="485"/>
      <c r="EE389" s="485"/>
      <c r="EF389" s="485"/>
      <c r="EG389" s="485"/>
      <c r="EH389" s="485"/>
      <c r="EI389" s="485"/>
      <c r="EJ389" s="485"/>
      <c r="EK389" s="485"/>
      <c r="EL389" s="485"/>
      <c r="EM389" s="485"/>
      <c r="EN389" s="485"/>
      <c r="EO389" s="485"/>
      <c r="EP389" s="485"/>
    </row>
    <row r="390" spans="1:146" ht="15.75">
      <c r="A390" s="468">
        <v>1113</v>
      </c>
      <c r="B390" s="643" t="s">
        <v>476</v>
      </c>
      <c r="C390" s="653">
        <v>1680</v>
      </c>
      <c r="D390" s="654">
        <v>1382</v>
      </c>
      <c r="E390" s="439">
        <v>120.88</v>
      </c>
      <c r="F390" s="678">
        <f t="shared" si="99"/>
        <v>117.71522</v>
      </c>
      <c r="G390" s="683">
        <v>1</v>
      </c>
      <c r="H390" s="682">
        <f t="shared" si="114"/>
        <v>16584</v>
      </c>
      <c r="I390" s="442">
        <f t="shared" si="115"/>
        <v>1450.56</v>
      </c>
      <c r="J390" s="442"/>
      <c r="K390" s="443"/>
      <c r="L390" s="627">
        <f t="shared" si="107"/>
        <v>0</v>
      </c>
      <c r="M390" s="627"/>
      <c r="N390" s="609">
        <v>1382</v>
      </c>
      <c r="O390" s="610">
        <v>120.8838948752169</v>
      </c>
      <c r="P390" s="617" t="str">
        <f t="shared" si="116"/>
        <v>---</v>
      </c>
      <c r="Q390" s="617">
        <f t="shared" si="117"/>
        <v>3.8948752169005729E-3</v>
      </c>
      <c r="R390" s="485"/>
      <c r="S390" s="624" t="str">
        <f t="shared" si="112"/>
        <v>OK</v>
      </c>
      <c r="T390" s="613">
        <f>IF(+'2012 Rates'!P639&lt;'2012 Rates'!$B$11,'2012 Rates'!$B$11,+'2012 Rates'!P639)</f>
        <v>129.28</v>
      </c>
      <c r="U390" s="447">
        <f t="shared" si="104"/>
        <v>9.8243710541423557E-2</v>
      </c>
      <c r="V390" s="485"/>
      <c r="W390" s="623">
        <f t="shared" si="113"/>
        <v>1551.3600000000001</v>
      </c>
      <c r="X390" s="442"/>
      <c r="Y390" s="485"/>
      <c r="Z390" s="485"/>
      <c r="AA390" s="485"/>
      <c r="AB390" s="485"/>
      <c r="AC390" s="485"/>
      <c r="AD390" s="485"/>
      <c r="AE390" s="485"/>
      <c r="AF390" s="485"/>
      <c r="AG390" s="485"/>
      <c r="AH390" s="485"/>
      <c r="AI390" s="485"/>
      <c r="AJ390" s="485"/>
      <c r="AK390" s="485"/>
      <c r="AL390" s="485"/>
      <c r="AM390" s="485"/>
      <c r="AN390" s="485"/>
      <c r="AO390" s="485"/>
      <c r="AP390" s="485"/>
      <c r="AQ390" s="485"/>
      <c r="AR390" s="485"/>
      <c r="AS390" s="485"/>
      <c r="AT390" s="485"/>
      <c r="AU390" s="485"/>
      <c r="AV390" s="485"/>
      <c r="AW390" s="485"/>
      <c r="AX390" s="485"/>
      <c r="AY390" s="485"/>
      <c r="AZ390" s="485"/>
      <c r="BA390" s="485"/>
      <c r="BB390" s="485"/>
      <c r="BC390" s="485"/>
      <c r="BD390" s="485"/>
      <c r="BE390" s="485"/>
      <c r="BF390" s="485"/>
      <c r="BG390" s="485"/>
      <c r="BH390" s="485"/>
      <c r="BI390" s="485"/>
      <c r="BJ390" s="485"/>
      <c r="BK390" s="485"/>
      <c r="BL390" s="485"/>
      <c r="BM390" s="485"/>
      <c r="BN390" s="485"/>
      <c r="BO390" s="485"/>
      <c r="BP390" s="485"/>
      <c r="BQ390" s="485"/>
      <c r="BR390" s="485"/>
      <c r="BS390" s="485"/>
      <c r="BT390" s="485"/>
      <c r="BU390" s="485"/>
      <c r="BV390" s="485"/>
      <c r="BW390" s="485"/>
      <c r="BX390" s="485"/>
      <c r="BY390" s="485"/>
      <c r="BZ390" s="485"/>
      <c r="CA390" s="485"/>
      <c r="CB390" s="485"/>
      <c r="CC390" s="485"/>
      <c r="CD390" s="485"/>
      <c r="CE390" s="485"/>
      <c r="CF390" s="485"/>
      <c r="CG390" s="485"/>
      <c r="CH390" s="485"/>
      <c r="CI390" s="485"/>
      <c r="CJ390" s="485"/>
      <c r="CK390" s="485"/>
      <c r="CL390" s="485"/>
      <c r="CM390" s="485"/>
      <c r="CN390" s="485"/>
      <c r="CO390" s="485"/>
      <c r="CP390" s="485"/>
      <c r="CQ390" s="485"/>
      <c r="CR390" s="485"/>
      <c r="CS390" s="485"/>
      <c r="CT390" s="485"/>
      <c r="CU390" s="485"/>
      <c r="CV390" s="485"/>
      <c r="CW390" s="485"/>
      <c r="CX390" s="485"/>
      <c r="CY390" s="485"/>
      <c r="CZ390" s="485"/>
      <c r="DA390" s="485"/>
      <c r="DB390" s="485"/>
      <c r="DC390" s="485"/>
      <c r="DD390" s="485"/>
      <c r="DE390" s="485"/>
      <c r="DF390" s="485"/>
      <c r="DG390" s="485"/>
      <c r="DH390" s="485"/>
      <c r="DI390" s="485"/>
      <c r="DJ390" s="485"/>
      <c r="DK390" s="485"/>
      <c r="DL390" s="485"/>
      <c r="DM390" s="485"/>
      <c r="DN390" s="485"/>
      <c r="DO390" s="485"/>
      <c r="DP390" s="485"/>
      <c r="DQ390" s="485"/>
      <c r="DR390" s="485"/>
      <c r="DS390" s="485"/>
      <c r="DT390" s="485"/>
      <c r="DU390" s="485"/>
      <c r="DV390" s="485"/>
      <c r="DW390" s="485"/>
      <c r="DX390" s="485"/>
      <c r="DY390" s="485"/>
      <c r="DZ390" s="485"/>
      <c r="EA390" s="485"/>
      <c r="EB390" s="485"/>
      <c r="EC390" s="485"/>
      <c r="ED390" s="485"/>
      <c r="EE390" s="485"/>
      <c r="EF390" s="485"/>
      <c r="EG390" s="485"/>
      <c r="EH390" s="485"/>
      <c r="EI390" s="485"/>
      <c r="EJ390" s="485"/>
      <c r="EK390" s="485"/>
      <c r="EL390" s="485"/>
      <c r="EM390" s="485"/>
      <c r="EN390" s="485"/>
      <c r="EO390" s="485"/>
      <c r="EP390" s="485"/>
    </row>
    <row r="391" spans="1:146" ht="15.75">
      <c r="A391" s="468">
        <v>1114</v>
      </c>
      <c r="B391" s="643" t="s">
        <v>477</v>
      </c>
      <c r="C391" s="653">
        <v>700</v>
      </c>
      <c r="D391" s="654">
        <v>562</v>
      </c>
      <c r="E391" s="439">
        <v>49.16</v>
      </c>
      <c r="F391" s="678">
        <f t="shared" si="99"/>
        <v>47.873019999999997</v>
      </c>
      <c r="G391" s="683">
        <v>2</v>
      </c>
      <c r="H391" s="682">
        <f t="shared" si="114"/>
        <v>13488</v>
      </c>
      <c r="I391" s="442">
        <f t="shared" si="115"/>
        <v>1179.8399999999999</v>
      </c>
      <c r="J391" s="442"/>
      <c r="K391" s="443"/>
      <c r="L391" s="627">
        <f t="shared" si="107"/>
        <v>0</v>
      </c>
      <c r="M391" s="627"/>
      <c r="N391" s="609">
        <v>562</v>
      </c>
      <c r="O391" s="610">
        <v>49.158183010037547</v>
      </c>
      <c r="P391" s="617" t="str">
        <f t="shared" si="116"/>
        <v>---</v>
      </c>
      <c r="Q391" s="617">
        <f t="shared" si="117"/>
        <v>-1.8169899624496111E-3</v>
      </c>
      <c r="R391" s="485"/>
      <c r="S391" s="624" t="str">
        <f t="shared" si="112"/>
        <v>OK</v>
      </c>
      <c r="T391" s="613">
        <f>IF(+'2012 Rates'!P640&lt;'2012 Rates'!$B$11,'2012 Rates'!$B$11,+'2012 Rates'!P640)</f>
        <v>52.57</v>
      </c>
      <c r="U391" s="447">
        <f t="shared" si="104"/>
        <v>9.8113300560524586E-2</v>
      </c>
      <c r="V391" s="485"/>
      <c r="W391" s="623">
        <f t="shared" si="113"/>
        <v>1261.68</v>
      </c>
      <c r="X391" s="442"/>
      <c r="Y391" s="485"/>
      <c r="Z391" s="485"/>
      <c r="AA391" s="485"/>
      <c r="AB391" s="485"/>
      <c r="AC391" s="485"/>
      <c r="AD391" s="485"/>
      <c r="AE391" s="485"/>
      <c r="AF391" s="485"/>
      <c r="AG391" s="485"/>
      <c r="AH391" s="485"/>
      <c r="AI391" s="485"/>
      <c r="AJ391" s="485"/>
      <c r="AK391" s="485"/>
      <c r="AL391" s="485"/>
      <c r="AM391" s="485"/>
      <c r="AN391" s="485"/>
      <c r="AO391" s="485"/>
      <c r="AP391" s="485"/>
      <c r="AQ391" s="485"/>
      <c r="AR391" s="485"/>
      <c r="AS391" s="485"/>
      <c r="AT391" s="485"/>
      <c r="AU391" s="485"/>
      <c r="AV391" s="485"/>
      <c r="AW391" s="485"/>
      <c r="AX391" s="485"/>
      <c r="AY391" s="485"/>
      <c r="AZ391" s="485"/>
      <c r="BA391" s="485"/>
      <c r="BB391" s="485"/>
      <c r="BC391" s="485"/>
      <c r="BD391" s="485"/>
      <c r="BE391" s="485"/>
      <c r="BF391" s="485"/>
      <c r="BG391" s="485"/>
      <c r="BH391" s="485"/>
      <c r="BI391" s="485"/>
      <c r="BJ391" s="485"/>
      <c r="BK391" s="485"/>
      <c r="BL391" s="485"/>
      <c r="BM391" s="485"/>
      <c r="BN391" s="485"/>
      <c r="BO391" s="485"/>
      <c r="BP391" s="485"/>
      <c r="BQ391" s="485"/>
      <c r="BR391" s="485"/>
      <c r="BS391" s="485"/>
      <c r="BT391" s="485"/>
      <c r="BU391" s="485"/>
      <c r="BV391" s="485"/>
      <c r="BW391" s="485"/>
      <c r="BX391" s="485"/>
      <c r="BY391" s="485"/>
      <c r="BZ391" s="485"/>
      <c r="CA391" s="485"/>
      <c r="CB391" s="485"/>
      <c r="CC391" s="485"/>
      <c r="CD391" s="485"/>
      <c r="CE391" s="485"/>
      <c r="CF391" s="485"/>
      <c r="CG391" s="485"/>
      <c r="CH391" s="485"/>
      <c r="CI391" s="485"/>
      <c r="CJ391" s="485"/>
      <c r="CK391" s="485"/>
      <c r="CL391" s="485"/>
      <c r="CM391" s="485"/>
      <c r="CN391" s="485"/>
      <c r="CO391" s="485"/>
      <c r="CP391" s="485"/>
      <c r="CQ391" s="485"/>
      <c r="CR391" s="485"/>
      <c r="CS391" s="485"/>
      <c r="CT391" s="485"/>
      <c r="CU391" s="485"/>
      <c r="CV391" s="485"/>
      <c r="CW391" s="485"/>
      <c r="CX391" s="485"/>
      <c r="CY391" s="485"/>
      <c r="CZ391" s="485"/>
      <c r="DA391" s="485"/>
      <c r="DB391" s="485"/>
      <c r="DC391" s="485"/>
      <c r="DD391" s="485"/>
      <c r="DE391" s="485"/>
      <c r="DF391" s="485"/>
      <c r="DG391" s="485"/>
      <c r="DH391" s="485"/>
      <c r="DI391" s="485"/>
      <c r="DJ391" s="485"/>
      <c r="DK391" s="485"/>
      <c r="DL391" s="485"/>
      <c r="DM391" s="485"/>
      <c r="DN391" s="485"/>
      <c r="DO391" s="485"/>
      <c r="DP391" s="485"/>
      <c r="DQ391" s="485"/>
      <c r="DR391" s="485"/>
      <c r="DS391" s="485"/>
      <c r="DT391" s="485"/>
      <c r="DU391" s="485"/>
      <c r="DV391" s="485"/>
      <c r="DW391" s="485"/>
      <c r="DX391" s="485"/>
      <c r="DY391" s="485"/>
      <c r="DZ391" s="485"/>
      <c r="EA391" s="485"/>
      <c r="EB391" s="485"/>
      <c r="EC391" s="485"/>
      <c r="ED391" s="485"/>
      <c r="EE391" s="485"/>
      <c r="EF391" s="485"/>
      <c r="EG391" s="485"/>
      <c r="EH391" s="485"/>
      <c r="EI391" s="485"/>
      <c r="EJ391" s="485"/>
      <c r="EK391" s="485"/>
      <c r="EL391" s="485"/>
      <c r="EM391" s="485"/>
      <c r="EN391" s="485"/>
      <c r="EO391" s="485"/>
      <c r="EP391" s="485"/>
    </row>
    <row r="392" spans="1:146" ht="15.75">
      <c r="A392" s="468">
        <v>1115</v>
      </c>
      <c r="B392" s="643" t="s">
        <v>478</v>
      </c>
      <c r="C392" s="653"/>
      <c r="D392" s="654">
        <v>5475</v>
      </c>
      <c r="E392" s="439">
        <v>95.85</v>
      </c>
      <c r="F392" s="678">
        <f t="shared" si="99"/>
        <v>83.312249999999992</v>
      </c>
      <c r="G392" s="683">
        <v>5</v>
      </c>
      <c r="H392" s="682">
        <f t="shared" si="114"/>
        <v>328500</v>
      </c>
      <c r="I392" s="442">
        <f t="shared" si="115"/>
        <v>5751</v>
      </c>
      <c r="J392" s="442"/>
      <c r="K392" s="443"/>
      <c r="L392" s="627">
        <f t="shared" si="107"/>
        <v>0</v>
      </c>
      <c r="M392" s="627"/>
      <c r="N392" s="609">
        <v>1095</v>
      </c>
      <c r="O392" s="610">
        <v>95.853245722404125</v>
      </c>
      <c r="P392" s="617">
        <f t="shared" si="116"/>
        <v>-4380</v>
      </c>
      <c r="Q392" s="617">
        <f t="shared" si="117"/>
        <v>3.2457224041309019E-3</v>
      </c>
      <c r="R392" s="485"/>
      <c r="S392" s="624">
        <f t="shared" si="112"/>
        <v>1095</v>
      </c>
      <c r="T392" s="613">
        <f>IF(+'2012 Rates'!P645&lt;'2012 Rates'!$B$11,'2012 Rates'!$B$11,+'2012 Rates'!P645)</f>
        <v>102.42</v>
      </c>
      <c r="U392" s="447">
        <f t="shared" si="104"/>
        <v>0.22935102580952993</v>
      </c>
      <c r="V392" s="485"/>
      <c r="W392" s="623">
        <f t="shared" si="113"/>
        <v>6145.2000000000007</v>
      </c>
      <c r="X392" s="442"/>
      <c r="Y392" s="485"/>
      <c r="Z392" s="485"/>
      <c r="AA392" s="485"/>
      <c r="AB392" s="485"/>
      <c r="AC392" s="485"/>
      <c r="AD392" s="485"/>
      <c r="AE392" s="485"/>
      <c r="AF392" s="485"/>
      <c r="AG392" s="485"/>
      <c r="AH392" s="485"/>
      <c r="AI392" s="485"/>
      <c r="AJ392" s="485"/>
      <c r="AK392" s="485"/>
      <c r="AL392" s="485"/>
      <c r="AM392" s="485"/>
      <c r="AN392" s="485"/>
      <c r="AO392" s="485"/>
      <c r="AP392" s="485"/>
      <c r="AQ392" s="485"/>
      <c r="AR392" s="485"/>
      <c r="AS392" s="485"/>
      <c r="AT392" s="485"/>
      <c r="AU392" s="485"/>
      <c r="AV392" s="485"/>
      <c r="AW392" s="485"/>
      <c r="AX392" s="485"/>
      <c r="AY392" s="485"/>
      <c r="AZ392" s="485"/>
      <c r="BA392" s="485"/>
      <c r="BB392" s="485"/>
      <c r="BC392" s="485"/>
      <c r="BD392" s="485"/>
      <c r="BE392" s="485"/>
      <c r="BF392" s="485"/>
      <c r="BG392" s="485"/>
      <c r="BH392" s="485"/>
      <c r="BI392" s="485"/>
      <c r="BJ392" s="485"/>
      <c r="BK392" s="485"/>
      <c r="BL392" s="485"/>
      <c r="BM392" s="485"/>
      <c r="BN392" s="485"/>
      <c r="BO392" s="485"/>
      <c r="BP392" s="485"/>
      <c r="BQ392" s="485"/>
      <c r="BR392" s="485"/>
      <c r="BS392" s="485"/>
      <c r="BT392" s="485"/>
      <c r="BU392" s="485"/>
      <c r="BV392" s="485"/>
      <c r="BW392" s="485"/>
      <c r="BX392" s="485"/>
      <c r="BY392" s="485"/>
      <c r="BZ392" s="485"/>
      <c r="CA392" s="485"/>
      <c r="CB392" s="485"/>
      <c r="CC392" s="485"/>
      <c r="CD392" s="485"/>
      <c r="CE392" s="485"/>
      <c r="CF392" s="485"/>
      <c r="CG392" s="485"/>
      <c r="CH392" s="485"/>
      <c r="CI392" s="485"/>
      <c r="CJ392" s="485"/>
      <c r="CK392" s="485"/>
      <c r="CL392" s="485"/>
      <c r="CM392" s="485"/>
      <c r="CN392" s="485"/>
      <c r="CO392" s="485"/>
      <c r="CP392" s="485"/>
      <c r="CQ392" s="485"/>
      <c r="CR392" s="485"/>
      <c r="CS392" s="485"/>
      <c r="CT392" s="485"/>
      <c r="CU392" s="485"/>
      <c r="CV392" s="485"/>
      <c r="CW392" s="485"/>
      <c r="CX392" s="485"/>
      <c r="CY392" s="485"/>
      <c r="CZ392" s="485"/>
      <c r="DA392" s="485"/>
      <c r="DB392" s="485"/>
      <c r="DC392" s="485"/>
      <c r="DD392" s="485"/>
      <c r="DE392" s="485"/>
      <c r="DF392" s="485"/>
      <c r="DG392" s="485"/>
      <c r="DH392" s="485"/>
      <c r="DI392" s="485"/>
      <c r="DJ392" s="485"/>
      <c r="DK392" s="485"/>
      <c r="DL392" s="485"/>
      <c r="DM392" s="485"/>
      <c r="DN392" s="485"/>
      <c r="DO392" s="485"/>
      <c r="DP392" s="485"/>
      <c r="DQ392" s="485"/>
      <c r="DR392" s="485"/>
      <c r="DS392" s="485"/>
      <c r="DT392" s="485"/>
      <c r="DU392" s="485"/>
      <c r="DV392" s="485"/>
      <c r="DW392" s="485"/>
      <c r="DX392" s="485"/>
      <c r="DY392" s="485"/>
      <c r="DZ392" s="485"/>
      <c r="EA392" s="485"/>
      <c r="EB392" s="485"/>
      <c r="EC392" s="485"/>
      <c r="ED392" s="485"/>
      <c r="EE392" s="485"/>
      <c r="EF392" s="485"/>
      <c r="EG392" s="485"/>
      <c r="EH392" s="485"/>
      <c r="EI392" s="485"/>
      <c r="EJ392" s="485"/>
      <c r="EK392" s="485"/>
      <c r="EL392" s="485"/>
      <c r="EM392" s="485"/>
      <c r="EN392" s="485"/>
      <c r="EO392" s="485"/>
      <c r="EP392" s="485"/>
    </row>
    <row r="393" spans="1:146" ht="15.75">
      <c r="A393" s="468">
        <v>1116</v>
      </c>
      <c r="B393" s="643" t="s">
        <v>479</v>
      </c>
      <c r="C393" s="653">
        <v>935</v>
      </c>
      <c r="D393" s="654">
        <v>362</v>
      </c>
      <c r="E393" s="439">
        <v>40.51</v>
      </c>
      <c r="F393" s="678">
        <f t="shared" si="99"/>
        <v>39.681019999999997</v>
      </c>
      <c r="G393" s="683">
        <v>1</v>
      </c>
      <c r="H393" s="682">
        <f t="shared" si="114"/>
        <v>4344</v>
      </c>
      <c r="I393" s="442">
        <f t="shared" si="115"/>
        <v>486.12</v>
      </c>
      <c r="J393" s="442"/>
      <c r="K393" s="443"/>
      <c r="L393" s="627">
        <f t="shared" si="107"/>
        <v>0</v>
      </c>
      <c r="M393" s="627"/>
      <c r="N393" s="609">
        <v>362</v>
      </c>
      <c r="O393" s="610">
        <v>40.514594750237706</v>
      </c>
      <c r="P393" s="617" t="str">
        <f t="shared" si="116"/>
        <v>---</v>
      </c>
      <c r="Q393" s="617">
        <f t="shared" si="117"/>
        <v>4.5947502377075011E-3</v>
      </c>
      <c r="R393" s="485"/>
      <c r="S393" s="624" t="str">
        <f t="shared" si="112"/>
        <v>OK</v>
      </c>
      <c r="T393" s="613">
        <f>IF(+'2012 Rates'!O647&lt;'2012 Rates'!$B$11,'2012 Rates'!$B$11,+'2012 Rates'!O647)</f>
        <v>43.59</v>
      </c>
      <c r="U393" s="447">
        <f t="shared" si="104"/>
        <v>9.851006854158495E-2</v>
      </c>
      <c r="V393" s="485"/>
      <c r="W393" s="623">
        <f t="shared" si="113"/>
        <v>523.08000000000004</v>
      </c>
      <c r="X393" s="442"/>
      <c r="Y393" s="485"/>
      <c r="Z393" s="485"/>
      <c r="AA393" s="485"/>
      <c r="AB393" s="485"/>
      <c r="AC393" s="485"/>
      <c r="AD393" s="485"/>
      <c r="AE393" s="485"/>
      <c r="AF393" s="485"/>
      <c r="AG393" s="485"/>
      <c r="AH393" s="485"/>
      <c r="AI393" s="485"/>
      <c r="AJ393" s="485"/>
      <c r="AK393" s="485"/>
      <c r="AL393" s="485"/>
      <c r="AM393" s="485"/>
      <c r="AN393" s="485"/>
      <c r="AO393" s="485"/>
      <c r="AP393" s="485"/>
      <c r="AQ393" s="485"/>
      <c r="AR393" s="485"/>
      <c r="AS393" s="485"/>
      <c r="AT393" s="485"/>
      <c r="AU393" s="485"/>
      <c r="AV393" s="485"/>
      <c r="AW393" s="485"/>
      <c r="AX393" s="485"/>
      <c r="AY393" s="485"/>
      <c r="AZ393" s="485"/>
      <c r="BA393" s="485"/>
      <c r="BB393" s="485"/>
      <c r="BC393" s="485"/>
      <c r="BD393" s="485"/>
      <c r="BE393" s="485"/>
      <c r="BF393" s="485"/>
      <c r="BG393" s="485"/>
      <c r="BH393" s="485"/>
      <c r="BI393" s="485"/>
      <c r="BJ393" s="485"/>
      <c r="BK393" s="485"/>
      <c r="BL393" s="485"/>
      <c r="BM393" s="485"/>
      <c r="BN393" s="485"/>
      <c r="BO393" s="485"/>
      <c r="BP393" s="485"/>
      <c r="BQ393" s="485"/>
      <c r="BR393" s="485"/>
      <c r="BS393" s="485"/>
      <c r="BT393" s="485"/>
      <c r="BU393" s="485"/>
      <c r="BV393" s="485"/>
      <c r="BW393" s="485"/>
      <c r="BX393" s="485"/>
      <c r="BY393" s="485"/>
      <c r="BZ393" s="485"/>
      <c r="CA393" s="485"/>
      <c r="CB393" s="485"/>
      <c r="CC393" s="485"/>
      <c r="CD393" s="485"/>
      <c r="CE393" s="485"/>
      <c r="CF393" s="485"/>
      <c r="CG393" s="485"/>
      <c r="CH393" s="485"/>
      <c r="CI393" s="485"/>
      <c r="CJ393" s="485"/>
      <c r="CK393" s="485"/>
      <c r="CL393" s="485"/>
      <c r="CM393" s="485"/>
      <c r="CN393" s="485"/>
      <c r="CO393" s="485"/>
      <c r="CP393" s="485"/>
      <c r="CQ393" s="485"/>
      <c r="CR393" s="485"/>
      <c r="CS393" s="485"/>
      <c r="CT393" s="485"/>
      <c r="CU393" s="485"/>
      <c r="CV393" s="485"/>
      <c r="CW393" s="485"/>
      <c r="CX393" s="485"/>
      <c r="CY393" s="485"/>
      <c r="CZ393" s="485"/>
      <c r="DA393" s="485"/>
      <c r="DB393" s="485"/>
      <c r="DC393" s="485"/>
      <c r="DD393" s="485"/>
      <c r="DE393" s="485"/>
      <c r="DF393" s="485"/>
      <c r="DG393" s="485"/>
      <c r="DH393" s="485"/>
      <c r="DI393" s="485"/>
      <c r="DJ393" s="485"/>
      <c r="DK393" s="485"/>
      <c r="DL393" s="485"/>
      <c r="DM393" s="485"/>
      <c r="DN393" s="485"/>
      <c r="DO393" s="485"/>
      <c r="DP393" s="485"/>
      <c r="DQ393" s="485"/>
      <c r="DR393" s="485"/>
      <c r="DS393" s="485"/>
      <c r="DT393" s="485"/>
      <c r="DU393" s="485"/>
      <c r="DV393" s="485"/>
      <c r="DW393" s="485"/>
      <c r="DX393" s="485"/>
      <c r="DY393" s="485"/>
      <c r="DZ393" s="485"/>
      <c r="EA393" s="485"/>
      <c r="EB393" s="485"/>
      <c r="EC393" s="485"/>
      <c r="ED393" s="485"/>
      <c r="EE393" s="485"/>
      <c r="EF393" s="485"/>
      <c r="EG393" s="485"/>
      <c r="EH393" s="485"/>
      <c r="EI393" s="485"/>
      <c r="EJ393" s="485"/>
      <c r="EK393" s="485"/>
      <c r="EL393" s="485"/>
      <c r="EM393" s="485"/>
      <c r="EN393" s="485"/>
      <c r="EO393" s="485"/>
      <c r="EP393" s="485"/>
    </row>
    <row r="394" spans="1:146" ht="15.75">
      <c r="A394" s="468">
        <v>1117</v>
      </c>
      <c r="B394" s="643" t="s">
        <v>480</v>
      </c>
      <c r="C394" s="653">
        <v>1510</v>
      </c>
      <c r="D394" s="654">
        <v>668</v>
      </c>
      <c r="E394" s="439">
        <v>74.8</v>
      </c>
      <c r="F394" s="678">
        <f t="shared" si="99"/>
        <v>73.27028</v>
      </c>
      <c r="G394" s="683">
        <v>1</v>
      </c>
      <c r="H394" s="682">
        <f t="shared" si="114"/>
        <v>8016</v>
      </c>
      <c r="I394" s="442">
        <f t="shared" si="115"/>
        <v>897.59999999999991</v>
      </c>
      <c r="J394" s="442"/>
      <c r="K394" s="443"/>
      <c r="L394" s="627">
        <f t="shared" si="107"/>
        <v>0</v>
      </c>
      <c r="M394" s="627"/>
      <c r="N394" s="609">
        <v>668</v>
      </c>
      <c r="O394" s="610">
        <v>74.79538478773145</v>
      </c>
      <c r="P394" s="617" t="str">
        <f t="shared" si="116"/>
        <v>---</v>
      </c>
      <c r="Q394" s="617">
        <f t="shared" si="117"/>
        <v>-4.6152122685469976E-3</v>
      </c>
      <c r="R394" s="485"/>
      <c r="S394" s="624" t="str">
        <f t="shared" si="112"/>
        <v>OK</v>
      </c>
      <c r="T394" s="613">
        <f>IF(+'2012 Rates'!O653&lt;'2012 Rates'!$B$11,'2012 Rates'!$B$11,+'2012 Rates'!O653)</f>
        <v>80.459999999999994</v>
      </c>
      <c r="U394" s="447">
        <f t="shared" si="104"/>
        <v>9.8126006888468176E-2</v>
      </c>
      <c r="V394" s="485"/>
      <c r="W394" s="623">
        <f t="shared" si="113"/>
        <v>965.52</v>
      </c>
      <c r="X394" s="442"/>
      <c r="Y394" s="485"/>
      <c r="Z394" s="485"/>
      <c r="AA394" s="485"/>
      <c r="AB394" s="485"/>
      <c r="AC394" s="485"/>
      <c r="AD394" s="485"/>
      <c r="AE394" s="485"/>
      <c r="AF394" s="485"/>
      <c r="AG394" s="485"/>
      <c r="AH394" s="485"/>
      <c r="AI394" s="485"/>
      <c r="AJ394" s="485"/>
      <c r="AK394" s="485"/>
      <c r="AL394" s="485"/>
      <c r="AM394" s="485"/>
      <c r="AN394" s="485"/>
      <c r="AO394" s="485"/>
      <c r="AP394" s="485"/>
      <c r="AQ394" s="485"/>
      <c r="AR394" s="485"/>
      <c r="AS394" s="485"/>
      <c r="AT394" s="485"/>
      <c r="AU394" s="485"/>
      <c r="AV394" s="485"/>
      <c r="AW394" s="485"/>
      <c r="AX394" s="485"/>
      <c r="AY394" s="485"/>
      <c r="AZ394" s="485"/>
      <c r="BA394" s="485"/>
      <c r="BB394" s="485"/>
      <c r="BC394" s="485"/>
      <c r="BD394" s="485"/>
      <c r="BE394" s="485"/>
      <c r="BF394" s="485"/>
      <c r="BG394" s="485"/>
      <c r="BH394" s="485"/>
      <c r="BI394" s="485"/>
      <c r="BJ394" s="485"/>
      <c r="BK394" s="485"/>
      <c r="BL394" s="485"/>
      <c r="BM394" s="485"/>
      <c r="BN394" s="485"/>
      <c r="BO394" s="485"/>
      <c r="BP394" s="485"/>
      <c r="BQ394" s="485"/>
      <c r="BR394" s="485"/>
      <c r="BS394" s="485"/>
      <c r="BT394" s="485"/>
      <c r="BU394" s="485"/>
      <c r="BV394" s="485"/>
      <c r="BW394" s="485"/>
      <c r="BX394" s="485"/>
      <c r="BY394" s="485"/>
      <c r="BZ394" s="485"/>
      <c r="CA394" s="485"/>
      <c r="CB394" s="485"/>
      <c r="CC394" s="485"/>
      <c r="CD394" s="485"/>
      <c r="CE394" s="485"/>
      <c r="CF394" s="485"/>
      <c r="CG394" s="485"/>
      <c r="CH394" s="485"/>
      <c r="CI394" s="485"/>
      <c r="CJ394" s="485"/>
      <c r="CK394" s="485"/>
      <c r="CL394" s="485"/>
      <c r="CM394" s="485"/>
      <c r="CN394" s="485"/>
      <c r="CO394" s="485"/>
      <c r="CP394" s="485"/>
      <c r="CQ394" s="485"/>
      <c r="CR394" s="485"/>
      <c r="CS394" s="485"/>
      <c r="CT394" s="485"/>
      <c r="CU394" s="485"/>
      <c r="CV394" s="485"/>
      <c r="CW394" s="485"/>
      <c r="CX394" s="485"/>
      <c r="CY394" s="485"/>
      <c r="CZ394" s="485"/>
      <c r="DA394" s="485"/>
      <c r="DB394" s="485"/>
      <c r="DC394" s="485"/>
      <c r="DD394" s="485"/>
      <c r="DE394" s="485"/>
      <c r="DF394" s="485"/>
      <c r="DG394" s="485"/>
      <c r="DH394" s="485"/>
      <c r="DI394" s="485"/>
      <c r="DJ394" s="485"/>
      <c r="DK394" s="485"/>
      <c r="DL394" s="485"/>
      <c r="DM394" s="485"/>
      <c r="DN394" s="485"/>
      <c r="DO394" s="485"/>
      <c r="DP394" s="485"/>
      <c r="DQ394" s="485"/>
      <c r="DR394" s="485"/>
      <c r="DS394" s="485"/>
      <c r="DT394" s="485"/>
      <c r="DU394" s="485"/>
      <c r="DV394" s="485"/>
      <c r="DW394" s="485"/>
      <c r="DX394" s="485"/>
      <c r="DY394" s="485"/>
      <c r="DZ394" s="485"/>
      <c r="EA394" s="485"/>
      <c r="EB394" s="485"/>
      <c r="EC394" s="485"/>
      <c r="ED394" s="485"/>
      <c r="EE394" s="485"/>
      <c r="EF394" s="485"/>
      <c r="EG394" s="485"/>
      <c r="EH394" s="485"/>
      <c r="EI394" s="485"/>
      <c r="EJ394" s="485"/>
      <c r="EK394" s="485"/>
      <c r="EL394" s="485"/>
      <c r="EM394" s="485"/>
      <c r="EN394" s="485"/>
      <c r="EO394" s="485"/>
      <c r="EP394" s="485"/>
    </row>
    <row r="395" spans="1:146" s="466" customFormat="1" ht="15.75">
      <c r="A395" s="468">
        <v>1118</v>
      </c>
      <c r="B395" s="643" t="s">
        <v>533</v>
      </c>
      <c r="C395" s="653">
        <v>40</v>
      </c>
      <c r="D395" s="654">
        <v>15</v>
      </c>
      <c r="E395" s="439">
        <v>12.65</v>
      </c>
      <c r="F395" s="678">
        <f>E395</f>
        <v>12.65</v>
      </c>
      <c r="G395" s="683">
        <v>2</v>
      </c>
      <c r="H395" s="682">
        <f t="shared" si="114"/>
        <v>360</v>
      </c>
      <c r="I395" s="442">
        <f t="shared" si="115"/>
        <v>303.60000000000002</v>
      </c>
      <c r="J395" s="442"/>
      <c r="K395" s="443"/>
      <c r="L395" s="627">
        <f t="shared" si="107"/>
        <v>0</v>
      </c>
      <c r="M395" s="627"/>
      <c r="N395" s="609">
        <v>15</v>
      </c>
      <c r="O395" s="610">
        <v>12.65</v>
      </c>
      <c r="P395" s="617" t="str">
        <f t="shared" si="116"/>
        <v>---</v>
      </c>
      <c r="Q395" s="617" t="str">
        <f t="shared" si="117"/>
        <v>---</v>
      </c>
      <c r="R395" s="485"/>
      <c r="S395" s="624" t="str">
        <f t="shared" si="112"/>
        <v>OK</v>
      </c>
      <c r="T395" s="613">
        <f>IF(+'2012 Rates'!O655&lt;'2012 Rates'!$B$11,'2012 Rates'!$B$11,+'2012 Rates'!O655)</f>
        <v>13.89</v>
      </c>
      <c r="U395" s="447">
        <f t="shared" si="104"/>
        <v>9.8023715415019863E-2</v>
      </c>
      <c r="V395" s="485"/>
      <c r="W395" s="623">
        <f t="shared" si="113"/>
        <v>333.36</v>
      </c>
      <c r="X395" s="442"/>
      <c r="Y395" s="485"/>
      <c r="Z395" s="485"/>
      <c r="AA395" s="485"/>
      <c r="AB395" s="485"/>
      <c r="AC395" s="485"/>
      <c r="AD395" s="485"/>
      <c r="AE395" s="485"/>
      <c r="AF395" s="485"/>
      <c r="AG395" s="485"/>
      <c r="AH395" s="485"/>
      <c r="AI395" s="485"/>
      <c r="AJ395" s="485"/>
      <c r="AK395" s="485"/>
      <c r="AL395" s="485"/>
      <c r="AM395" s="485"/>
      <c r="AN395" s="485"/>
      <c r="AO395" s="485"/>
      <c r="AP395" s="485"/>
      <c r="AQ395" s="485"/>
      <c r="AR395" s="485"/>
      <c r="AS395" s="485"/>
      <c r="AT395" s="485"/>
      <c r="AU395" s="485"/>
      <c r="AV395" s="485"/>
      <c r="AW395" s="485"/>
      <c r="AX395" s="485"/>
      <c r="AY395" s="485"/>
      <c r="AZ395" s="485"/>
      <c r="BA395" s="485"/>
      <c r="BB395" s="485"/>
      <c r="BC395" s="485"/>
      <c r="BD395" s="485"/>
      <c r="BE395" s="485"/>
      <c r="BF395" s="485"/>
      <c r="BG395" s="485"/>
      <c r="BH395" s="485"/>
      <c r="BI395" s="485"/>
      <c r="BJ395" s="485"/>
      <c r="BK395" s="485"/>
      <c r="BL395" s="485"/>
      <c r="BM395" s="485"/>
      <c r="BN395" s="485"/>
      <c r="BO395" s="485"/>
      <c r="BP395" s="485"/>
      <c r="BQ395" s="485"/>
      <c r="BR395" s="485"/>
      <c r="BS395" s="485"/>
      <c r="BT395" s="485"/>
      <c r="BU395" s="485"/>
      <c r="BV395" s="485"/>
      <c r="BW395" s="485"/>
      <c r="BX395" s="485"/>
      <c r="BY395" s="485"/>
      <c r="BZ395" s="485"/>
      <c r="CA395" s="485"/>
      <c r="CB395" s="485"/>
      <c r="CC395" s="485"/>
      <c r="CD395" s="485"/>
      <c r="CE395" s="485"/>
      <c r="CF395" s="485"/>
      <c r="CG395" s="485"/>
      <c r="CH395" s="485"/>
      <c r="CI395" s="485"/>
      <c r="CJ395" s="485"/>
      <c r="CK395" s="485"/>
      <c r="CL395" s="485"/>
      <c r="CM395" s="485"/>
      <c r="CN395" s="485"/>
      <c r="CO395" s="485"/>
      <c r="CP395" s="485"/>
      <c r="CQ395" s="485"/>
      <c r="CR395" s="485"/>
      <c r="CS395" s="485"/>
      <c r="CT395" s="485"/>
      <c r="CU395" s="485"/>
      <c r="CV395" s="485"/>
      <c r="CW395" s="485"/>
      <c r="CX395" s="485"/>
      <c r="CY395" s="485"/>
      <c r="CZ395" s="485"/>
      <c r="DA395" s="485"/>
      <c r="DB395" s="485"/>
      <c r="DC395" s="485"/>
      <c r="DD395" s="485"/>
      <c r="DE395" s="485"/>
      <c r="DF395" s="485"/>
      <c r="DG395" s="485"/>
      <c r="DH395" s="485"/>
      <c r="DI395" s="485"/>
      <c r="DJ395" s="485"/>
      <c r="DK395" s="485"/>
      <c r="DL395" s="485"/>
      <c r="DM395" s="485"/>
      <c r="DN395" s="485"/>
      <c r="DO395" s="485"/>
      <c r="DP395" s="485"/>
      <c r="DQ395" s="485"/>
      <c r="DR395" s="485"/>
      <c r="DS395" s="485"/>
      <c r="DT395" s="485"/>
      <c r="DU395" s="485"/>
      <c r="DV395" s="485"/>
      <c r="DW395" s="485"/>
      <c r="DX395" s="485"/>
      <c r="DY395" s="485"/>
      <c r="DZ395" s="485"/>
      <c r="EA395" s="485"/>
      <c r="EB395" s="485"/>
      <c r="EC395" s="485"/>
      <c r="ED395" s="485"/>
      <c r="EE395" s="485"/>
      <c r="EF395" s="485"/>
      <c r="EG395" s="485"/>
      <c r="EH395" s="485"/>
      <c r="EI395" s="485"/>
      <c r="EJ395" s="485"/>
      <c r="EK395" s="485"/>
      <c r="EL395" s="485"/>
      <c r="EM395" s="485"/>
      <c r="EN395" s="485"/>
      <c r="EO395" s="485"/>
      <c r="EP395" s="485"/>
    </row>
    <row r="396" spans="1:146" ht="15.75">
      <c r="A396" s="468">
        <v>1119</v>
      </c>
      <c r="B396" s="643" t="s">
        <v>534</v>
      </c>
      <c r="C396" s="653">
        <v>3234</v>
      </c>
      <c r="D396" s="654">
        <v>202</v>
      </c>
      <c r="E396" s="439">
        <v>47.61</v>
      </c>
      <c r="F396" s="678">
        <f t="shared" si="99"/>
        <v>47.147419999999997</v>
      </c>
      <c r="G396" s="683"/>
      <c r="H396" s="682">
        <f t="shared" si="114"/>
        <v>0</v>
      </c>
      <c r="I396" s="442">
        <f>+E396*G396*12</f>
        <v>0</v>
      </c>
      <c r="J396" s="442"/>
      <c r="K396" s="443"/>
      <c r="L396" s="627">
        <f t="shared" si="107"/>
        <v>0</v>
      </c>
      <c r="M396" s="627"/>
      <c r="N396" s="609">
        <v>202</v>
      </c>
      <c r="O396" s="610">
        <v>47.613724142397842</v>
      </c>
      <c r="P396" s="617" t="str">
        <f t="shared" si="116"/>
        <v>---</v>
      </c>
      <c r="Q396" s="617">
        <f t="shared" si="117"/>
        <v>3.7241423978429111E-3</v>
      </c>
      <c r="R396" s="485"/>
      <c r="S396" s="624" t="str">
        <f t="shared" si="112"/>
        <v>OK</v>
      </c>
      <c r="T396" s="613">
        <f>IF(+'2012 Rates'!O656&lt;'2012 Rates'!$B$11,'2012 Rates'!$B$11,+'2012 Rates'!O656)</f>
        <v>51.769999999999996</v>
      </c>
      <c r="U396" s="447">
        <f t="shared" si="104"/>
        <v>9.8045237682146791E-2</v>
      </c>
      <c r="V396" s="485"/>
      <c r="W396" s="623">
        <f t="shared" si="113"/>
        <v>0</v>
      </c>
      <c r="X396" s="442"/>
      <c r="Y396" s="485"/>
      <c r="Z396" s="485"/>
      <c r="AA396" s="485"/>
      <c r="AB396" s="485"/>
      <c r="AC396" s="485"/>
      <c r="AD396" s="485"/>
      <c r="AE396" s="485"/>
      <c r="AF396" s="485"/>
      <c r="AG396" s="485"/>
      <c r="AH396" s="485"/>
      <c r="AI396" s="485"/>
      <c r="AJ396" s="485"/>
      <c r="AK396" s="485"/>
      <c r="AL396" s="485"/>
      <c r="AM396" s="485"/>
      <c r="AN396" s="485"/>
      <c r="AO396" s="485"/>
      <c r="AP396" s="485"/>
      <c r="AQ396" s="485"/>
      <c r="AR396" s="485"/>
      <c r="AS396" s="485"/>
      <c r="AT396" s="485"/>
      <c r="AU396" s="485"/>
      <c r="AV396" s="485"/>
      <c r="AW396" s="485"/>
      <c r="AX396" s="485"/>
      <c r="AY396" s="485"/>
      <c r="AZ396" s="485"/>
      <c r="BA396" s="485"/>
      <c r="BB396" s="485"/>
      <c r="BC396" s="485"/>
      <c r="BD396" s="485"/>
      <c r="BE396" s="485"/>
      <c r="BF396" s="485"/>
      <c r="BG396" s="485"/>
      <c r="BH396" s="485"/>
      <c r="BI396" s="485"/>
      <c r="BJ396" s="485"/>
      <c r="BK396" s="485"/>
      <c r="BL396" s="485"/>
      <c r="BM396" s="485"/>
      <c r="BN396" s="485"/>
      <c r="BO396" s="485"/>
      <c r="BP396" s="485"/>
      <c r="BQ396" s="485"/>
      <c r="BR396" s="485"/>
      <c r="BS396" s="485"/>
      <c r="BT396" s="485"/>
      <c r="BU396" s="485"/>
      <c r="BV396" s="485"/>
      <c r="BW396" s="485"/>
      <c r="BX396" s="485"/>
      <c r="BY396" s="485"/>
      <c r="BZ396" s="485"/>
      <c r="CA396" s="485"/>
      <c r="CB396" s="485"/>
      <c r="CC396" s="485"/>
      <c r="CD396" s="485"/>
      <c r="CE396" s="485"/>
      <c r="CF396" s="485"/>
      <c r="CG396" s="485"/>
      <c r="CH396" s="485"/>
      <c r="CI396" s="485"/>
      <c r="CJ396" s="485"/>
      <c r="CK396" s="485"/>
      <c r="CL396" s="485"/>
      <c r="CM396" s="485"/>
      <c r="CN396" s="485"/>
      <c r="CO396" s="485"/>
      <c r="CP396" s="485"/>
      <c r="CQ396" s="485"/>
      <c r="CR396" s="485"/>
      <c r="CS396" s="485"/>
      <c r="CT396" s="485"/>
      <c r="CU396" s="485"/>
      <c r="CV396" s="485"/>
      <c r="CW396" s="485"/>
      <c r="CX396" s="485"/>
      <c r="CY396" s="485"/>
      <c r="CZ396" s="485"/>
      <c r="DA396" s="485"/>
      <c r="DB396" s="485"/>
      <c r="DC396" s="485"/>
      <c r="DD396" s="485"/>
      <c r="DE396" s="485"/>
      <c r="DF396" s="485"/>
      <c r="DG396" s="485"/>
      <c r="DH396" s="485"/>
      <c r="DI396" s="485"/>
      <c r="DJ396" s="485"/>
      <c r="DK396" s="485"/>
      <c r="DL396" s="485"/>
      <c r="DM396" s="485"/>
      <c r="DN396" s="485"/>
      <c r="DO396" s="485"/>
      <c r="DP396" s="485"/>
      <c r="DQ396" s="485"/>
      <c r="DR396" s="485"/>
      <c r="DS396" s="485"/>
      <c r="DT396" s="485"/>
      <c r="DU396" s="485"/>
      <c r="DV396" s="485"/>
      <c r="DW396" s="485"/>
      <c r="DX396" s="485"/>
      <c r="DY396" s="485"/>
      <c r="DZ396" s="485"/>
      <c r="EA396" s="485"/>
      <c r="EB396" s="485"/>
      <c r="EC396" s="485"/>
      <c r="ED396" s="485"/>
      <c r="EE396" s="485"/>
      <c r="EF396" s="485"/>
      <c r="EG396" s="485"/>
      <c r="EH396" s="485"/>
      <c r="EI396" s="485"/>
      <c r="EJ396" s="485"/>
      <c r="EK396" s="485"/>
      <c r="EL396" s="485"/>
      <c r="EM396" s="485"/>
      <c r="EN396" s="485"/>
      <c r="EO396" s="485"/>
      <c r="EP396" s="485"/>
    </row>
    <row r="397" spans="1:146" s="543" customFormat="1" ht="15.75">
      <c r="A397" s="655">
        <v>1120</v>
      </c>
      <c r="B397" s="640"/>
      <c r="C397" s="656"/>
      <c r="D397" s="657"/>
      <c r="E397" s="658"/>
      <c r="F397" s="678">
        <f t="shared" si="99"/>
        <v>0</v>
      </c>
      <c r="G397" s="683"/>
      <c r="H397" s="682">
        <f t="shared" si="114"/>
        <v>0</v>
      </c>
      <c r="I397" s="442">
        <f t="shared" si="115"/>
        <v>0</v>
      </c>
      <c r="J397" s="442"/>
      <c r="K397" s="443"/>
      <c r="L397" s="443">
        <f t="shared" si="107"/>
        <v>0</v>
      </c>
      <c r="M397" s="443"/>
      <c r="N397" s="609" t="e">
        <v>#N/A</v>
      </c>
      <c r="O397" s="610" t="e">
        <v>#N/A</v>
      </c>
      <c r="P397" s="617" t="e">
        <f t="shared" si="116"/>
        <v>#N/A</v>
      </c>
      <c r="Q397" s="617" t="e">
        <f t="shared" si="117"/>
        <v>#N/A</v>
      </c>
      <c r="R397" s="445"/>
      <c r="S397" s="624" t="e">
        <f t="shared" si="112"/>
        <v>#N/A</v>
      </c>
      <c r="T397" s="613">
        <f>IF(+'2012 Rates'!O657&lt;'2012 Rates'!$B$11,'2012 Rates'!$B$11,+'2012 Rates'!O657)</f>
        <v>5.88</v>
      </c>
      <c r="U397" s="447"/>
      <c r="V397" s="485"/>
      <c r="W397" s="623">
        <f t="shared" si="113"/>
        <v>0</v>
      </c>
      <c r="X397" s="442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45"/>
      <c r="AK397" s="445"/>
      <c r="AL397" s="445"/>
      <c r="AM397" s="445"/>
      <c r="AN397" s="445"/>
      <c r="AO397" s="445"/>
      <c r="AP397" s="445"/>
      <c r="AQ397" s="445"/>
      <c r="AR397" s="445"/>
      <c r="AS397" s="445"/>
      <c r="AT397" s="445"/>
      <c r="AU397" s="445"/>
      <c r="AV397" s="445"/>
      <c r="AW397" s="445"/>
      <c r="AX397" s="445"/>
      <c r="AY397" s="445"/>
      <c r="AZ397" s="445"/>
      <c r="BA397" s="445"/>
      <c r="BB397" s="445"/>
      <c r="BC397" s="445"/>
      <c r="BD397" s="445"/>
      <c r="BE397" s="445"/>
      <c r="BF397" s="445"/>
      <c r="BG397" s="445"/>
      <c r="BH397" s="445"/>
      <c r="BI397" s="445"/>
      <c r="BJ397" s="445"/>
      <c r="BK397" s="445"/>
      <c r="BL397" s="445"/>
      <c r="BM397" s="445"/>
      <c r="BN397" s="445"/>
      <c r="BO397" s="445"/>
      <c r="BP397" s="445"/>
      <c r="BQ397" s="445"/>
      <c r="BR397" s="445"/>
      <c r="BS397" s="445"/>
      <c r="BT397" s="445"/>
      <c r="BU397" s="445"/>
      <c r="BV397" s="445"/>
      <c r="BW397" s="445"/>
      <c r="BX397" s="445"/>
      <c r="BY397" s="445"/>
      <c r="BZ397" s="445"/>
      <c r="CA397" s="445"/>
      <c r="CB397" s="445"/>
      <c r="CC397" s="445"/>
      <c r="CD397" s="445"/>
      <c r="CE397" s="445"/>
      <c r="CF397" s="445"/>
      <c r="CG397" s="445"/>
      <c r="CH397" s="445"/>
      <c r="CI397" s="445"/>
      <c r="CJ397" s="445"/>
      <c r="CK397" s="445"/>
      <c r="CL397" s="445"/>
      <c r="CM397" s="445"/>
      <c r="CN397" s="445"/>
      <c r="CO397" s="445"/>
      <c r="CP397" s="445"/>
      <c r="CQ397" s="445"/>
      <c r="CR397" s="445"/>
      <c r="CS397" s="445"/>
      <c r="CT397" s="445"/>
      <c r="CU397" s="445"/>
      <c r="CV397" s="445"/>
      <c r="CW397" s="445"/>
      <c r="CX397" s="445"/>
      <c r="CY397" s="445"/>
      <c r="CZ397" s="445"/>
      <c r="DA397" s="445"/>
      <c r="DB397" s="445"/>
      <c r="DC397" s="445"/>
      <c r="DD397" s="445"/>
      <c r="DE397" s="445"/>
      <c r="DF397" s="445"/>
      <c r="DG397" s="445"/>
      <c r="DH397" s="445"/>
      <c r="DI397" s="445"/>
      <c r="DJ397" s="445"/>
      <c r="DK397" s="445"/>
      <c r="DL397" s="445"/>
      <c r="DM397" s="445"/>
      <c r="DN397" s="445"/>
      <c r="DO397" s="445"/>
      <c r="DP397" s="445"/>
      <c r="DQ397" s="445"/>
      <c r="DR397" s="445"/>
      <c r="DS397" s="445"/>
      <c r="DT397" s="445"/>
      <c r="DU397" s="445"/>
      <c r="DV397" s="445"/>
      <c r="DW397" s="445"/>
      <c r="DX397" s="445"/>
      <c r="DY397" s="445"/>
      <c r="DZ397" s="445"/>
      <c r="EA397" s="445"/>
      <c r="EB397" s="445"/>
      <c r="EC397" s="445"/>
      <c r="ED397" s="445"/>
      <c r="EE397" s="445"/>
      <c r="EF397" s="445"/>
      <c r="EG397" s="445"/>
      <c r="EH397" s="445"/>
      <c r="EI397" s="445"/>
      <c r="EJ397" s="445"/>
      <c r="EK397" s="445"/>
      <c r="EL397" s="445"/>
      <c r="EM397" s="445"/>
      <c r="EN397" s="445"/>
      <c r="EO397" s="445"/>
      <c r="EP397" s="445"/>
    </row>
    <row r="398" spans="1:146" ht="15.75">
      <c r="A398" s="468">
        <v>1121</v>
      </c>
      <c r="B398" s="643" t="s">
        <v>481</v>
      </c>
      <c r="C398" s="653">
        <v>180</v>
      </c>
      <c r="D398" s="654">
        <v>66</v>
      </c>
      <c r="E398" s="439">
        <v>7.54</v>
      </c>
      <c r="F398" s="678">
        <f t="shared" si="99"/>
        <v>7.3888600000000002</v>
      </c>
      <c r="G398" s="683">
        <v>1</v>
      </c>
      <c r="H398" s="682">
        <f t="shared" si="114"/>
        <v>792</v>
      </c>
      <c r="I398" s="442">
        <f t="shared" si="115"/>
        <v>90.48</v>
      </c>
      <c r="J398" s="442"/>
      <c r="K398" s="443"/>
      <c r="L398" s="627">
        <f t="shared" si="107"/>
        <v>0</v>
      </c>
      <c r="M398" s="627"/>
      <c r="N398" s="609">
        <v>66</v>
      </c>
      <c r="O398" s="610">
        <v>7.5444841257339466</v>
      </c>
      <c r="P398" s="617" t="str">
        <f t="shared" si="116"/>
        <v>---</v>
      </c>
      <c r="Q398" s="617">
        <f t="shared" si="117"/>
        <v>4.4841257339465201E-3</v>
      </c>
      <c r="R398" s="485"/>
      <c r="S398" s="624" t="str">
        <f t="shared" si="112"/>
        <v>OK</v>
      </c>
      <c r="T398" s="613">
        <f>IF(+'2012 Rates'!O658&lt;'2012 Rates'!$B$11,'2012 Rates'!$B$11,+'2012 Rates'!O658)</f>
        <v>7.9599999999999991</v>
      </c>
      <c r="U398" s="447">
        <f t="shared" si="104"/>
        <v>7.7297445072717519E-2</v>
      </c>
      <c r="V398" s="485"/>
      <c r="W398" s="623">
        <f t="shared" si="113"/>
        <v>95.519999999999982</v>
      </c>
      <c r="X398" s="442"/>
      <c r="Y398" s="485"/>
      <c r="Z398" s="485"/>
      <c r="AA398" s="485"/>
      <c r="AB398" s="485"/>
      <c r="AC398" s="485"/>
      <c r="AD398" s="485"/>
      <c r="AE398" s="485"/>
      <c r="AF398" s="485"/>
      <c r="AG398" s="485"/>
      <c r="AH398" s="485"/>
      <c r="AI398" s="485"/>
      <c r="AJ398" s="485"/>
      <c r="AK398" s="485"/>
      <c r="AL398" s="485"/>
      <c r="AM398" s="485"/>
      <c r="AN398" s="485"/>
      <c r="AO398" s="485"/>
      <c r="AP398" s="485"/>
      <c r="AQ398" s="485"/>
      <c r="AR398" s="485"/>
      <c r="AS398" s="485"/>
      <c r="AT398" s="485"/>
      <c r="AU398" s="485"/>
      <c r="AV398" s="485"/>
      <c r="AW398" s="485"/>
      <c r="AX398" s="485"/>
      <c r="AY398" s="485"/>
      <c r="AZ398" s="485"/>
      <c r="BA398" s="485"/>
      <c r="BB398" s="485"/>
      <c r="BC398" s="485"/>
      <c r="BD398" s="485"/>
      <c r="BE398" s="485"/>
      <c r="BF398" s="485"/>
      <c r="BG398" s="485"/>
      <c r="BH398" s="485"/>
      <c r="BI398" s="485"/>
      <c r="BJ398" s="485"/>
      <c r="BK398" s="485"/>
      <c r="BL398" s="485"/>
      <c r="BM398" s="485"/>
      <c r="BN398" s="485"/>
      <c r="BO398" s="485"/>
      <c r="BP398" s="485"/>
      <c r="BQ398" s="485"/>
      <c r="BR398" s="485"/>
      <c r="BS398" s="485"/>
      <c r="BT398" s="485"/>
      <c r="BU398" s="485"/>
      <c r="BV398" s="485"/>
      <c r="BW398" s="485"/>
      <c r="BX398" s="485"/>
      <c r="BY398" s="485"/>
      <c r="BZ398" s="485"/>
      <c r="CA398" s="485"/>
      <c r="CB398" s="485"/>
      <c r="CC398" s="485"/>
      <c r="CD398" s="485"/>
      <c r="CE398" s="485"/>
      <c r="CF398" s="485"/>
      <c r="CG398" s="485"/>
      <c r="CH398" s="485"/>
      <c r="CI398" s="485"/>
      <c r="CJ398" s="485"/>
      <c r="CK398" s="485"/>
      <c r="CL398" s="485"/>
      <c r="CM398" s="485"/>
      <c r="CN398" s="485"/>
      <c r="CO398" s="485"/>
      <c r="CP398" s="485"/>
      <c r="CQ398" s="485"/>
      <c r="CR398" s="485"/>
      <c r="CS398" s="485"/>
      <c r="CT398" s="485"/>
      <c r="CU398" s="485"/>
      <c r="CV398" s="485"/>
      <c r="CW398" s="485"/>
      <c r="CX398" s="485"/>
      <c r="CY398" s="485"/>
      <c r="CZ398" s="485"/>
      <c r="DA398" s="485"/>
      <c r="DB398" s="485"/>
      <c r="DC398" s="485"/>
      <c r="DD398" s="485"/>
      <c r="DE398" s="485"/>
      <c r="DF398" s="485"/>
      <c r="DG398" s="485"/>
      <c r="DH398" s="485"/>
      <c r="DI398" s="485"/>
      <c r="DJ398" s="485"/>
      <c r="DK398" s="485"/>
      <c r="DL398" s="485"/>
      <c r="DM398" s="485"/>
      <c r="DN398" s="485"/>
      <c r="DO398" s="485"/>
      <c r="DP398" s="485"/>
      <c r="DQ398" s="485"/>
      <c r="DR398" s="485"/>
      <c r="DS398" s="485"/>
      <c r="DT398" s="485"/>
      <c r="DU398" s="485"/>
      <c r="DV398" s="485"/>
      <c r="DW398" s="485"/>
      <c r="DX398" s="485"/>
      <c r="DY398" s="485"/>
      <c r="DZ398" s="485"/>
      <c r="EA398" s="485"/>
      <c r="EB398" s="485"/>
      <c r="EC398" s="485"/>
      <c r="ED398" s="485"/>
      <c r="EE398" s="485"/>
      <c r="EF398" s="485"/>
      <c r="EG398" s="485"/>
      <c r="EH398" s="485"/>
      <c r="EI398" s="485"/>
      <c r="EJ398" s="485"/>
      <c r="EK398" s="485"/>
      <c r="EL398" s="485"/>
      <c r="EM398" s="485"/>
      <c r="EN398" s="485"/>
      <c r="EO398" s="485"/>
      <c r="EP398" s="485"/>
    </row>
    <row r="399" spans="1:146" s="466" customFormat="1" ht="15.75">
      <c r="A399" s="468">
        <v>1122</v>
      </c>
      <c r="B399" s="643" t="s">
        <v>482</v>
      </c>
      <c r="C399" s="653">
        <v>82</v>
      </c>
      <c r="D399" s="654">
        <v>27</v>
      </c>
      <c r="E399" s="439">
        <v>12.65</v>
      </c>
      <c r="F399" s="678">
        <f>E399</f>
        <v>12.65</v>
      </c>
      <c r="G399" s="683">
        <v>1</v>
      </c>
      <c r="H399" s="682">
        <f t="shared" si="114"/>
        <v>324</v>
      </c>
      <c r="I399" s="442">
        <f t="shared" si="115"/>
        <v>151.80000000000001</v>
      </c>
      <c r="J399" s="442"/>
      <c r="K399" s="443"/>
      <c r="L399" s="627">
        <f t="shared" si="107"/>
        <v>0</v>
      </c>
      <c r="M399" s="627"/>
      <c r="N399" s="609">
        <v>27</v>
      </c>
      <c r="O399" s="610">
        <v>12.65</v>
      </c>
      <c r="P399" s="617" t="str">
        <f t="shared" si="116"/>
        <v>---</v>
      </c>
      <c r="Q399" s="617" t="str">
        <f t="shared" si="117"/>
        <v>---</v>
      </c>
      <c r="R399" s="485"/>
      <c r="S399" s="624" t="str">
        <f t="shared" si="112"/>
        <v>OK</v>
      </c>
      <c r="T399" s="613">
        <f>IF(+'2012 Rates'!O659&lt;'2012 Rates'!$B$11,'2012 Rates'!$B$11,+'2012 Rates'!O659)</f>
        <v>13.891133302485763</v>
      </c>
      <c r="U399" s="447">
        <f t="shared" si="104"/>
        <v>9.8113304544328983E-2</v>
      </c>
      <c r="V399" s="485"/>
      <c r="W399" s="623">
        <f t="shared" si="113"/>
        <v>166.69359962982915</v>
      </c>
      <c r="X399" s="442"/>
      <c r="Y399" s="485"/>
      <c r="Z399" s="485"/>
      <c r="AA399" s="485"/>
      <c r="AB399" s="485"/>
      <c r="AC399" s="485"/>
      <c r="AD399" s="485"/>
      <c r="AE399" s="485"/>
      <c r="AF399" s="485"/>
      <c r="AG399" s="485"/>
      <c r="AH399" s="485"/>
      <c r="AI399" s="485"/>
      <c r="AJ399" s="485"/>
      <c r="AK399" s="485"/>
      <c r="AL399" s="485"/>
      <c r="AM399" s="485"/>
      <c r="AN399" s="485"/>
      <c r="AO399" s="485"/>
      <c r="AP399" s="485"/>
      <c r="AQ399" s="485"/>
      <c r="AR399" s="485"/>
      <c r="AS399" s="485"/>
      <c r="AT399" s="485"/>
      <c r="AU399" s="485"/>
      <c r="AV399" s="485"/>
      <c r="AW399" s="485"/>
      <c r="AX399" s="485"/>
      <c r="AY399" s="485"/>
      <c r="AZ399" s="485"/>
      <c r="BA399" s="485"/>
      <c r="BB399" s="485"/>
      <c r="BC399" s="485"/>
      <c r="BD399" s="485"/>
      <c r="BE399" s="485"/>
      <c r="BF399" s="485"/>
      <c r="BG399" s="485"/>
      <c r="BH399" s="485"/>
      <c r="BI399" s="485"/>
      <c r="BJ399" s="485"/>
      <c r="BK399" s="485"/>
      <c r="BL399" s="485"/>
      <c r="BM399" s="485"/>
      <c r="BN399" s="485"/>
      <c r="BO399" s="485"/>
      <c r="BP399" s="485"/>
      <c r="BQ399" s="485"/>
      <c r="BR399" s="485"/>
      <c r="BS399" s="485"/>
      <c r="BT399" s="485"/>
      <c r="BU399" s="485"/>
      <c r="BV399" s="485"/>
      <c r="BW399" s="485"/>
      <c r="BX399" s="485"/>
      <c r="BY399" s="485"/>
      <c r="BZ399" s="485"/>
      <c r="CA399" s="485"/>
      <c r="CB399" s="485"/>
      <c r="CC399" s="485"/>
      <c r="CD399" s="485"/>
      <c r="CE399" s="485"/>
      <c r="CF399" s="485"/>
      <c r="CG399" s="485"/>
      <c r="CH399" s="485"/>
      <c r="CI399" s="485"/>
      <c r="CJ399" s="485"/>
      <c r="CK399" s="485"/>
      <c r="CL399" s="485"/>
      <c r="CM399" s="485"/>
      <c r="CN399" s="485"/>
      <c r="CO399" s="485"/>
      <c r="CP399" s="485"/>
      <c r="CQ399" s="485"/>
      <c r="CR399" s="485"/>
      <c r="CS399" s="485"/>
      <c r="CT399" s="485"/>
      <c r="CU399" s="485"/>
      <c r="CV399" s="485"/>
      <c r="CW399" s="485"/>
      <c r="CX399" s="485"/>
      <c r="CY399" s="485"/>
      <c r="CZ399" s="485"/>
      <c r="DA399" s="485"/>
      <c r="DB399" s="485"/>
      <c r="DC399" s="485"/>
      <c r="DD399" s="485"/>
      <c r="DE399" s="485"/>
      <c r="DF399" s="485"/>
      <c r="DG399" s="485"/>
      <c r="DH399" s="485"/>
      <c r="DI399" s="485"/>
      <c r="DJ399" s="485"/>
      <c r="DK399" s="485"/>
      <c r="DL399" s="485"/>
      <c r="DM399" s="485"/>
      <c r="DN399" s="485"/>
      <c r="DO399" s="485"/>
      <c r="DP399" s="485"/>
      <c r="DQ399" s="485"/>
      <c r="DR399" s="485"/>
      <c r="DS399" s="485"/>
      <c r="DT399" s="485"/>
      <c r="DU399" s="485"/>
      <c r="DV399" s="485"/>
      <c r="DW399" s="485"/>
      <c r="DX399" s="485"/>
      <c r="DY399" s="485"/>
      <c r="DZ399" s="485"/>
      <c r="EA399" s="485"/>
      <c r="EB399" s="485"/>
      <c r="EC399" s="485"/>
      <c r="ED399" s="485"/>
      <c r="EE399" s="485"/>
      <c r="EF399" s="485"/>
      <c r="EG399" s="485"/>
      <c r="EH399" s="485"/>
      <c r="EI399" s="485"/>
      <c r="EJ399" s="485"/>
      <c r="EK399" s="485"/>
      <c r="EL399" s="485"/>
      <c r="EM399" s="485"/>
      <c r="EN399" s="485"/>
      <c r="EO399" s="485"/>
      <c r="EP399" s="485"/>
    </row>
    <row r="400" spans="1:146" ht="15.75">
      <c r="A400" s="468">
        <v>1123</v>
      </c>
      <c r="B400" s="643" t="s">
        <v>576</v>
      </c>
      <c r="C400" s="653">
        <v>110</v>
      </c>
      <c r="D400" s="654">
        <v>37</v>
      </c>
      <c r="E400" s="439">
        <v>4.22</v>
      </c>
      <c r="F400" s="678">
        <f t="shared" si="99"/>
        <v>4.1352699999999993</v>
      </c>
      <c r="G400" s="683">
        <v>5</v>
      </c>
      <c r="H400" s="682">
        <f t="shared" si="114"/>
        <v>2220</v>
      </c>
      <c r="I400" s="442">
        <f t="shared" si="115"/>
        <v>253.2</v>
      </c>
      <c r="J400" s="442"/>
      <c r="K400" s="443"/>
      <c r="L400" s="627">
        <f t="shared" ref="L400:L423" si="118">G400*K400</f>
        <v>0</v>
      </c>
      <c r="M400" s="627">
        <f t="shared" ref="M400:M428" si="119">L400</f>
        <v>0</v>
      </c>
      <c r="N400" s="609">
        <v>37</v>
      </c>
      <c r="O400" s="610">
        <v>4.2175138280629714</v>
      </c>
      <c r="P400" s="617" t="str">
        <f t="shared" si="116"/>
        <v>---</v>
      </c>
      <c r="Q400" s="617">
        <f t="shared" si="117"/>
        <v>-2.4861719370283808E-3</v>
      </c>
      <c r="R400" s="485"/>
      <c r="S400" s="624" t="str">
        <f t="shared" si="112"/>
        <v>OK</v>
      </c>
      <c r="T400" s="613">
        <f>IF(+'2012 Rates'!O660&lt;'2012 Rates'!$B$11,'2012 Rates'!$B$11,+'2012 Rates'!O660)</f>
        <v>4.4399999999999995</v>
      </c>
      <c r="U400" s="447">
        <f t="shared" si="104"/>
        <v>7.3690472447990096E-2</v>
      </c>
      <c r="V400" s="485"/>
      <c r="W400" s="623">
        <f t="shared" si="113"/>
        <v>266.39999999999998</v>
      </c>
      <c r="X400" s="442"/>
      <c r="Y400" s="485"/>
      <c r="Z400" s="485"/>
      <c r="AA400" s="485"/>
      <c r="AB400" s="485"/>
      <c r="AC400" s="485"/>
      <c r="AD400" s="485"/>
      <c r="AE400" s="485"/>
      <c r="AF400" s="485"/>
      <c r="AG400" s="485"/>
      <c r="AH400" s="485"/>
      <c r="AI400" s="485"/>
      <c r="AJ400" s="485"/>
      <c r="AK400" s="485"/>
      <c r="AL400" s="485"/>
      <c r="AM400" s="485"/>
      <c r="AN400" s="485"/>
      <c r="AO400" s="485"/>
      <c r="AP400" s="485"/>
      <c r="AQ400" s="485"/>
      <c r="AR400" s="485"/>
      <c r="AS400" s="485"/>
      <c r="AT400" s="485"/>
      <c r="AU400" s="485"/>
      <c r="AV400" s="485"/>
      <c r="AW400" s="485"/>
      <c r="AX400" s="485"/>
      <c r="AY400" s="485"/>
      <c r="AZ400" s="485"/>
      <c r="BA400" s="485"/>
      <c r="BB400" s="485"/>
      <c r="BC400" s="485"/>
      <c r="BD400" s="485"/>
      <c r="BE400" s="485"/>
      <c r="BF400" s="485"/>
      <c r="BG400" s="485"/>
      <c r="BH400" s="485"/>
      <c r="BI400" s="485"/>
      <c r="BJ400" s="485"/>
      <c r="BK400" s="485"/>
      <c r="BL400" s="485"/>
      <c r="BM400" s="485"/>
      <c r="BN400" s="485"/>
      <c r="BO400" s="485"/>
      <c r="BP400" s="485"/>
      <c r="BQ400" s="485"/>
      <c r="BR400" s="485"/>
      <c r="BS400" s="485"/>
      <c r="BT400" s="485"/>
      <c r="BU400" s="485"/>
      <c r="BV400" s="485"/>
      <c r="BW400" s="485"/>
      <c r="BX400" s="485"/>
      <c r="BY400" s="485"/>
      <c r="BZ400" s="485"/>
      <c r="CA400" s="485"/>
      <c r="CB400" s="485"/>
      <c r="CC400" s="485"/>
      <c r="CD400" s="485"/>
      <c r="CE400" s="485"/>
      <c r="CF400" s="485"/>
      <c r="CG400" s="485"/>
      <c r="CH400" s="485"/>
      <c r="CI400" s="485"/>
      <c r="CJ400" s="485"/>
      <c r="CK400" s="485"/>
      <c r="CL400" s="485"/>
      <c r="CM400" s="485"/>
      <c r="CN400" s="485"/>
      <c r="CO400" s="485"/>
      <c r="CP400" s="485"/>
      <c r="CQ400" s="485"/>
      <c r="CR400" s="485"/>
      <c r="CS400" s="485"/>
      <c r="CT400" s="485"/>
      <c r="CU400" s="485"/>
      <c r="CV400" s="485"/>
      <c r="CW400" s="485"/>
      <c r="CX400" s="485"/>
      <c r="CY400" s="485"/>
      <c r="CZ400" s="485"/>
      <c r="DA400" s="485"/>
      <c r="DB400" s="485"/>
      <c r="DC400" s="485"/>
      <c r="DD400" s="485"/>
      <c r="DE400" s="485"/>
      <c r="DF400" s="485"/>
      <c r="DG400" s="485"/>
      <c r="DH400" s="485"/>
      <c r="DI400" s="485"/>
      <c r="DJ400" s="485"/>
      <c r="DK400" s="485"/>
      <c r="DL400" s="485"/>
      <c r="DM400" s="485"/>
      <c r="DN400" s="485"/>
      <c r="DO400" s="485"/>
      <c r="DP400" s="485"/>
      <c r="DQ400" s="485"/>
      <c r="DR400" s="485"/>
      <c r="DS400" s="485"/>
      <c r="DT400" s="485"/>
      <c r="DU400" s="485"/>
      <c r="DV400" s="485"/>
      <c r="DW400" s="485"/>
      <c r="DX400" s="485"/>
      <c r="DY400" s="485"/>
      <c r="DZ400" s="485"/>
      <c r="EA400" s="485"/>
      <c r="EB400" s="485"/>
      <c r="EC400" s="485"/>
      <c r="ED400" s="485"/>
      <c r="EE400" s="485"/>
      <c r="EF400" s="485"/>
      <c r="EG400" s="485"/>
      <c r="EH400" s="485"/>
      <c r="EI400" s="485"/>
      <c r="EJ400" s="485"/>
      <c r="EK400" s="485"/>
      <c r="EL400" s="485"/>
      <c r="EM400" s="485"/>
      <c r="EN400" s="485"/>
      <c r="EO400" s="485"/>
      <c r="EP400" s="485"/>
    </row>
    <row r="401" spans="1:146" ht="15.75">
      <c r="A401" s="468">
        <v>1124</v>
      </c>
      <c r="B401" s="643"/>
      <c r="C401" s="653"/>
      <c r="D401" s="654"/>
      <c r="E401" s="439"/>
      <c r="F401" s="678"/>
      <c r="G401" s="683"/>
      <c r="H401" s="682">
        <f t="shared" si="114"/>
        <v>0</v>
      </c>
      <c r="I401" s="442">
        <f t="shared" si="115"/>
        <v>0</v>
      </c>
      <c r="J401" s="442"/>
      <c r="K401" s="443"/>
      <c r="L401" s="627">
        <f t="shared" si="118"/>
        <v>0</v>
      </c>
      <c r="M401" s="627">
        <f t="shared" si="119"/>
        <v>0</v>
      </c>
      <c r="N401" s="609" t="e">
        <v>#N/A</v>
      </c>
      <c r="O401" s="610" t="e">
        <v>#N/A</v>
      </c>
      <c r="P401" s="617" t="e">
        <f t="shared" si="116"/>
        <v>#N/A</v>
      </c>
      <c r="Q401" s="617" t="e">
        <f t="shared" si="117"/>
        <v>#N/A</v>
      </c>
      <c r="R401" s="485"/>
      <c r="S401" s="624" t="e">
        <f t="shared" si="112"/>
        <v>#N/A</v>
      </c>
      <c r="T401" s="613">
        <f>IF(+'2012 Rates'!O661&lt;'2012 Rates'!$B$11,'2012 Rates'!$B$11,+'2012 Rates'!O661)</f>
        <v>50.59</v>
      </c>
      <c r="U401" s="447"/>
      <c r="V401" s="485"/>
      <c r="W401" s="623">
        <f t="shared" si="113"/>
        <v>0</v>
      </c>
      <c r="X401" s="442"/>
      <c r="Y401" s="485"/>
      <c r="Z401" s="485"/>
      <c r="AA401" s="485"/>
      <c r="AB401" s="485"/>
      <c r="AC401" s="485"/>
      <c r="AD401" s="485"/>
      <c r="AE401" s="485"/>
      <c r="AF401" s="485"/>
      <c r="AG401" s="485"/>
      <c r="AH401" s="485"/>
      <c r="AI401" s="485"/>
      <c r="AJ401" s="485"/>
      <c r="AK401" s="485"/>
      <c r="AL401" s="485"/>
      <c r="AM401" s="485"/>
      <c r="AN401" s="485"/>
      <c r="AO401" s="485"/>
      <c r="AP401" s="485"/>
      <c r="AQ401" s="485"/>
      <c r="AR401" s="485"/>
      <c r="AS401" s="485"/>
      <c r="AT401" s="485"/>
      <c r="AU401" s="485"/>
      <c r="AV401" s="485"/>
      <c r="AW401" s="485"/>
      <c r="AX401" s="485"/>
      <c r="AY401" s="485"/>
      <c r="AZ401" s="485"/>
      <c r="BA401" s="485"/>
      <c r="BB401" s="485"/>
      <c r="BC401" s="485"/>
      <c r="BD401" s="485"/>
      <c r="BE401" s="485"/>
      <c r="BF401" s="485"/>
      <c r="BG401" s="485"/>
      <c r="BH401" s="485"/>
      <c r="BI401" s="485"/>
      <c r="BJ401" s="485"/>
      <c r="BK401" s="485"/>
      <c r="BL401" s="485"/>
      <c r="BM401" s="485"/>
      <c r="BN401" s="485"/>
      <c r="BO401" s="485"/>
      <c r="BP401" s="485"/>
      <c r="BQ401" s="485"/>
      <c r="BR401" s="485"/>
      <c r="BS401" s="485"/>
      <c r="BT401" s="485"/>
      <c r="BU401" s="485"/>
      <c r="BV401" s="485"/>
      <c r="BW401" s="485"/>
      <c r="BX401" s="485"/>
      <c r="BY401" s="485"/>
      <c r="BZ401" s="485"/>
      <c r="CA401" s="485"/>
      <c r="CB401" s="485"/>
      <c r="CC401" s="485"/>
      <c r="CD401" s="485"/>
      <c r="CE401" s="485"/>
      <c r="CF401" s="485"/>
      <c r="CG401" s="485"/>
      <c r="CH401" s="485"/>
      <c r="CI401" s="485"/>
      <c r="CJ401" s="485"/>
      <c r="CK401" s="485"/>
      <c r="CL401" s="485"/>
      <c r="CM401" s="485"/>
      <c r="CN401" s="485"/>
      <c r="CO401" s="485"/>
      <c r="CP401" s="485"/>
      <c r="CQ401" s="485"/>
      <c r="CR401" s="485"/>
      <c r="CS401" s="485"/>
      <c r="CT401" s="485"/>
      <c r="CU401" s="485"/>
      <c r="CV401" s="485"/>
      <c r="CW401" s="485"/>
      <c r="CX401" s="485"/>
      <c r="CY401" s="485"/>
      <c r="CZ401" s="485"/>
      <c r="DA401" s="485"/>
      <c r="DB401" s="485"/>
      <c r="DC401" s="485"/>
      <c r="DD401" s="485"/>
      <c r="DE401" s="485"/>
      <c r="DF401" s="485"/>
      <c r="DG401" s="485"/>
      <c r="DH401" s="485"/>
      <c r="DI401" s="485"/>
      <c r="DJ401" s="485"/>
      <c r="DK401" s="485"/>
      <c r="DL401" s="485"/>
      <c r="DM401" s="485"/>
      <c r="DN401" s="485"/>
      <c r="DO401" s="485"/>
      <c r="DP401" s="485"/>
      <c r="DQ401" s="485"/>
      <c r="DR401" s="485"/>
      <c r="DS401" s="485"/>
      <c r="DT401" s="485"/>
      <c r="DU401" s="485"/>
      <c r="DV401" s="485"/>
      <c r="DW401" s="485"/>
      <c r="DX401" s="485"/>
      <c r="DY401" s="485"/>
      <c r="DZ401" s="485"/>
      <c r="EA401" s="485"/>
      <c r="EB401" s="485"/>
      <c r="EC401" s="485"/>
      <c r="ED401" s="485"/>
      <c r="EE401" s="485"/>
      <c r="EF401" s="485"/>
      <c r="EG401" s="485"/>
      <c r="EH401" s="485"/>
      <c r="EI401" s="485"/>
      <c r="EJ401" s="485"/>
      <c r="EK401" s="485"/>
      <c r="EL401" s="485"/>
      <c r="EM401" s="485"/>
      <c r="EN401" s="485"/>
      <c r="EO401" s="485"/>
      <c r="EP401" s="485"/>
    </row>
    <row r="402" spans="1:146" ht="15.75">
      <c r="A402" s="468">
        <v>1125</v>
      </c>
      <c r="B402" s="643" t="s">
        <v>483</v>
      </c>
      <c r="C402" s="653">
        <v>1200</v>
      </c>
      <c r="D402" s="654">
        <v>486</v>
      </c>
      <c r="E402" s="439">
        <v>55.5</v>
      </c>
      <c r="F402" s="678">
        <f t="shared" si="99"/>
        <v>54.387059999999998</v>
      </c>
      <c r="G402" s="683">
        <v>1</v>
      </c>
      <c r="H402" s="682">
        <f t="shared" si="114"/>
        <v>5832</v>
      </c>
      <c r="I402" s="442">
        <f t="shared" si="115"/>
        <v>666</v>
      </c>
      <c r="J402" s="442"/>
      <c r="K402" s="443"/>
      <c r="L402" s="627">
        <f t="shared" si="118"/>
        <v>0</v>
      </c>
      <c r="M402" s="627">
        <f t="shared" si="119"/>
        <v>0</v>
      </c>
      <c r="N402" s="609">
        <v>486</v>
      </c>
      <c r="O402" s="610">
        <v>55.503019471313607</v>
      </c>
      <c r="P402" s="617" t="str">
        <f t="shared" si="116"/>
        <v>---</v>
      </c>
      <c r="Q402" s="617">
        <f t="shared" si="117"/>
        <v>3.019471313606914E-3</v>
      </c>
      <c r="R402" s="485"/>
      <c r="S402" s="624" t="str">
        <f t="shared" si="112"/>
        <v>OK</v>
      </c>
      <c r="T402" s="613">
        <f>IF(+'2012 Rates'!O662&lt;'2012 Rates'!$B$11,'2012 Rates'!$B$11,+'2012 Rates'!O662)</f>
        <v>58.58</v>
      </c>
      <c r="U402" s="447">
        <f t="shared" si="104"/>
        <v>7.709444121450959E-2</v>
      </c>
      <c r="V402" s="485"/>
      <c r="W402" s="623">
        <f t="shared" si="113"/>
        <v>702.96</v>
      </c>
      <c r="X402" s="442"/>
      <c r="Y402" s="485"/>
      <c r="Z402" s="485"/>
      <c r="AA402" s="485"/>
      <c r="AB402" s="485"/>
      <c r="AC402" s="485"/>
      <c r="AD402" s="485"/>
      <c r="AE402" s="485"/>
      <c r="AF402" s="485"/>
      <c r="AG402" s="485"/>
      <c r="AH402" s="485"/>
      <c r="AI402" s="485"/>
      <c r="AJ402" s="485"/>
      <c r="AK402" s="485"/>
      <c r="AL402" s="485"/>
      <c r="AM402" s="485"/>
      <c r="AN402" s="485"/>
      <c r="AO402" s="485"/>
      <c r="AP402" s="485"/>
      <c r="AQ402" s="485"/>
      <c r="AR402" s="485"/>
      <c r="AS402" s="485"/>
      <c r="AT402" s="485"/>
      <c r="AU402" s="485"/>
      <c r="AV402" s="485"/>
      <c r="AW402" s="485"/>
      <c r="AX402" s="485"/>
      <c r="AY402" s="485"/>
      <c r="AZ402" s="485"/>
      <c r="BA402" s="485"/>
      <c r="BB402" s="485"/>
      <c r="BC402" s="485"/>
      <c r="BD402" s="485"/>
      <c r="BE402" s="485"/>
      <c r="BF402" s="485"/>
      <c r="BG402" s="485"/>
      <c r="BH402" s="485"/>
      <c r="BI402" s="485"/>
      <c r="BJ402" s="485"/>
      <c r="BK402" s="485"/>
      <c r="BL402" s="485"/>
      <c r="BM402" s="485"/>
      <c r="BN402" s="485"/>
      <c r="BO402" s="485"/>
      <c r="BP402" s="485"/>
      <c r="BQ402" s="485"/>
      <c r="BR402" s="485"/>
      <c r="BS402" s="485"/>
      <c r="BT402" s="485"/>
      <c r="BU402" s="485"/>
      <c r="BV402" s="485"/>
      <c r="BW402" s="485"/>
      <c r="BX402" s="485"/>
      <c r="BY402" s="485"/>
      <c r="BZ402" s="485"/>
      <c r="CA402" s="485"/>
      <c r="CB402" s="485"/>
      <c r="CC402" s="485"/>
      <c r="CD402" s="485"/>
      <c r="CE402" s="485"/>
      <c r="CF402" s="485"/>
      <c r="CG402" s="485"/>
      <c r="CH402" s="485"/>
      <c r="CI402" s="485"/>
      <c r="CJ402" s="485"/>
      <c r="CK402" s="485"/>
      <c r="CL402" s="485"/>
      <c r="CM402" s="485"/>
      <c r="CN402" s="485"/>
      <c r="CO402" s="485"/>
      <c r="CP402" s="485"/>
      <c r="CQ402" s="485"/>
      <c r="CR402" s="485"/>
      <c r="CS402" s="485"/>
      <c r="CT402" s="485"/>
      <c r="CU402" s="485"/>
      <c r="CV402" s="485"/>
      <c r="CW402" s="485"/>
      <c r="CX402" s="485"/>
      <c r="CY402" s="485"/>
      <c r="CZ402" s="485"/>
      <c r="DA402" s="485"/>
      <c r="DB402" s="485"/>
      <c r="DC402" s="485"/>
      <c r="DD402" s="485"/>
      <c r="DE402" s="485"/>
      <c r="DF402" s="485"/>
      <c r="DG402" s="485"/>
      <c r="DH402" s="485"/>
      <c r="DI402" s="485"/>
      <c r="DJ402" s="485"/>
      <c r="DK402" s="485"/>
      <c r="DL402" s="485"/>
      <c r="DM402" s="485"/>
      <c r="DN402" s="485"/>
      <c r="DO402" s="485"/>
      <c r="DP402" s="485"/>
      <c r="DQ402" s="485"/>
      <c r="DR402" s="485"/>
      <c r="DS402" s="485"/>
      <c r="DT402" s="485"/>
      <c r="DU402" s="485"/>
      <c r="DV402" s="485"/>
      <c r="DW402" s="485"/>
      <c r="DX402" s="485"/>
      <c r="DY402" s="485"/>
      <c r="DZ402" s="485"/>
      <c r="EA402" s="485"/>
      <c r="EB402" s="485"/>
      <c r="EC402" s="485"/>
      <c r="ED402" s="485"/>
      <c r="EE402" s="485"/>
      <c r="EF402" s="485"/>
      <c r="EG402" s="485"/>
      <c r="EH402" s="485"/>
      <c r="EI402" s="485"/>
      <c r="EJ402" s="485"/>
      <c r="EK402" s="485"/>
      <c r="EL402" s="485"/>
      <c r="EM402" s="485"/>
      <c r="EN402" s="485"/>
      <c r="EO402" s="485"/>
      <c r="EP402" s="485"/>
    </row>
    <row r="403" spans="1:146" ht="15.75">
      <c r="A403" s="574">
        <f>A402+1</f>
        <v>1126</v>
      </c>
      <c r="B403" s="643" t="s">
        <v>549</v>
      </c>
      <c r="C403" s="591">
        <v>440.5</v>
      </c>
      <c r="D403" s="251">
        <v>179</v>
      </c>
      <c r="E403" s="439">
        <v>20.420000000000002</v>
      </c>
      <c r="F403" s="678">
        <f t="shared" ref="F403:F428" si="120">E403-(D403*$C$10)</f>
        <v>20.010090000000002</v>
      </c>
      <c r="G403" s="683"/>
      <c r="H403" s="682">
        <f t="shared" si="114"/>
        <v>0</v>
      </c>
      <c r="I403" s="442">
        <f t="shared" si="115"/>
        <v>0</v>
      </c>
      <c r="J403" s="442"/>
      <c r="K403" s="443"/>
      <c r="L403" s="627">
        <f t="shared" si="118"/>
        <v>0</v>
      </c>
      <c r="M403" s="627">
        <f t="shared" si="119"/>
        <v>0</v>
      </c>
      <c r="N403" s="609">
        <v>179</v>
      </c>
      <c r="O403" s="610">
        <v>20.417161492520858</v>
      </c>
      <c r="P403" s="617" t="str">
        <f t="shared" si="116"/>
        <v>---</v>
      </c>
      <c r="Q403" s="617">
        <f t="shared" si="117"/>
        <v>-2.8385074791437148E-3</v>
      </c>
      <c r="R403" s="485"/>
      <c r="S403" s="624" t="str">
        <f t="shared" si="112"/>
        <v>OK</v>
      </c>
      <c r="T403" s="613">
        <f>IF(+'2012 Rates'!O663&lt;'2012 Rates'!$B$11,'2012 Rates'!$B$11,+'2012 Rates'!O663)</f>
        <v>21.54</v>
      </c>
      <c r="U403" s="447">
        <f t="shared" ref="U403:U428" si="121">+T403/F403-1</f>
        <v>7.6456927480086145E-2</v>
      </c>
      <c r="V403" s="485"/>
      <c r="W403" s="623">
        <f t="shared" si="113"/>
        <v>0</v>
      </c>
      <c r="X403" s="442"/>
      <c r="Y403" s="485"/>
      <c r="Z403" s="485"/>
      <c r="AA403" s="485"/>
      <c r="AB403" s="485"/>
      <c r="AC403" s="485"/>
      <c r="AD403" s="485"/>
      <c r="AE403" s="485"/>
      <c r="AF403" s="485"/>
      <c r="AG403" s="485"/>
      <c r="AH403" s="485"/>
      <c r="AI403" s="485"/>
      <c r="AJ403" s="485"/>
      <c r="AK403" s="485"/>
      <c r="AL403" s="485"/>
      <c r="AM403" s="485"/>
      <c r="AN403" s="485"/>
      <c r="AO403" s="485"/>
      <c r="AP403" s="485"/>
      <c r="AQ403" s="485"/>
      <c r="AR403" s="485"/>
      <c r="AS403" s="485"/>
      <c r="AT403" s="485"/>
      <c r="AU403" s="485"/>
      <c r="AV403" s="485"/>
      <c r="AW403" s="485"/>
      <c r="AX403" s="485"/>
      <c r="AY403" s="485"/>
      <c r="AZ403" s="485"/>
      <c r="BA403" s="485"/>
      <c r="BB403" s="485"/>
      <c r="BC403" s="485"/>
      <c r="BD403" s="485"/>
      <c r="BE403" s="485"/>
      <c r="BF403" s="485"/>
      <c r="BG403" s="485"/>
      <c r="BH403" s="485"/>
      <c r="BI403" s="485"/>
      <c r="BJ403" s="485"/>
      <c r="BK403" s="485"/>
      <c r="BL403" s="485"/>
      <c r="BM403" s="485"/>
      <c r="BN403" s="485"/>
      <c r="BO403" s="485"/>
      <c r="BP403" s="485"/>
      <c r="BQ403" s="485"/>
      <c r="BR403" s="485"/>
      <c r="BS403" s="485"/>
      <c r="BT403" s="485"/>
      <c r="BU403" s="485"/>
      <c r="BV403" s="485"/>
      <c r="BW403" s="485"/>
      <c r="BX403" s="485"/>
      <c r="BY403" s="485"/>
      <c r="BZ403" s="485"/>
      <c r="CA403" s="485"/>
      <c r="CB403" s="485"/>
      <c r="CC403" s="485"/>
      <c r="CD403" s="485"/>
      <c r="CE403" s="485"/>
      <c r="CF403" s="485"/>
      <c r="CG403" s="485"/>
      <c r="CH403" s="485"/>
      <c r="CI403" s="485"/>
      <c r="CJ403" s="485"/>
      <c r="CK403" s="485"/>
      <c r="CL403" s="485"/>
      <c r="CM403" s="485"/>
      <c r="CN403" s="485"/>
      <c r="CO403" s="485"/>
      <c r="CP403" s="485"/>
      <c r="CQ403" s="485"/>
      <c r="CR403" s="485"/>
      <c r="CS403" s="485"/>
      <c r="CT403" s="485"/>
      <c r="CU403" s="485"/>
      <c r="CV403" s="485"/>
      <c r="CW403" s="485"/>
      <c r="CX403" s="485"/>
      <c r="CY403" s="485"/>
      <c r="CZ403" s="485"/>
      <c r="DA403" s="485"/>
      <c r="DB403" s="485"/>
      <c r="DC403" s="485"/>
      <c r="DD403" s="485"/>
      <c r="DE403" s="485"/>
      <c r="DF403" s="485"/>
      <c r="DG403" s="485"/>
      <c r="DH403" s="485"/>
      <c r="DI403" s="485"/>
      <c r="DJ403" s="485"/>
      <c r="DK403" s="485"/>
      <c r="DL403" s="485"/>
      <c r="DM403" s="485"/>
      <c r="DN403" s="485"/>
      <c r="DO403" s="485"/>
      <c r="DP403" s="485"/>
      <c r="DQ403" s="485"/>
      <c r="DR403" s="485"/>
      <c r="DS403" s="485"/>
      <c r="DT403" s="485"/>
      <c r="DU403" s="485"/>
      <c r="DV403" s="485"/>
      <c r="DW403" s="485"/>
      <c r="DX403" s="485"/>
      <c r="DY403" s="485"/>
      <c r="DZ403" s="485"/>
      <c r="EA403" s="485"/>
      <c r="EB403" s="485"/>
      <c r="EC403" s="485"/>
      <c r="ED403" s="485"/>
      <c r="EE403" s="485"/>
      <c r="EF403" s="485"/>
      <c r="EG403" s="485"/>
      <c r="EH403" s="485"/>
      <c r="EI403" s="485"/>
      <c r="EJ403" s="485"/>
      <c r="EK403" s="485"/>
      <c r="EL403" s="485"/>
      <c r="EM403" s="485"/>
      <c r="EN403" s="485"/>
      <c r="EO403" s="485"/>
      <c r="EP403" s="485"/>
    </row>
    <row r="404" spans="1:146" ht="15.75">
      <c r="A404" s="574">
        <f t="shared" ref="A404:A416" si="122">A403+1</f>
        <v>1127</v>
      </c>
      <c r="B404" s="643" t="s">
        <v>550</v>
      </c>
      <c r="C404" s="591">
        <v>2420</v>
      </c>
      <c r="D404" s="251">
        <v>981</v>
      </c>
      <c r="E404" s="439">
        <v>109.87</v>
      </c>
      <c r="F404" s="678">
        <f t="shared" si="120"/>
        <v>107.62351000000001</v>
      </c>
      <c r="G404" s="683">
        <v>1</v>
      </c>
      <c r="H404" s="682">
        <f t="shared" si="114"/>
        <v>11772</v>
      </c>
      <c r="I404" s="442">
        <f t="shared" si="115"/>
        <v>1318.44</v>
      </c>
      <c r="J404" s="442"/>
      <c r="K404" s="443"/>
      <c r="L404" s="627">
        <f t="shared" si="118"/>
        <v>0</v>
      </c>
      <c r="M404" s="627">
        <f t="shared" si="119"/>
        <v>0</v>
      </c>
      <c r="N404" s="609">
        <v>981</v>
      </c>
      <c r="O404" s="610">
        <v>109.8716504143182</v>
      </c>
      <c r="P404" s="617" t="str">
        <f t="shared" si="116"/>
        <v>---</v>
      </c>
      <c r="Q404" s="617">
        <f t="shared" si="117"/>
        <v>1.6504143181919062E-3</v>
      </c>
      <c r="R404" s="485"/>
      <c r="S404" s="624" t="str">
        <f t="shared" si="112"/>
        <v>OK</v>
      </c>
      <c r="T404" s="613">
        <f>IF(+'2012 Rates'!O664&lt;'2012 Rates'!$B$11,'2012 Rates'!$B$11,+'2012 Rates'!O664)</f>
        <v>118.18</v>
      </c>
      <c r="U404" s="447">
        <f t="shared" si="121"/>
        <v>9.8087211613893555E-2</v>
      </c>
      <c r="V404" s="485"/>
      <c r="W404" s="623">
        <f t="shared" si="113"/>
        <v>1418.16</v>
      </c>
      <c r="X404" s="442"/>
      <c r="Y404" s="485"/>
      <c r="Z404" s="485"/>
      <c r="AA404" s="485"/>
      <c r="AB404" s="485"/>
      <c r="AC404" s="485"/>
      <c r="AD404" s="485"/>
      <c r="AE404" s="485"/>
      <c r="AF404" s="485"/>
      <c r="AG404" s="485"/>
      <c r="AH404" s="485"/>
      <c r="AI404" s="485"/>
      <c r="AJ404" s="485"/>
      <c r="AK404" s="485"/>
      <c r="AL404" s="485"/>
      <c r="AM404" s="485"/>
      <c r="AN404" s="485"/>
      <c r="AO404" s="485"/>
      <c r="AP404" s="485"/>
      <c r="AQ404" s="485"/>
      <c r="AR404" s="485"/>
      <c r="AS404" s="485"/>
      <c r="AT404" s="485"/>
      <c r="AU404" s="485"/>
      <c r="AV404" s="485"/>
      <c r="AW404" s="485"/>
      <c r="AX404" s="485"/>
      <c r="AY404" s="485"/>
      <c r="AZ404" s="485"/>
      <c r="BA404" s="485"/>
      <c r="BB404" s="485"/>
      <c r="BC404" s="485"/>
      <c r="BD404" s="485"/>
      <c r="BE404" s="485"/>
      <c r="BF404" s="485"/>
      <c r="BG404" s="485"/>
      <c r="BH404" s="485"/>
      <c r="BI404" s="485"/>
      <c r="BJ404" s="485"/>
      <c r="BK404" s="485"/>
      <c r="BL404" s="485"/>
      <c r="BM404" s="485"/>
      <c r="BN404" s="485"/>
      <c r="BO404" s="485"/>
      <c r="BP404" s="485"/>
      <c r="BQ404" s="485"/>
      <c r="BR404" s="485"/>
      <c r="BS404" s="485"/>
      <c r="BT404" s="485"/>
      <c r="BU404" s="485"/>
      <c r="BV404" s="485"/>
      <c r="BW404" s="485"/>
      <c r="BX404" s="485"/>
      <c r="BY404" s="485"/>
      <c r="BZ404" s="485"/>
      <c r="CA404" s="485"/>
      <c r="CB404" s="485"/>
      <c r="CC404" s="485"/>
      <c r="CD404" s="485"/>
      <c r="CE404" s="485"/>
      <c r="CF404" s="485"/>
      <c r="CG404" s="485"/>
      <c r="CH404" s="485"/>
      <c r="CI404" s="485"/>
      <c r="CJ404" s="485"/>
      <c r="CK404" s="485"/>
      <c r="CL404" s="485"/>
      <c r="CM404" s="485"/>
      <c r="CN404" s="485"/>
      <c r="CO404" s="485"/>
      <c r="CP404" s="485"/>
      <c r="CQ404" s="485"/>
      <c r="CR404" s="485"/>
      <c r="CS404" s="485"/>
      <c r="CT404" s="485"/>
      <c r="CU404" s="485"/>
      <c r="CV404" s="485"/>
      <c r="CW404" s="485"/>
      <c r="CX404" s="485"/>
      <c r="CY404" s="485"/>
      <c r="CZ404" s="485"/>
      <c r="DA404" s="485"/>
      <c r="DB404" s="485"/>
      <c r="DC404" s="485"/>
      <c r="DD404" s="485"/>
      <c r="DE404" s="485"/>
      <c r="DF404" s="485"/>
      <c r="DG404" s="485"/>
      <c r="DH404" s="485"/>
      <c r="DI404" s="485"/>
      <c r="DJ404" s="485"/>
      <c r="DK404" s="485"/>
      <c r="DL404" s="485"/>
      <c r="DM404" s="485"/>
      <c r="DN404" s="485"/>
      <c r="DO404" s="485"/>
      <c r="DP404" s="485"/>
      <c r="DQ404" s="485"/>
      <c r="DR404" s="485"/>
      <c r="DS404" s="485"/>
      <c r="DT404" s="485"/>
      <c r="DU404" s="485"/>
      <c r="DV404" s="485"/>
      <c r="DW404" s="485"/>
      <c r="DX404" s="485"/>
      <c r="DY404" s="485"/>
      <c r="DZ404" s="485"/>
      <c r="EA404" s="485"/>
      <c r="EB404" s="485"/>
      <c r="EC404" s="485"/>
      <c r="ED404" s="485"/>
      <c r="EE404" s="485"/>
      <c r="EF404" s="485"/>
      <c r="EG404" s="485"/>
      <c r="EH404" s="485"/>
      <c r="EI404" s="485"/>
      <c r="EJ404" s="485"/>
      <c r="EK404" s="485"/>
      <c r="EL404" s="485"/>
      <c r="EM404" s="485"/>
      <c r="EN404" s="485"/>
      <c r="EO404" s="485"/>
      <c r="EP404" s="485"/>
    </row>
    <row r="405" spans="1:146" ht="15.75">
      <c r="A405" s="574">
        <f t="shared" si="122"/>
        <v>1128</v>
      </c>
      <c r="B405" s="643" t="s">
        <v>551</v>
      </c>
      <c r="C405" s="591">
        <v>860</v>
      </c>
      <c r="D405" s="251">
        <v>336</v>
      </c>
      <c r="E405" s="439">
        <v>38.36</v>
      </c>
      <c r="F405" s="678">
        <f t="shared" si="120"/>
        <v>37.590559999999996</v>
      </c>
      <c r="G405" s="683">
        <v>1</v>
      </c>
      <c r="H405" s="682">
        <f t="shared" si="114"/>
        <v>4032</v>
      </c>
      <c r="I405" s="442">
        <f t="shared" si="115"/>
        <v>460.32</v>
      </c>
      <c r="J405" s="442"/>
      <c r="K405" s="443"/>
      <c r="L405" s="627">
        <f t="shared" si="118"/>
        <v>0</v>
      </c>
      <c r="M405" s="627">
        <f t="shared" si="119"/>
        <v>0</v>
      </c>
      <c r="N405" s="609">
        <v>336</v>
      </c>
      <c r="O405" s="610">
        <v>38.362828276463731</v>
      </c>
      <c r="P405" s="617" t="str">
        <f t="shared" si="116"/>
        <v>---</v>
      </c>
      <c r="Q405" s="617">
        <f t="shared" si="117"/>
        <v>2.828276463731072E-3</v>
      </c>
      <c r="R405" s="485"/>
      <c r="S405" s="624" t="str">
        <f t="shared" si="112"/>
        <v>OK</v>
      </c>
      <c r="T405" s="613">
        <f>IF(+'2012 Rates'!O665&lt;'2012 Rates'!$B$11,'2012 Rates'!$B$11,+'2012 Rates'!O665)</f>
        <v>40.480000000000004</v>
      </c>
      <c r="U405" s="447">
        <f t="shared" si="121"/>
        <v>7.6866106809795109E-2</v>
      </c>
      <c r="V405" s="485"/>
      <c r="W405" s="623">
        <f t="shared" si="113"/>
        <v>485.76000000000005</v>
      </c>
      <c r="X405" s="442"/>
      <c r="Y405" s="485"/>
      <c r="Z405" s="485"/>
      <c r="AA405" s="485"/>
      <c r="AB405" s="485"/>
      <c r="AC405" s="485"/>
      <c r="AD405" s="485"/>
      <c r="AE405" s="485"/>
      <c r="AF405" s="485"/>
      <c r="AG405" s="485"/>
      <c r="AH405" s="485"/>
      <c r="AI405" s="485"/>
      <c r="AJ405" s="485"/>
      <c r="AK405" s="485"/>
      <c r="AL405" s="485"/>
      <c r="AM405" s="485"/>
      <c r="AN405" s="485"/>
      <c r="AO405" s="485"/>
      <c r="AP405" s="485"/>
      <c r="AQ405" s="485"/>
      <c r="AR405" s="485"/>
      <c r="AS405" s="485"/>
      <c r="AT405" s="485"/>
      <c r="AU405" s="485"/>
      <c r="AV405" s="485"/>
      <c r="AW405" s="485"/>
      <c r="AX405" s="485"/>
      <c r="AY405" s="485"/>
      <c r="AZ405" s="485"/>
      <c r="BA405" s="485"/>
      <c r="BB405" s="485"/>
      <c r="BC405" s="485"/>
      <c r="BD405" s="485"/>
      <c r="BE405" s="485"/>
      <c r="BF405" s="485"/>
      <c r="BG405" s="485"/>
      <c r="BH405" s="485"/>
      <c r="BI405" s="485"/>
      <c r="BJ405" s="485"/>
      <c r="BK405" s="485"/>
      <c r="BL405" s="485"/>
      <c r="BM405" s="485"/>
      <c r="BN405" s="485"/>
      <c r="BO405" s="485"/>
      <c r="BP405" s="485"/>
      <c r="BQ405" s="485"/>
      <c r="BR405" s="485"/>
      <c r="BS405" s="485"/>
      <c r="BT405" s="485"/>
      <c r="BU405" s="485"/>
      <c r="BV405" s="485"/>
      <c r="BW405" s="485"/>
      <c r="BX405" s="485"/>
      <c r="BY405" s="485"/>
      <c r="BZ405" s="485"/>
      <c r="CA405" s="485"/>
      <c r="CB405" s="485"/>
      <c r="CC405" s="485"/>
      <c r="CD405" s="485"/>
      <c r="CE405" s="485"/>
      <c r="CF405" s="485"/>
      <c r="CG405" s="485"/>
      <c r="CH405" s="485"/>
      <c r="CI405" s="485"/>
      <c r="CJ405" s="485"/>
      <c r="CK405" s="485"/>
      <c r="CL405" s="485"/>
      <c r="CM405" s="485"/>
      <c r="CN405" s="485"/>
      <c r="CO405" s="485"/>
      <c r="CP405" s="485"/>
      <c r="CQ405" s="485"/>
      <c r="CR405" s="485"/>
      <c r="CS405" s="485"/>
      <c r="CT405" s="485"/>
      <c r="CU405" s="485"/>
      <c r="CV405" s="485"/>
      <c r="CW405" s="485"/>
      <c r="CX405" s="485"/>
      <c r="CY405" s="485"/>
      <c r="CZ405" s="485"/>
      <c r="DA405" s="485"/>
      <c r="DB405" s="485"/>
      <c r="DC405" s="485"/>
      <c r="DD405" s="485"/>
      <c r="DE405" s="485"/>
      <c r="DF405" s="485"/>
      <c r="DG405" s="485"/>
      <c r="DH405" s="485"/>
      <c r="DI405" s="485"/>
      <c r="DJ405" s="485"/>
      <c r="DK405" s="485"/>
      <c r="DL405" s="485"/>
      <c r="DM405" s="485"/>
      <c r="DN405" s="485"/>
      <c r="DO405" s="485"/>
      <c r="DP405" s="485"/>
      <c r="DQ405" s="485"/>
      <c r="DR405" s="485"/>
      <c r="DS405" s="485"/>
      <c r="DT405" s="485"/>
      <c r="DU405" s="485"/>
      <c r="DV405" s="485"/>
      <c r="DW405" s="485"/>
      <c r="DX405" s="485"/>
      <c r="DY405" s="485"/>
      <c r="DZ405" s="485"/>
      <c r="EA405" s="485"/>
      <c r="EB405" s="485"/>
      <c r="EC405" s="485"/>
      <c r="ED405" s="485"/>
      <c r="EE405" s="485"/>
      <c r="EF405" s="485"/>
      <c r="EG405" s="485"/>
      <c r="EH405" s="485"/>
      <c r="EI405" s="485"/>
      <c r="EJ405" s="485"/>
      <c r="EK405" s="485"/>
      <c r="EL405" s="485"/>
      <c r="EM405" s="485"/>
      <c r="EN405" s="485"/>
      <c r="EO405" s="485"/>
      <c r="EP405" s="485"/>
    </row>
    <row r="406" spans="1:146" ht="15.75">
      <c r="A406" s="574">
        <f t="shared" si="122"/>
        <v>1129</v>
      </c>
      <c r="B406" s="643" t="s">
        <v>552</v>
      </c>
      <c r="C406" s="591">
        <f>73*60</f>
        <v>4380</v>
      </c>
      <c r="D406" s="251">
        <v>1720</v>
      </c>
      <c r="E406" s="439">
        <v>196.35</v>
      </c>
      <c r="F406" s="678">
        <f t="shared" si="120"/>
        <v>192.41120000000001</v>
      </c>
      <c r="G406" s="683">
        <v>1</v>
      </c>
      <c r="H406" s="682">
        <f t="shared" si="114"/>
        <v>20640</v>
      </c>
      <c r="I406" s="442">
        <f t="shared" si="115"/>
        <v>2356.1999999999998</v>
      </c>
      <c r="J406" s="442"/>
      <c r="K406" s="443"/>
      <c r="L406" s="627">
        <f t="shared" si="118"/>
        <v>0</v>
      </c>
      <c r="M406" s="627">
        <f t="shared" si="119"/>
        <v>0</v>
      </c>
      <c r="N406" s="609">
        <v>1720</v>
      </c>
      <c r="O406" s="610">
        <v>196.34685903427859</v>
      </c>
      <c r="P406" s="617" t="str">
        <f t="shared" si="116"/>
        <v>---</v>
      </c>
      <c r="Q406" s="617">
        <f t="shared" si="117"/>
        <v>-3.1409657213998798E-3</v>
      </c>
      <c r="R406" s="485"/>
      <c r="S406" s="624" t="str">
        <f t="shared" si="112"/>
        <v>OK</v>
      </c>
      <c r="T406" s="613">
        <f>IF(+'2012 Rates'!O666&lt;'2012 Rates'!$B$11,'2012 Rates'!$B$11,+'2012 Rates'!O666)</f>
        <v>207.19</v>
      </c>
      <c r="U406" s="447">
        <f t="shared" si="121"/>
        <v>7.6808418636752807E-2</v>
      </c>
      <c r="V406" s="485"/>
      <c r="W406" s="623">
        <f t="shared" si="113"/>
        <v>2486.2799999999997</v>
      </c>
      <c r="X406" s="442"/>
      <c r="Y406" s="485"/>
      <c r="Z406" s="485"/>
      <c r="AA406" s="485"/>
      <c r="AB406" s="485"/>
      <c r="AC406" s="485"/>
      <c r="AD406" s="485"/>
      <c r="AE406" s="485"/>
      <c r="AF406" s="485"/>
      <c r="AG406" s="485"/>
      <c r="AH406" s="485"/>
      <c r="AI406" s="485"/>
      <c r="AJ406" s="485"/>
      <c r="AK406" s="485"/>
      <c r="AL406" s="485"/>
      <c r="AM406" s="485"/>
      <c r="AN406" s="485"/>
      <c r="AO406" s="485"/>
      <c r="AP406" s="485"/>
      <c r="AQ406" s="485"/>
      <c r="AR406" s="485"/>
      <c r="AS406" s="485"/>
      <c r="AT406" s="485"/>
      <c r="AU406" s="485"/>
      <c r="AV406" s="485"/>
      <c r="AW406" s="485"/>
      <c r="AX406" s="485"/>
      <c r="AY406" s="485"/>
      <c r="AZ406" s="485"/>
      <c r="BA406" s="485"/>
      <c r="BB406" s="485"/>
      <c r="BC406" s="485"/>
      <c r="BD406" s="485"/>
      <c r="BE406" s="485"/>
      <c r="BF406" s="485"/>
      <c r="BG406" s="485"/>
      <c r="BH406" s="485"/>
      <c r="BI406" s="485"/>
      <c r="BJ406" s="485"/>
      <c r="BK406" s="485"/>
      <c r="BL406" s="485"/>
      <c r="BM406" s="485"/>
      <c r="BN406" s="485"/>
      <c r="BO406" s="485"/>
      <c r="BP406" s="485"/>
      <c r="BQ406" s="485"/>
      <c r="BR406" s="485"/>
      <c r="BS406" s="485"/>
      <c r="BT406" s="485"/>
      <c r="BU406" s="485"/>
      <c r="BV406" s="485"/>
      <c r="BW406" s="485"/>
      <c r="BX406" s="485"/>
      <c r="BY406" s="485"/>
      <c r="BZ406" s="485"/>
      <c r="CA406" s="485"/>
      <c r="CB406" s="485"/>
      <c r="CC406" s="485"/>
      <c r="CD406" s="485"/>
      <c r="CE406" s="485"/>
      <c r="CF406" s="485"/>
      <c r="CG406" s="485"/>
      <c r="CH406" s="485"/>
      <c r="CI406" s="485"/>
      <c r="CJ406" s="485"/>
      <c r="CK406" s="485"/>
      <c r="CL406" s="485"/>
      <c r="CM406" s="485"/>
      <c r="CN406" s="485"/>
      <c r="CO406" s="485"/>
      <c r="CP406" s="485"/>
      <c r="CQ406" s="485"/>
      <c r="CR406" s="485"/>
      <c r="CS406" s="485"/>
      <c r="CT406" s="485"/>
      <c r="CU406" s="485"/>
      <c r="CV406" s="485"/>
      <c r="CW406" s="485"/>
      <c r="CX406" s="485"/>
      <c r="CY406" s="485"/>
      <c r="CZ406" s="485"/>
      <c r="DA406" s="485"/>
      <c r="DB406" s="485"/>
      <c r="DC406" s="485"/>
      <c r="DD406" s="485"/>
      <c r="DE406" s="485"/>
      <c r="DF406" s="485"/>
      <c r="DG406" s="485"/>
      <c r="DH406" s="485"/>
      <c r="DI406" s="485"/>
      <c r="DJ406" s="485"/>
      <c r="DK406" s="485"/>
      <c r="DL406" s="485"/>
      <c r="DM406" s="485"/>
      <c r="DN406" s="485"/>
      <c r="DO406" s="485"/>
      <c r="DP406" s="485"/>
      <c r="DQ406" s="485"/>
      <c r="DR406" s="485"/>
      <c r="DS406" s="485"/>
      <c r="DT406" s="485"/>
      <c r="DU406" s="485"/>
      <c r="DV406" s="485"/>
      <c r="DW406" s="485"/>
      <c r="DX406" s="485"/>
      <c r="DY406" s="485"/>
      <c r="DZ406" s="485"/>
      <c r="EA406" s="485"/>
      <c r="EB406" s="485"/>
      <c r="EC406" s="485"/>
      <c r="ED406" s="485"/>
      <c r="EE406" s="485"/>
      <c r="EF406" s="485"/>
      <c r="EG406" s="485"/>
      <c r="EH406" s="485"/>
      <c r="EI406" s="485"/>
      <c r="EJ406" s="485"/>
      <c r="EK406" s="485"/>
      <c r="EL406" s="485"/>
      <c r="EM406" s="485"/>
      <c r="EN406" s="485"/>
      <c r="EO406" s="485"/>
      <c r="EP406" s="485"/>
    </row>
    <row r="407" spans="1:146" ht="15.75">
      <c r="A407" s="574">
        <f t="shared" si="122"/>
        <v>1130</v>
      </c>
      <c r="B407" s="643" t="s">
        <v>553</v>
      </c>
      <c r="C407" s="591">
        <f>6*85+6*80+4*75+4*60</f>
        <v>1530</v>
      </c>
      <c r="D407" s="251">
        <v>587</v>
      </c>
      <c r="E407" s="439">
        <v>66.98</v>
      </c>
      <c r="F407" s="678">
        <f t="shared" si="120"/>
        <v>65.635770000000008</v>
      </c>
      <c r="G407" s="683">
        <v>1</v>
      </c>
      <c r="H407" s="682">
        <f t="shared" si="114"/>
        <v>7044</v>
      </c>
      <c r="I407" s="442">
        <f t="shared" si="115"/>
        <v>803.76</v>
      </c>
      <c r="J407" s="442"/>
      <c r="K407" s="443"/>
      <c r="L407" s="627">
        <f t="shared" si="118"/>
        <v>0</v>
      </c>
      <c r="M407" s="627">
        <f t="shared" si="119"/>
        <v>0</v>
      </c>
      <c r="N407" s="609">
        <v>587</v>
      </c>
      <c r="O407" s="610">
        <v>66.984881542512525</v>
      </c>
      <c r="P407" s="617" t="str">
        <f t="shared" si="116"/>
        <v>---</v>
      </c>
      <c r="Q407" s="617">
        <f t="shared" si="117"/>
        <v>4.8815425125212641E-3</v>
      </c>
      <c r="R407" s="485"/>
      <c r="S407" s="624" t="str">
        <f t="shared" si="112"/>
        <v>OK</v>
      </c>
      <c r="T407" s="613">
        <f>IF(+'2012 Rates'!O667&lt;'2012 Rates'!$B$11,'2012 Rates'!$B$11,+'2012 Rates'!O667)</f>
        <v>70.680000000000007</v>
      </c>
      <c r="U407" s="447">
        <f t="shared" si="121"/>
        <v>7.6851844657265467E-2</v>
      </c>
      <c r="V407" s="485"/>
      <c r="W407" s="623">
        <f t="shared" si="113"/>
        <v>848.16000000000008</v>
      </c>
      <c r="X407" s="442"/>
      <c r="Y407" s="485"/>
      <c r="Z407" s="485"/>
      <c r="AA407" s="485"/>
      <c r="AB407" s="485"/>
      <c r="AC407" s="485"/>
      <c r="AD407" s="485"/>
      <c r="AE407" s="485"/>
      <c r="AF407" s="485"/>
      <c r="AG407" s="485"/>
      <c r="AH407" s="485"/>
      <c r="AI407" s="485"/>
      <c r="AJ407" s="485"/>
      <c r="AK407" s="485"/>
      <c r="AL407" s="485"/>
      <c r="AM407" s="485"/>
      <c r="AN407" s="485"/>
      <c r="AO407" s="485"/>
      <c r="AP407" s="485"/>
      <c r="AQ407" s="485"/>
      <c r="AR407" s="485"/>
      <c r="AS407" s="485"/>
      <c r="AT407" s="485"/>
      <c r="AU407" s="485"/>
      <c r="AV407" s="485"/>
      <c r="AW407" s="485"/>
      <c r="AX407" s="485"/>
      <c r="AY407" s="485"/>
      <c r="AZ407" s="485"/>
      <c r="BA407" s="485"/>
      <c r="BB407" s="485"/>
      <c r="BC407" s="485"/>
      <c r="BD407" s="485"/>
      <c r="BE407" s="485"/>
      <c r="BF407" s="485"/>
      <c r="BG407" s="485"/>
      <c r="BH407" s="485"/>
      <c r="BI407" s="485"/>
      <c r="BJ407" s="485"/>
      <c r="BK407" s="485"/>
      <c r="BL407" s="485"/>
      <c r="BM407" s="485"/>
      <c r="BN407" s="485"/>
      <c r="BO407" s="485"/>
      <c r="BP407" s="485"/>
      <c r="BQ407" s="485"/>
      <c r="BR407" s="485"/>
      <c r="BS407" s="485"/>
      <c r="BT407" s="485"/>
      <c r="BU407" s="485"/>
      <c r="BV407" s="485"/>
      <c r="BW407" s="485"/>
      <c r="BX407" s="485"/>
      <c r="BY407" s="485"/>
      <c r="BZ407" s="485"/>
      <c r="CA407" s="485"/>
      <c r="CB407" s="485"/>
      <c r="CC407" s="485"/>
      <c r="CD407" s="485"/>
      <c r="CE407" s="485"/>
      <c r="CF407" s="485"/>
      <c r="CG407" s="485"/>
      <c r="CH407" s="485"/>
      <c r="CI407" s="485"/>
      <c r="CJ407" s="485"/>
      <c r="CK407" s="485"/>
      <c r="CL407" s="485"/>
      <c r="CM407" s="485"/>
      <c r="CN407" s="485"/>
      <c r="CO407" s="485"/>
      <c r="CP407" s="485"/>
      <c r="CQ407" s="485"/>
      <c r="CR407" s="485"/>
      <c r="CS407" s="485"/>
      <c r="CT407" s="485"/>
      <c r="CU407" s="485"/>
      <c r="CV407" s="485"/>
      <c r="CW407" s="485"/>
      <c r="CX407" s="485"/>
      <c r="CY407" s="485"/>
      <c r="CZ407" s="485"/>
      <c r="DA407" s="485"/>
      <c r="DB407" s="485"/>
      <c r="DC407" s="485"/>
      <c r="DD407" s="485"/>
      <c r="DE407" s="485"/>
      <c r="DF407" s="485"/>
      <c r="DG407" s="485"/>
      <c r="DH407" s="485"/>
      <c r="DI407" s="485"/>
      <c r="DJ407" s="485"/>
      <c r="DK407" s="485"/>
      <c r="DL407" s="485"/>
      <c r="DM407" s="485"/>
      <c r="DN407" s="485"/>
      <c r="DO407" s="485"/>
      <c r="DP407" s="485"/>
      <c r="DQ407" s="485"/>
      <c r="DR407" s="485"/>
      <c r="DS407" s="485"/>
      <c r="DT407" s="485"/>
      <c r="DU407" s="485"/>
      <c r="DV407" s="485"/>
      <c r="DW407" s="485"/>
      <c r="DX407" s="485"/>
      <c r="DY407" s="485"/>
      <c r="DZ407" s="485"/>
      <c r="EA407" s="485"/>
      <c r="EB407" s="485"/>
      <c r="EC407" s="485"/>
      <c r="ED407" s="485"/>
      <c r="EE407" s="485"/>
      <c r="EF407" s="485"/>
      <c r="EG407" s="485"/>
      <c r="EH407" s="485"/>
      <c r="EI407" s="485"/>
      <c r="EJ407" s="485"/>
      <c r="EK407" s="485"/>
      <c r="EL407" s="485"/>
      <c r="EM407" s="485"/>
      <c r="EN407" s="485"/>
      <c r="EO407" s="485"/>
      <c r="EP407" s="485"/>
    </row>
    <row r="408" spans="1:146" ht="15.75">
      <c r="A408" s="574">
        <f t="shared" si="122"/>
        <v>1131</v>
      </c>
      <c r="B408" s="643" t="s">
        <v>554</v>
      </c>
      <c r="C408" s="591">
        <f>5*85</f>
        <v>425</v>
      </c>
      <c r="D408" s="251">
        <v>163</v>
      </c>
      <c r="E408" s="439">
        <v>18.27</v>
      </c>
      <c r="F408" s="678">
        <f t="shared" si="120"/>
        <v>17.896729999999998</v>
      </c>
      <c r="G408" s="683">
        <v>1</v>
      </c>
      <c r="H408" s="682">
        <f t="shared" si="114"/>
        <v>1956</v>
      </c>
      <c r="I408" s="442">
        <f t="shared" si="115"/>
        <v>219.24</v>
      </c>
      <c r="J408" s="442"/>
      <c r="K408" s="443"/>
      <c r="L408" s="627">
        <f t="shared" si="118"/>
        <v>0</v>
      </c>
      <c r="M408" s="627">
        <f t="shared" si="119"/>
        <v>0</v>
      </c>
      <c r="N408" s="609">
        <v>163</v>
      </c>
      <c r="O408" s="610">
        <v>18.266074431736868</v>
      </c>
      <c r="P408" s="617" t="str">
        <f t="shared" si="116"/>
        <v>---</v>
      </c>
      <c r="Q408" s="617">
        <f t="shared" si="117"/>
        <v>-3.925568263131396E-3</v>
      </c>
      <c r="R408" s="485"/>
      <c r="S408" s="624" t="str">
        <f t="shared" si="112"/>
        <v>OK</v>
      </c>
      <c r="T408" s="613">
        <f>IF(+'2012 Rates'!O668&lt;'2012 Rates'!$B$11,'2012 Rates'!$B$11,+'2012 Rates'!O668)</f>
        <v>19.64</v>
      </c>
      <c r="U408" s="447">
        <f t="shared" si="121"/>
        <v>9.7407179970866231E-2</v>
      </c>
      <c r="V408" s="485"/>
      <c r="W408" s="623">
        <f t="shared" si="113"/>
        <v>235.68</v>
      </c>
      <c r="X408" s="442"/>
      <c r="Y408" s="485"/>
      <c r="Z408" s="485"/>
      <c r="AA408" s="485"/>
      <c r="AB408" s="485"/>
      <c r="AC408" s="485"/>
      <c r="AD408" s="485"/>
      <c r="AE408" s="485"/>
      <c r="AF408" s="485"/>
      <c r="AG408" s="485"/>
      <c r="AH408" s="485"/>
      <c r="AI408" s="485"/>
      <c r="AJ408" s="485"/>
      <c r="AK408" s="485"/>
      <c r="AL408" s="485"/>
      <c r="AM408" s="485"/>
      <c r="AN408" s="485"/>
      <c r="AO408" s="485"/>
      <c r="AP408" s="485"/>
      <c r="AQ408" s="485"/>
      <c r="AR408" s="485"/>
      <c r="AS408" s="485"/>
      <c r="AT408" s="485"/>
      <c r="AU408" s="485"/>
      <c r="AV408" s="485"/>
      <c r="AW408" s="485"/>
      <c r="AX408" s="485"/>
      <c r="AY408" s="485"/>
      <c r="AZ408" s="485"/>
      <c r="BA408" s="485"/>
      <c r="BB408" s="485"/>
      <c r="BC408" s="485"/>
      <c r="BD408" s="485"/>
      <c r="BE408" s="485"/>
      <c r="BF408" s="485"/>
      <c r="BG408" s="485"/>
      <c r="BH408" s="485"/>
      <c r="BI408" s="485"/>
      <c r="BJ408" s="485"/>
      <c r="BK408" s="485"/>
      <c r="BL408" s="485"/>
      <c r="BM408" s="485"/>
      <c r="BN408" s="485"/>
      <c r="BO408" s="485"/>
      <c r="BP408" s="485"/>
      <c r="BQ408" s="485"/>
      <c r="BR408" s="485"/>
      <c r="BS408" s="485"/>
      <c r="BT408" s="485"/>
      <c r="BU408" s="485"/>
      <c r="BV408" s="485"/>
      <c r="BW408" s="485"/>
      <c r="BX408" s="485"/>
      <c r="BY408" s="485"/>
      <c r="BZ408" s="485"/>
      <c r="CA408" s="485"/>
      <c r="CB408" s="485"/>
      <c r="CC408" s="485"/>
      <c r="CD408" s="485"/>
      <c r="CE408" s="485"/>
      <c r="CF408" s="485"/>
      <c r="CG408" s="485"/>
      <c r="CH408" s="485"/>
      <c r="CI408" s="485"/>
      <c r="CJ408" s="485"/>
      <c r="CK408" s="485"/>
      <c r="CL408" s="485"/>
      <c r="CM408" s="485"/>
      <c r="CN408" s="485"/>
      <c r="CO408" s="485"/>
      <c r="CP408" s="485"/>
      <c r="CQ408" s="485"/>
      <c r="CR408" s="485"/>
      <c r="CS408" s="485"/>
      <c r="CT408" s="485"/>
      <c r="CU408" s="485"/>
      <c r="CV408" s="485"/>
      <c r="CW408" s="485"/>
      <c r="CX408" s="485"/>
      <c r="CY408" s="485"/>
      <c r="CZ408" s="485"/>
      <c r="DA408" s="485"/>
      <c r="DB408" s="485"/>
      <c r="DC408" s="485"/>
      <c r="DD408" s="485"/>
      <c r="DE408" s="485"/>
      <c r="DF408" s="485"/>
      <c r="DG408" s="485"/>
      <c r="DH408" s="485"/>
      <c r="DI408" s="485"/>
      <c r="DJ408" s="485"/>
      <c r="DK408" s="485"/>
      <c r="DL408" s="485"/>
      <c r="DM408" s="485"/>
      <c r="DN408" s="485"/>
      <c r="DO408" s="485"/>
      <c r="DP408" s="485"/>
      <c r="DQ408" s="485"/>
      <c r="DR408" s="485"/>
      <c r="DS408" s="485"/>
      <c r="DT408" s="485"/>
      <c r="DU408" s="485"/>
      <c r="DV408" s="485"/>
      <c r="DW408" s="485"/>
      <c r="DX408" s="485"/>
      <c r="DY408" s="485"/>
      <c r="DZ408" s="485"/>
      <c r="EA408" s="485"/>
      <c r="EB408" s="485"/>
      <c r="EC408" s="485"/>
      <c r="ED408" s="485"/>
      <c r="EE408" s="485"/>
      <c r="EF408" s="485"/>
      <c r="EG408" s="485"/>
      <c r="EH408" s="485"/>
      <c r="EI408" s="485"/>
      <c r="EJ408" s="485"/>
      <c r="EK408" s="485"/>
      <c r="EL408" s="485"/>
      <c r="EM408" s="485"/>
      <c r="EN408" s="485"/>
      <c r="EO408" s="485"/>
      <c r="EP408" s="485"/>
    </row>
    <row r="409" spans="1:146" ht="15.75">
      <c r="A409" s="574">
        <f t="shared" si="122"/>
        <v>1132</v>
      </c>
      <c r="B409" s="643" t="s">
        <v>555</v>
      </c>
      <c r="C409" s="591">
        <v>240</v>
      </c>
      <c r="D409" s="251">
        <v>88</v>
      </c>
      <c r="E409" s="439">
        <v>9.8699999999999992</v>
      </c>
      <c r="F409" s="678">
        <f t="shared" si="120"/>
        <v>9.6684799999999989</v>
      </c>
      <c r="G409" s="683"/>
      <c r="H409" s="682">
        <f t="shared" si="114"/>
        <v>0</v>
      </c>
      <c r="I409" s="442">
        <f t="shared" si="115"/>
        <v>0</v>
      </c>
      <c r="J409" s="442"/>
      <c r="K409" s="443"/>
      <c r="L409" s="627">
        <f t="shared" si="118"/>
        <v>0</v>
      </c>
      <c r="M409" s="627">
        <f t="shared" si="119"/>
        <v>0</v>
      </c>
      <c r="N409" s="609">
        <v>88</v>
      </c>
      <c r="O409" s="610">
        <v>9.8659788343119299</v>
      </c>
      <c r="P409" s="617" t="str">
        <f t="shared" si="116"/>
        <v>---</v>
      </c>
      <c r="Q409" s="617">
        <f t="shared" si="117"/>
        <v>-4.021165688069317E-3</v>
      </c>
      <c r="R409" s="485"/>
      <c r="S409" s="624" t="str">
        <f t="shared" si="112"/>
        <v>OK</v>
      </c>
      <c r="T409" s="613">
        <f>IF(+'2012 Rates'!O669&lt;'2012 Rates'!$B$11,'2012 Rates'!$B$11,+'2012 Rates'!O669)</f>
        <v>10.610000000000001</v>
      </c>
      <c r="U409" s="447">
        <f t="shared" si="121"/>
        <v>9.7380353478520254E-2</v>
      </c>
      <c r="V409" s="485"/>
      <c r="W409" s="623">
        <f t="shared" si="113"/>
        <v>0</v>
      </c>
      <c r="X409" s="442"/>
      <c r="Y409" s="485"/>
      <c r="Z409" s="485"/>
      <c r="AA409" s="485"/>
      <c r="AB409" s="485"/>
      <c r="AC409" s="485"/>
      <c r="AD409" s="485"/>
      <c r="AE409" s="485"/>
      <c r="AF409" s="485"/>
      <c r="AG409" s="485"/>
      <c r="AH409" s="485"/>
      <c r="AI409" s="485"/>
      <c r="AJ409" s="485"/>
      <c r="AK409" s="485"/>
      <c r="AL409" s="485"/>
      <c r="AM409" s="485"/>
      <c r="AN409" s="485"/>
      <c r="AO409" s="485"/>
      <c r="AP409" s="485"/>
      <c r="AQ409" s="485"/>
      <c r="AR409" s="485"/>
      <c r="AS409" s="485"/>
      <c r="AT409" s="485"/>
      <c r="AU409" s="485"/>
      <c r="AV409" s="485"/>
      <c r="AW409" s="485"/>
      <c r="AX409" s="485"/>
      <c r="AY409" s="485"/>
      <c r="AZ409" s="485"/>
      <c r="BA409" s="485"/>
      <c r="BB409" s="485"/>
      <c r="BC409" s="485"/>
      <c r="BD409" s="485"/>
      <c r="BE409" s="485"/>
      <c r="BF409" s="485"/>
      <c r="BG409" s="485"/>
      <c r="BH409" s="485"/>
      <c r="BI409" s="485"/>
      <c r="BJ409" s="485"/>
      <c r="BK409" s="485"/>
      <c r="BL409" s="485"/>
      <c r="BM409" s="485"/>
      <c r="BN409" s="485"/>
      <c r="BO409" s="485"/>
      <c r="BP409" s="485"/>
      <c r="BQ409" s="485"/>
      <c r="BR409" s="485"/>
      <c r="BS409" s="485"/>
      <c r="BT409" s="485"/>
      <c r="BU409" s="485"/>
      <c r="BV409" s="485"/>
      <c r="BW409" s="485"/>
      <c r="BX409" s="485"/>
      <c r="BY409" s="485"/>
      <c r="BZ409" s="485"/>
      <c r="CA409" s="485"/>
      <c r="CB409" s="485"/>
      <c r="CC409" s="485"/>
      <c r="CD409" s="485"/>
      <c r="CE409" s="485"/>
      <c r="CF409" s="485"/>
      <c r="CG409" s="485"/>
      <c r="CH409" s="485"/>
      <c r="CI409" s="485"/>
      <c r="CJ409" s="485"/>
      <c r="CK409" s="485"/>
      <c r="CL409" s="485"/>
      <c r="CM409" s="485"/>
      <c r="CN409" s="485"/>
      <c r="CO409" s="485"/>
      <c r="CP409" s="485"/>
      <c r="CQ409" s="485"/>
      <c r="CR409" s="485"/>
      <c r="CS409" s="485"/>
      <c r="CT409" s="485"/>
      <c r="CU409" s="485"/>
      <c r="CV409" s="485"/>
      <c r="CW409" s="485"/>
      <c r="CX409" s="485"/>
      <c r="CY409" s="485"/>
      <c r="CZ409" s="485"/>
      <c r="DA409" s="485"/>
      <c r="DB409" s="485"/>
      <c r="DC409" s="485"/>
      <c r="DD409" s="485"/>
      <c r="DE409" s="485"/>
      <c r="DF409" s="485"/>
      <c r="DG409" s="485"/>
      <c r="DH409" s="485"/>
      <c r="DI409" s="485"/>
      <c r="DJ409" s="485"/>
      <c r="DK409" s="485"/>
      <c r="DL409" s="485"/>
      <c r="DM409" s="485"/>
      <c r="DN409" s="485"/>
      <c r="DO409" s="485"/>
      <c r="DP409" s="485"/>
      <c r="DQ409" s="485"/>
      <c r="DR409" s="485"/>
      <c r="DS409" s="485"/>
      <c r="DT409" s="485"/>
      <c r="DU409" s="485"/>
      <c r="DV409" s="485"/>
      <c r="DW409" s="485"/>
      <c r="DX409" s="485"/>
      <c r="DY409" s="485"/>
      <c r="DZ409" s="485"/>
      <c r="EA409" s="485"/>
      <c r="EB409" s="485"/>
      <c r="EC409" s="485"/>
      <c r="ED409" s="485"/>
      <c r="EE409" s="485"/>
      <c r="EF409" s="485"/>
      <c r="EG409" s="485"/>
      <c r="EH409" s="485"/>
      <c r="EI409" s="485"/>
      <c r="EJ409" s="485"/>
      <c r="EK409" s="485"/>
      <c r="EL409" s="485"/>
      <c r="EM409" s="485"/>
      <c r="EN409" s="485"/>
      <c r="EO409" s="485"/>
      <c r="EP409" s="485"/>
    </row>
    <row r="410" spans="1:146" ht="15.75">
      <c r="A410" s="574">
        <f t="shared" si="122"/>
        <v>1133</v>
      </c>
      <c r="B410" s="643" t="s">
        <v>556</v>
      </c>
      <c r="C410" s="591">
        <f>14*135</f>
        <v>1890</v>
      </c>
      <c r="D410" s="251">
        <v>693</v>
      </c>
      <c r="E410" s="439">
        <v>77.61</v>
      </c>
      <c r="F410" s="678">
        <f t="shared" si="120"/>
        <v>76.023030000000006</v>
      </c>
      <c r="G410" s="683">
        <v>1</v>
      </c>
      <c r="H410" s="682">
        <f t="shared" si="114"/>
        <v>8316</v>
      </c>
      <c r="I410" s="442">
        <f t="shared" si="115"/>
        <v>931.31999999999994</v>
      </c>
      <c r="J410" s="442"/>
      <c r="K410" s="443"/>
      <c r="L410" s="627">
        <f t="shared" si="118"/>
        <v>0</v>
      </c>
      <c r="M410" s="627">
        <f t="shared" si="119"/>
        <v>0</v>
      </c>
      <c r="N410" s="609">
        <v>693</v>
      </c>
      <c r="O410" s="610">
        <v>77.612083320206438</v>
      </c>
      <c r="P410" s="617" t="str">
        <f t="shared" si="116"/>
        <v>---</v>
      </c>
      <c r="Q410" s="617">
        <f t="shared" si="117"/>
        <v>2.0833202064380885E-3</v>
      </c>
      <c r="R410" s="485"/>
      <c r="S410" s="624" t="str">
        <f t="shared" si="112"/>
        <v>OK</v>
      </c>
      <c r="T410" s="613">
        <f>IF(+'2012 Rates'!O670&lt;'2012 Rates'!$B$11,'2012 Rates'!$B$11,+'2012 Rates'!O670)</f>
        <v>83.490000000000009</v>
      </c>
      <c r="U410" s="447">
        <f t="shared" si="121"/>
        <v>9.8219842066279206E-2</v>
      </c>
      <c r="V410" s="485"/>
      <c r="W410" s="623">
        <f t="shared" si="113"/>
        <v>1001.8800000000001</v>
      </c>
      <c r="X410" s="442"/>
      <c r="Y410" s="485"/>
      <c r="Z410" s="485"/>
      <c r="AA410" s="485"/>
      <c r="AB410" s="485"/>
      <c r="AC410" s="485"/>
      <c r="AD410" s="485"/>
      <c r="AE410" s="485"/>
      <c r="AF410" s="485"/>
      <c r="AG410" s="485"/>
      <c r="AH410" s="485"/>
      <c r="AI410" s="485"/>
      <c r="AJ410" s="485"/>
      <c r="AK410" s="485"/>
      <c r="AL410" s="485"/>
      <c r="AM410" s="485"/>
      <c r="AN410" s="485"/>
      <c r="AO410" s="485"/>
      <c r="AP410" s="485"/>
      <c r="AQ410" s="485"/>
      <c r="AR410" s="485"/>
      <c r="AS410" s="485"/>
      <c r="AT410" s="485"/>
      <c r="AU410" s="485"/>
      <c r="AV410" s="485"/>
      <c r="AW410" s="485"/>
      <c r="AX410" s="485"/>
      <c r="AY410" s="485"/>
      <c r="AZ410" s="485"/>
      <c r="BA410" s="485"/>
      <c r="BB410" s="485"/>
      <c r="BC410" s="485"/>
      <c r="BD410" s="485"/>
      <c r="BE410" s="485"/>
      <c r="BF410" s="485"/>
      <c r="BG410" s="485"/>
      <c r="BH410" s="485"/>
      <c r="BI410" s="485"/>
      <c r="BJ410" s="485"/>
      <c r="BK410" s="485"/>
      <c r="BL410" s="485"/>
      <c r="BM410" s="485"/>
      <c r="BN410" s="485"/>
      <c r="BO410" s="485"/>
      <c r="BP410" s="485"/>
      <c r="BQ410" s="485"/>
      <c r="BR410" s="485"/>
      <c r="BS410" s="485"/>
      <c r="BT410" s="485"/>
      <c r="BU410" s="485"/>
      <c r="BV410" s="485"/>
      <c r="BW410" s="485"/>
      <c r="BX410" s="485"/>
      <c r="BY410" s="485"/>
      <c r="BZ410" s="485"/>
      <c r="CA410" s="485"/>
      <c r="CB410" s="485"/>
      <c r="CC410" s="485"/>
      <c r="CD410" s="485"/>
      <c r="CE410" s="485"/>
      <c r="CF410" s="485"/>
      <c r="CG410" s="485"/>
      <c r="CH410" s="485"/>
      <c r="CI410" s="485"/>
      <c r="CJ410" s="485"/>
      <c r="CK410" s="485"/>
      <c r="CL410" s="485"/>
      <c r="CM410" s="485"/>
      <c r="CN410" s="485"/>
      <c r="CO410" s="485"/>
      <c r="CP410" s="485"/>
      <c r="CQ410" s="485"/>
      <c r="CR410" s="485"/>
      <c r="CS410" s="485"/>
      <c r="CT410" s="485"/>
      <c r="CU410" s="485"/>
      <c r="CV410" s="485"/>
      <c r="CW410" s="485"/>
      <c r="CX410" s="485"/>
      <c r="CY410" s="485"/>
      <c r="CZ410" s="485"/>
      <c r="DA410" s="485"/>
      <c r="DB410" s="485"/>
      <c r="DC410" s="485"/>
      <c r="DD410" s="485"/>
      <c r="DE410" s="485"/>
      <c r="DF410" s="485"/>
      <c r="DG410" s="485"/>
      <c r="DH410" s="485"/>
      <c r="DI410" s="485"/>
      <c r="DJ410" s="485"/>
      <c r="DK410" s="485"/>
      <c r="DL410" s="485"/>
      <c r="DM410" s="485"/>
      <c r="DN410" s="485"/>
      <c r="DO410" s="485"/>
      <c r="DP410" s="485"/>
      <c r="DQ410" s="485"/>
      <c r="DR410" s="485"/>
      <c r="DS410" s="485"/>
      <c r="DT410" s="485"/>
      <c r="DU410" s="485"/>
      <c r="DV410" s="485"/>
      <c r="DW410" s="485"/>
      <c r="DX410" s="485"/>
      <c r="DY410" s="485"/>
      <c r="DZ410" s="485"/>
      <c r="EA410" s="485"/>
      <c r="EB410" s="485"/>
      <c r="EC410" s="485"/>
      <c r="ED410" s="485"/>
      <c r="EE410" s="485"/>
      <c r="EF410" s="485"/>
      <c r="EG410" s="485"/>
      <c r="EH410" s="485"/>
      <c r="EI410" s="485"/>
      <c r="EJ410" s="485"/>
      <c r="EK410" s="485"/>
      <c r="EL410" s="485"/>
      <c r="EM410" s="485"/>
      <c r="EN410" s="485"/>
      <c r="EO410" s="485"/>
      <c r="EP410" s="485"/>
    </row>
    <row r="411" spans="1:146" ht="15.75">
      <c r="A411" s="574">
        <f t="shared" si="122"/>
        <v>1134</v>
      </c>
      <c r="B411" s="643" t="s">
        <v>557</v>
      </c>
      <c r="C411" s="591">
        <v>84</v>
      </c>
      <c r="D411" s="654">
        <v>67</v>
      </c>
      <c r="E411" s="439">
        <v>12.65</v>
      </c>
      <c r="F411" s="678">
        <f>E411</f>
        <v>12.65</v>
      </c>
      <c r="G411" s="683"/>
      <c r="H411" s="682">
        <f t="shared" si="114"/>
        <v>0</v>
      </c>
      <c r="I411" s="442">
        <f t="shared" si="115"/>
        <v>0</v>
      </c>
      <c r="J411" s="442"/>
      <c r="K411" s="443"/>
      <c r="L411" s="627">
        <f t="shared" si="118"/>
        <v>0</v>
      </c>
      <c r="M411" s="627">
        <f t="shared" si="119"/>
        <v>0</v>
      </c>
      <c r="N411" s="609">
        <v>67</v>
      </c>
      <c r="O411" s="610">
        <v>12.65</v>
      </c>
      <c r="P411" s="617" t="str">
        <f t="shared" si="116"/>
        <v>---</v>
      </c>
      <c r="Q411" s="617" t="str">
        <f t="shared" si="117"/>
        <v>---</v>
      </c>
      <c r="R411" s="485"/>
      <c r="S411" s="624" t="str">
        <f t="shared" si="112"/>
        <v>OK</v>
      </c>
      <c r="T411" s="613">
        <f>IF(+'2012 Rates'!P671&lt;'2012 Rates'!$B$11,'2012 Rates'!$B$11,+'2012 Rates'!P671)</f>
        <v>13.891133302485763</v>
      </c>
      <c r="U411" s="447">
        <f t="shared" si="121"/>
        <v>9.8113304544328983E-2</v>
      </c>
      <c r="V411" s="485"/>
      <c r="W411" s="623">
        <f t="shared" si="113"/>
        <v>0</v>
      </c>
      <c r="X411" s="442"/>
      <c r="Y411" s="485"/>
      <c r="Z411" s="485"/>
      <c r="AA411" s="485"/>
      <c r="AB411" s="485"/>
      <c r="AC411" s="485"/>
      <c r="AD411" s="485"/>
      <c r="AE411" s="485"/>
      <c r="AF411" s="485"/>
      <c r="AG411" s="485"/>
      <c r="AH411" s="485"/>
      <c r="AI411" s="485"/>
      <c r="AJ411" s="485"/>
      <c r="AK411" s="485"/>
      <c r="AL411" s="485"/>
      <c r="AM411" s="485"/>
      <c r="AN411" s="485"/>
      <c r="AO411" s="485"/>
      <c r="AP411" s="485"/>
      <c r="AQ411" s="485"/>
      <c r="AR411" s="485"/>
      <c r="AS411" s="485"/>
      <c r="AT411" s="485"/>
      <c r="AU411" s="485"/>
      <c r="AV411" s="485"/>
      <c r="AW411" s="485"/>
      <c r="AX411" s="485"/>
      <c r="AY411" s="485"/>
      <c r="AZ411" s="485"/>
      <c r="BA411" s="485"/>
      <c r="BB411" s="485"/>
      <c r="BC411" s="485"/>
      <c r="BD411" s="485"/>
      <c r="BE411" s="485"/>
      <c r="BF411" s="485"/>
      <c r="BG411" s="485"/>
      <c r="BH411" s="485"/>
      <c r="BI411" s="485"/>
      <c r="BJ411" s="485"/>
      <c r="BK411" s="485"/>
      <c r="BL411" s="485"/>
      <c r="BM411" s="485"/>
      <c r="BN411" s="485"/>
      <c r="BO411" s="485"/>
      <c r="BP411" s="485"/>
      <c r="BQ411" s="485"/>
      <c r="BR411" s="485"/>
      <c r="BS411" s="485"/>
      <c r="BT411" s="485"/>
      <c r="BU411" s="485"/>
      <c r="BV411" s="485"/>
      <c r="BW411" s="485"/>
      <c r="BX411" s="485"/>
      <c r="BY411" s="485"/>
      <c r="BZ411" s="485"/>
      <c r="CA411" s="485"/>
      <c r="CB411" s="485"/>
      <c r="CC411" s="485"/>
      <c r="CD411" s="485"/>
      <c r="CE411" s="485"/>
      <c r="CF411" s="485"/>
      <c r="CG411" s="485"/>
      <c r="CH411" s="485"/>
      <c r="CI411" s="485"/>
      <c r="CJ411" s="485"/>
      <c r="CK411" s="485"/>
      <c r="CL411" s="485"/>
      <c r="CM411" s="485"/>
      <c r="CN411" s="485"/>
      <c r="CO411" s="485"/>
      <c r="CP411" s="485"/>
      <c r="CQ411" s="485"/>
      <c r="CR411" s="485"/>
      <c r="CS411" s="485"/>
      <c r="CT411" s="485"/>
      <c r="CU411" s="485"/>
      <c r="CV411" s="485"/>
      <c r="CW411" s="485"/>
      <c r="CX411" s="485"/>
      <c r="CY411" s="485"/>
      <c r="CZ411" s="485"/>
      <c r="DA411" s="485"/>
      <c r="DB411" s="485"/>
      <c r="DC411" s="485"/>
      <c r="DD411" s="485"/>
      <c r="DE411" s="485"/>
      <c r="DF411" s="485"/>
      <c r="DG411" s="485"/>
      <c r="DH411" s="485"/>
      <c r="DI411" s="485"/>
      <c r="DJ411" s="485"/>
      <c r="DK411" s="485"/>
      <c r="DL411" s="485"/>
      <c r="DM411" s="485"/>
      <c r="DN411" s="485"/>
      <c r="DO411" s="485"/>
      <c r="DP411" s="485"/>
      <c r="DQ411" s="485"/>
      <c r="DR411" s="485"/>
      <c r="DS411" s="485"/>
      <c r="DT411" s="485"/>
      <c r="DU411" s="485"/>
      <c r="DV411" s="485"/>
      <c r="DW411" s="485"/>
      <c r="DX411" s="485"/>
      <c r="DY411" s="485"/>
      <c r="DZ411" s="485"/>
      <c r="EA411" s="485"/>
      <c r="EB411" s="485"/>
      <c r="EC411" s="485"/>
      <c r="ED411" s="485"/>
      <c r="EE411" s="485"/>
      <c r="EF411" s="485"/>
      <c r="EG411" s="485"/>
      <c r="EH411" s="485"/>
      <c r="EI411" s="485"/>
      <c r="EJ411" s="485"/>
      <c r="EK411" s="485"/>
      <c r="EL411" s="485"/>
      <c r="EM411" s="485"/>
      <c r="EN411" s="485"/>
      <c r="EO411" s="485"/>
      <c r="EP411" s="485"/>
    </row>
    <row r="412" spans="1:146" ht="15.75">
      <c r="A412" s="574">
        <f t="shared" si="122"/>
        <v>1135</v>
      </c>
      <c r="B412" s="643" t="s">
        <v>558</v>
      </c>
      <c r="C412" s="591">
        <f>3.5*120</f>
        <v>420</v>
      </c>
      <c r="D412" s="654">
        <v>337</v>
      </c>
      <c r="E412" s="439">
        <v>14.42</v>
      </c>
      <c r="F412" s="678">
        <f t="shared" si="120"/>
        <v>13.64827</v>
      </c>
      <c r="G412" s="683">
        <v>1</v>
      </c>
      <c r="H412" s="682">
        <f t="shared" si="114"/>
        <v>4044</v>
      </c>
      <c r="I412" s="442">
        <f t="shared" si="115"/>
        <v>173.04</v>
      </c>
      <c r="J412" s="442"/>
      <c r="K412" s="443"/>
      <c r="L412" s="627">
        <f t="shared" si="118"/>
        <v>0</v>
      </c>
      <c r="M412" s="627">
        <f t="shared" si="119"/>
        <v>0</v>
      </c>
      <c r="N412" s="609">
        <v>337</v>
      </c>
      <c r="O412" s="610">
        <v>14.418535345579659</v>
      </c>
      <c r="P412" s="617" t="str">
        <f t="shared" si="116"/>
        <v>---</v>
      </c>
      <c r="Q412" s="617">
        <f t="shared" si="117"/>
        <v>-1.4646544203404943E-3</v>
      </c>
      <c r="R412" s="485"/>
      <c r="S412" s="624" t="str">
        <f t="shared" si="112"/>
        <v>OK</v>
      </c>
      <c r="T412" s="613">
        <f>IF(+'2012 Rates'!O672&lt;'2012 Rates'!$B$11,'2012 Rates'!$B$11,+'2012 Rates'!O672)</f>
        <v>14.57</v>
      </c>
      <c r="U412" s="447">
        <f t="shared" si="121"/>
        <v>6.7534566652037276E-2</v>
      </c>
      <c r="V412" s="485"/>
      <c r="W412" s="623">
        <f t="shared" si="113"/>
        <v>174.84</v>
      </c>
      <c r="X412" s="442"/>
      <c r="Y412" s="485"/>
      <c r="Z412" s="485"/>
      <c r="AA412" s="485"/>
      <c r="AB412" s="485"/>
      <c r="AC412" s="485"/>
      <c r="AD412" s="485"/>
      <c r="AE412" s="485"/>
      <c r="AF412" s="485"/>
      <c r="AG412" s="485"/>
      <c r="AH412" s="485"/>
      <c r="AI412" s="485"/>
      <c r="AJ412" s="485"/>
      <c r="AK412" s="485"/>
      <c r="AL412" s="485"/>
      <c r="AM412" s="485"/>
      <c r="AN412" s="485"/>
      <c r="AO412" s="485"/>
      <c r="AP412" s="485"/>
      <c r="AQ412" s="485"/>
      <c r="AR412" s="485"/>
      <c r="AS412" s="485"/>
      <c r="AT412" s="485"/>
      <c r="AU412" s="485"/>
      <c r="AV412" s="485"/>
      <c r="AW412" s="485"/>
      <c r="AX412" s="485"/>
      <c r="AY412" s="485"/>
      <c r="AZ412" s="485"/>
      <c r="BA412" s="485"/>
      <c r="BB412" s="485"/>
      <c r="BC412" s="485"/>
      <c r="BD412" s="485"/>
      <c r="BE412" s="485"/>
      <c r="BF412" s="485"/>
      <c r="BG412" s="485"/>
      <c r="BH412" s="485"/>
      <c r="BI412" s="485"/>
      <c r="BJ412" s="485"/>
      <c r="BK412" s="485"/>
      <c r="BL412" s="485"/>
      <c r="BM412" s="485"/>
      <c r="BN412" s="485"/>
      <c r="BO412" s="485"/>
      <c r="BP412" s="485"/>
      <c r="BQ412" s="485"/>
      <c r="BR412" s="485"/>
      <c r="BS412" s="485"/>
      <c r="BT412" s="485"/>
      <c r="BU412" s="485"/>
      <c r="BV412" s="485"/>
      <c r="BW412" s="485"/>
      <c r="BX412" s="485"/>
      <c r="BY412" s="485"/>
      <c r="BZ412" s="485"/>
      <c r="CA412" s="485"/>
      <c r="CB412" s="485"/>
      <c r="CC412" s="485"/>
      <c r="CD412" s="485"/>
      <c r="CE412" s="485"/>
      <c r="CF412" s="485"/>
      <c r="CG412" s="485"/>
      <c r="CH412" s="485"/>
      <c r="CI412" s="485"/>
      <c r="CJ412" s="485"/>
      <c r="CK412" s="485"/>
      <c r="CL412" s="485"/>
      <c r="CM412" s="485"/>
      <c r="CN412" s="485"/>
      <c r="CO412" s="485"/>
      <c r="CP412" s="485"/>
      <c r="CQ412" s="485"/>
      <c r="CR412" s="485"/>
      <c r="CS412" s="485"/>
      <c r="CT412" s="485"/>
      <c r="CU412" s="485"/>
      <c r="CV412" s="485"/>
      <c r="CW412" s="485"/>
      <c r="CX412" s="485"/>
      <c r="CY412" s="485"/>
      <c r="CZ412" s="485"/>
      <c r="DA412" s="485"/>
      <c r="DB412" s="485"/>
      <c r="DC412" s="485"/>
      <c r="DD412" s="485"/>
      <c r="DE412" s="485"/>
      <c r="DF412" s="485"/>
      <c r="DG412" s="485"/>
      <c r="DH412" s="485"/>
      <c r="DI412" s="485"/>
      <c r="DJ412" s="485"/>
      <c r="DK412" s="485"/>
      <c r="DL412" s="485"/>
      <c r="DM412" s="485"/>
      <c r="DN412" s="485"/>
      <c r="DO412" s="485"/>
      <c r="DP412" s="485"/>
      <c r="DQ412" s="485"/>
      <c r="DR412" s="485"/>
      <c r="DS412" s="485"/>
      <c r="DT412" s="485"/>
      <c r="DU412" s="485"/>
      <c r="DV412" s="485"/>
      <c r="DW412" s="485"/>
      <c r="DX412" s="485"/>
      <c r="DY412" s="485"/>
      <c r="DZ412" s="485"/>
      <c r="EA412" s="485"/>
      <c r="EB412" s="485"/>
      <c r="EC412" s="485"/>
      <c r="ED412" s="485"/>
      <c r="EE412" s="485"/>
      <c r="EF412" s="485"/>
      <c r="EG412" s="485"/>
      <c r="EH412" s="485"/>
      <c r="EI412" s="485"/>
      <c r="EJ412" s="485"/>
      <c r="EK412" s="485"/>
      <c r="EL412" s="485"/>
      <c r="EM412" s="485"/>
      <c r="EN412" s="485"/>
      <c r="EO412" s="485"/>
      <c r="EP412" s="485"/>
    </row>
    <row r="413" spans="1:146" ht="15.75">
      <c r="A413" s="574">
        <f>A412+1</f>
        <v>1136</v>
      </c>
      <c r="B413" s="643" t="s">
        <v>559</v>
      </c>
      <c r="C413" s="591">
        <v>1362</v>
      </c>
      <c r="D413" s="654">
        <v>106</v>
      </c>
      <c r="E413" s="439">
        <v>20.04</v>
      </c>
      <c r="F413" s="678">
        <f t="shared" si="120"/>
        <v>19.797259999999998</v>
      </c>
      <c r="G413" s="683">
        <v>1</v>
      </c>
      <c r="H413" s="682">
        <f t="shared" si="114"/>
        <v>1272</v>
      </c>
      <c r="I413" s="442">
        <f t="shared" si="115"/>
        <v>240.48</v>
      </c>
      <c r="J413" s="442"/>
      <c r="K413" s="443"/>
      <c r="L413" s="627">
        <f t="shared" si="118"/>
        <v>0</v>
      </c>
      <c r="M413" s="627">
        <f t="shared" si="119"/>
        <v>0</v>
      </c>
      <c r="N413" s="609">
        <v>106</v>
      </c>
      <c r="O413" s="610">
        <v>20.037201777693916</v>
      </c>
      <c r="P413" s="617" t="str">
        <f t="shared" si="116"/>
        <v>---</v>
      </c>
      <c r="Q413" s="617">
        <f t="shared" si="117"/>
        <v>-2.7982223060831757E-3</v>
      </c>
      <c r="R413" s="485"/>
      <c r="S413" s="624" t="str">
        <f t="shared" si="112"/>
        <v>OK</v>
      </c>
      <c r="T413" s="613">
        <f>IF(+'2012 Rates'!O676&lt;'2012 Rates'!$B$11,'2012 Rates'!$B$11,+'2012 Rates'!O676)</f>
        <v>21.740000000000002</v>
      </c>
      <c r="U413" s="447">
        <f t="shared" si="121"/>
        <v>9.8131761668029061E-2</v>
      </c>
      <c r="V413" s="485"/>
      <c r="W413" s="623">
        <f>+G413*T413*12</f>
        <v>260.88</v>
      </c>
      <c r="X413" s="442"/>
      <c r="Y413" s="485"/>
      <c r="Z413" s="485"/>
      <c r="AA413" s="485"/>
      <c r="AB413" s="485"/>
      <c r="AC413" s="485"/>
      <c r="AD413" s="485"/>
      <c r="AE413" s="485"/>
      <c r="AF413" s="485"/>
      <c r="AG413" s="485"/>
      <c r="AH413" s="485"/>
      <c r="AI413" s="485"/>
      <c r="AJ413" s="485"/>
      <c r="AK413" s="485"/>
      <c r="AL413" s="485"/>
      <c r="AM413" s="485"/>
      <c r="AN413" s="485"/>
      <c r="AO413" s="485"/>
      <c r="AP413" s="485"/>
      <c r="AQ413" s="485"/>
      <c r="AR413" s="485"/>
      <c r="AS413" s="485"/>
      <c r="AT413" s="485"/>
      <c r="AU413" s="485"/>
      <c r="AV413" s="485"/>
      <c r="AW413" s="485"/>
      <c r="AX413" s="485"/>
      <c r="AY413" s="485"/>
      <c r="AZ413" s="485"/>
      <c r="BA413" s="485"/>
      <c r="BB413" s="485"/>
      <c r="BC413" s="485"/>
      <c r="BD413" s="485"/>
      <c r="BE413" s="485"/>
      <c r="BF413" s="485"/>
      <c r="BG413" s="485"/>
      <c r="BH413" s="485"/>
      <c r="BI413" s="485"/>
      <c r="BJ413" s="485"/>
      <c r="BK413" s="485"/>
      <c r="BL413" s="485"/>
      <c r="BM413" s="485"/>
      <c r="BN413" s="485"/>
      <c r="BO413" s="485"/>
      <c r="BP413" s="485"/>
      <c r="BQ413" s="485"/>
      <c r="BR413" s="485"/>
      <c r="BS413" s="485"/>
      <c r="BT413" s="485"/>
      <c r="BU413" s="485"/>
      <c r="BV413" s="485"/>
      <c r="BW413" s="485"/>
      <c r="BX413" s="485"/>
      <c r="BY413" s="485"/>
      <c r="BZ413" s="485"/>
      <c r="CA413" s="485"/>
      <c r="CB413" s="485"/>
      <c r="CC413" s="485"/>
      <c r="CD413" s="485"/>
      <c r="CE413" s="485"/>
      <c r="CF413" s="485"/>
      <c r="CG413" s="485"/>
      <c r="CH413" s="485"/>
      <c r="CI413" s="485"/>
      <c r="CJ413" s="485"/>
      <c r="CK413" s="485"/>
      <c r="CL413" s="485"/>
      <c r="CM413" s="485"/>
      <c r="CN413" s="485"/>
      <c r="CO413" s="485"/>
      <c r="CP413" s="485"/>
      <c r="CQ413" s="485"/>
      <c r="CR413" s="485"/>
      <c r="CS413" s="485"/>
      <c r="CT413" s="485"/>
      <c r="CU413" s="485"/>
      <c r="CV413" s="485"/>
      <c r="CW413" s="485"/>
      <c r="CX413" s="485"/>
      <c r="CY413" s="485"/>
      <c r="CZ413" s="485"/>
      <c r="DA413" s="485"/>
      <c r="DB413" s="485"/>
      <c r="DC413" s="485"/>
      <c r="DD413" s="485"/>
      <c r="DE413" s="485"/>
      <c r="DF413" s="485"/>
      <c r="DG413" s="485"/>
      <c r="DH413" s="485"/>
      <c r="DI413" s="485"/>
      <c r="DJ413" s="485"/>
      <c r="DK413" s="485"/>
      <c r="DL413" s="485"/>
      <c r="DM413" s="485"/>
      <c r="DN413" s="485"/>
      <c r="DO413" s="485"/>
      <c r="DP413" s="485"/>
      <c r="DQ413" s="485"/>
      <c r="DR413" s="485"/>
      <c r="DS413" s="485"/>
      <c r="DT413" s="485"/>
      <c r="DU413" s="485"/>
      <c r="DV413" s="485"/>
      <c r="DW413" s="485"/>
      <c r="DX413" s="485"/>
      <c r="DY413" s="485"/>
      <c r="DZ413" s="485"/>
      <c r="EA413" s="485"/>
      <c r="EB413" s="485"/>
      <c r="EC413" s="485"/>
      <c r="ED413" s="485"/>
      <c r="EE413" s="485"/>
      <c r="EF413" s="485"/>
      <c r="EG413" s="485"/>
      <c r="EH413" s="485"/>
      <c r="EI413" s="485"/>
      <c r="EJ413" s="485"/>
      <c r="EK413" s="485"/>
      <c r="EL413" s="485"/>
      <c r="EM413" s="485"/>
      <c r="EN413" s="485"/>
      <c r="EO413" s="485"/>
      <c r="EP413" s="485"/>
    </row>
    <row r="414" spans="1:146" ht="15.75">
      <c r="A414" s="574">
        <f>A413+1</f>
        <v>1137</v>
      </c>
      <c r="B414" s="643" t="s">
        <v>560</v>
      </c>
      <c r="C414" s="591">
        <f>(14+20)/2</f>
        <v>17</v>
      </c>
      <c r="D414" s="251">
        <v>12</v>
      </c>
      <c r="E414" s="439"/>
      <c r="F414" s="678"/>
      <c r="G414" s="683"/>
      <c r="H414" s="682">
        <f t="shared" si="114"/>
        <v>0</v>
      </c>
      <c r="I414" s="442">
        <f t="shared" si="115"/>
        <v>0</v>
      </c>
      <c r="J414" s="442"/>
      <c r="K414" s="443"/>
      <c r="L414" s="627">
        <f t="shared" si="118"/>
        <v>0</v>
      </c>
      <c r="M414" s="627">
        <f t="shared" si="119"/>
        <v>0</v>
      </c>
      <c r="N414" s="609">
        <v>12</v>
      </c>
      <c r="O414" s="610">
        <v>2.96</v>
      </c>
      <c r="P414" s="617" t="str">
        <f t="shared" si="116"/>
        <v>---</v>
      </c>
      <c r="Q414" s="617">
        <f t="shared" si="117"/>
        <v>2.96</v>
      </c>
      <c r="R414" s="485"/>
      <c r="S414" s="624" t="str">
        <f t="shared" si="112"/>
        <v>OK</v>
      </c>
      <c r="T414" s="613">
        <f>IF(+'2012 Rates'!O678&lt;'2012 Rates'!$B$11,'2012 Rates'!$B$11,+'2012 Rates'!O678)</f>
        <v>3.2504153814512136</v>
      </c>
      <c r="U414" s="447" t="e">
        <f t="shared" si="121"/>
        <v>#DIV/0!</v>
      </c>
      <c r="V414" s="485"/>
      <c r="W414" s="623">
        <f t="shared" si="113"/>
        <v>0</v>
      </c>
      <c r="X414" s="442"/>
      <c r="Y414" s="485"/>
      <c r="Z414" s="485"/>
      <c r="AA414" s="485"/>
      <c r="AB414" s="485"/>
      <c r="AC414" s="485"/>
      <c r="AD414" s="485"/>
      <c r="AE414" s="485"/>
      <c r="AF414" s="485"/>
      <c r="AG414" s="485"/>
      <c r="AH414" s="485"/>
      <c r="AI414" s="485"/>
      <c r="AJ414" s="485"/>
      <c r="AK414" s="485"/>
      <c r="AL414" s="485"/>
      <c r="AM414" s="485"/>
      <c r="AN414" s="485"/>
      <c r="AO414" s="485"/>
      <c r="AP414" s="485"/>
      <c r="AQ414" s="485"/>
      <c r="AR414" s="485"/>
      <c r="AS414" s="485"/>
      <c r="AT414" s="485"/>
      <c r="AU414" s="485"/>
      <c r="AV414" s="485"/>
      <c r="AW414" s="485"/>
      <c r="AX414" s="485"/>
      <c r="AY414" s="485"/>
      <c r="AZ414" s="485"/>
      <c r="BA414" s="485"/>
      <c r="BB414" s="485"/>
      <c r="BC414" s="485"/>
      <c r="BD414" s="485"/>
      <c r="BE414" s="485"/>
      <c r="BF414" s="485"/>
      <c r="BG414" s="485"/>
      <c r="BH414" s="485"/>
      <c r="BI414" s="485"/>
      <c r="BJ414" s="485"/>
      <c r="BK414" s="485"/>
      <c r="BL414" s="485"/>
      <c r="BM414" s="485"/>
      <c r="BN414" s="485"/>
      <c r="BO414" s="485"/>
      <c r="BP414" s="485"/>
      <c r="BQ414" s="485"/>
      <c r="BR414" s="485"/>
      <c r="BS414" s="485"/>
      <c r="BT414" s="485"/>
      <c r="BU414" s="485"/>
      <c r="BV414" s="485"/>
      <c r="BW414" s="485"/>
      <c r="BX414" s="485"/>
      <c r="BY414" s="485"/>
      <c r="BZ414" s="485"/>
      <c r="CA414" s="485"/>
      <c r="CB414" s="485"/>
      <c r="CC414" s="485"/>
      <c r="CD414" s="485"/>
      <c r="CE414" s="485"/>
      <c r="CF414" s="485"/>
      <c r="CG414" s="485"/>
      <c r="CH414" s="485"/>
      <c r="CI414" s="485"/>
      <c r="CJ414" s="485"/>
      <c r="CK414" s="485"/>
      <c r="CL414" s="485"/>
      <c r="CM414" s="485"/>
      <c r="CN414" s="485"/>
      <c r="CO414" s="485"/>
      <c r="CP414" s="485"/>
      <c r="CQ414" s="485"/>
      <c r="CR414" s="485"/>
      <c r="CS414" s="485"/>
      <c r="CT414" s="485"/>
      <c r="CU414" s="485"/>
      <c r="CV414" s="485"/>
      <c r="CW414" s="485"/>
      <c r="CX414" s="485"/>
      <c r="CY414" s="485"/>
      <c r="CZ414" s="485"/>
      <c r="DA414" s="485"/>
      <c r="DB414" s="485"/>
      <c r="DC414" s="485"/>
      <c r="DD414" s="485"/>
      <c r="DE414" s="485"/>
      <c r="DF414" s="485"/>
      <c r="DG414" s="485"/>
      <c r="DH414" s="485"/>
      <c r="DI414" s="485"/>
      <c r="DJ414" s="485"/>
      <c r="DK414" s="485"/>
      <c r="DL414" s="485"/>
      <c r="DM414" s="485"/>
      <c r="DN414" s="485"/>
      <c r="DO414" s="485"/>
      <c r="DP414" s="485"/>
      <c r="DQ414" s="485"/>
      <c r="DR414" s="485"/>
      <c r="DS414" s="485"/>
      <c r="DT414" s="485"/>
      <c r="DU414" s="485"/>
      <c r="DV414" s="485"/>
      <c r="DW414" s="485"/>
      <c r="DX414" s="485"/>
      <c r="DY414" s="485"/>
      <c r="DZ414" s="485"/>
      <c r="EA414" s="485"/>
      <c r="EB414" s="485"/>
      <c r="EC414" s="485"/>
      <c r="ED414" s="485"/>
      <c r="EE414" s="485"/>
      <c r="EF414" s="485"/>
      <c r="EG414" s="485"/>
      <c r="EH414" s="485"/>
      <c r="EI414" s="485"/>
      <c r="EJ414" s="485"/>
      <c r="EK414" s="485"/>
      <c r="EL414" s="485"/>
      <c r="EM414" s="485"/>
      <c r="EN414" s="485"/>
      <c r="EO414" s="485"/>
      <c r="EP414" s="485"/>
    </row>
    <row r="415" spans="1:146" ht="15.75">
      <c r="A415" s="574">
        <f t="shared" si="122"/>
        <v>1138</v>
      </c>
      <c r="B415" s="643" t="s">
        <v>561</v>
      </c>
      <c r="C415" s="591">
        <v>2316</v>
      </c>
      <c r="D415" s="251">
        <v>849</v>
      </c>
      <c r="E415" s="439"/>
      <c r="F415" s="678"/>
      <c r="G415" s="683"/>
      <c r="H415" s="682">
        <f t="shared" si="114"/>
        <v>0</v>
      </c>
      <c r="I415" s="442">
        <f t="shared" si="115"/>
        <v>0</v>
      </c>
      <c r="J415" s="442"/>
      <c r="K415" s="443"/>
      <c r="L415" s="627">
        <f t="shared" si="118"/>
        <v>0</v>
      </c>
      <c r="M415" s="627">
        <f t="shared" si="119"/>
        <v>0</v>
      </c>
      <c r="N415" s="609">
        <v>849</v>
      </c>
      <c r="O415" s="610">
        <v>95.100352162850314</v>
      </c>
      <c r="P415" s="617" t="str">
        <f t="shared" si="116"/>
        <v>---</v>
      </c>
      <c r="Q415" s="617">
        <f t="shared" si="117"/>
        <v>95.100352162850314</v>
      </c>
      <c r="R415" s="485"/>
      <c r="S415" s="624" t="str">
        <f t="shared" si="112"/>
        <v>OK</v>
      </c>
      <c r="T415" s="613">
        <f>IF(+'2012 Rates'!O679&lt;'2012 Rates'!$B$11,'2012 Rates'!$B$11,+'2012 Rates'!O679)</f>
        <v>102.29999999999998</v>
      </c>
      <c r="U415" s="447"/>
      <c r="V415" s="485"/>
      <c r="W415" s="623">
        <f t="shared" si="113"/>
        <v>0</v>
      </c>
      <c r="X415" s="442"/>
      <c r="Y415" s="485"/>
      <c r="Z415" s="485"/>
      <c r="AA415" s="485"/>
      <c r="AB415" s="485"/>
      <c r="AC415" s="485"/>
      <c r="AD415" s="485"/>
      <c r="AE415" s="485"/>
      <c r="AF415" s="485"/>
      <c r="AG415" s="485"/>
      <c r="AH415" s="485"/>
      <c r="AI415" s="485"/>
      <c r="AJ415" s="485"/>
      <c r="AK415" s="485"/>
      <c r="AL415" s="485"/>
      <c r="AM415" s="485"/>
      <c r="AN415" s="485"/>
      <c r="AO415" s="485"/>
      <c r="AP415" s="485"/>
      <c r="AQ415" s="485"/>
      <c r="AR415" s="485"/>
      <c r="AS415" s="485"/>
      <c r="AT415" s="485"/>
      <c r="AU415" s="485"/>
      <c r="AV415" s="485"/>
      <c r="AW415" s="485"/>
      <c r="AX415" s="485"/>
      <c r="AY415" s="485"/>
      <c r="AZ415" s="485"/>
      <c r="BA415" s="485"/>
      <c r="BB415" s="485"/>
      <c r="BC415" s="485"/>
      <c r="BD415" s="485"/>
      <c r="BE415" s="485"/>
      <c r="BF415" s="485"/>
      <c r="BG415" s="485"/>
      <c r="BH415" s="485"/>
      <c r="BI415" s="485"/>
      <c r="BJ415" s="485"/>
      <c r="BK415" s="485"/>
      <c r="BL415" s="485"/>
      <c r="BM415" s="485"/>
      <c r="BN415" s="485"/>
      <c r="BO415" s="485"/>
      <c r="BP415" s="485"/>
      <c r="BQ415" s="485"/>
      <c r="BR415" s="485"/>
      <c r="BS415" s="485"/>
      <c r="BT415" s="485"/>
      <c r="BU415" s="485"/>
      <c r="BV415" s="485"/>
      <c r="BW415" s="485"/>
      <c r="BX415" s="485"/>
      <c r="BY415" s="485"/>
      <c r="BZ415" s="485"/>
      <c r="CA415" s="485"/>
      <c r="CB415" s="485"/>
      <c r="CC415" s="485"/>
      <c r="CD415" s="485"/>
      <c r="CE415" s="485"/>
      <c r="CF415" s="485"/>
      <c r="CG415" s="485"/>
      <c r="CH415" s="485"/>
      <c r="CI415" s="485"/>
      <c r="CJ415" s="485"/>
      <c r="CK415" s="485"/>
      <c r="CL415" s="485"/>
      <c r="CM415" s="485"/>
      <c r="CN415" s="485"/>
      <c r="CO415" s="485"/>
      <c r="CP415" s="485"/>
      <c r="CQ415" s="485"/>
      <c r="CR415" s="485"/>
      <c r="CS415" s="485"/>
      <c r="CT415" s="485"/>
      <c r="CU415" s="485"/>
      <c r="CV415" s="485"/>
      <c r="CW415" s="485"/>
      <c r="CX415" s="485"/>
      <c r="CY415" s="485"/>
      <c r="CZ415" s="485"/>
      <c r="DA415" s="485"/>
      <c r="DB415" s="485"/>
      <c r="DC415" s="485"/>
      <c r="DD415" s="485"/>
      <c r="DE415" s="485"/>
      <c r="DF415" s="485"/>
      <c r="DG415" s="485"/>
      <c r="DH415" s="485"/>
      <c r="DI415" s="485"/>
      <c r="DJ415" s="485"/>
      <c r="DK415" s="485"/>
      <c r="DL415" s="485"/>
      <c r="DM415" s="485"/>
      <c r="DN415" s="485"/>
      <c r="DO415" s="485"/>
      <c r="DP415" s="485"/>
      <c r="DQ415" s="485"/>
      <c r="DR415" s="485"/>
      <c r="DS415" s="485"/>
      <c r="DT415" s="485"/>
      <c r="DU415" s="485"/>
      <c r="DV415" s="485"/>
      <c r="DW415" s="485"/>
      <c r="DX415" s="485"/>
      <c r="DY415" s="485"/>
      <c r="DZ415" s="485"/>
      <c r="EA415" s="485"/>
      <c r="EB415" s="485"/>
      <c r="EC415" s="485"/>
      <c r="ED415" s="485"/>
      <c r="EE415" s="485"/>
      <c r="EF415" s="485"/>
      <c r="EG415" s="485"/>
      <c r="EH415" s="485"/>
      <c r="EI415" s="485"/>
      <c r="EJ415" s="485"/>
      <c r="EK415" s="485"/>
      <c r="EL415" s="485"/>
      <c r="EM415" s="485"/>
      <c r="EN415" s="485"/>
      <c r="EO415" s="485"/>
      <c r="EP415" s="485"/>
    </row>
    <row r="416" spans="1:146" ht="15.75">
      <c r="A416" s="574">
        <f t="shared" si="122"/>
        <v>1139</v>
      </c>
      <c r="B416" s="643" t="s">
        <v>562</v>
      </c>
      <c r="C416" s="591">
        <f>12*120</f>
        <v>1440</v>
      </c>
      <c r="D416" s="251">
        <v>1051</v>
      </c>
      <c r="E416" s="439">
        <v>91.94</v>
      </c>
      <c r="F416" s="678">
        <f t="shared" si="120"/>
        <v>89.533209999999997</v>
      </c>
      <c r="G416" s="683">
        <v>1</v>
      </c>
      <c r="H416" s="682">
        <f t="shared" si="114"/>
        <v>12612</v>
      </c>
      <c r="I416" s="442">
        <f t="shared" si="115"/>
        <v>1103.28</v>
      </c>
      <c r="J416" s="442"/>
      <c r="K416" s="443"/>
      <c r="L416" s="627">
        <f t="shared" si="118"/>
        <v>0</v>
      </c>
      <c r="M416" s="627">
        <f t="shared" si="119"/>
        <v>0</v>
      </c>
      <c r="N416" s="609">
        <v>1051</v>
      </c>
      <c r="O416" s="610">
        <v>91.935736305248142</v>
      </c>
      <c r="P416" s="617" t="str">
        <f t="shared" si="116"/>
        <v>---</v>
      </c>
      <c r="Q416" s="617">
        <f t="shared" si="117"/>
        <v>-4.2636947518559509E-3</v>
      </c>
      <c r="R416" s="485"/>
      <c r="S416" s="624" t="str">
        <f t="shared" si="112"/>
        <v>OK</v>
      </c>
      <c r="T416" s="613">
        <f>IF(+'2012 Rates'!O680&lt;'2012 Rates'!$B$11,'2012 Rates'!$B$11,+'2012 Rates'!O680)</f>
        <v>98.31</v>
      </c>
      <c r="U416" s="447">
        <f t="shared" si="121"/>
        <v>9.8028318207288745E-2</v>
      </c>
      <c r="V416" s="485"/>
      <c r="W416" s="623">
        <f t="shared" si="113"/>
        <v>1179.72</v>
      </c>
      <c r="X416" s="442"/>
      <c r="Y416" s="485"/>
      <c r="Z416" s="485"/>
      <c r="AA416" s="485"/>
      <c r="AB416" s="485"/>
      <c r="AC416" s="485"/>
      <c r="AD416" s="485"/>
      <c r="AE416" s="485"/>
      <c r="AF416" s="485"/>
      <c r="AG416" s="485"/>
      <c r="AH416" s="485"/>
      <c r="AI416" s="485"/>
      <c r="AJ416" s="485"/>
      <c r="AK416" s="485"/>
      <c r="AL416" s="485"/>
      <c r="AM416" s="485"/>
      <c r="AN416" s="485"/>
      <c r="AO416" s="485"/>
      <c r="AP416" s="485"/>
      <c r="AQ416" s="485"/>
      <c r="AR416" s="485"/>
      <c r="AS416" s="485"/>
      <c r="AT416" s="485"/>
      <c r="AU416" s="485"/>
      <c r="AV416" s="485"/>
      <c r="AW416" s="485"/>
      <c r="AX416" s="485"/>
      <c r="AY416" s="485"/>
      <c r="AZ416" s="485"/>
      <c r="BA416" s="485"/>
      <c r="BB416" s="485"/>
      <c r="BC416" s="485"/>
      <c r="BD416" s="485"/>
      <c r="BE416" s="485"/>
      <c r="BF416" s="485"/>
      <c r="BG416" s="485"/>
      <c r="BH416" s="485"/>
      <c r="BI416" s="485"/>
      <c r="BJ416" s="485"/>
      <c r="BK416" s="485"/>
      <c r="BL416" s="485"/>
      <c r="BM416" s="485"/>
      <c r="BN416" s="485"/>
      <c r="BO416" s="485"/>
      <c r="BP416" s="485"/>
      <c r="BQ416" s="485"/>
      <c r="BR416" s="485"/>
      <c r="BS416" s="485"/>
      <c r="BT416" s="485"/>
      <c r="BU416" s="485"/>
      <c r="BV416" s="485"/>
      <c r="BW416" s="485"/>
      <c r="BX416" s="485"/>
      <c r="BY416" s="485"/>
      <c r="BZ416" s="485"/>
      <c r="CA416" s="485"/>
      <c r="CB416" s="485"/>
      <c r="CC416" s="485"/>
      <c r="CD416" s="485"/>
      <c r="CE416" s="485"/>
      <c r="CF416" s="485"/>
      <c r="CG416" s="485"/>
      <c r="CH416" s="485"/>
      <c r="CI416" s="485"/>
      <c r="CJ416" s="485"/>
      <c r="CK416" s="485"/>
      <c r="CL416" s="485"/>
      <c r="CM416" s="485"/>
      <c r="CN416" s="485"/>
      <c r="CO416" s="485"/>
      <c r="CP416" s="485"/>
      <c r="CQ416" s="485"/>
      <c r="CR416" s="485"/>
      <c r="CS416" s="485"/>
      <c r="CT416" s="485"/>
      <c r="CU416" s="485"/>
      <c r="CV416" s="485"/>
      <c r="CW416" s="485"/>
      <c r="CX416" s="485"/>
      <c r="CY416" s="485"/>
      <c r="CZ416" s="485"/>
      <c r="DA416" s="485"/>
      <c r="DB416" s="485"/>
      <c r="DC416" s="485"/>
      <c r="DD416" s="485"/>
      <c r="DE416" s="485"/>
      <c r="DF416" s="485"/>
      <c r="DG416" s="485"/>
      <c r="DH416" s="485"/>
      <c r="DI416" s="485"/>
      <c r="DJ416" s="485"/>
      <c r="DK416" s="485"/>
      <c r="DL416" s="485"/>
      <c r="DM416" s="485"/>
      <c r="DN416" s="485"/>
      <c r="DO416" s="485"/>
      <c r="DP416" s="485"/>
      <c r="DQ416" s="485"/>
      <c r="DR416" s="485"/>
      <c r="DS416" s="485"/>
      <c r="DT416" s="485"/>
      <c r="DU416" s="485"/>
      <c r="DV416" s="485"/>
      <c r="DW416" s="485"/>
      <c r="DX416" s="485"/>
      <c r="DY416" s="485"/>
      <c r="DZ416" s="485"/>
      <c r="EA416" s="485"/>
      <c r="EB416" s="485"/>
      <c r="EC416" s="485"/>
      <c r="ED416" s="485"/>
      <c r="EE416" s="485"/>
      <c r="EF416" s="485"/>
      <c r="EG416" s="485"/>
      <c r="EH416" s="485"/>
      <c r="EI416" s="485"/>
      <c r="EJ416" s="485"/>
      <c r="EK416" s="485"/>
      <c r="EL416" s="485"/>
      <c r="EM416" s="485"/>
      <c r="EN416" s="485"/>
      <c r="EO416" s="485"/>
      <c r="EP416" s="485"/>
    </row>
    <row r="417" spans="1:146" ht="15.75">
      <c r="A417" s="574">
        <f>A416+1</f>
        <v>1140</v>
      </c>
      <c r="B417" s="643" t="s">
        <v>563</v>
      </c>
      <c r="C417" s="591">
        <v>2040</v>
      </c>
      <c r="D417" s="654">
        <v>1092</v>
      </c>
      <c r="E417" s="439"/>
      <c r="F417" s="678"/>
      <c r="G417" s="683">
        <v>1</v>
      </c>
      <c r="H417" s="682">
        <f t="shared" si="114"/>
        <v>13104</v>
      </c>
      <c r="I417" s="442">
        <f t="shared" si="115"/>
        <v>0</v>
      </c>
      <c r="J417" s="442"/>
      <c r="K417" s="443"/>
      <c r="L417" s="627">
        <f t="shared" si="118"/>
        <v>0</v>
      </c>
      <c r="M417" s="627">
        <f t="shared" si="119"/>
        <v>0</v>
      </c>
      <c r="N417" s="609">
        <v>1092</v>
      </c>
      <c r="O417" s="610">
        <v>106.73455189850714</v>
      </c>
      <c r="P417" s="617" t="str">
        <f t="shared" si="116"/>
        <v>---</v>
      </c>
      <c r="Q417" s="617">
        <f t="shared" si="117"/>
        <v>106.73455189850714</v>
      </c>
      <c r="R417" s="485"/>
      <c r="S417" s="624" t="str">
        <f t="shared" si="112"/>
        <v>OK</v>
      </c>
      <c r="T417" s="613">
        <f>IF(+'2012 Rates'!O684&lt;'2012 Rates'!$B$11,'2012 Rates'!$B$11,+'2012 Rates'!O684)</f>
        <v>114.46</v>
      </c>
      <c r="U417" s="447"/>
      <c r="V417" s="485"/>
      <c r="W417" s="623">
        <f t="shared" si="113"/>
        <v>1373.52</v>
      </c>
      <c r="X417" s="442"/>
      <c r="Y417" s="485"/>
      <c r="Z417" s="485"/>
      <c r="AA417" s="485"/>
      <c r="AB417" s="485"/>
      <c r="AC417" s="485"/>
      <c r="AD417" s="485"/>
      <c r="AE417" s="485"/>
      <c r="AF417" s="485"/>
      <c r="AG417" s="485"/>
      <c r="AH417" s="485"/>
      <c r="AI417" s="485"/>
      <c r="AJ417" s="485"/>
      <c r="AK417" s="485"/>
      <c r="AL417" s="485"/>
      <c r="AM417" s="485"/>
      <c r="AN417" s="485"/>
      <c r="AO417" s="485"/>
      <c r="AP417" s="485"/>
      <c r="AQ417" s="485"/>
      <c r="AR417" s="485"/>
      <c r="AS417" s="485"/>
      <c r="AT417" s="485"/>
      <c r="AU417" s="485"/>
      <c r="AV417" s="485"/>
      <c r="AW417" s="485"/>
      <c r="AX417" s="485"/>
      <c r="AY417" s="485"/>
      <c r="AZ417" s="485"/>
      <c r="BA417" s="485"/>
      <c r="BB417" s="485"/>
      <c r="BC417" s="485"/>
      <c r="BD417" s="485"/>
      <c r="BE417" s="485"/>
      <c r="BF417" s="485"/>
      <c r="BG417" s="485"/>
      <c r="BH417" s="485"/>
      <c r="BI417" s="485"/>
      <c r="BJ417" s="485"/>
      <c r="BK417" s="485"/>
      <c r="BL417" s="485"/>
      <c r="BM417" s="485"/>
      <c r="BN417" s="485"/>
      <c r="BO417" s="485"/>
      <c r="BP417" s="485"/>
      <c r="BQ417" s="485"/>
      <c r="BR417" s="485"/>
      <c r="BS417" s="485"/>
      <c r="BT417" s="485"/>
      <c r="BU417" s="485"/>
      <c r="BV417" s="485"/>
      <c r="BW417" s="485"/>
      <c r="BX417" s="485"/>
      <c r="BY417" s="485"/>
      <c r="BZ417" s="485"/>
      <c r="CA417" s="485"/>
      <c r="CB417" s="485"/>
      <c r="CC417" s="485"/>
      <c r="CD417" s="485"/>
      <c r="CE417" s="485"/>
      <c r="CF417" s="485"/>
      <c r="CG417" s="485"/>
      <c r="CH417" s="485"/>
      <c r="CI417" s="485"/>
      <c r="CJ417" s="485"/>
      <c r="CK417" s="485"/>
      <c r="CL417" s="485"/>
      <c r="CM417" s="485"/>
      <c r="CN417" s="485"/>
      <c r="CO417" s="485"/>
      <c r="CP417" s="485"/>
      <c r="CQ417" s="485"/>
      <c r="CR417" s="485"/>
      <c r="CS417" s="485"/>
      <c r="CT417" s="485"/>
      <c r="CU417" s="485"/>
      <c r="CV417" s="485"/>
      <c r="CW417" s="485"/>
      <c r="CX417" s="485"/>
      <c r="CY417" s="485"/>
      <c r="CZ417" s="485"/>
      <c r="DA417" s="485"/>
      <c r="DB417" s="485"/>
      <c r="DC417" s="485"/>
      <c r="DD417" s="485"/>
      <c r="DE417" s="485"/>
      <c r="DF417" s="485"/>
      <c r="DG417" s="485"/>
      <c r="DH417" s="485"/>
      <c r="DI417" s="485"/>
      <c r="DJ417" s="485"/>
      <c r="DK417" s="485"/>
      <c r="DL417" s="485"/>
      <c r="DM417" s="485"/>
      <c r="DN417" s="485"/>
      <c r="DO417" s="485"/>
      <c r="DP417" s="485"/>
      <c r="DQ417" s="485"/>
      <c r="DR417" s="485"/>
      <c r="DS417" s="485"/>
      <c r="DT417" s="485"/>
      <c r="DU417" s="485"/>
      <c r="DV417" s="485"/>
      <c r="DW417" s="485"/>
      <c r="DX417" s="485"/>
      <c r="DY417" s="485"/>
      <c r="DZ417" s="485"/>
      <c r="EA417" s="485"/>
      <c r="EB417" s="485"/>
      <c r="EC417" s="485"/>
      <c r="ED417" s="485"/>
      <c r="EE417" s="485"/>
      <c r="EF417" s="485"/>
      <c r="EG417" s="485"/>
      <c r="EH417" s="485"/>
      <c r="EI417" s="485"/>
      <c r="EJ417" s="485"/>
      <c r="EK417" s="485"/>
      <c r="EL417" s="485"/>
      <c r="EM417" s="485"/>
      <c r="EN417" s="485"/>
      <c r="EO417" s="485"/>
      <c r="EP417" s="485"/>
    </row>
    <row r="418" spans="1:146" ht="15.75">
      <c r="A418" s="624">
        <v>1141</v>
      </c>
      <c r="B418" s="643" t="s">
        <v>564</v>
      </c>
      <c r="C418" s="474">
        <f>19*110</f>
        <v>2090</v>
      </c>
      <c r="D418" s="251">
        <v>840</v>
      </c>
      <c r="E418" s="439"/>
      <c r="F418" s="678"/>
      <c r="G418" s="683"/>
      <c r="H418" s="682">
        <f t="shared" si="114"/>
        <v>0</v>
      </c>
      <c r="I418" s="442">
        <f t="shared" si="115"/>
        <v>0</v>
      </c>
      <c r="J418" s="442"/>
      <c r="K418" s="443"/>
      <c r="L418" s="627">
        <f t="shared" si="118"/>
        <v>0</v>
      </c>
      <c r="M418" s="627">
        <f t="shared" si="119"/>
        <v>0</v>
      </c>
      <c r="N418" s="609">
        <v>840</v>
      </c>
      <c r="O418" s="610">
        <v>94.064270691159308</v>
      </c>
      <c r="P418" s="617" t="str">
        <f t="shared" si="116"/>
        <v>---</v>
      </c>
      <c r="Q418" s="617">
        <f t="shared" si="117"/>
        <v>94.064270691159308</v>
      </c>
      <c r="R418" s="485"/>
      <c r="S418" s="624" t="str">
        <f t="shared" si="112"/>
        <v>OK</v>
      </c>
      <c r="T418" s="613">
        <f>IF(+'2012 Rates'!O686&lt;'2012 Rates'!$B$11,'2012 Rates'!$B$11,+'2012 Rates'!O686)</f>
        <v>101.19</v>
      </c>
      <c r="U418" s="447"/>
      <c r="V418" s="485"/>
      <c r="W418" s="623">
        <f t="shared" si="113"/>
        <v>0</v>
      </c>
      <c r="X418" s="442"/>
      <c r="Y418" s="485"/>
      <c r="Z418" s="485"/>
      <c r="AA418" s="485"/>
      <c r="AB418" s="485"/>
      <c r="AC418" s="485"/>
      <c r="AD418" s="485"/>
      <c r="AE418" s="485"/>
      <c r="AF418" s="485"/>
      <c r="AG418" s="485"/>
      <c r="AH418" s="485"/>
      <c r="AI418" s="485"/>
      <c r="AJ418" s="485"/>
      <c r="AK418" s="485"/>
      <c r="AL418" s="485"/>
      <c r="AM418" s="485"/>
      <c r="AN418" s="485"/>
      <c r="AO418" s="485"/>
      <c r="AP418" s="485"/>
      <c r="AQ418" s="485"/>
      <c r="AR418" s="485"/>
      <c r="AS418" s="485"/>
      <c r="AT418" s="485"/>
      <c r="AU418" s="485"/>
      <c r="AV418" s="485"/>
      <c r="AW418" s="485"/>
      <c r="AX418" s="485"/>
      <c r="AY418" s="485"/>
      <c r="AZ418" s="485"/>
      <c r="BA418" s="485"/>
      <c r="BB418" s="485"/>
      <c r="BC418" s="485"/>
      <c r="BD418" s="485"/>
      <c r="BE418" s="485"/>
      <c r="BF418" s="485"/>
      <c r="BG418" s="485"/>
      <c r="BH418" s="485"/>
      <c r="BI418" s="485"/>
      <c r="BJ418" s="485"/>
      <c r="BK418" s="485"/>
      <c r="BL418" s="485"/>
      <c r="BM418" s="485"/>
      <c r="BN418" s="485"/>
      <c r="BO418" s="485"/>
      <c r="BP418" s="485"/>
      <c r="BQ418" s="485"/>
      <c r="BR418" s="485"/>
      <c r="BS418" s="485"/>
      <c r="BT418" s="485"/>
      <c r="BU418" s="485"/>
      <c r="BV418" s="485"/>
      <c r="BW418" s="485"/>
      <c r="BX418" s="485"/>
      <c r="BY418" s="485"/>
      <c r="BZ418" s="485"/>
      <c r="CA418" s="485"/>
      <c r="CB418" s="485"/>
      <c r="CC418" s="485"/>
      <c r="CD418" s="485"/>
      <c r="CE418" s="485"/>
      <c r="CF418" s="485"/>
      <c r="CG418" s="485"/>
      <c r="CH418" s="485"/>
      <c r="CI418" s="485"/>
      <c r="CJ418" s="485"/>
      <c r="CK418" s="485"/>
      <c r="CL418" s="485"/>
      <c r="CM418" s="485"/>
      <c r="CN418" s="485"/>
      <c r="CO418" s="485"/>
      <c r="CP418" s="485"/>
      <c r="CQ418" s="485"/>
      <c r="CR418" s="485"/>
      <c r="CS418" s="485"/>
      <c r="CT418" s="485"/>
      <c r="CU418" s="485"/>
      <c r="CV418" s="485"/>
      <c r="CW418" s="485"/>
      <c r="CX418" s="485"/>
      <c r="CY418" s="485"/>
      <c r="CZ418" s="485"/>
      <c r="DA418" s="485"/>
      <c r="DB418" s="485"/>
      <c r="DC418" s="485"/>
      <c r="DD418" s="485"/>
      <c r="DE418" s="485"/>
      <c r="DF418" s="485"/>
      <c r="DG418" s="485"/>
      <c r="DH418" s="485"/>
      <c r="DI418" s="485"/>
      <c r="DJ418" s="485"/>
      <c r="DK418" s="485"/>
      <c r="DL418" s="485"/>
      <c r="DM418" s="485"/>
      <c r="DN418" s="485"/>
      <c r="DO418" s="485"/>
      <c r="DP418" s="485"/>
      <c r="DQ418" s="485"/>
      <c r="DR418" s="485"/>
      <c r="DS418" s="485"/>
      <c r="DT418" s="485"/>
      <c r="DU418" s="485"/>
      <c r="DV418" s="485"/>
      <c r="DW418" s="485"/>
      <c r="DX418" s="485"/>
      <c r="DY418" s="485"/>
      <c r="DZ418" s="485"/>
      <c r="EA418" s="485"/>
      <c r="EB418" s="485"/>
      <c r="EC418" s="485"/>
      <c r="ED418" s="485"/>
      <c r="EE418" s="485"/>
      <c r="EF418" s="485"/>
      <c r="EG418" s="485"/>
      <c r="EH418" s="485"/>
      <c r="EI418" s="485"/>
      <c r="EJ418" s="485"/>
      <c r="EK418" s="485"/>
      <c r="EL418" s="485"/>
      <c r="EM418" s="485"/>
      <c r="EN418" s="485"/>
      <c r="EO418" s="485"/>
      <c r="EP418" s="485"/>
    </row>
    <row r="419" spans="1:146" ht="15.75">
      <c r="A419" s="624">
        <v>1142</v>
      </c>
      <c r="B419" s="643" t="s">
        <v>565</v>
      </c>
      <c r="C419" s="474">
        <v>2316</v>
      </c>
      <c r="D419" s="251">
        <v>1691</v>
      </c>
      <c r="E419" s="439">
        <v>147.88999999999999</v>
      </c>
      <c r="F419" s="678">
        <f t="shared" si="120"/>
        <v>144.01760999999999</v>
      </c>
      <c r="G419" s="683">
        <v>1</v>
      </c>
      <c r="H419" s="682">
        <f t="shared" si="114"/>
        <v>20292</v>
      </c>
      <c r="I419" s="442">
        <f t="shared" si="115"/>
        <v>1774.6799999999998</v>
      </c>
      <c r="J419" s="442"/>
      <c r="K419" s="443"/>
      <c r="L419" s="627">
        <f t="shared" si="118"/>
        <v>0</v>
      </c>
      <c r="M419" s="627">
        <f t="shared" si="119"/>
        <v>0</v>
      </c>
      <c r="N419" s="609">
        <v>1691</v>
      </c>
      <c r="O419" s="610">
        <v>147.88988873660762</v>
      </c>
      <c r="P419" s="617" t="str">
        <f t="shared" si="116"/>
        <v>---</v>
      </c>
      <c r="Q419" s="617">
        <f t="shared" si="117"/>
        <v>-1.1126339236966487E-4</v>
      </c>
      <c r="R419" s="485"/>
      <c r="S419" s="624" t="str">
        <f t="shared" si="112"/>
        <v>OK</v>
      </c>
      <c r="T419" s="613">
        <f>IF(+'2012 Rates'!O687&lt;'2012 Rates'!$B$11,'2012 Rates'!$B$11,+'2012 Rates'!O687)</f>
        <v>158.14999999999998</v>
      </c>
      <c r="U419" s="447">
        <f t="shared" si="121"/>
        <v>9.8129596790281326E-2</v>
      </c>
      <c r="V419" s="485"/>
      <c r="W419" s="623">
        <f t="shared" si="113"/>
        <v>1897.7999999999997</v>
      </c>
      <c r="X419" s="442"/>
      <c r="Y419" s="485"/>
      <c r="Z419" s="485"/>
      <c r="AA419" s="485"/>
      <c r="AB419" s="485"/>
      <c r="AC419" s="485"/>
      <c r="AD419" s="485"/>
      <c r="AE419" s="485"/>
      <c r="AF419" s="485"/>
      <c r="AG419" s="485"/>
      <c r="AH419" s="485"/>
      <c r="AI419" s="485"/>
      <c r="AJ419" s="485"/>
      <c r="AK419" s="485"/>
      <c r="AL419" s="485"/>
      <c r="AM419" s="485"/>
      <c r="AN419" s="485"/>
      <c r="AO419" s="485"/>
      <c r="AP419" s="485"/>
      <c r="AQ419" s="485"/>
      <c r="AR419" s="485"/>
      <c r="AS419" s="485"/>
      <c r="AT419" s="485"/>
      <c r="AU419" s="485"/>
      <c r="AV419" s="485"/>
      <c r="AW419" s="485"/>
      <c r="AX419" s="485"/>
      <c r="AY419" s="485"/>
      <c r="AZ419" s="485"/>
      <c r="BA419" s="485"/>
      <c r="BB419" s="485"/>
      <c r="BC419" s="485"/>
      <c r="BD419" s="485"/>
      <c r="BE419" s="485"/>
      <c r="BF419" s="485"/>
      <c r="BG419" s="485"/>
      <c r="BH419" s="485"/>
      <c r="BI419" s="485"/>
      <c r="BJ419" s="485"/>
      <c r="BK419" s="485"/>
      <c r="BL419" s="485"/>
      <c r="BM419" s="485"/>
      <c r="BN419" s="485"/>
      <c r="BO419" s="485"/>
      <c r="BP419" s="485"/>
      <c r="BQ419" s="485"/>
      <c r="BR419" s="485"/>
      <c r="BS419" s="485"/>
      <c r="BT419" s="485"/>
      <c r="BU419" s="485"/>
      <c r="BV419" s="485"/>
      <c r="BW419" s="485"/>
      <c r="BX419" s="485"/>
      <c r="BY419" s="485"/>
      <c r="BZ419" s="485"/>
      <c r="CA419" s="485"/>
      <c r="CB419" s="485"/>
      <c r="CC419" s="485"/>
      <c r="CD419" s="485"/>
      <c r="CE419" s="485"/>
      <c r="CF419" s="485"/>
      <c r="CG419" s="485"/>
      <c r="CH419" s="485"/>
      <c r="CI419" s="485"/>
      <c r="CJ419" s="485"/>
      <c r="CK419" s="485"/>
      <c r="CL419" s="485"/>
      <c r="CM419" s="485"/>
      <c r="CN419" s="485"/>
      <c r="CO419" s="485"/>
      <c r="CP419" s="485"/>
      <c r="CQ419" s="485"/>
      <c r="CR419" s="485"/>
      <c r="CS419" s="485"/>
      <c r="CT419" s="485"/>
      <c r="CU419" s="485"/>
      <c r="CV419" s="485"/>
      <c r="CW419" s="485"/>
      <c r="CX419" s="485"/>
      <c r="CY419" s="485"/>
      <c r="CZ419" s="485"/>
      <c r="DA419" s="485"/>
      <c r="DB419" s="485"/>
      <c r="DC419" s="485"/>
      <c r="DD419" s="485"/>
      <c r="DE419" s="485"/>
      <c r="DF419" s="485"/>
      <c r="DG419" s="485"/>
      <c r="DH419" s="485"/>
      <c r="DI419" s="485"/>
      <c r="DJ419" s="485"/>
      <c r="DK419" s="485"/>
      <c r="DL419" s="485"/>
      <c r="DM419" s="485"/>
      <c r="DN419" s="485"/>
      <c r="DO419" s="485"/>
      <c r="DP419" s="485"/>
      <c r="DQ419" s="485"/>
      <c r="DR419" s="485"/>
      <c r="DS419" s="485"/>
      <c r="DT419" s="485"/>
      <c r="DU419" s="485"/>
      <c r="DV419" s="485"/>
      <c r="DW419" s="485"/>
      <c r="DX419" s="485"/>
      <c r="DY419" s="485"/>
      <c r="DZ419" s="485"/>
      <c r="EA419" s="485"/>
      <c r="EB419" s="485"/>
      <c r="EC419" s="485"/>
      <c r="ED419" s="485"/>
      <c r="EE419" s="485"/>
      <c r="EF419" s="485"/>
      <c r="EG419" s="485"/>
      <c r="EH419" s="485"/>
      <c r="EI419" s="485"/>
      <c r="EJ419" s="485"/>
      <c r="EK419" s="485"/>
      <c r="EL419" s="485"/>
      <c r="EM419" s="485"/>
      <c r="EN419" s="485"/>
      <c r="EO419" s="485"/>
      <c r="EP419" s="485"/>
    </row>
    <row r="420" spans="1:146" ht="15.75">
      <c r="A420" s="624">
        <v>1143</v>
      </c>
      <c r="B420" s="643" t="s">
        <v>566</v>
      </c>
      <c r="C420" s="474">
        <v>100</v>
      </c>
      <c r="D420" s="654">
        <v>59</v>
      </c>
      <c r="E420" s="439"/>
      <c r="F420" s="678"/>
      <c r="G420" s="683"/>
      <c r="H420" s="682">
        <f t="shared" si="114"/>
        <v>0</v>
      </c>
      <c r="I420" s="442">
        <f t="shared" si="115"/>
        <v>0</v>
      </c>
      <c r="J420" s="442"/>
      <c r="K420" s="443"/>
      <c r="L420" s="627">
        <f t="shared" si="118"/>
        <v>0</v>
      </c>
      <c r="M420" s="627">
        <f t="shared" si="119"/>
        <v>0</v>
      </c>
      <c r="N420" s="609">
        <v>59</v>
      </c>
      <c r="O420" s="610">
        <v>12.65</v>
      </c>
      <c r="P420" s="617" t="str">
        <f t="shared" si="116"/>
        <v>---</v>
      </c>
      <c r="Q420" s="617">
        <f t="shared" si="117"/>
        <v>12.65</v>
      </c>
      <c r="R420" s="485"/>
      <c r="S420" s="624" t="str">
        <f t="shared" si="112"/>
        <v>OK</v>
      </c>
      <c r="T420" s="613">
        <f>IF(+'2012 Rates'!O688&lt;'2012 Rates'!$B$11,'2012 Rates'!$B$11,+'2012 Rates'!O688)</f>
        <v>3.76</v>
      </c>
      <c r="U420" s="447"/>
      <c r="V420" s="485"/>
      <c r="W420" s="623">
        <f t="shared" si="113"/>
        <v>0</v>
      </c>
      <c r="X420" s="442"/>
      <c r="Y420" s="485"/>
      <c r="Z420" s="485"/>
      <c r="AA420" s="485"/>
      <c r="AB420" s="485"/>
      <c r="AC420" s="485"/>
      <c r="AD420" s="485"/>
      <c r="AE420" s="485"/>
      <c r="AF420" s="485"/>
      <c r="AG420" s="485"/>
      <c r="AH420" s="485"/>
      <c r="AI420" s="485"/>
      <c r="AJ420" s="485"/>
      <c r="AK420" s="485"/>
      <c r="AL420" s="485"/>
      <c r="AM420" s="485"/>
      <c r="AN420" s="485"/>
      <c r="AO420" s="485"/>
      <c r="AP420" s="485"/>
      <c r="AQ420" s="485"/>
      <c r="AR420" s="485"/>
      <c r="AS420" s="485"/>
      <c r="AT420" s="485"/>
      <c r="AU420" s="485"/>
      <c r="AV420" s="485"/>
      <c r="AW420" s="485"/>
      <c r="AX420" s="485"/>
      <c r="AY420" s="485"/>
      <c r="AZ420" s="485"/>
      <c r="BA420" s="485"/>
      <c r="BB420" s="485"/>
      <c r="BC420" s="485"/>
      <c r="BD420" s="485"/>
      <c r="BE420" s="485"/>
      <c r="BF420" s="485"/>
      <c r="BG420" s="485"/>
      <c r="BH420" s="485"/>
      <c r="BI420" s="485"/>
      <c r="BJ420" s="485"/>
      <c r="BK420" s="485"/>
      <c r="BL420" s="485"/>
      <c r="BM420" s="485"/>
      <c r="BN420" s="485"/>
      <c r="BO420" s="485"/>
      <c r="BP420" s="485"/>
      <c r="BQ420" s="485"/>
      <c r="BR420" s="485"/>
      <c r="BS420" s="485"/>
      <c r="BT420" s="485"/>
      <c r="BU420" s="485"/>
      <c r="BV420" s="485"/>
      <c r="BW420" s="485"/>
      <c r="BX420" s="485"/>
      <c r="BY420" s="485"/>
      <c r="BZ420" s="485"/>
      <c r="CA420" s="485"/>
      <c r="CB420" s="485"/>
      <c r="CC420" s="485"/>
      <c r="CD420" s="485"/>
      <c r="CE420" s="485"/>
      <c r="CF420" s="485"/>
      <c r="CG420" s="485"/>
      <c r="CH420" s="485"/>
      <c r="CI420" s="485"/>
      <c r="CJ420" s="485"/>
      <c r="CK420" s="485"/>
      <c r="CL420" s="485"/>
      <c r="CM420" s="485"/>
      <c r="CN420" s="485"/>
      <c r="CO420" s="485"/>
      <c r="CP420" s="485"/>
      <c r="CQ420" s="485"/>
      <c r="CR420" s="485"/>
      <c r="CS420" s="485"/>
      <c r="CT420" s="485"/>
      <c r="CU420" s="485"/>
      <c r="CV420" s="485"/>
      <c r="CW420" s="485"/>
      <c r="CX420" s="485"/>
      <c r="CY420" s="485"/>
      <c r="CZ420" s="485"/>
      <c r="DA420" s="485"/>
      <c r="DB420" s="485"/>
      <c r="DC420" s="485"/>
      <c r="DD420" s="485"/>
      <c r="DE420" s="485"/>
      <c r="DF420" s="485"/>
      <c r="DG420" s="485"/>
      <c r="DH420" s="485"/>
      <c r="DI420" s="485"/>
      <c r="DJ420" s="485"/>
      <c r="DK420" s="485"/>
      <c r="DL420" s="485"/>
      <c r="DM420" s="485"/>
      <c r="DN420" s="485"/>
      <c r="DO420" s="485"/>
      <c r="DP420" s="485"/>
      <c r="DQ420" s="485"/>
      <c r="DR420" s="485"/>
      <c r="DS420" s="485"/>
      <c r="DT420" s="485"/>
      <c r="DU420" s="485"/>
      <c r="DV420" s="485"/>
      <c r="DW420" s="485"/>
      <c r="DX420" s="485"/>
      <c r="DY420" s="485"/>
      <c r="DZ420" s="485"/>
      <c r="EA420" s="485"/>
      <c r="EB420" s="485"/>
      <c r="EC420" s="485"/>
      <c r="ED420" s="485"/>
      <c r="EE420" s="485"/>
      <c r="EF420" s="485"/>
      <c r="EG420" s="485"/>
      <c r="EH420" s="485"/>
      <c r="EI420" s="485"/>
      <c r="EJ420" s="485"/>
      <c r="EK420" s="485"/>
      <c r="EL420" s="485"/>
      <c r="EM420" s="485"/>
      <c r="EN420" s="485"/>
      <c r="EO420" s="485"/>
      <c r="EP420" s="485"/>
    </row>
    <row r="421" spans="1:146" ht="15.75">
      <c r="A421" s="624">
        <v>1144</v>
      </c>
      <c r="B421" s="643" t="s">
        <v>567</v>
      </c>
      <c r="C421" s="474">
        <v>82</v>
      </c>
      <c r="D421" s="654">
        <v>27</v>
      </c>
      <c r="E421" s="439">
        <v>2.96</v>
      </c>
      <c r="F421" s="678">
        <f>E421</f>
        <v>2.96</v>
      </c>
      <c r="G421" s="683">
        <v>54</v>
      </c>
      <c r="H421" s="682">
        <f t="shared" si="114"/>
        <v>17496</v>
      </c>
      <c r="I421" s="442">
        <f t="shared" si="115"/>
        <v>1918.08</v>
      </c>
      <c r="J421" s="442"/>
      <c r="K421" s="443"/>
      <c r="L421" s="627">
        <f t="shared" si="118"/>
        <v>0</v>
      </c>
      <c r="M421" s="627">
        <f t="shared" si="119"/>
        <v>0</v>
      </c>
      <c r="N421" s="609">
        <v>27</v>
      </c>
      <c r="O421" s="610">
        <v>2.96</v>
      </c>
      <c r="P421" s="617" t="str">
        <f t="shared" si="116"/>
        <v>---</v>
      </c>
      <c r="Q421" s="617" t="str">
        <f t="shared" si="117"/>
        <v>---</v>
      </c>
      <c r="R421" s="485"/>
      <c r="S421" s="624" t="str">
        <f t="shared" si="112"/>
        <v>OK</v>
      </c>
      <c r="T421" s="613">
        <f>IF(+'2012 Rates'!O692&lt;'2012 Rates'!$B$11,'2012 Rates'!$B$11,+'2012 Rates'!O692)</f>
        <v>3.26</v>
      </c>
      <c r="U421" s="447">
        <f t="shared" si="121"/>
        <v>0.10135135135135132</v>
      </c>
      <c r="V421" s="485"/>
      <c r="W421" s="623">
        <f t="shared" si="113"/>
        <v>2112.48</v>
      </c>
      <c r="X421" s="442"/>
      <c r="Y421" s="485"/>
      <c r="Z421" s="485"/>
      <c r="AA421" s="485"/>
      <c r="AB421" s="485"/>
      <c r="AC421" s="485"/>
      <c r="AD421" s="485"/>
      <c r="AE421" s="485"/>
      <c r="AF421" s="485"/>
      <c r="AG421" s="485"/>
      <c r="AH421" s="485"/>
      <c r="AI421" s="485"/>
      <c r="AJ421" s="485"/>
      <c r="AK421" s="485"/>
      <c r="AL421" s="485"/>
      <c r="AM421" s="485"/>
      <c r="AN421" s="485"/>
      <c r="AO421" s="485"/>
      <c r="AP421" s="485"/>
      <c r="AQ421" s="485"/>
      <c r="AR421" s="485"/>
      <c r="AS421" s="485"/>
      <c r="AT421" s="485"/>
      <c r="AU421" s="485"/>
      <c r="AV421" s="485"/>
      <c r="AW421" s="485"/>
      <c r="AX421" s="485"/>
      <c r="AY421" s="485"/>
      <c r="AZ421" s="485"/>
      <c r="BA421" s="485"/>
      <c r="BB421" s="485"/>
      <c r="BC421" s="485"/>
      <c r="BD421" s="485"/>
      <c r="BE421" s="485"/>
      <c r="BF421" s="485"/>
      <c r="BG421" s="485"/>
      <c r="BH421" s="485"/>
      <c r="BI421" s="485"/>
      <c r="BJ421" s="485"/>
      <c r="BK421" s="485"/>
      <c r="BL421" s="485"/>
      <c r="BM421" s="485"/>
      <c r="BN421" s="485"/>
      <c r="BO421" s="485"/>
      <c r="BP421" s="485"/>
      <c r="BQ421" s="485"/>
      <c r="BR421" s="485"/>
      <c r="BS421" s="485"/>
      <c r="BT421" s="485"/>
      <c r="BU421" s="485"/>
      <c r="BV421" s="485"/>
      <c r="BW421" s="485"/>
      <c r="BX421" s="485"/>
      <c r="BY421" s="485"/>
      <c r="BZ421" s="485"/>
      <c r="CA421" s="485"/>
      <c r="CB421" s="485"/>
      <c r="CC421" s="485"/>
      <c r="CD421" s="485"/>
      <c r="CE421" s="485"/>
      <c r="CF421" s="485"/>
      <c r="CG421" s="485"/>
      <c r="CH421" s="485"/>
      <c r="CI421" s="485"/>
      <c r="CJ421" s="485"/>
      <c r="CK421" s="485"/>
      <c r="CL421" s="485"/>
      <c r="CM421" s="485"/>
      <c r="CN421" s="485"/>
      <c r="CO421" s="485"/>
      <c r="CP421" s="485"/>
      <c r="CQ421" s="485"/>
      <c r="CR421" s="485"/>
      <c r="CS421" s="485"/>
      <c r="CT421" s="485"/>
      <c r="CU421" s="485"/>
      <c r="CV421" s="485"/>
      <c r="CW421" s="485"/>
      <c r="CX421" s="485"/>
      <c r="CY421" s="485"/>
      <c r="CZ421" s="485"/>
      <c r="DA421" s="485"/>
      <c r="DB421" s="485"/>
      <c r="DC421" s="485"/>
      <c r="DD421" s="485"/>
      <c r="DE421" s="485"/>
      <c r="DF421" s="485"/>
      <c r="DG421" s="485"/>
      <c r="DH421" s="485"/>
      <c r="DI421" s="485"/>
      <c r="DJ421" s="485"/>
      <c r="DK421" s="485"/>
      <c r="DL421" s="485"/>
      <c r="DM421" s="485"/>
      <c r="DN421" s="485"/>
      <c r="DO421" s="485"/>
      <c r="DP421" s="485"/>
      <c r="DQ421" s="485"/>
      <c r="DR421" s="485"/>
      <c r="DS421" s="485"/>
      <c r="DT421" s="485"/>
      <c r="DU421" s="485"/>
      <c r="DV421" s="485"/>
      <c r="DW421" s="485"/>
      <c r="DX421" s="485"/>
      <c r="DY421" s="485"/>
      <c r="DZ421" s="485"/>
      <c r="EA421" s="485"/>
      <c r="EB421" s="485"/>
      <c r="EC421" s="485"/>
      <c r="ED421" s="485"/>
      <c r="EE421" s="485"/>
      <c r="EF421" s="485"/>
      <c r="EG421" s="485"/>
      <c r="EH421" s="485"/>
      <c r="EI421" s="485"/>
      <c r="EJ421" s="485"/>
      <c r="EK421" s="485"/>
      <c r="EL421" s="485"/>
      <c r="EM421" s="485"/>
      <c r="EN421" s="485"/>
      <c r="EO421" s="485"/>
      <c r="EP421" s="485"/>
    </row>
    <row r="422" spans="1:146" ht="15.75">
      <c r="A422" s="624">
        <v>1145</v>
      </c>
      <c r="B422" s="643" t="s">
        <v>568</v>
      </c>
      <c r="C422" s="474">
        <f>2*115</f>
        <v>230</v>
      </c>
      <c r="D422" s="654">
        <v>77</v>
      </c>
      <c r="E422" s="439"/>
      <c r="F422" s="678"/>
      <c r="G422" s="683"/>
      <c r="H422" s="682">
        <f t="shared" si="114"/>
        <v>0</v>
      </c>
      <c r="I422" s="442">
        <f t="shared" si="115"/>
        <v>0</v>
      </c>
      <c r="J422" s="442"/>
      <c r="K422" s="443"/>
      <c r="L422" s="627">
        <f t="shared" si="118"/>
        <v>0</v>
      </c>
      <c r="M422" s="627">
        <f t="shared" si="119"/>
        <v>0</v>
      </c>
      <c r="N422" s="609">
        <v>77</v>
      </c>
      <c r="O422" s="610">
        <v>8.61</v>
      </c>
      <c r="P422" s="617" t="str">
        <f t="shared" si="116"/>
        <v>---</v>
      </c>
      <c r="Q422" s="617">
        <f t="shared" si="117"/>
        <v>8.61</v>
      </c>
      <c r="R422" s="485"/>
      <c r="S422" s="624" t="str">
        <f t="shared" si="112"/>
        <v>OK</v>
      </c>
      <c r="T422" s="613">
        <f>IF(+'2012 Rates'!O693&lt;'2012 Rates'!$B$11,'2012 Rates'!$B$11,+'2012 Rates'!O693)</f>
        <v>9.2600000000000016</v>
      </c>
      <c r="U422" s="447"/>
      <c r="V422" s="485"/>
      <c r="W422" s="623">
        <f t="shared" si="113"/>
        <v>0</v>
      </c>
      <c r="X422" s="442"/>
      <c r="Y422" s="485"/>
      <c r="Z422" s="485"/>
      <c r="AA422" s="485"/>
      <c r="AB422" s="485"/>
      <c r="AC422" s="485"/>
      <c r="AD422" s="485"/>
      <c r="AE422" s="485"/>
      <c r="AF422" s="485"/>
      <c r="AG422" s="485"/>
      <c r="AH422" s="485"/>
      <c r="AI422" s="485"/>
      <c r="AJ422" s="485"/>
      <c r="AK422" s="485"/>
      <c r="AL422" s="485"/>
      <c r="AM422" s="485"/>
      <c r="AN422" s="485"/>
      <c r="AO422" s="485"/>
      <c r="AP422" s="485"/>
      <c r="AQ422" s="485"/>
      <c r="AR422" s="485"/>
      <c r="AS422" s="485"/>
      <c r="AT422" s="485"/>
      <c r="AU422" s="485"/>
      <c r="AV422" s="485"/>
      <c r="AW422" s="485"/>
      <c r="AX422" s="485"/>
      <c r="AY422" s="485"/>
      <c r="AZ422" s="485"/>
      <c r="BA422" s="485"/>
      <c r="BB422" s="485"/>
      <c r="BC422" s="485"/>
      <c r="BD422" s="485"/>
      <c r="BE422" s="485"/>
      <c r="BF422" s="485"/>
      <c r="BG422" s="485"/>
      <c r="BH422" s="485"/>
      <c r="BI422" s="485"/>
      <c r="BJ422" s="485"/>
      <c r="BK422" s="485"/>
      <c r="BL422" s="485"/>
      <c r="BM422" s="485"/>
      <c r="BN422" s="485"/>
      <c r="BO422" s="485"/>
      <c r="BP422" s="485"/>
      <c r="BQ422" s="485"/>
      <c r="BR422" s="485"/>
      <c r="BS422" s="485"/>
      <c r="BT422" s="485"/>
      <c r="BU422" s="485"/>
      <c r="BV422" s="485"/>
      <c r="BW422" s="485"/>
      <c r="BX422" s="485"/>
      <c r="BY422" s="485"/>
      <c r="BZ422" s="485"/>
      <c r="CA422" s="485"/>
      <c r="CB422" s="485"/>
      <c r="CC422" s="485"/>
      <c r="CD422" s="485"/>
      <c r="CE422" s="485"/>
      <c r="CF422" s="485"/>
      <c r="CG422" s="485"/>
      <c r="CH422" s="485"/>
      <c r="CI422" s="485"/>
      <c r="CJ422" s="485"/>
      <c r="CK422" s="485"/>
      <c r="CL422" s="485"/>
      <c r="CM422" s="485"/>
      <c r="CN422" s="485"/>
      <c r="CO422" s="485"/>
      <c r="CP422" s="485"/>
      <c r="CQ422" s="485"/>
      <c r="CR422" s="485"/>
      <c r="CS422" s="485"/>
      <c r="CT422" s="485"/>
      <c r="CU422" s="485"/>
      <c r="CV422" s="485"/>
      <c r="CW422" s="485"/>
      <c r="CX422" s="485"/>
      <c r="CY422" s="485"/>
      <c r="CZ422" s="485"/>
      <c r="DA422" s="485"/>
      <c r="DB422" s="485"/>
      <c r="DC422" s="485"/>
      <c r="DD422" s="485"/>
      <c r="DE422" s="485"/>
      <c r="DF422" s="485"/>
      <c r="DG422" s="485"/>
      <c r="DH422" s="485"/>
      <c r="DI422" s="485"/>
      <c r="DJ422" s="485"/>
      <c r="DK422" s="485"/>
      <c r="DL422" s="485"/>
      <c r="DM422" s="485"/>
      <c r="DN422" s="485"/>
      <c r="DO422" s="485"/>
      <c r="DP422" s="485"/>
      <c r="DQ422" s="485"/>
      <c r="DR422" s="485"/>
      <c r="DS422" s="485"/>
      <c r="DT422" s="485"/>
      <c r="DU422" s="485"/>
      <c r="DV422" s="485"/>
      <c r="DW422" s="485"/>
      <c r="DX422" s="485"/>
      <c r="DY422" s="485"/>
      <c r="DZ422" s="485"/>
      <c r="EA422" s="485"/>
      <c r="EB422" s="485"/>
      <c r="EC422" s="485"/>
      <c r="ED422" s="485"/>
      <c r="EE422" s="485"/>
      <c r="EF422" s="485"/>
      <c r="EG422" s="485"/>
      <c r="EH422" s="485"/>
      <c r="EI422" s="485"/>
      <c r="EJ422" s="485"/>
      <c r="EK422" s="485"/>
      <c r="EL422" s="485"/>
      <c r="EM422" s="485"/>
      <c r="EN422" s="485"/>
      <c r="EO422" s="485"/>
      <c r="EP422" s="485"/>
    </row>
    <row r="423" spans="1:146" ht="15.75">
      <c r="A423" s="624">
        <v>1147</v>
      </c>
      <c r="B423" s="643" t="s">
        <v>569</v>
      </c>
      <c r="C423" s="474">
        <f>6*75</f>
        <v>450</v>
      </c>
      <c r="D423" s="654"/>
      <c r="E423" s="439"/>
      <c r="F423" s="678"/>
      <c r="G423" s="683"/>
      <c r="H423" s="682">
        <f t="shared" si="114"/>
        <v>0</v>
      </c>
      <c r="I423" s="442">
        <f t="shared" si="115"/>
        <v>0</v>
      </c>
      <c r="J423" s="442"/>
      <c r="K423" s="443"/>
      <c r="L423" s="627">
        <f t="shared" si="118"/>
        <v>0</v>
      </c>
      <c r="M423" s="627">
        <f t="shared" si="119"/>
        <v>0</v>
      </c>
      <c r="N423" s="609">
        <v>158</v>
      </c>
      <c r="O423" s="610">
        <v>17.690000000000001</v>
      </c>
      <c r="P423" s="617">
        <f t="shared" si="116"/>
        <v>158</v>
      </c>
      <c r="Q423" s="617">
        <f t="shared" si="117"/>
        <v>17.690000000000001</v>
      </c>
      <c r="R423" s="485"/>
      <c r="S423" s="624">
        <f t="shared" si="112"/>
        <v>158</v>
      </c>
      <c r="T423" s="613">
        <f>IF(+'2012 Rates'!O694&lt;'2012 Rates'!$B$11,'2012 Rates'!$B$11,+'2012 Rates'!O694)</f>
        <v>11.220000000000002</v>
      </c>
      <c r="U423" s="447"/>
      <c r="V423" s="485"/>
      <c r="W423" s="623">
        <f t="shared" si="113"/>
        <v>0</v>
      </c>
      <c r="X423" s="442"/>
      <c r="Y423" s="485"/>
      <c r="Z423" s="485"/>
      <c r="AA423" s="485"/>
      <c r="AB423" s="485"/>
      <c r="AC423" s="485"/>
      <c r="AD423" s="485"/>
      <c r="AE423" s="485"/>
      <c r="AF423" s="485"/>
      <c r="AG423" s="485"/>
      <c r="AH423" s="485"/>
      <c r="AI423" s="485"/>
      <c r="AJ423" s="485"/>
      <c r="AK423" s="485"/>
      <c r="AL423" s="485"/>
      <c r="AM423" s="485"/>
      <c r="AN423" s="485"/>
      <c r="AO423" s="485"/>
      <c r="AP423" s="485"/>
      <c r="AQ423" s="485"/>
      <c r="AR423" s="485"/>
      <c r="AS423" s="485"/>
      <c r="AT423" s="485"/>
      <c r="AU423" s="485"/>
      <c r="AV423" s="485"/>
      <c r="AW423" s="485"/>
      <c r="AX423" s="485"/>
      <c r="AY423" s="485"/>
      <c r="AZ423" s="485"/>
      <c r="BA423" s="485"/>
      <c r="BB423" s="485"/>
      <c r="BC423" s="485"/>
      <c r="BD423" s="485"/>
      <c r="BE423" s="485"/>
      <c r="BF423" s="485"/>
      <c r="BG423" s="485"/>
      <c r="BH423" s="485"/>
      <c r="BI423" s="485"/>
      <c r="BJ423" s="485"/>
      <c r="BK423" s="485"/>
      <c r="BL423" s="485"/>
      <c r="BM423" s="485"/>
      <c r="BN423" s="485"/>
      <c r="BO423" s="485"/>
      <c r="BP423" s="485"/>
      <c r="BQ423" s="485"/>
      <c r="BR423" s="485"/>
      <c r="BS423" s="485"/>
      <c r="BT423" s="485"/>
      <c r="BU423" s="485"/>
      <c r="BV423" s="485"/>
      <c r="BW423" s="485"/>
      <c r="BX423" s="485"/>
      <c r="BY423" s="485"/>
      <c r="BZ423" s="485"/>
      <c r="CA423" s="485"/>
      <c r="CB423" s="485"/>
      <c r="CC423" s="485"/>
      <c r="CD423" s="485"/>
      <c r="CE423" s="485"/>
      <c r="CF423" s="485"/>
      <c r="CG423" s="485"/>
      <c r="CH423" s="485"/>
      <c r="CI423" s="485"/>
      <c r="CJ423" s="485"/>
      <c r="CK423" s="485"/>
      <c r="CL423" s="485"/>
      <c r="CM423" s="485"/>
      <c r="CN423" s="485"/>
      <c r="CO423" s="485"/>
      <c r="CP423" s="485"/>
      <c r="CQ423" s="485"/>
      <c r="CR423" s="485"/>
      <c r="CS423" s="485"/>
      <c r="CT423" s="485"/>
      <c r="CU423" s="485"/>
      <c r="CV423" s="485"/>
      <c r="CW423" s="485"/>
      <c r="CX423" s="485"/>
      <c r="CY423" s="485"/>
      <c r="CZ423" s="485"/>
      <c r="DA423" s="485"/>
      <c r="DB423" s="485"/>
      <c r="DC423" s="485"/>
      <c r="DD423" s="485"/>
      <c r="DE423" s="485"/>
      <c r="DF423" s="485"/>
      <c r="DG423" s="485"/>
      <c r="DH423" s="485"/>
      <c r="DI423" s="485"/>
      <c r="DJ423" s="485"/>
      <c r="DK423" s="485"/>
      <c r="DL423" s="485"/>
      <c r="DM423" s="485"/>
      <c r="DN423" s="485"/>
      <c r="DO423" s="485"/>
      <c r="DP423" s="485"/>
      <c r="DQ423" s="485"/>
      <c r="DR423" s="485"/>
      <c r="DS423" s="485"/>
      <c r="DT423" s="485"/>
      <c r="DU423" s="485"/>
      <c r="DV423" s="485"/>
      <c r="DW423" s="485"/>
      <c r="DX423" s="485"/>
      <c r="DY423" s="485"/>
      <c r="DZ423" s="485"/>
      <c r="EA423" s="485"/>
      <c r="EB423" s="485"/>
      <c r="EC423" s="485"/>
      <c r="ED423" s="485"/>
      <c r="EE423" s="485"/>
      <c r="EF423" s="485"/>
      <c r="EG423" s="485"/>
      <c r="EH423" s="485"/>
      <c r="EI423" s="485"/>
      <c r="EJ423" s="485"/>
      <c r="EK423" s="485"/>
      <c r="EL423" s="485"/>
      <c r="EM423" s="485"/>
      <c r="EN423" s="485"/>
      <c r="EO423" s="485"/>
      <c r="EP423" s="485"/>
    </row>
    <row r="424" spans="1:146" ht="15.75">
      <c r="A424" s="624">
        <v>1148</v>
      </c>
      <c r="B424" s="643" t="s">
        <v>570</v>
      </c>
      <c r="C424" s="653">
        <v>800</v>
      </c>
      <c r="D424" s="654"/>
      <c r="E424" s="439"/>
      <c r="F424" s="678"/>
      <c r="G424" s="683"/>
      <c r="H424" s="682">
        <f>+D424*G424*12</f>
        <v>0</v>
      </c>
      <c r="I424" s="442">
        <f>+E424*G424*12</f>
        <v>0</v>
      </c>
      <c r="J424" s="442"/>
      <c r="K424" s="443"/>
      <c r="L424" s="627">
        <f>G424*K424</f>
        <v>0</v>
      </c>
      <c r="M424" s="627">
        <f t="shared" si="119"/>
        <v>0</v>
      </c>
      <c r="N424" s="440">
        <v>280</v>
      </c>
      <c r="O424" s="611">
        <v>31.35</v>
      </c>
      <c r="P424" s="617"/>
      <c r="Q424" s="618">
        <f t="shared" si="117"/>
        <v>31.35</v>
      </c>
      <c r="R424" s="485"/>
      <c r="S424" s="624">
        <f>IF(N424=D424,"OK",N424)</f>
        <v>280</v>
      </c>
      <c r="T424" s="613">
        <f>IF(+'2012 Rates'!O695&lt;'2012 Rates'!$B$11,'2012 Rates'!$B$11,+'2012 Rates'!O695)</f>
        <v>19.03</v>
      </c>
      <c r="U424" s="447"/>
      <c r="V424" s="485"/>
      <c r="W424" s="623">
        <f>+G424*T424*12</f>
        <v>0</v>
      </c>
      <c r="X424" s="442"/>
      <c r="Y424" s="485"/>
      <c r="Z424" s="485"/>
      <c r="AA424" s="485"/>
      <c r="AB424" s="485"/>
      <c r="AC424" s="485"/>
      <c r="AD424" s="485"/>
      <c r="AE424" s="485"/>
      <c r="AF424" s="485"/>
      <c r="AG424" s="485"/>
      <c r="AH424" s="485"/>
      <c r="AI424" s="485"/>
      <c r="AJ424" s="485"/>
      <c r="AK424" s="485"/>
      <c r="AL424" s="485"/>
      <c r="AM424" s="485"/>
      <c r="AN424" s="485"/>
      <c r="AO424" s="485"/>
      <c r="AP424" s="485"/>
      <c r="AQ424" s="485"/>
      <c r="AR424" s="485"/>
      <c r="AS424" s="485"/>
      <c r="AT424" s="485"/>
      <c r="AU424" s="485"/>
      <c r="AV424" s="485"/>
      <c r="AW424" s="485"/>
      <c r="AX424" s="485"/>
      <c r="AY424" s="485"/>
      <c r="AZ424" s="485"/>
      <c r="BA424" s="485"/>
      <c r="BB424" s="485"/>
      <c r="BC424" s="485"/>
      <c r="BD424" s="485"/>
      <c r="BE424" s="485"/>
      <c r="BF424" s="485"/>
      <c r="BG424" s="485"/>
      <c r="BH424" s="485"/>
      <c r="BI424" s="485"/>
      <c r="BJ424" s="485"/>
      <c r="BK424" s="485"/>
      <c r="BL424" s="485"/>
      <c r="BM424" s="485"/>
      <c r="BN424" s="485"/>
      <c r="BO424" s="485"/>
      <c r="BP424" s="485"/>
      <c r="BQ424" s="485"/>
      <c r="BR424" s="485"/>
      <c r="BS424" s="485"/>
      <c r="BT424" s="485"/>
      <c r="BU424" s="485"/>
      <c r="BV424" s="485"/>
      <c r="BW424" s="485"/>
      <c r="BX424" s="485"/>
      <c r="BY424" s="485"/>
      <c r="BZ424" s="485"/>
      <c r="CA424" s="485"/>
      <c r="CB424" s="485"/>
      <c r="CC424" s="485"/>
      <c r="CD424" s="485"/>
      <c r="CE424" s="485"/>
      <c r="CF424" s="485"/>
      <c r="CG424" s="485"/>
      <c r="CH424" s="485"/>
      <c r="CI424" s="485"/>
      <c r="CJ424" s="485"/>
      <c r="CK424" s="485"/>
      <c r="CL424" s="485"/>
      <c r="CM424" s="485"/>
      <c r="CN424" s="485"/>
      <c r="CO424" s="485"/>
      <c r="CP424" s="485"/>
      <c r="CQ424" s="485"/>
      <c r="CR424" s="485"/>
      <c r="CS424" s="485"/>
      <c r="CT424" s="485"/>
      <c r="CU424" s="485"/>
      <c r="CV424" s="485"/>
      <c r="CW424" s="485"/>
      <c r="CX424" s="485"/>
      <c r="CY424" s="485"/>
      <c r="CZ424" s="485"/>
      <c r="DA424" s="485"/>
      <c r="DB424" s="485"/>
      <c r="DC424" s="485"/>
      <c r="DD424" s="485"/>
      <c r="DE424" s="485"/>
      <c r="DF424" s="485"/>
      <c r="DG424" s="485"/>
      <c r="DH424" s="485"/>
      <c r="DI424" s="485"/>
      <c r="DJ424" s="485"/>
      <c r="DK424" s="485"/>
      <c r="DL424" s="485"/>
      <c r="DM424" s="485"/>
      <c r="DN424" s="485"/>
      <c r="DO424" s="485"/>
      <c r="DP424" s="485"/>
      <c r="DQ424" s="485"/>
      <c r="DR424" s="485"/>
      <c r="DS424" s="485"/>
      <c r="DT424" s="485"/>
      <c r="DU424" s="485"/>
      <c r="DV424" s="485"/>
      <c r="DW424" s="485"/>
      <c r="DX424" s="485"/>
      <c r="DY424" s="485"/>
      <c r="DZ424" s="485"/>
      <c r="EA424" s="485"/>
      <c r="EB424" s="485"/>
      <c r="EC424" s="485"/>
      <c r="ED424" s="485"/>
      <c r="EE424" s="485"/>
      <c r="EF424" s="485"/>
      <c r="EG424" s="485"/>
      <c r="EH424" s="485"/>
      <c r="EI424" s="485"/>
      <c r="EJ424" s="485"/>
      <c r="EK424" s="485"/>
      <c r="EL424" s="485"/>
      <c r="EM424" s="485"/>
      <c r="EN424" s="485"/>
      <c r="EO424" s="485"/>
      <c r="EP424" s="485"/>
    </row>
    <row r="425" spans="1:146" ht="15.75">
      <c r="A425" s="624">
        <v>1149</v>
      </c>
      <c r="B425" s="643" t="s">
        <v>571</v>
      </c>
      <c r="C425" s="653">
        <v>129</v>
      </c>
      <c r="D425" s="654"/>
      <c r="E425" s="439"/>
      <c r="F425" s="678"/>
      <c r="G425" s="683"/>
      <c r="H425" s="682">
        <f>+D425*G425*12</f>
        <v>0</v>
      </c>
      <c r="I425" s="442">
        <f>+E425*G425*12</f>
        <v>0</v>
      </c>
      <c r="J425" s="442"/>
      <c r="K425" s="443"/>
      <c r="L425" s="627">
        <f>G425*K425</f>
        <v>0</v>
      </c>
      <c r="M425" s="627">
        <f t="shared" si="119"/>
        <v>0</v>
      </c>
      <c r="N425" s="440">
        <v>43</v>
      </c>
      <c r="O425" s="611">
        <v>4.83</v>
      </c>
      <c r="P425" s="617"/>
      <c r="Q425" s="618">
        <f t="shared" si="117"/>
        <v>4.83</v>
      </c>
      <c r="R425" s="485"/>
      <c r="S425" s="624">
        <f>IF(N425=D425,"OK",N425)</f>
        <v>43</v>
      </c>
      <c r="T425" s="613">
        <f>IF(+'2012 Rates'!O696&lt;'2012 Rates'!$B$11,'2012 Rates'!$B$11,+'2012 Rates'!O696)</f>
        <v>33.729999999999997</v>
      </c>
      <c r="U425" s="447"/>
      <c r="V425" s="485"/>
      <c r="W425" s="623">
        <f>+G425*T425*12</f>
        <v>0</v>
      </c>
      <c r="X425" s="442"/>
      <c r="Y425" s="485"/>
      <c r="Z425" s="485"/>
      <c r="AA425" s="485"/>
      <c r="AB425" s="485"/>
      <c r="AC425" s="485"/>
      <c r="AD425" s="485"/>
      <c r="AE425" s="485"/>
      <c r="AF425" s="485"/>
      <c r="AG425" s="485"/>
      <c r="AH425" s="485"/>
      <c r="AI425" s="485"/>
      <c r="AJ425" s="485"/>
      <c r="AK425" s="485"/>
      <c r="AL425" s="485"/>
      <c r="AM425" s="485"/>
      <c r="AN425" s="485"/>
      <c r="AO425" s="485"/>
      <c r="AP425" s="485"/>
      <c r="AQ425" s="485"/>
      <c r="AR425" s="485"/>
      <c r="AS425" s="485"/>
      <c r="AT425" s="485"/>
      <c r="AU425" s="485"/>
      <c r="AV425" s="485"/>
      <c r="AW425" s="485"/>
      <c r="AX425" s="485"/>
      <c r="AY425" s="485"/>
      <c r="AZ425" s="485"/>
      <c r="BA425" s="485"/>
      <c r="BB425" s="485"/>
      <c r="BC425" s="485"/>
      <c r="BD425" s="485"/>
      <c r="BE425" s="485"/>
      <c r="BF425" s="485"/>
      <c r="BG425" s="485"/>
      <c r="BH425" s="485"/>
      <c r="BI425" s="485"/>
      <c r="BJ425" s="485"/>
      <c r="BK425" s="485"/>
      <c r="BL425" s="485"/>
      <c r="BM425" s="485"/>
      <c r="BN425" s="485"/>
      <c r="BO425" s="485"/>
      <c r="BP425" s="485"/>
      <c r="BQ425" s="485"/>
      <c r="BR425" s="485"/>
      <c r="BS425" s="485"/>
      <c r="BT425" s="485"/>
      <c r="BU425" s="485"/>
      <c r="BV425" s="485"/>
      <c r="BW425" s="485"/>
      <c r="BX425" s="485"/>
      <c r="BY425" s="485"/>
      <c r="BZ425" s="485"/>
      <c r="CA425" s="485"/>
      <c r="CB425" s="485"/>
      <c r="CC425" s="485"/>
      <c r="CD425" s="485"/>
      <c r="CE425" s="485"/>
      <c r="CF425" s="485"/>
      <c r="CG425" s="485"/>
      <c r="CH425" s="485"/>
      <c r="CI425" s="485"/>
      <c r="CJ425" s="485"/>
      <c r="CK425" s="485"/>
      <c r="CL425" s="485"/>
      <c r="CM425" s="485"/>
      <c r="CN425" s="485"/>
      <c r="CO425" s="485"/>
      <c r="CP425" s="485"/>
      <c r="CQ425" s="485"/>
      <c r="CR425" s="485"/>
      <c r="CS425" s="485"/>
      <c r="CT425" s="485"/>
      <c r="CU425" s="485"/>
      <c r="CV425" s="485"/>
      <c r="CW425" s="485"/>
      <c r="CX425" s="485"/>
      <c r="CY425" s="485"/>
      <c r="CZ425" s="485"/>
      <c r="DA425" s="485"/>
      <c r="DB425" s="485"/>
      <c r="DC425" s="485"/>
      <c r="DD425" s="485"/>
      <c r="DE425" s="485"/>
      <c r="DF425" s="485"/>
      <c r="DG425" s="485"/>
      <c r="DH425" s="485"/>
      <c r="DI425" s="485"/>
      <c r="DJ425" s="485"/>
      <c r="DK425" s="485"/>
      <c r="DL425" s="485"/>
      <c r="DM425" s="485"/>
      <c r="DN425" s="485"/>
      <c r="DO425" s="485"/>
      <c r="DP425" s="485"/>
      <c r="DQ425" s="485"/>
      <c r="DR425" s="485"/>
      <c r="DS425" s="485"/>
      <c r="DT425" s="485"/>
      <c r="DU425" s="485"/>
      <c r="DV425" s="485"/>
      <c r="DW425" s="485"/>
      <c r="DX425" s="485"/>
      <c r="DY425" s="485"/>
      <c r="DZ425" s="485"/>
      <c r="EA425" s="485"/>
      <c r="EB425" s="485"/>
      <c r="EC425" s="485"/>
      <c r="ED425" s="485"/>
      <c r="EE425" s="485"/>
      <c r="EF425" s="485"/>
      <c r="EG425" s="485"/>
      <c r="EH425" s="485"/>
      <c r="EI425" s="485"/>
      <c r="EJ425" s="485"/>
      <c r="EK425" s="485"/>
      <c r="EL425" s="485"/>
      <c r="EM425" s="485"/>
      <c r="EN425" s="485"/>
      <c r="EO425" s="485"/>
      <c r="EP425" s="485"/>
    </row>
    <row r="426" spans="1:146" ht="15.75">
      <c r="A426" s="624">
        <v>1150</v>
      </c>
      <c r="B426" s="643" t="s">
        <v>572</v>
      </c>
      <c r="C426" s="653">
        <v>200</v>
      </c>
      <c r="D426" s="654">
        <v>186</v>
      </c>
      <c r="E426" s="439">
        <v>12.65</v>
      </c>
      <c r="F426" s="678">
        <f>E426</f>
        <v>12.65</v>
      </c>
      <c r="G426" s="683">
        <v>1</v>
      </c>
      <c r="H426" s="682">
        <f>+D426*G426*12</f>
        <v>2232</v>
      </c>
      <c r="I426" s="442">
        <f>+E426*G426*12</f>
        <v>151.80000000000001</v>
      </c>
      <c r="J426" s="442"/>
      <c r="K426" s="443"/>
      <c r="L426" s="627">
        <f>G426*K426</f>
        <v>0</v>
      </c>
      <c r="M426" s="627">
        <f t="shared" si="119"/>
        <v>0</v>
      </c>
      <c r="N426" s="440">
        <v>186</v>
      </c>
      <c r="O426" s="611">
        <v>12.65</v>
      </c>
      <c r="P426" s="617"/>
      <c r="Q426" s="618" t="str">
        <f t="shared" si="117"/>
        <v>---</v>
      </c>
      <c r="R426" s="485"/>
      <c r="S426" s="624" t="str">
        <f>IF(N426=D426,"OK",N426)</f>
        <v>OK</v>
      </c>
      <c r="T426" s="613">
        <f>IF(+'2012 Rates'!O701&lt;'2012 Rates'!$B$11,'2012 Rates'!$B$11,+'2012 Rates'!O701)</f>
        <v>13.891133302485763</v>
      </c>
      <c r="U426" s="447">
        <f t="shared" si="121"/>
        <v>9.8113304544328983E-2</v>
      </c>
      <c r="V426" s="485"/>
      <c r="W426" s="623">
        <f>+G426*T426*12</f>
        <v>166.69359962982915</v>
      </c>
      <c r="X426" s="442"/>
      <c r="Y426" s="485"/>
      <c r="Z426" s="485"/>
      <c r="AA426" s="485"/>
      <c r="AB426" s="485"/>
      <c r="AC426" s="485"/>
      <c r="AD426" s="485"/>
      <c r="AE426" s="485"/>
      <c r="AF426" s="485"/>
      <c r="AG426" s="485"/>
      <c r="AH426" s="485"/>
      <c r="AI426" s="485"/>
      <c r="AJ426" s="485"/>
      <c r="AK426" s="485"/>
      <c r="AL426" s="485"/>
      <c r="AM426" s="485"/>
      <c r="AN426" s="485"/>
      <c r="AO426" s="485"/>
      <c r="AP426" s="485"/>
      <c r="AQ426" s="485"/>
      <c r="AR426" s="485"/>
      <c r="AS426" s="485"/>
      <c r="AT426" s="485"/>
      <c r="AU426" s="485"/>
      <c r="AV426" s="485"/>
      <c r="AW426" s="485"/>
      <c r="AX426" s="485"/>
      <c r="AY426" s="485"/>
      <c r="AZ426" s="485"/>
      <c r="BA426" s="485"/>
      <c r="BB426" s="485"/>
      <c r="BC426" s="485"/>
      <c r="BD426" s="485"/>
      <c r="BE426" s="485"/>
      <c r="BF426" s="485"/>
      <c r="BG426" s="485"/>
      <c r="BH426" s="485"/>
      <c r="BI426" s="485"/>
      <c r="BJ426" s="485"/>
      <c r="BK426" s="485"/>
      <c r="BL426" s="485"/>
      <c r="BM426" s="485"/>
      <c r="BN426" s="485"/>
      <c r="BO426" s="485"/>
      <c r="BP426" s="485"/>
      <c r="BQ426" s="485"/>
      <c r="BR426" s="485"/>
      <c r="BS426" s="485"/>
      <c r="BT426" s="485"/>
      <c r="BU426" s="485"/>
      <c r="BV426" s="485"/>
      <c r="BW426" s="485"/>
      <c r="BX426" s="485"/>
      <c r="BY426" s="485"/>
      <c r="BZ426" s="485"/>
      <c r="CA426" s="485"/>
      <c r="CB426" s="485"/>
      <c r="CC426" s="485"/>
      <c r="CD426" s="485"/>
      <c r="CE426" s="485"/>
      <c r="CF426" s="485"/>
      <c r="CG426" s="485"/>
      <c r="CH426" s="485"/>
      <c r="CI426" s="485"/>
      <c r="CJ426" s="485"/>
      <c r="CK426" s="485"/>
      <c r="CL426" s="485"/>
      <c r="CM426" s="485"/>
      <c r="CN426" s="485"/>
      <c r="CO426" s="485"/>
      <c r="CP426" s="485"/>
      <c r="CQ426" s="485"/>
      <c r="CR426" s="485"/>
      <c r="CS426" s="485"/>
      <c r="CT426" s="485"/>
      <c r="CU426" s="485"/>
      <c r="CV426" s="485"/>
      <c r="CW426" s="485"/>
      <c r="CX426" s="485"/>
      <c r="CY426" s="485"/>
      <c r="CZ426" s="485"/>
      <c r="DA426" s="485"/>
      <c r="DB426" s="485"/>
      <c r="DC426" s="485"/>
      <c r="DD426" s="485"/>
      <c r="DE426" s="485"/>
      <c r="DF426" s="485"/>
      <c r="DG426" s="485"/>
      <c r="DH426" s="485"/>
      <c r="DI426" s="485"/>
      <c r="DJ426" s="485"/>
      <c r="DK426" s="485"/>
      <c r="DL426" s="485"/>
      <c r="DM426" s="485"/>
      <c r="DN426" s="485"/>
      <c r="DO426" s="485"/>
      <c r="DP426" s="485"/>
      <c r="DQ426" s="485"/>
      <c r="DR426" s="485"/>
      <c r="DS426" s="485"/>
      <c r="DT426" s="485"/>
      <c r="DU426" s="485"/>
      <c r="DV426" s="485"/>
      <c r="DW426" s="485"/>
      <c r="DX426" s="485"/>
      <c r="DY426" s="485"/>
      <c r="DZ426" s="485"/>
      <c r="EA426" s="485"/>
      <c r="EB426" s="485"/>
      <c r="EC426" s="485"/>
      <c r="ED426" s="485"/>
      <c r="EE426" s="485"/>
      <c r="EF426" s="485"/>
      <c r="EG426" s="485"/>
      <c r="EH426" s="485"/>
      <c r="EI426" s="485"/>
      <c r="EJ426" s="485"/>
      <c r="EK426" s="485"/>
      <c r="EL426" s="485"/>
      <c r="EM426" s="485"/>
      <c r="EN426" s="485"/>
      <c r="EO426" s="485"/>
      <c r="EP426" s="485"/>
    </row>
    <row r="427" spans="1:146" ht="15.75">
      <c r="A427" s="624">
        <v>1151</v>
      </c>
      <c r="B427" s="436" t="s">
        <v>574</v>
      </c>
      <c r="C427" s="653">
        <v>2400</v>
      </c>
      <c r="D427" s="654"/>
      <c r="E427" s="439"/>
      <c r="F427" s="678"/>
      <c r="G427" s="683">
        <v>1</v>
      </c>
      <c r="H427" s="682">
        <f>+D427*G427*12</f>
        <v>0</v>
      </c>
      <c r="I427" s="442">
        <f>+E427*G427*12</f>
        <v>0</v>
      </c>
      <c r="J427" s="442"/>
      <c r="K427" s="443"/>
      <c r="L427" s="627">
        <f>G427*K427</f>
        <v>0</v>
      </c>
      <c r="M427" s="627">
        <f t="shared" si="119"/>
        <v>0</v>
      </c>
      <c r="N427" s="440">
        <v>840</v>
      </c>
      <c r="O427" s="611">
        <v>94.07</v>
      </c>
      <c r="P427" s="617"/>
      <c r="Q427" s="618">
        <f t="shared" si="117"/>
        <v>94.07</v>
      </c>
      <c r="R427" s="485"/>
      <c r="S427" s="624">
        <f>IF(N427=D427,"OK",N427)</f>
        <v>840</v>
      </c>
      <c r="T427" s="613">
        <f>IF(+'2012 Rates'!O703&lt;'2012 Rates'!$B$11,'2012 Rates'!$B$11,+'2012 Rates'!O703)</f>
        <v>101.19</v>
      </c>
      <c r="U427" s="447"/>
      <c r="V427" s="485"/>
      <c r="W427" s="623">
        <f>+G427*T427*12</f>
        <v>1214.28</v>
      </c>
      <c r="X427" s="442"/>
      <c r="Y427" s="485"/>
      <c r="Z427" s="485"/>
      <c r="AA427" s="485"/>
      <c r="AB427" s="485"/>
      <c r="AC427" s="485"/>
      <c r="AD427" s="485"/>
      <c r="AE427" s="485"/>
      <c r="AF427" s="485"/>
      <c r="AG427" s="485"/>
      <c r="AH427" s="485"/>
      <c r="AI427" s="485"/>
      <c r="AJ427" s="485"/>
      <c r="AK427" s="485"/>
      <c r="AL427" s="485"/>
      <c r="AM427" s="485"/>
      <c r="AN427" s="485"/>
      <c r="AO427" s="485"/>
      <c r="AP427" s="485"/>
      <c r="AQ427" s="485"/>
      <c r="AR427" s="485"/>
      <c r="AS427" s="485"/>
      <c r="AT427" s="485"/>
      <c r="AU427" s="485"/>
      <c r="AV427" s="485"/>
      <c r="AW427" s="485"/>
      <c r="AX427" s="485"/>
      <c r="AY427" s="485"/>
      <c r="AZ427" s="485"/>
      <c r="BA427" s="485"/>
      <c r="BB427" s="485"/>
      <c r="BC427" s="485"/>
      <c r="BD427" s="485"/>
      <c r="BE427" s="485"/>
      <c r="BF427" s="485"/>
      <c r="BG427" s="485"/>
      <c r="BH427" s="485"/>
      <c r="BI427" s="485"/>
      <c r="BJ427" s="485"/>
      <c r="BK427" s="485"/>
      <c r="BL427" s="485"/>
      <c r="BM427" s="485"/>
      <c r="BN427" s="485"/>
      <c r="BO427" s="485"/>
      <c r="BP427" s="485"/>
      <c r="BQ427" s="485"/>
      <c r="BR427" s="485"/>
      <c r="BS427" s="485"/>
      <c r="BT427" s="485"/>
      <c r="BU427" s="485"/>
      <c r="BV427" s="485"/>
      <c r="BW427" s="485"/>
      <c r="BX427" s="485"/>
      <c r="BY427" s="485"/>
      <c r="BZ427" s="485"/>
      <c r="CA427" s="485"/>
      <c r="CB427" s="485"/>
      <c r="CC427" s="485"/>
      <c r="CD427" s="485"/>
      <c r="CE427" s="485"/>
      <c r="CF427" s="485"/>
      <c r="CG427" s="485"/>
      <c r="CH427" s="485"/>
      <c r="CI427" s="485"/>
      <c r="CJ427" s="485"/>
      <c r="CK427" s="485"/>
      <c r="CL427" s="485"/>
      <c r="CM427" s="485"/>
      <c r="CN427" s="485"/>
      <c r="CO427" s="485"/>
      <c r="CP427" s="485"/>
      <c r="CQ427" s="485"/>
      <c r="CR427" s="485"/>
      <c r="CS427" s="485"/>
      <c r="CT427" s="485"/>
      <c r="CU427" s="485"/>
      <c r="CV427" s="485"/>
      <c r="CW427" s="485"/>
      <c r="CX427" s="485"/>
      <c r="CY427" s="485"/>
      <c r="CZ427" s="485"/>
      <c r="DA427" s="485"/>
      <c r="DB427" s="485"/>
      <c r="DC427" s="485"/>
      <c r="DD427" s="485"/>
      <c r="DE427" s="485"/>
      <c r="DF427" s="485"/>
      <c r="DG427" s="485"/>
      <c r="DH427" s="485"/>
      <c r="DI427" s="485"/>
      <c r="DJ427" s="485"/>
      <c r="DK427" s="485"/>
      <c r="DL427" s="485"/>
      <c r="DM427" s="485"/>
      <c r="DN427" s="485"/>
      <c r="DO427" s="485"/>
      <c r="DP427" s="485"/>
      <c r="DQ427" s="485"/>
      <c r="DR427" s="485"/>
      <c r="DS427" s="485"/>
      <c r="DT427" s="485"/>
      <c r="DU427" s="485"/>
      <c r="DV427" s="485"/>
      <c r="DW427" s="485"/>
      <c r="DX427" s="485"/>
      <c r="DY427" s="485"/>
      <c r="DZ427" s="485"/>
      <c r="EA427" s="485"/>
      <c r="EB427" s="485"/>
      <c r="EC427" s="485"/>
      <c r="ED427" s="485"/>
      <c r="EE427" s="485"/>
      <c r="EF427" s="485"/>
      <c r="EG427" s="485"/>
      <c r="EH427" s="485"/>
      <c r="EI427" s="485"/>
      <c r="EJ427" s="485"/>
      <c r="EK427" s="485"/>
      <c r="EL427" s="485"/>
      <c r="EM427" s="485"/>
      <c r="EN427" s="485"/>
      <c r="EO427" s="485"/>
      <c r="EP427" s="485"/>
    </row>
    <row r="428" spans="1:146" ht="15.75">
      <c r="A428" s="624">
        <v>1152</v>
      </c>
      <c r="B428" s="436" t="s">
        <v>575</v>
      </c>
      <c r="C428" s="653">
        <f>8*250</f>
        <v>2000</v>
      </c>
      <c r="D428" s="654">
        <v>813</v>
      </c>
      <c r="E428" s="439">
        <v>91.06</v>
      </c>
      <c r="F428" s="678">
        <f t="shared" si="120"/>
        <v>89.198229999999995</v>
      </c>
      <c r="G428" s="683">
        <v>1</v>
      </c>
      <c r="H428" s="682">
        <f>+D428*G428*12</f>
        <v>9756</v>
      </c>
      <c r="I428" s="442">
        <f>+E428*G428*12</f>
        <v>1092.72</v>
      </c>
      <c r="J428" s="442"/>
      <c r="K428" s="443"/>
      <c r="L428" s="627">
        <f>G428*K428</f>
        <v>0</v>
      </c>
      <c r="M428" s="627">
        <f t="shared" si="119"/>
        <v>0</v>
      </c>
      <c r="N428" s="440">
        <v>813</v>
      </c>
      <c r="O428" s="611">
        <v>91.06</v>
      </c>
      <c r="P428" s="617"/>
      <c r="Q428" s="618" t="str">
        <f t="shared" si="117"/>
        <v>---</v>
      </c>
      <c r="R428" s="485"/>
      <c r="S428" s="624" t="str">
        <f>IF(N428=D428,"OK",N428)</f>
        <v>OK</v>
      </c>
      <c r="T428" s="613">
        <f>IF(+'2012 Rates'!O704&lt;'2012 Rates'!$B$11,'2012 Rates'!$B$11,+'2012 Rates'!O704)</f>
        <v>97.949999999999989</v>
      </c>
      <c r="U428" s="447">
        <f t="shared" si="121"/>
        <v>9.8115960372756161E-2</v>
      </c>
      <c r="V428" s="485"/>
      <c r="W428" s="623">
        <f>+G428*T428*12</f>
        <v>1175.3999999999999</v>
      </c>
      <c r="X428" s="442"/>
      <c r="Y428" s="485"/>
      <c r="Z428" s="485"/>
      <c r="AA428" s="485"/>
      <c r="AB428" s="485"/>
      <c r="AC428" s="485"/>
      <c r="AD428" s="485"/>
      <c r="AE428" s="485"/>
      <c r="AF428" s="485"/>
      <c r="AG428" s="485"/>
      <c r="AH428" s="485"/>
      <c r="AI428" s="485"/>
      <c r="AJ428" s="485"/>
      <c r="AK428" s="485"/>
      <c r="AL428" s="485"/>
      <c r="AM428" s="485"/>
      <c r="AN428" s="485"/>
      <c r="AO428" s="485"/>
      <c r="AP428" s="485"/>
      <c r="AQ428" s="485"/>
      <c r="AR428" s="485"/>
      <c r="AS428" s="485"/>
      <c r="AT428" s="485"/>
      <c r="AU428" s="485"/>
      <c r="AV428" s="485"/>
      <c r="AW428" s="485"/>
      <c r="AX428" s="485"/>
      <c r="AY428" s="485"/>
      <c r="AZ428" s="485"/>
      <c r="BA428" s="485"/>
      <c r="BB428" s="485"/>
      <c r="BC428" s="485"/>
      <c r="BD428" s="485"/>
      <c r="BE428" s="485"/>
      <c r="BF428" s="485"/>
      <c r="BG428" s="485"/>
      <c r="BH428" s="485"/>
      <c r="BI428" s="485"/>
      <c r="BJ428" s="485"/>
      <c r="BK428" s="485"/>
      <c r="BL428" s="485"/>
      <c r="BM428" s="485"/>
      <c r="BN428" s="485"/>
      <c r="BO428" s="485"/>
      <c r="BP428" s="485"/>
      <c r="BQ428" s="485"/>
      <c r="BR428" s="485"/>
      <c r="BS428" s="485"/>
      <c r="BT428" s="485"/>
      <c r="BU428" s="485"/>
      <c r="BV428" s="485"/>
      <c r="BW428" s="485"/>
      <c r="BX428" s="485"/>
      <c r="BY428" s="485"/>
      <c r="BZ428" s="485"/>
      <c r="CA428" s="485"/>
      <c r="CB428" s="485"/>
      <c r="CC428" s="485"/>
      <c r="CD428" s="485"/>
      <c r="CE428" s="485"/>
      <c r="CF428" s="485"/>
      <c r="CG428" s="485"/>
      <c r="CH428" s="485"/>
      <c r="CI428" s="485"/>
      <c r="CJ428" s="485"/>
      <c r="CK428" s="485"/>
      <c r="CL428" s="485"/>
      <c r="CM428" s="485"/>
      <c r="CN428" s="485"/>
      <c r="CO428" s="485"/>
      <c r="CP428" s="485"/>
      <c r="CQ428" s="485"/>
      <c r="CR428" s="485"/>
      <c r="CS428" s="485"/>
      <c r="CT428" s="485"/>
      <c r="CU428" s="485"/>
      <c r="CV428" s="485"/>
      <c r="CW428" s="485"/>
      <c r="CX428" s="485"/>
      <c r="CY428" s="485"/>
      <c r="CZ428" s="485"/>
      <c r="DA428" s="485"/>
      <c r="DB428" s="485"/>
      <c r="DC428" s="485"/>
      <c r="DD428" s="485"/>
      <c r="DE428" s="485"/>
      <c r="DF428" s="485"/>
      <c r="DG428" s="485"/>
      <c r="DH428" s="485"/>
      <c r="DI428" s="485"/>
      <c r="DJ428" s="485"/>
      <c r="DK428" s="485"/>
      <c r="DL428" s="485"/>
      <c r="DM428" s="485"/>
      <c r="DN428" s="485"/>
      <c r="DO428" s="485"/>
      <c r="DP428" s="485"/>
      <c r="DQ428" s="485"/>
      <c r="DR428" s="485"/>
      <c r="DS428" s="485"/>
      <c r="DT428" s="485"/>
      <c r="DU428" s="485"/>
      <c r="DV428" s="485"/>
      <c r="DW428" s="485"/>
      <c r="DX428" s="485"/>
      <c r="DY428" s="485"/>
      <c r="DZ428" s="485"/>
      <c r="EA428" s="485"/>
      <c r="EB428" s="485"/>
      <c r="EC428" s="485"/>
      <c r="ED428" s="485"/>
      <c r="EE428" s="485"/>
      <c r="EF428" s="485"/>
      <c r="EG428" s="485"/>
      <c r="EH428" s="485"/>
      <c r="EI428" s="485"/>
      <c r="EJ428" s="485"/>
      <c r="EK428" s="485"/>
      <c r="EL428" s="485"/>
      <c r="EM428" s="485"/>
      <c r="EN428" s="485"/>
      <c r="EO428" s="485"/>
      <c r="EP428" s="485"/>
    </row>
    <row r="429" spans="1:146" ht="15.75">
      <c r="A429" s="624"/>
      <c r="B429" s="436"/>
      <c r="C429" s="653"/>
      <c r="D429" s="654"/>
      <c r="E429" s="439"/>
      <c r="F429" s="678"/>
      <c r="G429" s="683"/>
      <c r="H429" s="682"/>
      <c r="I429" s="442"/>
      <c r="J429" s="442"/>
      <c r="K429" s="443"/>
      <c r="L429" s="627"/>
      <c r="M429" s="627"/>
      <c r="N429" s="440"/>
      <c r="O429" s="611"/>
      <c r="P429" s="617"/>
      <c r="Q429" s="618"/>
      <c r="R429" s="485"/>
      <c r="S429" s="624"/>
      <c r="T429" s="613"/>
      <c r="U429" s="447"/>
      <c r="V429" s="485"/>
      <c r="W429" s="623"/>
      <c r="X429" s="442"/>
      <c r="Y429" s="485"/>
      <c r="Z429" s="485"/>
      <c r="AA429" s="485"/>
      <c r="AB429" s="485"/>
      <c r="AC429" s="485"/>
      <c r="AD429" s="485"/>
      <c r="AE429" s="485"/>
      <c r="AF429" s="485"/>
      <c r="AG429" s="485"/>
      <c r="AH429" s="485"/>
      <c r="AI429" s="485"/>
      <c r="AJ429" s="485"/>
      <c r="AK429" s="485"/>
      <c r="AL429" s="485"/>
      <c r="AM429" s="485"/>
      <c r="AN429" s="485"/>
      <c r="AO429" s="485"/>
      <c r="AP429" s="485"/>
      <c r="AQ429" s="485"/>
      <c r="AR429" s="485"/>
      <c r="AS429" s="485"/>
      <c r="AT429" s="485"/>
      <c r="AU429" s="485"/>
      <c r="AV429" s="485"/>
      <c r="AW429" s="485"/>
      <c r="AX429" s="485"/>
      <c r="AY429" s="485"/>
      <c r="AZ429" s="485"/>
      <c r="BA429" s="485"/>
      <c r="BB429" s="485"/>
      <c r="BC429" s="485"/>
      <c r="BD429" s="485"/>
      <c r="BE429" s="485"/>
      <c r="BF429" s="485"/>
      <c r="BG429" s="485"/>
      <c r="BH429" s="485"/>
      <c r="BI429" s="485"/>
      <c r="BJ429" s="485"/>
      <c r="BK429" s="485"/>
      <c r="BL429" s="485"/>
      <c r="BM429" s="485"/>
      <c r="BN429" s="485"/>
      <c r="BO429" s="485"/>
      <c r="BP429" s="485"/>
      <c r="BQ429" s="485"/>
      <c r="BR429" s="485"/>
      <c r="BS429" s="485"/>
      <c r="BT429" s="485"/>
      <c r="BU429" s="485"/>
      <c r="BV429" s="485"/>
      <c r="BW429" s="485"/>
      <c r="BX429" s="485"/>
      <c r="BY429" s="485"/>
      <c r="BZ429" s="485"/>
      <c r="CA429" s="485"/>
      <c r="CB429" s="485"/>
      <c r="CC429" s="485"/>
      <c r="CD429" s="485"/>
      <c r="CE429" s="485"/>
      <c r="CF429" s="485"/>
      <c r="CG429" s="485"/>
      <c r="CH429" s="485"/>
      <c r="CI429" s="485"/>
      <c r="CJ429" s="485"/>
      <c r="CK429" s="485"/>
      <c r="CL429" s="485"/>
      <c r="CM429" s="485"/>
      <c r="CN429" s="485"/>
      <c r="CO429" s="485"/>
      <c r="CP429" s="485"/>
      <c r="CQ429" s="485"/>
      <c r="CR429" s="485"/>
      <c r="CS429" s="485"/>
      <c r="CT429" s="485"/>
      <c r="CU429" s="485"/>
      <c r="CV429" s="485"/>
      <c r="CW429" s="485"/>
      <c r="CX429" s="485"/>
      <c r="CY429" s="485"/>
      <c r="CZ429" s="485"/>
      <c r="DA429" s="485"/>
      <c r="DB429" s="485"/>
      <c r="DC429" s="485"/>
      <c r="DD429" s="485"/>
      <c r="DE429" s="485"/>
      <c r="DF429" s="485"/>
      <c r="DG429" s="485"/>
      <c r="DH429" s="485"/>
      <c r="DI429" s="485"/>
      <c r="DJ429" s="485"/>
      <c r="DK429" s="485"/>
      <c r="DL429" s="485"/>
      <c r="DM429" s="485"/>
      <c r="DN429" s="485"/>
      <c r="DO429" s="485"/>
      <c r="DP429" s="485"/>
      <c r="DQ429" s="485"/>
      <c r="DR429" s="485"/>
      <c r="DS429" s="485"/>
      <c r="DT429" s="485"/>
      <c r="DU429" s="485"/>
      <c r="DV429" s="485"/>
      <c r="DW429" s="485"/>
      <c r="DX429" s="485"/>
      <c r="DY429" s="485"/>
      <c r="DZ429" s="485"/>
      <c r="EA429" s="485"/>
      <c r="EB429" s="485"/>
      <c r="EC429" s="485"/>
      <c r="ED429" s="485"/>
      <c r="EE429" s="485"/>
      <c r="EF429" s="485"/>
      <c r="EG429" s="485"/>
      <c r="EH429" s="485"/>
      <c r="EI429" s="485"/>
      <c r="EJ429" s="485"/>
      <c r="EK429" s="485"/>
      <c r="EL429" s="485"/>
      <c r="EM429" s="485"/>
      <c r="EN429" s="485"/>
      <c r="EO429" s="485"/>
      <c r="EP429" s="485"/>
    </row>
    <row r="430" spans="1:146" ht="15.75">
      <c r="A430" s="624"/>
      <c r="B430" s="436"/>
      <c r="C430" s="653"/>
      <c r="D430" s="654"/>
      <c r="E430" s="439"/>
      <c r="F430" s="678"/>
      <c r="G430" s="683"/>
      <c r="H430" s="682"/>
      <c r="I430" s="442"/>
      <c r="J430" s="442"/>
      <c r="K430" s="443"/>
      <c r="L430" s="627"/>
      <c r="M430" s="627"/>
      <c r="N430" s="440"/>
      <c r="O430" s="611"/>
      <c r="P430" s="617"/>
      <c r="Q430" s="618"/>
      <c r="R430" s="485"/>
      <c r="S430" s="624"/>
      <c r="T430" s="613"/>
      <c r="U430" s="447"/>
      <c r="V430" s="485"/>
      <c r="W430" s="623"/>
      <c r="X430" s="442"/>
      <c r="Y430" s="485"/>
      <c r="Z430" s="485"/>
      <c r="AA430" s="485"/>
      <c r="AB430" s="485"/>
      <c r="AC430" s="485"/>
      <c r="AD430" s="485"/>
      <c r="AE430" s="485"/>
      <c r="AF430" s="485"/>
      <c r="AG430" s="485"/>
      <c r="AH430" s="485"/>
      <c r="AI430" s="485"/>
      <c r="AJ430" s="485"/>
      <c r="AK430" s="485"/>
      <c r="AL430" s="485"/>
      <c r="AM430" s="485"/>
      <c r="AN430" s="485"/>
      <c r="AO430" s="485"/>
      <c r="AP430" s="485"/>
      <c r="AQ430" s="485"/>
      <c r="AR430" s="485"/>
      <c r="AS430" s="485"/>
      <c r="AT430" s="485"/>
      <c r="AU430" s="485"/>
      <c r="AV430" s="485"/>
      <c r="AW430" s="485"/>
      <c r="AX430" s="485"/>
      <c r="AY430" s="485"/>
      <c r="AZ430" s="485"/>
      <c r="BA430" s="485"/>
      <c r="BB430" s="485"/>
      <c r="BC430" s="485"/>
      <c r="BD430" s="485"/>
      <c r="BE430" s="485"/>
      <c r="BF430" s="485"/>
      <c r="BG430" s="485"/>
      <c r="BH430" s="485"/>
      <c r="BI430" s="485"/>
      <c r="BJ430" s="485"/>
      <c r="BK430" s="485"/>
      <c r="BL430" s="485"/>
      <c r="BM430" s="485"/>
      <c r="BN430" s="485"/>
      <c r="BO430" s="485"/>
      <c r="BP430" s="485"/>
      <c r="BQ430" s="485"/>
      <c r="BR430" s="485"/>
      <c r="BS430" s="485"/>
      <c r="BT430" s="485"/>
      <c r="BU430" s="485"/>
      <c r="BV430" s="485"/>
      <c r="BW430" s="485"/>
      <c r="BX430" s="485"/>
      <c r="BY430" s="485"/>
      <c r="BZ430" s="485"/>
      <c r="CA430" s="485"/>
      <c r="CB430" s="485"/>
      <c r="CC430" s="485"/>
      <c r="CD430" s="485"/>
      <c r="CE430" s="485"/>
      <c r="CF430" s="485"/>
      <c r="CG430" s="485"/>
      <c r="CH430" s="485"/>
      <c r="CI430" s="485"/>
      <c r="CJ430" s="485"/>
      <c r="CK430" s="485"/>
      <c r="CL430" s="485"/>
      <c r="CM430" s="485"/>
      <c r="CN430" s="485"/>
      <c r="CO430" s="485"/>
      <c r="CP430" s="485"/>
      <c r="CQ430" s="485"/>
      <c r="CR430" s="485"/>
      <c r="CS430" s="485"/>
      <c r="CT430" s="485"/>
      <c r="CU430" s="485"/>
      <c r="CV430" s="485"/>
      <c r="CW430" s="485"/>
      <c r="CX430" s="485"/>
      <c r="CY430" s="485"/>
      <c r="CZ430" s="485"/>
      <c r="DA430" s="485"/>
      <c r="DB430" s="485"/>
      <c r="DC430" s="485"/>
      <c r="DD430" s="485"/>
      <c r="DE430" s="485"/>
      <c r="DF430" s="485"/>
      <c r="DG430" s="485"/>
      <c r="DH430" s="485"/>
      <c r="DI430" s="485"/>
      <c r="DJ430" s="485"/>
      <c r="DK430" s="485"/>
      <c r="DL430" s="485"/>
      <c r="DM430" s="485"/>
      <c r="DN430" s="485"/>
      <c r="DO430" s="485"/>
      <c r="DP430" s="485"/>
      <c r="DQ430" s="485"/>
      <c r="DR430" s="485"/>
      <c r="DS430" s="485"/>
      <c r="DT430" s="485"/>
      <c r="DU430" s="485"/>
      <c r="DV430" s="485"/>
      <c r="DW430" s="485"/>
      <c r="DX430" s="485"/>
      <c r="DY430" s="485"/>
      <c r="DZ430" s="485"/>
      <c r="EA430" s="485"/>
      <c r="EB430" s="485"/>
      <c r="EC430" s="485"/>
      <c r="ED430" s="485"/>
      <c r="EE430" s="485"/>
      <c r="EF430" s="485"/>
      <c r="EG430" s="485"/>
      <c r="EH430" s="485"/>
      <c r="EI430" s="485"/>
      <c r="EJ430" s="485"/>
      <c r="EK430" s="485"/>
      <c r="EL430" s="485"/>
      <c r="EM430" s="485"/>
      <c r="EN430" s="485"/>
      <c r="EO430" s="485"/>
      <c r="EP430" s="485"/>
    </row>
    <row r="431" spans="1:146" ht="15.75">
      <c r="A431" s="624"/>
      <c r="B431" s="436"/>
      <c r="C431" s="653"/>
      <c r="D431" s="654"/>
      <c r="E431" s="439"/>
      <c r="F431" s="678"/>
      <c r="G431" s="683"/>
      <c r="H431" s="682"/>
      <c r="I431" s="442"/>
      <c r="J431" s="442"/>
      <c r="K431" s="443"/>
      <c r="L431" s="627"/>
      <c r="M431" s="627"/>
      <c r="N431" s="440"/>
      <c r="O431" s="611"/>
      <c r="P431" s="617"/>
      <c r="Q431" s="618"/>
      <c r="R431" s="485"/>
      <c r="S431" s="624"/>
      <c r="T431" s="613"/>
      <c r="U431" s="447"/>
      <c r="V431" s="485"/>
      <c r="W431" s="623"/>
      <c r="X431" s="442"/>
      <c r="Y431" s="485"/>
      <c r="Z431" s="485"/>
      <c r="AA431" s="485"/>
      <c r="AB431" s="485"/>
      <c r="AC431" s="485"/>
      <c r="AD431" s="485"/>
      <c r="AE431" s="485"/>
      <c r="AF431" s="485"/>
      <c r="AG431" s="485"/>
      <c r="AH431" s="485"/>
      <c r="AI431" s="485"/>
      <c r="AJ431" s="485"/>
      <c r="AK431" s="485"/>
      <c r="AL431" s="485"/>
      <c r="AM431" s="485"/>
      <c r="AN431" s="485"/>
      <c r="AO431" s="485"/>
      <c r="AP431" s="485"/>
      <c r="AQ431" s="485"/>
      <c r="AR431" s="485"/>
      <c r="AS431" s="485"/>
      <c r="AT431" s="485"/>
      <c r="AU431" s="485"/>
      <c r="AV431" s="485"/>
      <c r="AW431" s="485"/>
      <c r="AX431" s="485"/>
      <c r="AY431" s="485"/>
      <c r="AZ431" s="485"/>
      <c r="BA431" s="485"/>
      <c r="BB431" s="485"/>
      <c r="BC431" s="485"/>
      <c r="BD431" s="485"/>
      <c r="BE431" s="485"/>
      <c r="BF431" s="485"/>
      <c r="BG431" s="485"/>
      <c r="BH431" s="485"/>
      <c r="BI431" s="485"/>
      <c r="BJ431" s="485"/>
      <c r="BK431" s="485"/>
      <c r="BL431" s="485"/>
      <c r="BM431" s="485"/>
      <c r="BN431" s="485"/>
      <c r="BO431" s="485"/>
      <c r="BP431" s="485"/>
      <c r="BQ431" s="485"/>
      <c r="BR431" s="485"/>
      <c r="BS431" s="485"/>
      <c r="BT431" s="485"/>
      <c r="BU431" s="485"/>
      <c r="BV431" s="485"/>
      <c r="BW431" s="485"/>
      <c r="BX431" s="485"/>
      <c r="BY431" s="485"/>
      <c r="BZ431" s="485"/>
      <c r="CA431" s="485"/>
      <c r="CB431" s="485"/>
      <c r="CC431" s="485"/>
      <c r="CD431" s="485"/>
      <c r="CE431" s="485"/>
      <c r="CF431" s="485"/>
      <c r="CG431" s="485"/>
      <c r="CH431" s="485"/>
      <c r="CI431" s="485"/>
      <c r="CJ431" s="485"/>
      <c r="CK431" s="485"/>
      <c r="CL431" s="485"/>
      <c r="CM431" s="485"/>
      <c r="CN431" s="485"/>
      <c r="CO431" s="485"/>
      <c r="CP431" s="485"/>
      <c r="CQ431" s="485"/>
      <c r="CR431" s="485"/>
      <c r="CS431" s="485"/>
      <c r="CT431" s="485"/>
      <c r="CU431" s="485"/>
      <c r="CV431" s="485"/>
      <c r="CW431" s="485"/>
      <c r="CX431" s="485"/>
      <c r="CY431" s="485"/>
      <c r="CZ431" s="485"/>
      <c r="DA431" s="485"/>
      <c r="DB431" s="485"/>
      <c r="DC431" s="485"/>
      <c r="DD431" s="485"/>
      <c r="DE431" s="485"/>
      <c r="DF431" s="485"/>
      <c r="DG431" s="485"/>
      <c r="DH431" s="485"/>
      <c r="DI431" s="485"/>
      <c r="DJ431" s="485"/>
      <c r="DK431" s="485"/>
      <c r="DL431" s="485"/>
      <c r="DM431" s="485"/>
      <c r="DN431" s="485"/>
      <c r="DO431" s="485"/>
      <c r="DP431" s="485"/>
      <c r="DQ431" s="485"/>
      <c r="DR431" s="485"/>
      <c r="DS431" s="485"/>
      <c r="DT431" s="485"/>
      <c r="DU431" s="485"/>
      <c r="DV431" s="485"/>
      <c r="DW431" s="485"/>
      <c r="DX431" s="485"/>
      <c r="DY431" s="485"/>
      <c r="DZ431" s="485"/>
      <c r="EA431" s="485"/>
      <c r="EB431" s="485"/>
      <c r="EC431" s="485"/>
      <c r="ED431" s="485"/>
      <c r="EE431" s="485"/>
      <c r="EF431" s="485"/>
      <c r="EG431" s="485"/>
      <c r="EH431" s="485"/>
      <c r="EI431" s="485"/>
      <c r="EJ431" s="485"/>
      <c r="EK431" s="485"/>
      <c r="EL431" s="485"/>
      <c r="EM431" s="485"/>
      <c r="EN431" s="485"/>
      <c r="EO431" s="485"/>
      <c r="EP431" s="485"/>
    </row>
    <row r="432" spans="1:146" ht="15.75">
      <c r="A432" s="624"/>
      <c r="B432" s="436"/>
      <c r="C432" s="653"/>
      <c r="D432" s="654"/>
      <c r="E432" s="439"/>
      <c r="F432" s="678"/>
      <c r="G432" s="683"/>
      <c r="H432" s="682"/>
      <c r="I432" s="442"/>
      <c r="J432" s="442"/>
      <c r="K432" s="443"/>
      <c r="L432" s="627"/>
      <c r="M432" s="627"/>
      <c r="N432" s="440"/>
      <c r="O432" s="611"/>
      <c r="P432" s="617"/>
      <c r="Q432" s="618"/>
      <c r="R432" s="485"/>
      <c r="S432" s="624"/>
      <c r="T432" s="613"/>
      <c r="U432" s="447"/>
      <c r="V432" s="485"/>
      <c r="W432" s="623"/>
      <c r="X432" s="442"/>
      <c r="Y432" s="485"/>
      <c r="Z432" s="485"/>
      <c r="AA432" s="485"/>
      <c r="AB432" s="485"/>
      <c r="AC432" s="485"/>
      <c r="AD432" s="485"/>
      <c r="AE432" s="485"/>
      <c r="AF432" s="485"/>
      <c r="AG432" s="485"/>
      <c r="AH432" s="485"/>
      <c r="AI432" s="485"/>
      <c r="AJ432" s="485"/>
      <c r="AK432" s="485"/>
      <c r="AL432" s="485"/>
      <c r="AM432" s="485"/>
      <c r="AN432" s="485"/>
      <c r="AO432" s="485"/>
      <c r="AP432" s="485"/>
      <c r="AQ432" s="485"/>
      <c r="AR432" s="485"/>
      <c r="AS432" s="485"/>
      <c r="AT432" s="485"/>
      <c r="AU432" s="485"/>
      <c r="AV432" s="485"/>
      <c r="AW432" s="485"/>
      <c r="AX432" s="485"/>
      <c r="AY432" s="485"/>
      <c r="AZ432" s="485"/>
      <c r="BA432" s="485"/>
      <c r="BB432" s="485"/>
      <c r="BC432" s="485"/>
      <c r="BD432" s="485"/>
      <c r="BE432" s="485"/>
      <c r="BF432" s="485"/>
      <c r="BG432" s="485"/>
      <c r="BH432" s="485"/>
      <c r="BI432" s="485"/>
      <c r="BJ432" s="485"/>
      <c r="BK432" s="485"/>
      <c r="BL432" s="485"/>
      <c r="BM432" s="485"/>
      <c r="BN432" s="485"/>
      <c r="BO432" s="485"/>
      <c r="BP432" s="485"/>
      <c r="BQ432" s="485"/>
      <c r="BR432" s="485"/>
      <c r="BS432" s="485"/>
      <c r="BT432" s="485"/>
      <c r="BU432" s="485"/>
      <c r="BV432" s="485"/>
      <c r="BW432" s="485"/>
      <c r="BX432" s="485"/>
      <c r="BY432" s="485"/>
      <c r="BZ432" s="485"/>
      <c r="CA432" s="485"/>
      <c r="CB432" s="485"/>
      <c r="CC432" s="485"/>
      <c r="CD432" s="485"/>
      <c r="CE432" s="485"/>
      <c r="CF432" s="485"/>
      <c r="CG432" s="485"/>
      <c r="CH432" s="485"/>
      <c r="CI432" s="485"/>
      <c r="CJ432" s="485"/>
      <c r="CK432" s="485"/>
      <c r="CL432" s="485"/>
      <c r="CM432" s="485"/>
      <c r="CN432" s="485"/>
      <c r="CO432" s="485"/>
      <c r="CP432" s="485"/>
      <c r="CQ432" s="485"/>
      <c r="CR432" s="485"/>
      <c r="CS432" s="485"/>
      <c r="CT432" s="485"/>
      <c r="CU432" s="485"/>
      <c r="CV432" s="485"/>
      <c r="CW432" s="485"/>
      <c r="CX432" s="485"/>
      <c r="CY432" s="485"/>
      <c r="CZ432" s="485"/>
      <c r="DA432" s="485"/>
      <c r="DB432" s="485"/>
      <c r="DC432" s="485"/>
      <c r="DD432" s="485"/>
      <c r="DE432" s="485"/>
      <c r="DF432" s="485"/>
      <c r="DG432" s="485"/>
      <c r="DH432" s="485"/>
      <c r="DI432" s="485"/>
      <c r="DJ432" s="485"/>
      <c r="DK432" s="485"/>
      <c r="DL432" s="485"/>
      <c r="DM432" s="485"/>
      <c r="DN432" s="485"/>
      <c r="DO432" s="485"/>
      <c r="DP432" s="485"/>
      <c r="DQ432" s="485"/>
      <c r="DR432" s="485"/>
      <c r="DS432" s="485"/>
      <c r="DT432" s="485"/>
      <c r="DU432" s="485"/>
      <c r="DV432" s="485"/>
      <c r="DW432" s="485"/>
      <c r="DX432" s="485"/>
      <c r="DY432" s="485"/>
      <c r="DZ432" s="485"/>
      <c r="EA432" s="485"/>
      <c r="EB432" s="485"/>
      <c r="EC432" s="485"/>
      <c r="ED432" s="485"/>
      <c r="EE432" s="485"/>
      <c r="EF432" s="485"/>
      <c r="EG432" s="485"/>
      <c r="EH432" s="485"/>
      <c r="EI432" s="485"/>
      <c r="EJ432" s="485"/>
      <c r="EK432" s="485"/>
      <c r="EL432" s="485"/>
      <c r="EM432" s="485"/>
      <c r="EN432" s="485"/>
      <c r="EO432" s="485"/>
      <c r="EP432" s="485"/>
    </row>
    <row r="433" spans="1:146" ht="15.75">
      <c r="A433" s="624"/>
      <c r="B433" s="436"/>
      <c r="C433" s="653"/>
      <c r="D433" s="654"/>
      <c r="E433" s="439"/>
      <c r="F433" s="678"/>
      <c r="G433" s="683"/>
      <c r="H433" s="682"/>
      <c r="I433" s="442"/>
      <c r="J433" s="442"/>
      <c r="K433" s="443"/>
      <c r="L433" s="627"/>
      <c r="M433" s="627"/>
      <c r="N433" s="440"/>
      <c r="O433" s="611"/>
      <c r="P433" s="617"/>
      <c r="Q433" s="618"/>
      <c r="R433" s="485"/>
      <c r="S433" s="624"/>
      <c r="T433" s="613"/>
      <c r="U433" s="447"/>
      <c r="V433" s="485"/>
      <c r="W433" s="623"/>
      <c r="X433" s="442"/>
      <c r="Y433" s="485"/>
      <c r="Z433" s="485"/>
      <c r="AA433" s="485"/>
      <c r="AB433" s="485"/>
      <c r="AC433" s="485"/>
      <c r="AD433" s="485"/>
      <c r="AE433" s="485"/>
      <c r="AF433" s="485"/>
      <c r="AG433" s="485"/>
      <c r="AH433" s="485"/>
      <c r="AI433" s="485"/>
      <c r="AJ433" s="485"/>
      <c r="AK433" s="485"/>
      <c r="AL433" s="485"/>
      <c r="AM433" s="485"/>
      <c r="AN433" s="485"/>
      <c r="AO433" s="485"/>
      <c r="AP433" s="485"/>
      <c r="AQ433" s="485"/>
      <c r="AR433" s="485"/>
      <c r="AS433" s="485"/>
      <c r="AT433" s="485"/>
      <c r="AU433" s="485"/>
      <c r="AV433" s="485"/>
      <c r="AW433" s="485"/>
      <c r="AX433" s="485"/>
      <c r="AY433" s="485"/>
      <c r="AZ433" s="485"/>
      <c r="BA433" s="485"/>
      <c r="BB433" s="485"/>
      <c r="BC433" s="485"/>
      <c r="BD433" s="485"/>
      <c r="BE433" s="485"/>
      <c r="BF433" s="485"/>
      <c r="BG433" s="485"/>
      <c r="BH433" s="485"/>
      <c r="BI433" s="485"/>
      <c r="BJ433" s="485"/>
      <c r="BK433" s="485"/>
      <c r="BL433" s="485"/>
      <c r="BM433" s="485"/>
      <c r="BN433" s="485"/>
      <c r="BO433" s="485"/>
      <c r="BP433" s="485"/>
      <c r="BQ433" s="485"/>
      <c r="BR433" s="485"/>
      <c r="BS433" s="485"/>
      <c r="BT433" s="485"/>
      <c r="BU433" s="485"/>
      <c r="BV433" s="485"/>
      <c r="BW433" s="485"/>
      <c r="BX433" s="485"/>
      <c r="BY433" s="485"/>
      <c r="BZ433" s="485"/>
      <c r="CA433" s="485"/>
      <c r="CB433" s="485"/>
      <c r="CC433" s="485"/>
      <c r="CD433" s="485"/>
      <c r="CE433" s="485"/>
      <c r="CF433" s="485"/>
      <c r="CG433" s="485"/>
      <c r="CH433" s="485"/>
      <c r="CI433" s="485"/>
      <c r="CJ433" s="485"/>
      <c r="CK433" s="485"/>
      <c r="CL433" s="485"/>
      <c r="CM433" s="485"/>
      <c r="CN433" s="485"/>
      <c r="CO433" s="485"/>
      <c r="CP433" s="485"/>
      <c r="CQ433" s="485"/>
      <c r="CR433" s="485"/>
      <c r="CS433" s="485"/>
      <c r="CT433" s="485"/>
      <c r="CU433" s="485"/>
      <c r="CV433" s="485"/>
      <c r="CW433" s="485"/>
      <c r="CX433" s="485"/>
      <c r="CY433" s="485"/>
      <c r="CZ433" s="485"/>
      <c r="DA433" s="485"/>
      <c r="DB433" s="485"/>
      <c r="DC433" s="485"/>
      <c r="DD433" s="485"/>
      <c r="DE433" s="485"/>
      <c r="DF433" s="485"/>
      <c r="DG433" s="485"/>
      <c r="DH433" s="485"/>
      <c r="DI433" s="485"/>
      <c r="DJ433" s="485"/>
      <c r="DK433" s="485"/>
      <c r="DL433" s="485"/>
      <c r="DM433" s="485"/>
      <c r="DN433" s="485"/>
      <c r="DO433" s="485"/>
      <c r="DP433" s="485"/>
      <c r="DQ433" s="485"/>
      <c r="DR433" s="485"/>
      <c r="DS433" s="485"/>
      <c r="DT433" s="485"/>
      <c r="DU433" s="485"/>
      <c r="DV433" s="485"/>
      <c r="DW433" s="485"/>
      <c r="DX433" s="485"/>
      <c r="DY433" s="485"/>
      <c r="DZ433" s="485"/>
      <c r="EA433" s="485"/>
      <c r="EB433" s="485"/>
      <c r="EC433" s="485"/>
      <c r="ED433" s="485"/>
      <c r="EE433" s="485"/>
      <c r="EF433" s="485"/>
      <c r="EG433" s="485"/>
      <c r="EH433" s="485"/>
      <c r="EI433" s="485"/>
      <c r="EJ433" s="485"/>
      <c r="EK433" s="485"/>
      <c r="EL433" s="485"/>
      <c r="EM433" s="485"/>
      <c r="EN433" s="485"/>
      <c r="EO433" s="485"/>
      <c r="EP433" s="485"/>
    </row>
    <row r="434" spans="1:146" ht="15.75">
      <c r="A434" s="624"/>
      <c r="B434" s="436"/>
      <c r="C434" s="653"/>
      <c r="D434" s="654"/>
      <c r="E434" s="439"/>
      <c r="F434" s="678"/>
      <c r="G434" s="683"/>
      <c r="H434" s="682"/>
      <c r="I434" s="442"/>
      <c r="J434" s="442"/>
      <c r="K434" s="443"/>
      <c r="L434" s="627"/>
      <c r="M434" s="627"/>
      <c r="N434" s="440"/>
      <c r="O434" s="611"/>
      <c r="P434" s="617"/>
      <c r="Q434" s="618"/>
      <c r="R434" s="485"/>
      <c r="S434" s="624"/>
      <c r="T434" s="613"/>
      <c r="U434" s="447"/>
      <c r="V434" s="485"/>
      <c r="W434" s="623"/>
      <c r="X434" s="442"/>
      <c r="Y434" s="485"/>
      <c r="Z434" s="485"/>
      <c r="AA434" s="485"/>
      <c r="AB434" s="485"/>
      <c r="AC434" s="485"/>
      <c r="AD434" s="485"/>
      <c r="AE434" s="485"/>
      <c r="AF434" s="485"/>
      <c r="AG434" s="485"/>
      <c r="AH434" s="485"/>
      <c r="AI434" s="485"/>
      <c r="AJ434" s="485"/>
      <c r="AK434" s="485"/>
      <c r="AL434" s="485"/>
      <c r="AM434" s="485"/>
      <c r="AN434" s="485"/>
      <c r="AO434" s="485"/>
      <c r="AP434" s="485"/>
      <c r="AQ434" s="485"/>
      <c r="AR434" s="485"/>
      <c r="AS434" s="485"/>
      <c r="AT434" s="485"/>
      <c r="AU434" s="485"/>
      <c r="AV434" s="485"/>
      <c r="AW434" s="485"/>
      <c r="AX434" s="485"/>
      <c r="AY434" s="485"/>
      <c r="AZ434" s="485"/>
      <c r="BA434" s="485"/>
      <c r="BB434" s="485"/>
      <c r="BC434" s="485"/>
      <c r="BD434" s="485"/>
      <c r="BE434" s="485"/>
      <c r="BF434" s="485"/>
      <c r="BG434" s="485"/>
      <c r="BH434" s="485"/>
      <c r="BI434" s="485"/>
      <c r="BJ434" s="485"/>
      <c r="BK434" s="485"/>
      <c r="BL434" s="485"/>
      <c r="BM434" s="485"/>
      <c r="BN434" s="485"/>
      <c r="BO434" s="485"/>
      <c r="BP434" s="485"/>
      <c r="BQ434" s="485"/>
      <c r="BR434" s="485"/>
      <c r="BS434" s="485"/>
      <c r="BT434" s="485"/>
      <c r="BU434" s="485"/>
      <c r="BV434" s="485"/>
      <c r="BW434" s="485"/>
      <c r="BX434" s="485"/>
      <c r="BY434" s="485"/>
      <c r="BZ434" s="485"/>
      <c r="CA434" s="485"/>
      <c r="CB434" s="485"/>
      <c r="CC434" s="485"/>
      <c r="CD434" s="485"/>
      <c r="CE434" s="485"/>
      <c r="CF434" s="485"/>
      <c r="CG434" s="485"/>
      <c r="CH434" s="485"/>
      <c r="CI434" s="485"/>
      <c r="CJ434" s="485"/>
      <c r="CK434" s="485"/>
      <c r="CL434" s="485"/>
      <c r="CM434" s="485"/>
      <c r="CN434" s="485"/>
      <c r="CO434" s="485"/>
      <c r="CP434" s="485"/>
      <c r="CQ434" s="485"/>
      <c r="CR434" s="485"/>
      <c r="CS434" s="485"/>
      <c r="CT434" s="485"/>
      <c r="CU434" s="485"/>
      <c r="CV434" s="485"/>
      <c r="CW434" s="485"/>
      <c r="CX434" s="485"/>
      <c r="CY434" s="485"/>
      <c r="CZ434" s="485"/>
      <c r="DA434" s="485"/>
      <c r="DB434" s="485"/>
      <c r="DC434" s="485"/>
      <c r="DD434" s="485"/>
      <c r="DE434" s="485"/>
      <c r="DF434" s="485"/>
      <c r="DG434" s="485"/>
      <c r="DH434" s="485"/>
      <c r="DI434" s="485"/>
      <c r="DJ434" s="485"/>
      <c r="DK434" s="485"/>
      <c r="DL434" s="485"/>
      <c r="DM434" s="485"/>
      <c r="DN434" s="485"/>
      <c r="DO434" s="485"/>
      <c r="DP434" s="485"/>
      <c r="DQ434" s="485"/>
      <c r="DR434" s="485"/>
      <c r="DS434" s="485"/>
      <c r="DT434" s="485"/>
      <c r="DU434" s="485"/>
      <c r="DV434" s="485"/>
      <c r="DW434" s="485"/>
      <c r="DX434" s="485"/>
      <c r="DY434" s="485"/>
      <c r="DZ434" s="485"/>
      <c r="EA434" s="485"/>
      <c r="EB434" s="485"/>
      <c r="EC434" s="485"/>
      <c r="ED434" s="485"/>
      <c r="EE434" s="485"/>
      <c r="EF434" s="485"/>
      <c r="EG434" s="485"/>
      <c r="EH434" s="485"/>
      <c r="EI434" s="485"/>
      <c r="EJ434" s="485"/>
      <c r="EK434" s="485"/>
      <c r="EL434" s="485"/>
      <c r="EM434" s="485"/>
      <c r="EN434" s="485"/>
      <c r="EO434" s="485"/>
      <c r="EP434" s="485"/>
    </row>
    <row r="435" spans="1:146" ht="15.75">
      <c r="A435" s="624"/>
      <c r="B435" s="436"/>
      <c r="C435" s="653"/>
      <c r="D435" s="654"/>
      <c r="E435" s="439"/>
      <c r="F435" s="678"/>
      <c r="G435" s="683"/>
      <c r="H435" s="682"/>
      <c r="I435" s="442"/>
      <c r="J435" s="442"/>
      <c r="K435" s="443"/>
      <c r="L435" s="627"/>
      <c r="M435" s="627"/>
      <c r="N435" s="440"/>
      <c r="O435" s="611"/>
      <c r="P435" s="617"/>
      <c r="Q435" s="618"/>
      <c r="R435" s="485"/>
      <c r="S435" s="624"/>
      <c r="T435" s="613"/>
      <c r="U435" s="447"/>
      <c r="V435" s="485"/>
      <c r="W435" s="623"/>
      <c r="X435" s="442"/>
      <c r="Y435" s="485"/>
      <c r="Z435" s="485"/>
      <c r="AA435" s="485"/>
      <c r="AB435" s="485"/>
      <c r="AC435" s="485"/>
      <c r="AD435" s="485"/>
      <c r="AE435" s="485"/>
      <c r="AF435" s="485"/>
      <c r="AG435" s="485"/>
      <c r="AH435" s="485"/>
      <c r="AI435" s="485"/>
      <c r="AJ435" s="485"/>
      <c r="AK435" s="485"/>
      <c r="AL435" s="485"/>
      <c r="AM435" s="485"/>
      <c r="AN435" s="485"/>
      <c r="AO435" s="485"/>
      <c r="AP435" s="485"/>
      <c r="AQ435" s="485"/>
      <c r="AR435" s="485"/>
      <c r="AS435" s="485"/>
      <c r="AT435" s="485"/>
      <c r="AU435" s="485"/>
      <c r="AV435" s="485"/>
      <c r="AW435" s="485"/>
      <c r="AX435" s="485"/>
      <c r="AY435" s="485"/>
      <c r="AZ435" s="485"/>
      <c r="BA435" s="485"/>
      <c r="BB435" s="485"/>
      <c r="BC435" s="485"/>
      <c r="BD435" s="485"/>
      <c r="BE435" s="485"/>
      <c r="BF435" s="485"/>
      <c r="BG435" s="485"/>
      <c r="BH435" s="485"/>
      <c r="BI435" s="485"/>
      <c r="BJ435" s="485"/>
      <c r="BK435" s="485"/>
      <c r="BL435" s="485"/>
      <c r="BM435" s="485"/>
      <c r="BN435" s="485"/>
      <c r="BO435" s="485"/>
      <c r="BP435" s="485"/>
      <c r="BQ435" s="485"/>
      <c r="BR435" s="485"/>
      <c r="BS435" s="485"/>
      <c r="BT435" s="485"/>
      <c r="BU435" s="485"/>
      <c r="BV435" s="485"/>
      <c r="BW435" s="485"/>
      <c r="BX435" s="485"/>
      <c r="BY435" s="485"/>
      <c r="BZ435" s="485"/>
      <c r="CA435" s="485"/>
      <c r="CB435" s="485"/>
      <c r="CC435" s="485"/>
      <c r="CD435" s="485"/>
      <c r="CE435" s="485"/>
      <c r="CF435" s="485"/>
      <c r="CG435" s="485"/>
      <c r="CH435" s="485"/>
      <c r="CI435" s="485"/>
      <c r="CJ435" s="485"/>
      <c r="CK435" s="485"/>
      <c r="CL435" s="485"/>
      <c r="CM435" s="485"/>
      <c r="CN435" s="485"/>
      <c r="CO435" s="485"/>
      <c r="CP435" s="485"/>
      <c r="CQ435" s="485"/>
      <c r="CR435" s="485"/>
      <c r="CS435" s="485"/>
      <c r="CT435" s="485"/>
      <c r="CU435" s="485"/>
      <c r="CV435" s="485"/>
      <c r="CW435" s="485"/>
      <c r="CX435" s="485"/>
      <c r="CY435" s="485"/>
      <c r="CZ435" s="485"/>
      <c r="DA435" s="485"/>
      <c r="DB435" s="485"/>
      <c r="DC435" s="485"/>
      <c r="DD435" s="485"/>
      <c r="DE435" s="485"/>
      <c r="DF435" s="485"/>
      <c r="DG435" s="485"/>
      <c r="DH435" s="485"/>
      <c r="DI435" s="485"/>
      <c r="DJ435" s="485"/>
      <c r="DK435" s="485"/>
      <c r="DL435" s="485"/>
      <c r="DM435" s="485"/>
      <c r="DN435" s="485"/>
      <c r="DO435" s="485"/>
      <c r="DP435" s="485"/>
      <c r="DQ435" s="485"/>
      <c r="DR435" s="485"/>
      <c r="DS435" s="485"/>
      <c r="DT435" s="485"/>
      <c r="DU435" s="485"/>
      <c r="DV435" s="485"/>
      <c r="DW435" s="485"/>
      <c r="DX435" s="485"/>
      <c r="DY435" s="485"/>
      <c r="DZ435" s="485"/>
      <c r="EA435" s="485"/>
      <c r="EB435" s="485"/>
      <c r="EC435" s="485"/>
      <c r="ED435" s="485"/>
      <c r="EE435" s="485"/>
      <c r="EF435" s="485"/>
      <c r="EG435" s="485"/>
      <c r="EH435" s="485"/>
      <c r="EI435" s="485"/>
      <c r="EJ435" s="485"/>
      <c r="EK435" s="485"/>
      <c r="EL435" s="485"/>
      <c r="EM435" s="485"/>
      <c r="EN435" s="485"/>
      <c r="EO435" s="485"/>
      <c r="EP435" s="485"/>
    </row>
    <row r="436" spans="1:146" ht="15.75">
      <c r="A436" s="624"/>
      <c r="B436" s="436"/>
      <c r="C436" s="653"/>
      <c r="D436" s="654"/>
      <c r="E436" s="439"/>
      <c r="F436" s="678"/>
      <c r="G436" s="683"/>
      <c r="H436" s="682"/>
      <c r="I436" s="442"/>
      <c r="J436" s="442"/>
      <c r="K436" s="443"/>
      <c r="L436" s="627"/>
      <c r="M436" s="627"/>
      <c r="N436" s="440"/>
      <c r="O436" s="611"/>
      <c r="P436" s="617"/>
      <c r="Q436" s="618"/>
      <c r="R436" s="485"/>
      <c r="S436" s="624"/>
      <c r="T436" s="613"/>
      <c r="U436" s="447"/>
      <c r="V436" s="485"/>
      <c r="W436" s="623"/>
      <c r="X436" s="442"/>
      <c r="Y436" s="485"/>
      <c r="Z436" s="485"/>
      <c r="AA436" s="485"/>
      <c r="AB436" s="485"/>
      <c r="AC436" s="485"/>
      <c r="AD436" s="485"/>
      <c r="AE436" s="485"/>
      <c r="AF436" s="485"/>
      <c r="AG436" s="485"/>
      <c r="AH436" s="485"/>
      <c r="AI436" s="485"/>
      <c r="AJ436" s="485"/>
      <c r="AK436" s="485"/>
      <c r="AL436" s="485"/>
      <c r="AM436" s="485"/>
      <c r="AN436" s="485"/>
      <c r="AO436" s="485"/>
      <c r="AP436" s="485"/>
      <c r="AQ436" s="485"/>
      <c r="AR436" s="485"/>
      <c r="AS436" s="485"/>
      <c r="AT436" s="485"/>
      <c r="AU436" s="485"/>
      <c r="AV436" s="485"/>
      <c r="AW436" s="485"/>
      <c r="AX436" s="485"/>
      <c r="AY436" s="485"/>
      <c r="AZ436" s="485"/>
      <c r="BA436" s="485"/>
      <c r="BB436" s="485"/>
      <c r="BC436" s="485"/>
      <c r="BD436" s="485"/>
      <c r="BE436" s="485"/>
      <c r="BF436" s="485"/>
      <c r="BG436" s="485"/>
      <c r="BH436" s="485"/>
      <c r="BI436" s="485"/>
      <c r="BJ436" s="485"/>
      <c r="BK436" s="485"/>
      <c r="BL436" s="485"/>
      <c r="BM436" s="485"/>
      <c r="BN436" s="485"/>
      <c r="BO436" s="485"/>
      <c r="BP436" s="485"/>
      <c r="BQ436" s="485"/>
      <c r="BR436" s="485"/>
      <c r="BS436" s="485"/>
      <c r="BT436" s="485"/>
      <c r="BU436" s="485"/>
      <c r="BV436" s="485"/>
      <c r="BW436" s="485"/>
      <c r="BX436" s="485"/>
      <c r="BY436" s="485"/>
      <c r="BZ436" s="485"/>
      <c r="CA436" s="485"/>
      <c r="CB436" s="485"/>
      <c r="CC436" s="485"/>
      <c r="CD436" s="485"/>
      <c r="CE436" s="485"/>
      <c r="CF436" s="485"/>
      <c r="CG436" s="485"/>
      <c r="CH436" s="485"/>
      <c r="CI436" s="485"/>
      <c r="CJ436" s="485"/>
      <c r="CK436" s="485"/>
      <c r="CL436" s="485"/>
      <c r="CM436" s="485"/>
      <c r="CN436" s="485"/>
      <c r="CO436" s="485"/>
      <c r="CP436" s="485"/>
      <c r="CQ436" s="485"/>
      <c r="CR436" s="485"/>
      <c r="CS436" s="485"/>
      <c r="CT436" s="485"/>
      <c r="CU436" s="485"/>
      <c r="CV436" s="485"/>
      <c r="CW436" s="485"/>
      <c r="CX436" s="485"/>
      <c r="CY436" s="485"/>
      <c r="CZ436" s="485"/>
      <c r="DA436" s="485"/>
      <c r="DB436" s="485"/>
      <c r="DC436" s="485"/>
      <c r="DD436" s="485"/>
      <c r="DE436" s="485"/>
      <c r="DF436" s="485"/>
      <c r="DG436" s="485"/>
      <c r="DH436" s="485"/>
      <c r="DI436" s="485"/>
      <c r="DJ436" s="485"/>
      <c r="DK436" s="485"/>
      <c r="DL436" s="485"/>
      <c r="DM436" s="485"/>
      <c r="DN436" s="485"/>
      <c r="DO436" s="485"/>
      <c r="DP436" s="485"/>
      <c r="DQ436" s="485"/>
      <c r="DR436" s="485"/>
      <c r="DS436" s="485"/>
      <c r="DT436" s="485"/>
      <c r="DU436" s="485"/>
      <c r="DV436" s="485"/>
      <c r="DW436" s="485"/>
      <c r="DX436" s="485"/>
      <c r="DY436" s="485"/>
      <c r="DZ436" s="485"/>
      <c r="EA436" s="485"/>
      <c r="EB436" s="485"/>
      <c r="EC436" s="485"/>
      <c r="ED436" s="485"/>
      <c r="EE436" s="485"/>
      <c r="EF436" s="485"/>
      <c r="EG436" s="485"/>
      <c r="EH436" s="485"/>
      <c r="EI436" s="485"/>
      <c r="EJ436" s="485"/>
      <c r="EK436" s="485"/>
      <c r="EL436" s="485"/>
      <c r="EM436" s="485"/>
      <c r="EN436" s="485"/>
      <c r="EO436" s="485"/>
      <c r="EP436" s="485"/>
    </row>
    <row r="437" spans="1:146" ht="15.75">
      <c r="A437" s="624"/>
      <c r="B437" s="436"/>
      <c r="C437" s="653"/>
      <c r="D437" s="654"/>
      <c r="E437" s="439"/>
      <c r="F437" s="678"/>
      <c r="G437" s="683"/>
      <c r="H437" s="682"/>
      <c r="I437" s="442"/>
      <c r="J437" s="442"/>
      <c r="K437" s="443"/>
      <c r="L437" s="627"/>
      <c r="M437" s="627"/>
      <c r="N437" s="440"/>
      <c r="O437" s="611"/>
      <c r="P437" s="617"/>
      <c r="Q437" s="618"/>
      <c r="R437" s="485"/>
      <c r="S437" s="624"/>
      <c r="T437" s="613"/>
      <c r="U437" s="447"/>
      <c r="V437" s="485"/>
      <c r="W437" s="623"/>
      <c r="X437" s="442"/>
      <c r="Y437" s="485"/>
      <c r="Z437" s="485"/>
      <c r="AA437" s="485"/>
      <c r="AB437" s="485"/>
      <c r="AC437" s="485"/>
      <c r="AD437" s="485"/>
      <c r="AE437" s="485"/>
      <c r="AF437" s="485"/>
      <c r="AG437" s="485"/>
      <c r="AH437" s="485"/>
      <c r="AI437" s="485"/>
      <c r="AJ437" s="485"/>
      <c r="AK437" s="485"/>
      <c r="AL437" s="485"/>
      <c r="AM437" s="485"/>
      <c r="AN437" s="485"/>
      <c r="AO437" s="485"/>
      <c r="AP437" s="485"/>
      <c r="AQ437" s="485"/>
      <c r="AR437" s="485"/>
      <c r="AS437" s="485"/>
      <c r="AT437" s="485"/>
      <c r="AU437" s="485"/>
      <c r="AV437" s="485"/>
      <c r="AW437" s="485"/>
      <c r="AX437" s="485"/>
      <c r="AY437" s="485"/>
      <c r="AZ437" s="485"/>
      <c r="BA437" s="485"/>
      <c r="BB437" s="485"/>
      <c r="BC437" s="485"/>
      <c r="BD437" s="485"/>
      <c r="BE437" s="485"/>
      <c r="BF437" s="485"/>
      <c r="BG437" s="485"/>
      <c r="BH437" s="485"/>
      <c r="BI437" s="485"/>
      <c r="BJ437" s="485"/>
      <c r="BK437" s="485"/>
      <c r="BL437" s="485"/>
      <c r="BM437" s="485"/>
      <c r="BN437" s="485"/>
      <c r="BO437" s="485"/>
      <c r="BP437" s="485"/>
      <c r="BQ437" s="485"/>
      <c r="BR437" s="485"/>
      <c r="BS437" s="485"/>
      <c r="BT437" s="485"/>
      <c r="BU437" s="485"/>
      <c r="BV437" s="485"/>
      <c r="BW437" s="485"/>
      <c r="BX437" s="485"/>
      <c r="BY437" s="485"/>
      <c r="BZ437" s="485"/>
      <c r="CA437" s="485"/>
      <c r="CB437" s="485"/>
      <c r="CC437" s="485"/>
      <c r="CD437" s="485"/>
      <c r="CE437" s="485"/>
      <c r="CF437" s="485"/>
      <c r="CG437" s="485"/>
      <c r="CH437" s="485"/>
      <c r="CI437" s="485"/>
      <c r="CJ437" s="485"/>
      <c r="CK437" s="485"/>
      <c r="CL437" s="485"/>
      <c r="CM437" s="485"/>
      <c r="CN437" s="485"/>
      <c r="CO437" s="485"/>
      <c r="CP437" s="485"/>
      <c r="CQ437" s="485"/>
      <c r="CR437" s="485"/>
      <c r="CS437" s="485"/>
      <c r="CT437" s="485"/>
      <c r="CU437" s="485"/>
      <c r="CV437" s="485"/>
      <c r="CW437" s="485"/>
      <c r="CX437" s="485"/>
      <c r="CY437" s="485"/>
      <c r="CZ437" s="485"/>
      <c r="DA437" s="485"/>
      <c r="DB437" s="485"/>
      <c r="DC437" s="485"/>
      <c r="DD437" s="485"/>
      <c r="DE437" s="485"/>
      <c r="DF437" s="485"/>
      <c r="DG437" s="485"/>
      <c r="DH437" s="485"/>
      <c r="DI437" s="485"/>
      <c r="DJ437" s="485"/>
      <c r="DK437" s="485"/>
      <c r="DL437" s="485"/>
      <c r="DM437" s="485"/>
      <c r="DN437" s="485"/>
      <c r="DO437" s="485"/>
      <c r="DP437" s="485"/>
      <c r="DQ437" s="485"/>
      <c r="DR437" s="485"/>
      <c r="DS437" s="485"/>
      <c r="DT437" s="485"/>
      <c r="DU437" s="485"/>
      <c r="DV437" s="485"/>
      <c r="DW437" s="485"/>
      <c r="DX437" s="485"/>
      <c r="DY437" s="485"/>
      <c r="DZ437" s="485"/>
      <c r="EA437" s="485"/>
      <c r="EB437" s="485"/>
      <c r="EC437" s="485"/>
      <c r="ED437" s="485"/>
      <c r="EE437" s="485"/>
      <c r="EF437" s="485"/>
      <c r="EG437" s="485"/>
      <c r="EH437" s="485"/>
      <c r="EI437" s="485"/>
      <c r="EJ437" s="485"/>
      <c r="EK437" s="485"/>
      <c r="EL437" s="485"/>
      <c r="EM437" s="485"/>
      <c r="EN437" s="485"/>
      <c r="EO437" s="485"/>
      <c r="EP437" s="485"/>
    </row>
    <row r="438" spans="1:146" ht="15.75">
      <c r="A438" s="485"/>
      <c r="B438" s="643"/>
      <c r="C438" s="653"/>
      <c r="D438" s="654"/>
      <c r="E438" s="439"/>
      <c r="F438" s="679"/>
      <c r="G438" s="683"/>
      <c r="H438" s="682"/>
      <c r="I438" s="442"/>
      <c r="J438" s="442"/>
      <c r="K438" s="443"/>
      <c r="L438" s="627"/>
      <c r="M438" s="627"/>
      <c r="N438" s="440"/>
      <c r="O438" s="611"/>
      <c r="P438" s="617"/>
      <c r="Q438" s="618"/>
      <c r="R438" s="485"/>
      <c r="S438" s="624"/>
      <c r="T438" s="613"/>
      <c r="U438" s="625"/>
      <c r="V438" s="485"/>
      <c r="W438" s="623"/>
      <c r="X438" s="442"/>
      <c r="Y438" s="485"/>
      <c r="Z438" s="485"/>
      <c r="AA438" s="485"/>
      <c r="AB438" s="485"/>
      <c r="AC438" s="485"/>
      <c r="AD438" s="485"/>
      <c r="AE438" s="485"/>
      <c r="AF438" s="485"/>
      <c r="AG438" s="485"/>
      <c r="AH438" s="485"/>
      <c r="AI438" s="485"/>
      <c r="AJ438" s="485"/>
      <c r="AK438" s="485"/>
      <c r="AL438" s="485"/>
      <c r="AM438" s="485"/>
      <c r="AN438" s="485"/>
      <c r="AO438" s="485"/>
      <c r="AP438" s="485"/>
      <c r="AQ438" s="485"/>
      <c r="AR438" s="485"/>
      <c r="AS438" s="485"/>
      <c r="AT438" s="485"/>
      <c r="AU438" s="485"/>
      <c r="AV438" s="485"/>
      <c r="AW438" s="485"/>
      <c r="AX438" s="485"/>
      <c r="AY438" s="485"/>
      <c r="AZ438" s="485"/>
      <c r="BA438" s="485"/>
      <c r="BB438" s="485"/>
      <c r="BC438" s="485"/>
      <c r="BD438" s="485"/>
      <c r="BE438" s="485"/>
      <c r="BF438" s="485"/>
      <c r="BG438" s="485"/>
      <c r="BH438" s="485"/>
      <c r="BI438" s="485"/>
      <c r="BJ438" s="485"/>
      <c r="BK438" s="485"/>
      <c r="BL438" s="485"/>
      <c r="BM438" s="485"/>
      <c r="BN438" s="485"/>
      <c r="BO438" s="485"/>
      <c r="BP438" s="485"/>
      <c r="BQ438" s="485"/>
      <c r="BR438" s="485"/>
      <c r="BS438" s="485"/>
      <c r="BT438" s="485"/>
      <c r="BU438" s="485"/>
      <c r="BV438" s="485"/>
      <c r="BW438" s="485"/>
      <c r="BX438" s="485"/>
      <c r="BY438" s="485"/>
      <c r="BZ438" s="485"/>
      <c r="CA438" s="485"/>
      <c r="CB438" s="485"/>
      <c r="CC438" s="485"/>
      <c r="CD438" s="485"/>
      <c r="CE438" s="485"/>
      <c r="CF438" s="485"/>
      <c r="CG438" s="485"/>
      <c r="CH438" s="485"/>
      <c r="CI438" s="485"/>
      <c r="CJ438" s="485"/>
      <c r="CK438" s="485"/>
      <c r="CL438" s="485"/>
      <c r="CM438" s="485"/>
      <c r="CN438" s="485"/>
      <c r="CO438" s="485"/>
      <c r="CP438" s="485"/>
      <c r="CQ438" s="485"/>
      <c r="CR438" s="485"/>
      <c r="CS438" s="485"/>
      <c r="CT438" s="485"/>
      <c r="CU438" s="485"/>
      <c r="CV438" s="485"/>
      <c r="CW438" s="485"/>
      <c r="CX438" s="485"/>
      <c r="CY438" s="485"/>
      <c r="CZ438" s="485"/>
      <c r="DA438" s="485"/>
      <c r="DB438" s="485"/>
      <c r="DC438" s="485"/>
      <c r="DD438" s="485"/>
      <c r="DE438" s="485"/>
      <c r="DF438" s="485"/>
      <c r="DG438" s="485"/>
      <c r="DH438" s="485"/>
      <c r="DI438" s="485"/>
      <c r="DJ438" s="485"/>
      <c r="DK438" s="485"/>
      <c r="DL438" s="485"/>
      <c r="DM438" s="485"/>
      <c r="DN438" s="485"/>
      <c r="DO438" s="485"/>
      <c r="DP438" s="485"/>
      <c r="DQ438" s="485"/>
      <c r="DR438" s="485"/>
      <c r="DS438" s="485"/>
      <c r="DT438" s="485"/>
      <c r="DU438" s="485"/>
      <c r="DV438" s="485"/>
      <c r="DW438" s="485"/>
      <c r="DX438" s="485"/>
      <c r="DY438" s="485"/>
      <c r="DZ438" s="485"/>
      <c r="EA438" s="485"/>
      <c r="EB438" s="485"/>
      <c r="EC438" s="485"/>
      <c r="ED438" s="485"/>
      <c r="EE438" s="485"/>
      <c r="EF438" s="485"/>
      <c r="EG438" s="485"/>
      <c r="EH438" s="485"/>
      <c r="EI438" s="485"/>
      <c r="EJ438" s="485"/>
      <c r="EK438" s="485"/>
      <c r="EL438" s="485"/>
      <c r="EM438" s="485"/>
      <c r="EN438" s="485"/>
      <c r="EO438" s="485"/>
      <c r="EP438" s="485"/>
    </row>
    <row r="439" spans="1:146" ht="15.75">
      <c r="A439" s="468"/>
      <c r="B439" s="643" t="s">
        <v>470</v>
      </c>
      <c r="C439" s="653"/>
      <c r="D439" s="654"/>
      <c r="E439" s="439"/>
      <c r="F439" s="679"/>
      <c r="G439" s="683"/>
      <c r="H439" s="682"/>
      <c r="I439" s="442"/>
      <c r="J439" s="442"/>
      <c r="K439" s="443"/>
      <c r="L439" s="627"/>
      <c r="M439" s="627"/>
      <c r="N439" s="440"/>
      <c r="O439" s="611"/>
      <c r="P439" s="617"/>
      <c r="Q439" s="618"/>
      <c r="R439" s="485"/>
      <c r="S439" s="624"/>
      <c r="T439" s="613"/>
      <c r="U439" s="625"/>
      <c r="V439" s="485"/>
      <c r="W439" s="623"/>
      <c r="X439" s="442"/>
      <c r="Y439" s="485"/>
      <c r="Z439" s="485"/>
      <c r="AA439" s="485"/>
      <c r="AB439" s="485"/>
      <c r="AC439" s="485"/>
      <c r="AD439" s="485"/>
      <c r="AE439" s="485"/>
      <c r="AF439" s="485"/>
      <c r="AG439" s="485"/>
      <c r="AH439" s="485"/>
      <c r="AI439" s="485"/>
      <c r="AJ439" s="485"/>
      <c r="AK439" s="485"/>
      <c r="AL439" s="485"/>
      <c r="AM439" s="485"/>
      <c r="AN439" s="485"/>
      <c r="AO439" s="485"/>
      <c r="AP439" s="485"/>
      <c r="AQ439" s="485"/>
      <c r="AR439" s="485"/>
      <c r="AS439" s="485"/>
      <c r="AT439" s="485"/>
      <c r="AU439" s="485"/>
      <c r="AV439" s="485"/>
      <c r="AW439" s="485"/>
      <c r="AX439" s="485"/>
      <c r="AY439" s="485"/>
      <c r="AZ439" s="485"/>
      <c r="BA439" s="485"/>
      <c r="BB439" s="485"/>
      <c r="BC439" s="485"/>
      <c r="BD439" s="485"/>
      <c r="BE439" s="485"/>
      <c r="BF439" s="485"/>
      <c r="BG439" s="485"/>
      <c r="BH439" s="485"/>
      <c r="BI439" s="485"/>
      <c r="BJ439" s="485"/>
      <c r="BK439" s="485"/>
      <c r="BL439" s="485"/>
      <c r="BM439" s="485"/>
      <c r="BN439" s="485"/>
      <c r="BO439" s="485"/>
      <c r="BP439" s="485"/>
      <c r="BQ439" s="485"/>
      <c r="BR439" s="485"/>
      <c r="BS439" s="485"/>
      <c r="BT439" s="485"/>
      <c r="BU439" s="485"/>
      <c r="BV439" s="485"/>
      <c r="BW439" s="485"/>
      <c r="BX439" s="485"/>
      <c r="BY439" s="485"/>
      <c r="BZ439" s="485"/>
      <c r="CA439" s="485"/>
      <c r="CB439" s="485"/>
      <c r="CC439" s="485"/>
      <c r="CD439" s="485"/>
      <c r="CE439" s="485"/>
      <c r="CF439" s="485"/>
      <c r="CG439" s="485"/>
      <c r="CH439" s="485"/>
      <c r="CI439" s="485"/>
      <c r="CJ439" s="485"/>
      <c r="CK439" s="485"/>
      <c r="CL439" s="485"/>
      <c r="CM439" s="485"/>
      <c r="CN439" s="485"/>
      <c r="CO439" s="485"/>
      <c r="CP439" s="485"/>
      <c r="CQ439" s="485"/>
      <c r="CR439" s="485"/>
      <c r="CS439" s="485"/>
      <c r="CT439" s="485"/>
      <c r="CU439" s="485"/>
      <c r="CV439" s="485"/>
      <c r="CW439" s="485"/>
      <c r="CX439" s="485"/>
      <c r="CY439" s="485"/>
      <c r="CZ439" s="485"/>
      <c r="DA439" s="485"/>
      <c r="DB439" s="485"/>
      <c r="DC439" s="485"/>
      <c r="DD439" s="485"/>
      <c r="DE439" s="485"/>
      <c r="DF439" s="485"/>
      <c r="DG439" s="485"/>
      <c r="DH439" s="485"/>
      <c r="DI439" s="485"/>
      <c r="DJ439" s="485"/>
      <c r="DK439" s="485"/>
      <c r="DL439" s="485"/>
      <c r="DM439" s="485"/>
      <c r="DN439" s="485"/>
      <c r="DO439" s="485"/>
      <c r="DP439" s="485"/>
      <c r="DQ439" s="485"/>
      <c r="DR439" s="485"/>
      <c r="DS439" s="485"/>
      <c r="DT439" s="485"/>
      <c r="DU439" s="485"/>
      <c r="DV439" s="485"/>
      <c r="DW439" s="485"/>
      <c r="DX439" s="485"/>
      <c r="DY439" s="485"/>
      <c r="DZ439" s="485"/>
      <c r="EA439" s="485"/>
      <c r="EB439" s="485"/>
      <c r="EC439" s="485"/>
      <c r="ED439" s="485"/>
      <c r="EE439" s="485"/>
      <c r="EF439" s="485"/>
      <c r="EG439" s="485"/>
      <c r="EH439" s="485"/>
      <c r="EI439" s="485"/>
      <c r="EJ439" s="485"/>
      <c r="EK439" s="485"/>
      <c r="EL439" s="485"/>
      <c r="EM439" s="485"/>
      <c r="EN439" s="485"/>
      <c r="EO439" s="485"/>
      <c r="EP439" s="485"/>
    </row>
    <row r="440" spans="1:146" ht="16.5" thickBot="1">
      <c r="A440" s="468"/>
      <c r="B440" s="643"/>
      <c r="C440" s="653"/>
      <c r="D440" s="654"/>
      <c r="E440" s="439"/>
      <c r="F440" s="439"/>
      <c r="G440" s="683"/>
      <c r="H440" s="460"/>
      <c r="I440" s="442"/>
      <c r="J440" s="442"/>
      <c r="K440" s="443"/>
      <c r="L440" s="627"/>
      <c r="M440" s="627"/>
      <c r="N440" s="440"/>
      <c r="O440" s="611"/>
      <c r="P440" s="617"/>
      <c r="Q440" s="618"/>
      <c r="R440" s="485"/>
      <c r="S440" s="624"/>
      <c r="T440" s="613"/>
      <c r="U440" s="625"/>
      <c r="V440" s="485"/>
      <c r="W440" s="623"/>
      <c r="X440" s="442"/>
      <c r="Y440" s="485"/>
      <c r="Z440" s="485"/>
      <c r="AA440" s="485"/>
      <c r="AB440" s="485"/>
      <c r="AC440" s="485"/>
      <c r="AD440" s="485"/>
      <c r="AE440" s="485"/>
      <c r="AF440" s="485"/>
      <c r="AG440" s="485"/>
      <c r="AH440" s="485"/>
      <c r="AI440" s="485"/>
      <c r="AJ440" s="485"/>
      <c r="AK440" s="485"/>
      <c r="AL440" s="485"/>
      <c r="AM440" s="485"/>
      <c r="AN440" s="485"/>
      <c r="AO440" s="485"/>
      <c r="AP440" s="485"/>
      <c r="AQ440" s="485"/>
      <c r="AR440" s="485"/>
      <c r="AS440" s="485"/>
      <c r="AT440" s="485"/>
      <c r="AU440" s="485"/>
      <c r="AV440" s="485"/>
      <c r="AW440" s="485"/>
      <c r="AX440" s="485"/>
      <c r="AY440" s="485"/>
      <c r="AZ440" s="485"/>
      <c r="BA440" s="485"/>
      <c r="BB440" s="485"/>
      <c r="BC440" s="485"/>
      <c r="BD440" s="485"/>
      <c r="BE440" s="485"/>
      <c r="BF440" s="485"/>
      <c r="BG440" s="485"/>
      <c r="BH440" s="485"/>
      <c r="BI440" s="485"/>
      <c r="BJ440" s="485"/>
      <c r="BK440" s="485"/>
      <c r="BL440" s="485"/>
      <c r="BM440" s="485"/>
      <c r="BN440" s="485"/>
      <c r="BO440" s="485"/>
      <c r="BP440" s="485"/>
      <c r="BQ440" s="485"/>
      <c r="BR440" s="485"/>
      <c r="BS440" s="485"/>
      <c r="BT440" s="485"/>
      <c r="BU440" s="485"/>
      <c r="BV440" s="485"/>
      <c r="BW440" s="485"/>
      <c r="BX440" s="485"/>
      <c r="BY440" s="485"/>
      <c r="BZ440" s="485"/>
      <c r="CA440" s="485"/>
      <c r="CB440" s="485"/>
      <c r="CC440" s="485"/>
      <c r="CD440" s="485"/>
      <c r="CE440" s="485"/>
      <c r="CF440" s="485"/>
      <c r="CG440" s="485"/>
      <c r="CH440" s="485"/>
      <c r="CI440" s="485"/>
      <c r="CJ440" s="485"/>
      <c r="CK440" s="485"/>
      <c r="CL440" s="485"/>
      <c r="CM440" s="485"/>
      <c r="CN440" s="485"/>
      <c r="CO440" s="485"/>
      <c r="CP440" s="485"/>
      <c r="CQ440" s="485"/>
      <c r="CR440" s="485"/>
      <c r="CS440" s="485"/>
      <c r="CT440" s="485"/>
      <c r="CU440" s="485"/>
      <c r="CV440" s="485"/>
      <c r="CW440" s="485"/>
      <c r="CX440" s="485"/>
      <c r="CY440" s="485"/>
      <c r="CZ440" s="485"/>
      <c r="DA440" s="485"/>
      <c r="DB440" s="485"/>
      <c r="DC440" s="485"/>
      <c r="DD440" s="485"/>
      <c r="DE440" s="485"/>
      <c r="DF440" s="485"/>
      <c r="DG440" s="485"/>
      <c r="DH440" s="485"/>
      <c r="DI440" s="485"/>
      <c r="DJ440" s="485"/>
      <c r="DK440" s="485"/>
      <c r="DL440" s="485"/>
      <c r="DM440" s="485"/>
      <c r="DN440" s="485"/>
      <c r="DO440" s="485"/>
      <c r="DP440" s="485"/>
      <c r="DQ440" s="485"/>
      <c r="DR440" s="485"/>
      <c r="DS440" s="485"/>
      <c r="DT440" s="485"/>
      <c r="DU440" s="485"/>
      <c r="DV440" s="485"/>
      <c r="DW440" s="485"/>
      <c r="DX440" s="485"/>
      <c r="DY440" s="485"/>
      <c r="DZ440" s="485"/>
      <c r="EA440" s="485"/>
      <c r="EB440" s="485"/>
      <c r="EC440" s="485"/>
      <c r="ED440" s="485"/>
      <c r="EE440" s="485"/>
      <c r="EF440" s="485"/>
      <c r="EG440" s="485"/>
      <c r="EH440" s="485"/>
      <c r="EI440" s="485"/>
      <c r="EJ440" s="485"/>
      <c r="EK440" s="485"/>
      <c r="EL440" s="485"/>
      <c r="EM440" s="485"/>
      <c r="EN440" s="485"/>
      <c r="EO440" s="485"/>
      <c r="EP440" s="485"/>
    </row>
    <row r="441" spans="1:146" ht="31.5" thickBot="1">
      <c r="A441" s="751" t="s">
        <v>191</v>
      </c>
      <c r="B441" s="643"/>
      <c r="C441" s="653"/>
      <c r="D441" s="654"/>
      <c r="E441" s="439"/>
      <c r="F441" s="439"/>
      <c r="G441" s="440"/>
      <c r="H441" s="659">
        <f>SUM(H18:H428)*('2012 Rev Reconciliation'!B8-1)</f>
        <v>-85112.380140075475</v>
      </c>
      <c r="I441" s="660">
        <f>I443*('2012 Rev Reconciliation'!B8-1)</f>
        <v>-7797.6487482994644</v>
      </c>
      <c r="J441" s="442"/>
      <c r="K441" s="443"/>
      <c r="L441" s="627"/>
      <c r="M441" s="627"/>
      <c r="N441" s="440"/>
      <c r="O441" s="611"/>
      <c r="P441" s="617"/>
      <c r="Q441" s="618"/>
      <c r="R441" s="485"/>
      <c r="S441" s="624"/>
      <c r="T441" s="613"/>
      <c r="U441" s="625"/>
      <c r="V441" s="485"/>
      <c r="W441" s="660">
        <f>(SUM(W14:W428)+SUM(X14:X428))*('2012 Rev Reconciliation'!B8-1)</f>
        <v>-8314.0051530930759</v>
      </c>
      <c r="X441" s="442"/>
      <c r="Y441" s="485"/>
      <c r="Z441" s="485"/>
      <c r="AA441" s="485"/>
      <c r="AB441" s="485"/>
      <c r="AC441" s="485"/>
      <c r="AD441" s="485"/>
      <c r="AE441" s="485"/>
      <c r="AF441" s="485"/>
      <c r="AG441" s="485"/>
      <c r="AH441" s="485"/>
      <c r="AI441" s="485"/>
      <c r="AJ441" s="485"/>
      <c r="AK441" s="485"/>
      <c r="AL441" s="485"/>
      <c r="AM441" s="485"/>
      <c r="AN441" s="485"/>
      <c r="AO441" s="485"/>
      <c r="AP441" s="485"/>
      <c r="AQ441" s="485"/>
      <c r="AR441" s="485"/>
      <c r="AS441" s="485"/>
      <c r="AT441" s="485"/>
      <c r="AU441" s="485"/>
      <c r="AV441" s="485"/>
      <c r="AW441" s="485"/>
      <c r="AX441" s="485"/>
      <c r="AY441" s="485"/>
      <c r="AZ441" s="485"/>
      <c r="BA441" s="485"/>
      <c r="BB441" s="485"/>
      <c r="BC441" s="485"/>
      <c r="BD441" s="485"/>
      <c r="BE441" s="485"/>
      <c r="BF441" s="485"/>
      <c r="BG441" s="485"/>
      <c r="BH441" s="485"/>
      <c r="BI441" s="485"/>
      <c r="BJ441" s="485"/>
      <c r="BK441" s="485"/>
      <c r="BL441" s="485"/>
      <c r="BM441" s="485"/>
      <c r="BN441" s="485"/>
      <c r="BO441" s="485"/>
      <c r="BP441" s="485"/>
      <c r="BQ441" s="485"/>
      <c r="BR441" s="485"/>
      <c r="BS441" s="485"/>
      <c r="BT441" s="485"/>
      <c r="BU441" s="485"/>
      <c r="BV441" s="485"/>
      <c r="BW441" s="485"/>
      <c r="BX441" s="485"/>
      <c r="BY441" s="485"/>
      <c r="BZ441" s="485"/>
      <c r="CA441" s="485"/>
      <c r="CB441" s="485"/>
      <c r="CC441" s="485"/>
      <c r="CD441" s="485"/>
      <c r="CE441" s="485"/>
      <c r="CF441" s="485"/>
      <c r="CG441" s="485"/>
      <c r="CH441" s="485"/>
      <c r="CI441" s="485"/>
      <c r="CJ441" s="485"/>
      <c r="CK441" s="485"/>
      <c r="CL441" s="485"/>
      <c r="CM441" s="485"/>
      <c r="CN441" s="485"/>
      <c r="CO441" s="485"/>
      <c r="CP441" s="485"/>
      <c r="CQ441" s="485"/>
      <c r="CR441" s="485"/>
      <c r="CS441" s="485"/>
      <c r="CT441" s="485"/>
      <c r="CU441" s="485"/>
      <c r="CV441" s="485"/>
      <c r="CW441" s="485"/>
      <c r="CX441" s="485"/>
      <c r="CY441" s="485"/>
      <c r="CZ441" s="485"/>
      <c r="DA441" s="485"/>
      <c r="DB441" s="485"/>
      <c r="DC441" s="485"/>
      <c r="DD441" s="485"/>
      <c r="DE441" s="485"/>
      <c r="DF441" s="485"/>
      <c r="DG441" s="485"/>
      <c r="DH441" s="485"/>
      <c r="DI441" s="485"/>
      <c r="DJ441" s="485"/>
      <c r="DK441" s="485"/>
      <c r="DL441" s="485"/>
      <c r="DM441" s="485"/>
      <c r="DN441" s="485"/>
      <c r="DO441" s="485"/>
      <c r="DP441" s="485"/>
      <c r="DQ441" s="485"/>
      <c r="DR441" s="485"/>
      <c r="DS441" s="485"/>
      <c r="DT441" s="485"/>
      <c r="DU441" s="485"/>
      <c r="DV441" s="485"/>
      <c r="DW441" s="485"/>
      <c r="DX441" s="485"/>
      <c r="DY441" s="485"/>
      <c r="DZ441" s="485"/>
      <c r="EA441" s="485"/>
      <c r="EB441" s="485"/>
      <c r="EC441" s="485"/>
      <c r="ED441" s="485"/>
      <c r="EE441" s="485"/>
      <c r="EF441" s="485"/>
      <c r="EG441" s="485"/>
      <c r="EH441" s="485"/>
      <c r="EI441" s="485"/>
      <c r="EJ441" s="485"/>
      <c r="EK441" s="485"/>
      <c r="EL441" s="485"/>
      <c r="EM441" s="485"/>
      <c r="EN441" s="485"/>
      <c r="EO441" s="485"/>
      <c r="EP441" s="485"/>
    </row>
    <row r="442" spans="1:146" ht="18.75" thickBot="1">
      <c r="A442" s="462"/>
      <c r="B442" s="467"/>
      <c r="C442" s="624"/>
      <c r="D442" s="648"/>
      <c r="E442" s="611"/>
      <c r="F442" s="611"/>
      <c r="G442" s="440"/>
      <c r="H442" s="460"/>
      <c r="I442" s="485"/>
      <c r="J442" s="442"/>
      <c r="K442" s="443"/>
      <c r="L442" s="443"/>
      <c r="M442" s="443"/>
      <c r="N442" s="440"/>
      <c r="O442" s="611"/>
      <c r="P442" s="617"/>
      <c r="Q442" s="618"/>
      <c r="R442" s="485"/>
      <c r="S442" s="624"/>
      <c r="T442" s="469"/>
      <c r="U442" s="625"/>
      <c r="V442" s="485"/>
      <c r="W442" s="485"/>
      <c r="X442" s="485"/>
      <c r="Y442" s="485"/>
      <c r="Z442" s="485"/>
      <c r="AA442" s="485"/>
      <c r="AB442" s="485"/>
      <c r="AC442" s="485"/>
      <c r="AD442" s="485"/>
      <c r="AE442" s="485"/>
      <c r="AF442" s="485"/>
      <c r="AG442" s="485"/>
      <c r="AH442" s="485"/>
      <c r="AI442" s="485"/>
      <c r="AJ442" s="485"/>
      <c r="AK442" s="485"/>
      <c r="AL442" s="485"/>
      <c r="AM442" s="485"/>
      <c r="AN442" s="485"/>
      <c r="AO442" s="485"/>
      <c r="AP442" s="485"/>
      <c r="AQ442" s="485"/>
      <c r="AR442" s="485"/>
      <c r="AS442" s="485"/>
      <c r="AT442" s="485"/>
      <c r="AU442" s="485"/>
      <c r="AV442" s="485"/>
      <c r="AW442" s="485"/>
      <c r="AX442" s="485"/>
      <c r="AY442" s="485"/>
      <c r="AZ442" s="485"/>
      <c r="BA442" s="485"/>
      <c r="BB442" s="485"/>
      <c r="BC442" s="485"/>
      <c r="BD442" s="485"/>
      <c r="BE442" s="485"/>
      <c r="BF442" s="485"/>
      <c r="BG442" s="485"/>
      <c r="BH442" s="485"/>
      <c r="BI442" s="485"/>
      <c r="BJ442" s="485"/>
      <c r="BK442" s="485"/>
      <c r="BL442" s="485"/>
      <c r="BM442" s="485"/>
      <c r="BN442" s="485"/>
      <c r="BO442" s="485"/>
      <c r="BP442" s="485"/>
      <c r="BQ442" s="485"/>
      <c r="BR442" s="485"/>
      <c r="BS442" s="485"/>
      <c r="BT442" s="485"/>
      <c r="BU442" s="485"/>
      <c r="BV442" s="485"/>
      <c r="BW442" s="485"/>
      <c r="BX442" s="485"/>
      <c r="BY442" s="485"/>
      <c r="BZ442" s="485"/>
      <c r="CA442" s="485"/>
      <c r="CB442" s="485"/>
      <c r="CC442" s="485"/>
      <c r="CD442" s="485"/>
      <c r="CE442" s="485"/>
      <c r="CF442" s="485"/>
      <c r="CG442" s="485"/>
      <c r="CH442" s="485"/>
      <c r="CI442" s="485"/>
      <c r="CJ442" s="485"/>
      <c r="CK442" s="485"/>
      <c r="CL442" s="485"/>
      <c r="CM442" s="485"/>
      <c r="CN442" s="485"/>
      <c r="CO442" s="485"/>
      <c r="CP442" s="485"/>
      <c r="CQ442" s="485"/>
      <c r="CR442" s="485"/>
      <c r="CS442" s="485"/>
      <c r="CT442" s="485"/>
      <c r="CU442" s="485"/>
      <c r="CV442" s="485"/>
      <c r="CW442" s="485"/>
      <c r="CX442" s="485"/>
      <c r="CY442" s="485"/>
      <c r="CZ442" s="485"/>
      <c r="DA442" s="485"/>
      <c r="DB442" s="485"/>
      <c r="DC442" s="485"/>
      <c r="DD442" s="485"/>
      <c r="DE442" s="485"/>
      <c r="DF442" s="485"/>
      <c r="DG442" s="485"/>
      <c r="DH442" s="485"/>
      <c r="DI442" s="485"/>
      <c r="DJ442" s="485"/>
      <c r="DK442" s="485"/>
      <c r="DL442" s="485"/>
      <c r="DM442" s="485"/>
      <c r="DN442" s="485"/>
      <c r="DO442" s="485"/>
      <c r="DP442" s="485"/>
      <c r="DQ442" s="485"/>
      <c r="DR442" s="485"/>
      <c r="DS442" s="485"/>
      <c r="DT442" s="485"/>
      <c r="DU442" s="485"/>
      <c r="DV442" s="485"/>
      <c r="DW442" s="485"/>
      <c r="DX442" s="485"/>
      <c r="DY442" s="485"/>
      <c r="DZ442" s="485"/>
      <c r="EA442" s="485"/>
      <c r="EB442" s="485"/>
      <c r="EC442" s="485"/>
      <c r="ED442" s="485"/>
      <c r="EE442" s="485"/>
      <c r="EF442" s="485"/>
      <c r="EG442" s="485"/>
      <c r="EH442" s="485"/>
      <c r="EI442" s="485"/>
      <c r="EJ442" s="485"/>
      <c r="EK442" s="485"/>
      <c r="EL442" s="485"/>
      <c r="EM442" s="485"/>
      <c r="EN442" s="485"/>
      <c r="EO442" s="485"/>
      <c r="EP442" s="485"/>
    </row>
    <row r="443" spans="1:146" ht="16.5" thickBot="1">
      <c r="A443" s="462"/>
      <c r="B443" s="614" t="s">
        <v>953</v>
      </c>
      <c r="C443" s="485"/>
      <c r="D443" s="609"/>
      <c r="E443" s="609"/>
      <c r="F443" s="609"/>
      <c r="G443" s="609">
        <f>SUM(G14:G442)</f>
        <v>20820</v>
      </c>
      <c r="H443" s="659">
        <f>SUM(H18:H428)</f>
        <v>25765025</v>
      </c>
      <c r="I443" s="660">
        <f>SUM(I14:I428)+SUM(J14:J428)</f>
        <v>2360486.3899999997</v>
      </c>
      <c r="J443" s="660">
        <f>SUM(J14:J442)</f>
        <v>18203.639999999996</v>
      </c>
      <c r="K443" s="471"/>
      <c r="L443" s="661">
        <f>SUM(L14:L442)</f>
        <v>3451.0675000000033</v>
      </c>
      <c r="M443" s="661">
        <f>SUM(M14:M442)</f>
        <v>2512.8420000000006</v>
      </c>
      <c r="N443" s="603"/>
      <c r="P443" s="485"/>
      <c r="Q443" s="485"/>
      <c r="R443" s="485"/>
      <c r="S443" s="485"/>
      <c r="T443" s="485"/>
      <c r="U443" s="485"/>
      <c r="V443" s="485"/>
      <c r="W443" s="660">
        <f>SUM(W14:W442)+SUM(X14:X442)+W441</f>
        <v>2500168.6092576245</v>
      </c>
      <c r="X443" s="660">
        <f>SUM(X14:X442)</f>
        <v>20319.058129430985</v>
      </c>
      <c r="Y443" s="485"/>
      <c r="Z443" s="485"/>
      <c r="AA443" s="485"/>
      <c r="AB443" s="485"/>
      <c r="AC443" s="485"/>
      <c r="AD443" s="485"/>
      <c r="AE443" s="485"/>
      <c r="AF443" s="485"/>
      <c r="AG443" s="485"/>
      <c r="AH443" s="485"/>
      <c r="AI443" s="485"/>
      <c r="AJ443" s="485"/>
      <c r="AK443" s="485"/>
      <c r="AL443" s="485"/>
      <c r="AM443" s="485"/>
      <c r="AN443" s="485"/>
      <c r="AO443" s="485"/>
      <c r="AP443" s="485"/>
      <c r="AQ443" s="485"/>
      <c r="AR443" s="485"/>
      <c r="AS443" s="485"/>
      <c r="AT443" s="485"/>
      <c r="AU443" s="485"/>
      <c r="AV443" s="485"/>
      <c r="AW443" s="485"/>
      <c r="AX443" s="485"/>
      <c r="AY443" s="485"/>
      <c r="AZ443" s="485"/>
      <c r="BA443" s="485"/>
      <c r="BB443" s="485"/>
      <c r="BC443" s="485"/>
      <c r="BD443" s="485"/>
      <c r="BE443" s="485"/>
      <c r="BF443" s="485"/>
      <c r="BG443" s="485"/>
      <c r="BH443" s="485"/>
      <c r="BI443" s="485"/>
      <c r="BJ443" s="485"/>
      <c r="BK443" s="485"/>
      <c r="BL443" s="485"/>
      <c r="BM443" s="485"/>
      <c r="BN443" s="485"/>
      <c r="BO443" s="485"/>
      <c r="BP443" s="485"/>
      <c r="BQ443" s="485"/>
      <c r="BR443" s="485"/>
      <c r="BS443" s="485"/>
      <c r="BT443" s="485"/>
      <c r="BU443" s="485"/>
      <c r="BV443" s="485"/>
      <c r="BW443" s="485"/>
      <c r="BX443" s="485"/>
      <c r="BY443" s="485"/>
      <c r="BZ443" s="485"/>
      <c r="CA443" s="485"/>
      <c r="CB443" s="485"/>
      <c r="CC443" s="485"/>
      <c r="CD443" s="485"/>
      <c r="CE443" s="485"/>
      <c r="CF443" s="485"/>
      <c r="CG443" s="485"/>
      <c r="CH443" s="485"/>
      <c r="CI443" s="485"/>
      <c r="CJ443" s="485"/>
      <c r="CK443" s="485"/>
      <c r="CL443" s="485"/>
      <c r="CM443" s="485"/>
      <c r="CN443" s="485"/>
      <c r="CO443" s="485"/>
      <c r="CP443" s="485"/>
      <c r="CQ443" s="485"/>
      <c r="CR443" s="485"/>
      <c r="CS443" s="485"/>
      <c r="CT443" s="485"/>
      <c r="CU443" s="485"/>
      <c r="CV443" s="485"/>
      <c r="CW443" s="485"/>
      <c r="CX443" s="485"/>
      <c r="CY443" s="485"/>
      <c r="CZ443" s="485"/>
      <c r="DA443" s="485"/>
      <c r="DB443" s="485"/>
      <c r="DC443" s="485"/>
      <c r="DD443" s="485"/>
      <c r="DE443" s="485"/>
      <c r="DF443" s="485"/>
      <c r="DG443" s="485"/>
      <c r="DH443" s="485"/>
      <c r="DI443" s="485"/>
      <c r="DJ443" s="485"/>
      <c r="DK443" s="485"/>
      <c r="DL443" s="485"/>
      <c r="DM443" s="485"/>
      <c r="DN443" s="485"/>
      <c r="DO443" s="485"/>
      <c r="DP443" s="485"/>
      <c r="DQ443" s="485"/>
      <c r="DR443" s="485"/>
      <c r="DS443" s="485"/>
      <c r="DT443" s="485"/>
      <c r="DU443" s="485"/>
      <c r="DV443" s="485"/>
      <c r="DW443" s="485"/>
      <c r="DX443" s="485"/>
      <c r="DY443" s="485"/>
      <c r="DZ443" s="485"/>
      <c r="EA443" s="485"/>
      <c r="EB443" s="485"/>
      <c r="EC443" s="485"/>
      <c r="ED443" s="485"/>
      <c r="EE443" s="485"/>
      <c r="EF443" s="485"/>
      <c r="EG443" s="485"/>
      <c r="EH443" s="485"/>
      <c r="EI443" s="485"/>
      <c r="EJ443" s="485"/>
      <c r="EK443" s="485"/>
      <c r="EL443" s="485"/>
      <c r="EM443" s="485"/>
      <c r="EN443" s="485"/>
      <c r="EO443" s="485"/>
      <c r="EP443" s="485"/>
    </row>
    <row r="444" spans="1:146" ht="16.5" thickBot="1">
      <c r="A444" s="662" t="s">
        <v>905</v>
      </c>
      <c r="B444" s="485"/>
      <c r="C444" s="485"/>
      <c r="D444" s="485"/>
      <c r="E444" s="485"/>
      <c r="F444" s="485"/>
      <c r="G444" s="485"/>
      <c r="H444" s="485"/>
      <c r="I444" s="603"/>
      <c r="J444" s="603"/>
      <c r="K444" s="603"/>
      <c r="L444" s="603"/>
      <c r="M444" s="603"/>
      <c r="P444" s="485"/>
      <c r="Q444" s="485"/>
      <c r="R444" s="485"/>
      <c r="S444" s="485"/>
      <c r="T444" s="485"/>
      <c r="U444" s="485"/>
      <c r="V444" s="485"/>
      <c r="W444" s="603"/>
      <c r="X444" s="603"/>
      <c r="Y444" s="485"/>
      <c r="Z444" s="485"/>
      <c r="AA444" s="485"/>
      <c r="AB444" s="485"/>
      <c r="AC444" s="485"/>
      <c r="AD444" s="485"/>
      <c r="AE444" s="485"/>
      <c r="AF444" s="485"/>
      <c r="AG444" s="485"/>
      <c r="AH444" s="485"/>
      <c r="AI444" s="485"/>
      <c r="AJ444" s="485"/>
      <c r="AK444" s="485"/>
      <c r="AL444" s="485"/>
      <c r="AM444" s="485"/>
      <c r="AN444" s="485"/>
      <c r="AO444" s="485"/>
      <c r="AP444" s="485"/>
      <c r="AQ444" s="485"/>
      <c r="AR444" s="485"/>
      <c r="AS444" s="485"/>
      <c r="AT444" s="485"/>
      <c r="AU444" s="485"/>
      <c r="AV444" s="485"/>
      <c r="AW444" s="485"/>
      <c r="AX444" s="485"/>
      <c r="AY444" s="485"/>
      <c r="AZ444" s="485"/>
      <c r="BA444" s="485"/>
      <c r="BB444" s="485"/>
      <c r="BC444" s="485"/>
      <c r="BD444" s="485"/>
      <c r="BE444" s="485"/>
      <c r="BF444" s="485"/>
      <c r="BG444" s="485"/>
      <c r="BH444" s="485"/>
      <c r="BI444" s="485"/>
      <c r="BJ444" s="485"/>
      <c r="BK444" s="485"/>
      <c r="BL444" s="485"/>
      <c r="BM444" s="485"/>
      <c r="BN444" s="485"/>
      <c r="BO444" s="485"/>
      <c r="BP444" s="485"/>
      <c r="BQ444" s="485"/>
      <c r="BR444" s="485"/>
      <c r="BS444" s="485"/>
      <c r="BT444" s="485"/>
      <c r="BU444" s="485"/>
      <c r="BV444" s="485"/>
      <c r="BW444" s="485"/>
      <c r="BX444" s="485"/>
      <c r="BY444" s="485"/>
      <c r="BZ444" s="485"/>
      <c r="CA444" s="485"/>
      <c r="CB444" s="485"/>
      <c r="CC444" s="485"/>
      <c r="CD444" s="485"/>
      <c r="CE444" s="485"/>
      <c r="CF444" s="485"/>
      <c r="CG444" s="485"/>
      <c r="CH444" s="485"/>
      <c r="CI444" s="485"/>
      <c r="CJ444" s="485"/>
      <c r="CK444" s="485"/>
      <c r="CL444" s="485"/>
      <c r="CM444" s="485"/>
      <c r="CN444" s="485"/>
      <c r="CO444" s="485"/>
      <c r="CP444" s="485"/>
      <c r="CQ444" s="485"/>
      <c r="CR444" s="485"/>
      <c r="CS444" s="485"/>
      <c r="CT444" s="485"/>
      <c r="CU444" s="485"/>
      <c r="CV444" s="485"/>
      <c r="CW444" s="485"/>
      <c r="CX444" s="485"/>
      <c r="CY444" s="485"/>
      <c r="CZ444" s="485"/>
      <c r="DA444" s="485"/>
      <c r="DB444" s="485"/>
      <c r="DC444" s="485"/>
      <c r="DD444" s="485"/>
      <c r="DE444" s="485"/>
      <c r="DF444" s="485"/>
      <c r="DG444" s="485"/>
      <c r="DH444" s="485"/>
      <c r="DI444" s="485"/>
      <c r="DJ444" s="485"/>
      <c r="DK444" s="485"/>
      <c r="DL444" s="485"/>
      <c r="DM444" s="485"/>
      <c r="DN444" s="485"/>
      <c r="DO444" s="485"/>
      <c r="DP444" s="485"/>
      <c r="DQ444" s="485"/>
      <c r="DR444" s="485"/>
      <c r="DS444" s="485"/>
      <c r="DT444" s="485"/>
      <c r="DU444" s="485"/>
      <c r="DV444" s="485"/>
      <c r="DW444" s="485"/>
      <c r="DX444" s="485"/>
      <c r="DY444" s="485"/>
      <c r="DZ444" s="485"/>
      <c r="EA444" s="485"/>
      <c r="EB444" s="485"/>
      <c r="EC444" s="485"/>
      <c r="ED444" s="485"/>
      <c r="EE444" s="485"/>
      <c r="EF444" s="485"/>
      <c r="EG444" s="485"/>
      <c r="EH444" s="485"/>
      <c r="EI444" s="485"/>
      <c r="EJ444" s="485"/>
      <c r="EK444" s="485"/>
      <c r="EL444" s="485"/>
      <c r="EM444" s="485"/>
      <c r="EN444" s="485"/>
      <c r="EO444" s="485"/>
      <c r="EP444" s="485"/>
    </row>
    <row r="445" spans="1:146" ht="16.5" thickBot="1">
      <c r="A445" s="663">
        <f>COUNT(A24:A442)+7</f>
        <v>400</v>
      </c>
      <c r="B445" s="485"/>
      <c r="C445" s="485"/>
      <c r="D445" s="485"/>
      <c r="E445" s="615" t="s">
        <v>471</v>
      </c>
      <c r="F445" s="615"/>
      <c r="G445" s="485"/>
      <c r="H445" s="664">
        <f>+H443/12</f>
        <v>2147085.4166666665</v>
      </c>
      <c r="I445" s="665">
        <f>(+I443+J443)/12</f>
        <v>198224.16916666666</v>
      </c>
      <c r="J445" s="472"/>
      <c r="K445" s="472"/>
      <c r="L445" s="472"/>
      <c r="M445" s="472"/>
      <c r="N445" s="603"/>
      <c r="P445" s="485"/>
      <c r="Q445" s="485"/>
      <c r="R445" s="485"/>
      <c r="S445" s="485"/>
      <c r="T445" s="485"/>
      <c r="U445" s="485"/>
      <c r="V445" s="485"/>
      <c r="W445" s="665">
        <f>+W443/12</f>
        <v>208347.38410480204</v>
      </c>
      <c r="X445" s="472"/>
      <c r="Y445" s="485"/>
      <c r="Z445" s="485"/>
      <c r="AA445" s="485"/>
      <c r="AB445" s="485"/>
      <c r="AC445" s="485"/>
      <c r="AD445" s="485"/>
      <c r="AE445" s="485"/>
      <c r="AF445" s="485"/>
      <c r="AG445" s="485"/>
      <c r="AH445" s="485"/>
      <c r="AI445" s="485"/>
      <c r="AJ445" s="485"/>
      <c r="AK445" s="485"/>
      <c r="AL445" s="485"/>
      <c r="AM445" s="485"/>
      <c r="AN445" s="485"/>
      <c r="AO445" s="485"/>
      <c r="AP445" s="485"/>
      <c r="AQ445" s="485"/>
      <c r="AR445" s="485"/>
      <c r="AS445" s="485"/>
      <c r="AT445" s="485"/>
      <c r="AU445" s="485"/>
      <c r="AV445" s="485"/>
      <c r="AW445" s="485"/>
      <c r="AX445" s="485"/>
      <c r="AY445" s="485"/>
      <c r="AZ445" s="485"/>
      <c r="BA445" s="485"/>
      <c r="BB445" s="485"/>
      <c r="BC445" s="485"/>
      <c r="BD445" s="485"/>
      <c r="BE445" s="485"/>
      <c r="BF445" s="485"/>
      <c r="BG445" s="485"/>
      <c r="BH445" s="485"/>
      <c r="BI445" s="485"/>
      <c r="BJ445" s="485"/>
      <c r="BK445" s="485"/>
      <c r="BL445" s="485"/>
      <c r="BM445" s="485"/>
      <c r="BN445" s="485"/>
      <c r="BO445" s="485"/>
      <c r="BP445" s="485"/>
      <c r="BQ445" s="485"/>
      <c r="BR445" s="485"/>
      <c r="BS445" s="485"/>
      <c r="BT445" s="485"/>
      <c r="BU445" s="485"/>
      <c r="BV445" s="485"/>
      <c r="BW445" s="485"/>
      <c r="BX445" s="485"/>
      <c r="BY445" s="485"/>
      <c r="BZ445" s="485"/>
      <c r="CA445" s="485"/>
      <c r="CB445" s="485"/>
      <c r="CC445" s="485"/>
      <c r="CD445" s="485"/>
      <c r="CE445" s="485"/>
      <c r="CF445" s="485"/>
      <c r="CG445" s="485"/>
      <c r="CH445" s="485"/>
      <c r="CI445" s="485"/>
      <c r="CJ445" s="485"/>
      <c r="CK445" s="485"/>
      <c r="CL445" s="485"/>
      <c r="CM445" s="485"/>
      <c r="CN445" s="485"/>
      <c r="CO445" s="485"/>
      <c r="CP445" s="485"/>
      <c r="CQ445" s="485"/>
      <c r="CR445" s="485"/>
      <c r="CS445" s="485"/>
      <c r="CT445" s="485"/>
      <c r="CU445" s="485"/>
      <c r="CV445" s="485"/>
      <c r="CW445" s="485"/>
      <c r="CX445" s="485"/>
      <c r="CY445" s="485"/>
      <c r="CZ445" s="485"/>
      <c r="DA445" s="485"/>
      <c r="DB445" s="485"/>
      <c r="DC445" s="485"/>
      <c r="DD445" s="485"/>
      <c r="DE445" s="485"/>
      <c r="DF445" s="485"/>
      <c r="DG445" s="485"/>
      <c r="DH445" s="485"/>
      <c r="DI445" s="485"/>
      <c r="DJ445" s="485"/>
      <c r="DK445" s="485"/>
      <c r="DL445" s="485"/>
      <c r="DM445" s="485"/>
      <c r="DN445" s="485"/>
      <c r="DO445" s="485"/>
      <c r="DP445" s="485"/>
      <c r="DQ445" s="485"/>
      <c r="DR445" s="485"/>
      <c r="DS445" s="485"/>
      <c r="DT445" s="485"/>
      <c r="DU445" s="485"/>
      <c r="DV445" s="485"/>
      <c r="DW445" s="485"/>
      <c r="DX445" s="485"/>
      <c r="DY445" s="485"/>
      <c r="DZ445" s="485"/>
      <c r="EA445" s="485"/>
      <c r="EB445" s="485"/>
      <c r="EC445" s="485"/>
      <c r="ED445" s="485"/>
      <c r="EE445" s="485"/>
      <c r="EF445" s="485"/>
      <c r="EG445" s="485"/>
      <c r="EH445" s="485"/>
      <c r="EI445" s="485"/>
      <c r="EJ445" s="485"/>
      <c r="EK445" s="485"/>
      <c r="EL445" s="485"/>
      <c r="EM445" s="485"/>
      <c r="EN445" s="485"/>
      <c r="EO445" s="485"/>
      <c r="EP445" s="485"/>
    </row>
    <row r="446" spans="1:146">
      <c r="A446" s="485"/>
      <c r="B446" s="603"/>
      <c r="C446" s="485"/>
      <c r="D446" s="485"/>
      <c r="E446" s="485"/>
      <c r="F446" s="485"/>
      <c r="G446" s="485"/>
      <c r="H446" s="485"/>
      <c r="I446" s="603"/>
      <c r="J446" s="603"/>
      <c r="K446" s="603"/>
      <c r="L446" s="603"/>
      <c r="M446" s="603"/>
      <c r="P446" s="485"/>
      <c r="Q446" s="485"/>
      <c r="R446" s="485"/>
      <c r="S446" s="485"/>
      <c r="T446" s="485"/>
      <c r="U446" s="485"/>
      <c r="V446" s="485"/>
      <c r="W446" s="485"/>
      <c r="X446" s="485"/>
      <c r="Y446" s="485"/>
      <c r="Z446" s="485"/>
      <c r="AA446" s="485"/>
      <c r="AB446" s="485"/>
      <c r="AC446" s="485"/>
      <c r="AD446" s="485"/>
      <c r="AE446" s="485"/>
      <c r="AF446" s="485"/>
      <c r="AG446" s="485"/>
      <c r="AH446" s="485"/>
      <c r="AI446" s="485"/>
      <c r="AJ446" s="485"/>
      <c r="AK446" s="485"/>
      <c r="AL446" s="485"/>
      <c r="AM446" s="485"/>
      <c r="AN446" s="485"/>
      <c r="AO446" s="485"/>
      <c r="AP446" s="485"/>
      <c r="AQ446" s="485"/>
      <c r="AR446" s="485"/>
      <c r="AS446" s="485"/>
      <c r="AT446" s="485"/>
      <c r="AU446" s="485"/>
      <c r="AV446" s="485"/>
      <c r="AW446" s="485"/>
      <c r="AX446" s="485"/>
      <c r="AY446" s="485"/>
      <c r="AZ446" s="485"/>
      <c r="BA446" s="485"/>
      <c r="BB446" s="485"/>
      <c r="BC446" s="485"/>
      <c r="BD446" s="485"/>
      <c r="BE446" s="485"/>
      <c r="BF446" s="485"/>
      <c r="BG446" s="485"/>
      <c r="BH446" s="485"/>
      <c r="BI446" s="485"/>
      <c r="BJ446" s="485"/>
      <c r="BK446" s="485"/>
      <c r="BL446" s="485"/>
      <c r="BM446" s="485"/>
      <c r="BN446" s="485"/>
      <c r="BO446" s="485"/>
      <c r="BP446" s="485"/>
      <c r="BQ446" s="485"/>
      <c r="BR446" s="485"/>
      <c r="BS446" s="485"/>
      <c r="BT446" s="485"/>
      <c r="BU446" s="485"/>
      <c r="BV446" s="485"/>
      <c r="BW446" s="485"/>
      <c r="BX446" s="485"/>
      <c r="BY446" s="485"/>
      <c r="BZ446" s="485"/>
      <c r="CA446" s="485"/>
      <c r="CB446" s="485"/>
      <c r="CC446" s="485"/>
      <c r="CD446" s="485"/>
      <c r="CE446" s="485"/>
      <c r="CF446" s="485"/>
      <c r="CG446" s="485"/>
      <c r="CH446" s="485"/>
      <c r="CI446" s="485"/>
      <c r="CJ446" s="485"/>
      <c r="CK446" s="485"/>
      <c r="CL446" s="485"/>
      <c r="CM446" s="485"/>
      <c r="CN446" s="485"/>
      <c r="CO446" s="485"/>
      <c r="CP446" s="485"/>
      <c r="CQ446" s="485"/>
      <c r="CR446" s="485"/>
      <c r="CS446" s="485"/>
      <c r="CT446" s="485"/>
      <c r="CU446" s="485"/>
      <c r="CV446" s="485"/>
      <c r="CW446" s="485"/>
      <c r="CX446" s="485"/>
      <c r="CY446" s="485"/>
      <c r="CZ446" s="485"/>
      <c r="DA446" s="485"/>
      <c r="DB446" s="485"/>
      <c r="DC446" s="485"/>
      <c r="DD446" s="485"/>
      <c r="DE446" s="485"/>
      <c r="DF446" s="485"/>
      <c r="DG446" s="485"/>
      <c r="DH446" s="485"/>
      <c r="DI446" s="485"/>
      <c r="DJ446" s="485"/>
      <c r="DK446" s="485"/>
      <c r="DL446" s="485"/>
      <c r="DM446" s="485"/>
      <c r="DN446" s="485"/>
      <c r="DO446" s="485"/>
      <c r="DP446" s="485"/>
      <c r="DQ446" s="485"/>
      <c r="DR446" s="485"/>
      <c r="DS446" s="485"/>
      <c r="DT446" s="485"/>
      <c r="DU446" s="485"/>
      <c r="DV446" s="485"/>
      <c r="DW446" s="485"/>
      <c r="DX446" s="485"/>
      <c r="DY446" s="485"/>
      <c r="DZ446" s="485"/>
      <c r="EA446" s="485"/>
      <c r="EB446" s="485"/>
      <c r="EC446" s="485"/>
      <c r="ED446" s="485"/>
      <c r="EE446" s="485"/>
      <c r="EF446" s="485"/>
      <c r="EG446" s="485"/>
      <c r="EH446" s="485"/>
      <c r="EI446" s="485"/>
      <c r="EJ446" s="485"/>
      <c r="EK446" s="485"/>
      <c r="EL446" s="485"/>
      <c r="EM446" s="485"/>
      <c r="EN446" s="485"/>
      <c r="EO446" s="485"/>
      <c r="EP446" s="485"/>
    </row>
    <row r="447" spans="1:146">
      <c r="A447" s="603"/>
      <c r="B447" s="485"/>
      <c r="C447" s="485"/>
      <c r="D447" s="485"/>
      <c r="E447" s="485"/>
      <c r="F447" s="485"/>
      <c r="G447" s="485"/>
      <c r="H447" s="626">
        <f>+H441+H443</f>
        <v>25679912.619859923</v>
      </c>
      <c r="I447" s="785">
        <f>+I443+I441</f>
        <v>2352688.7412517001</v>
      </c>
      <c r="J447" s="485"/>
      <c r="K447" s="485"/>
      <c r="L447" s="485"/>
      <c r="M447" s="485"/>
      <c r="P447" s="485"/>
      <c r="Q447" s="485"/>
      <c r="R447" s="485"/>
      <c r="S447" s="485"/>
      <c r="T447" s="485"/>
      <c r="U447" s="485"/>
      <c r="V447" s="485"/>
      <c r="W447" s="485"/>
      <c r="X447" s="485"/>
      <c r="Y447" s="485"/>
      <c r="Z447" s="485"/>
      <c r="AA447" s="485"/>
      <c r="AB447" s="485"/>
      <c r="AC447" s="485"/>
      <c r="AD447" s="485"/>
      <c r="AE447" s="485"/>
      <c r="AF447" s="485"/>
      <c r="AG447" s="485"/>
      <c r="AH447" s="485"/>
      <c r="AI447" s="485"/>
      <c r="AJ447" s="485"/>
      <c r="AK447" s="485"/>
      <c r="AL447" s="485"/>
      <c r="AM447" s="485"/>
      <c r="AN447" s="485"/>
      <c r="AO447" s="485"/>
      <c r="AP447" s="485"/>
      <c r="AQ447" s="485"/>
      <c r="AR447" s="485"/>
      <c r="AS447" s="485"/>
      <c r="AT447" s="485"/>
      <c r="AU447" s="485"/>
      <c r="AV447" s="485"/>
      <c r="AW447" s="485"/>
      <c r="AX447" s="485"/>
      <c r="AY447" s="485"/>
      <c r="AZ447" s="485"/>
      <c r="BA447" s="485"/>
      <c r="BB447" s="485"/>
      <c r="BC447" s="485"/>
      <c r="BD447" s="485"/>
      <c r="BE447" s="485"/>
      <c r="BF447" s="485"/>
      <c r="BG447" s="485"/>
      <c r="BH447" s="485"/>
      <c r="BI447" s="485"/>
      <c r="BJ447" s="485"/>
      <c r="BK447" s="485"/>
      <c r="BL447" s="485"/>
      <c r="BM447" s="485"/>
      <c r="BN447" s="485"/>
      <c r="BO447" s="485"/>
      <c r="BP447" s="485"/>
      <c r="BQ447" s="485"/>
      <c r="BR447" s="485"/>
      <c r="BS447" s="485"/>
      <c r="BT447" s="485"/>
      <c r="BU447" s="485"/>
      <c r="BV447" s="485"/>
      <c r="BW447" s="485"/>
      <c r="BX447" s="485"/>
      <c r="BY447" s="485"/>
      <c r="BZ447" s="485"/>
      <c r="CA447" s="485"/>
      <c r="CB447" s="485"/>
      <c r="CC447" s="485"/>
      <c r="CD447" s="485"/>
      <c r="CE447" s="485"/>
      <c r="CF447" s="485"/>
      <c r="CG447" s="485"/>
      <c r="CH447" s="485"/>
      <c r="CI447" s="485"/>
      <c r="CJ447" s="485"/>
      <c r="CK447" s="485"/>
      <c r="CL447" s="485"/>
      <c r="CM447" s="485"/>
      <c r="CN447" s="485"/>
      <c r="CO447" s="485"/>
      <c r="CP447" s="485"/>
      <c r="CQ447" s="485"/>
      <c r="CR447" s="485"/>
      <c r="CS447" s="485"/>
      <c r="CT447" s="485"/>
      <c r="CU447" s="485"/>
      <c r="CV447" s="485"/>
      <c r="CW447" s="485"/>
      <c r="CX447" s="485"/>
      <c r="CY447" s="485"/>
      <c r="CZ447" s="485"/>
      <c r="DA447" s="485"/>
      <c r="DB447" s="485"/>
      <c r="DC447" s="485"/>
      <c r="DD447" s="485"/>
      <c r="DE447" s="485"/>
      <c r="DF447" s="485"/>
      <c r="DG447" s="485"/>
      <c r="DH447" s="485"/>
      <c r="DI447" s="485"/>
      <c r="DJ447" s="485"/>
      <c r="DK447" s="485"/>
      <c r="DL447" s="485"/>
      <c r="DM447" s="485"/>
      <c r="DN447" s="485"/>
      <c r="DO447" s="485"/>
      <c r="DP447" s="485"/>
      <c r="DQ447" s="485"/>
      <c r="DR447" s="485"/>
      <c r="DS447" s="485"/>
      <c r="DT447" s="485"/>
      <c r="DU447" s="485"/>
      <c r="DV447" s="485"/>
      <c r="DW447" s="485"/>
      <c r="DX447" s="485"/>
      <c r="DY447" s="485"/>
      <c r="DZ447" s="485"/>
      <c r="EA447" s="485"/>
      <c r="EB447" s="485"/>
      <c r="EC447" s="485"/>
      <c r="ED447" s="485"/>
      <c r="EE447" s="485"/>
      <c r="EF447" s="485"/>
      <c r="EG447" s="485"/>
      <c r="EH447" s="485"/>
      <c r="EI447" s="485"/>
      <c r="EJ447" s="485"/>
      <c r="EK447" s="485"/>
      <c r="EL447" s="485"/>
      <c r="EM447" s="485"/>
      <c r="EN447" s="485"/>
      <c r="EO447" s="485"/>
      <c r="EP447" s="485"/>
    </row>
    <row r="448" spans="1:146">
      <c r="A448" s="485"/>
      <c r="B448" s="485"/>
      <c r="C448" s="485"/>
      <c r="D448" s="485"/>
      <c r="E448" s="485"/>
      <c r="F448" s="485"/>
      <c r="G448" s="485"/>
      <c r="H448" s="485"/>
      <c r="I448" s="485"/>
      <c r="J448" s="485"/>
      <c r="K448" s="485"/>
      <c r="L448" s="485"/>
      <c r="M448" s="485"/>
      <c r="P448" s="485"/>
      <c r="Q448" s="485"/>
      <c r="R448" s="485"/>
      <c r="S448" s="485"/>
      <c r="T448" s="485"/>
      <c r="U448" s="485"/>
      <c r="V448" s="485"/>
      <c r="W448" s="485"/>
      <c r="X448" s="485"/>
      <c r="Y448" s="485"/>
      <c r="Z448" s="485"/>
      <c r="AA448" s="485"/>
      <c r="AB448" s="485"/>
      <c r="AC448" s="485"/>
      <c r="AD448" s="485"/>
      <c r="AE448" s="485"/>
      <c r="AF448" s="485"/>
      <c r="AG448" s="485"/>
      <c r="AH448" s="485"/>
      <c r="AI448" s="485"/>
      <c r="AJ448" s="485"/>
      <c r="AK448" s="485"/>
      <c r="AL448" s="485"/>
      <c r="AM448" s="485"/>
      <c r="AN448" s="485"/>
      <c r="AO448" s="485"/>
      <c r="AP448" s="485"/>
      <c r="AQ448" s="485"/>
      <c r="AR448" s="485"/>
      <c r="AS448" s="485"/>
      <c r="AT448" s="485"/>
      <c r="AU448" s="485"/>
      <c r="AV448" s="485"/>
      <c r="AW448" s="485"/>
      <c r="AX448" s="485"/>
      <c r="AY448" s="485"/>
      <c r="AZ448" s="485"/>
      <c r="BA448" s="485"/>
      <c r="BB448" s="485"/>
      <c r="BC448" s="485"/>
      <c r="BD448" s="485"/>
      <c r="BE448" s="485"/>
      <c r="BF448" s="485"/>
      <c r="BG448" s="485"/>
      <c r="BH448" s="485"/>
      <c r="BI448" s="485"/>
      <c r="BJ448" s="485"/>
      <c r="BK448" s="485"/>
      <c r="BL448" s="485"/>
      <c r="BM448" s="485"/>
      <c r="BN448" s="485"/>
      <c r="BO448" s="485"/>
      <c r="BP448" s="485"/>
      <c r="BQ448" s="485"/>
      <c r="BR448" s="485"/>
      <c r="BS448" s="485"/>
      <c r="BT448" s="485"/>
      <c r="BU448" s="485"/>
      <c r="BV448" s="485"/>
      <c r="BW448" s="485"/>
      <c r="BX448" s="485"/>
      <c r="BY448" s="485"/>
      <c r="BZ448" s="485"/>
      <c r="CA448" s="485"/>
      <c r="CB448" s="485"/>
      <c r="CC448" s="485"/>
      <c r="CD448" s="485"/>
      <c r="CE448" s="485"/>
      <c r="CF448" s="485"/>
      <c r="CG448" s="485"/>
      <c r="CH448" s="485"/>
      <c r="CI448" s="485"/>
      <c r="CJ448" s="485"/>
      <c r="CK448" s="485"/>
      <c r="CL448" s="485"/>
      <c r="CM448" s="485"/>
      <c r="CN448" s="485"/>
      <c r="CO448" s="485"/>
      <c r="CP448" s="485"/>
      <c r="CQ448" s="485"/>
      <c r="CR448" s="485"/>
      <c r="CS448" s="485"/>
      <c r="CT448" s="485"/>
      <c r="CU448" s="485"/>
      <c r="CV448" s="485"/>
      <c r="CW448" s="485"/>
      <c r="CX448" s="485"/>
      <c r="CY448" s="485"/>
      <c r="CZ448" s="485"/>
      <c r="DA448" s="485"/>
      <c r="DB448" s="485"/>
      <c r="DC448" s="485"/>
      <c r="DD448" s="485"/>
      <c r="DE448" s="485"/>
      <c r="DF448" s="485"/>
      <c r="DG448" s="485"/>
      <c r="DH448" s="485"/>
      <c r="DI448" s="485"/>
      <c r="DJ448" s="485"/>
      <c r="DK448" s="485"/>
      <c r="DL448" s="485"/>
      <c r="DM448" s="485"/>
      <c r="DN448" s="485"/>
      <c r="DO448" s="485"/>
      <c r="DP448" s="485"/>
      <c r="DQ448" s="485"/>
      <c r="DR448" s="485"/>
      <c r="DS448" s="485"/>
      <c r="DT448" s="485"/>
      <c r="DU448" s="485"/>
      <c r="DV448" s="485"/>
      <c r="DW448" s="485"/>
      <c r="DX448" s="485"/>
      <c r="DY448" s="485"/>
      <c r="DZ448" s="485"/>
      <c r="EA448" s="485"/>
      <c r="EB448" s="485"/>
      <c r="EC448" s="485"/>
      <c r="ED448" s="485"/>
      <c r="EE448" s="485"/>
      <c r="EF448" s="485"/>
      <c r="EG448" s="485"/>
      <c r="EH448" s="485"/>
      <c r="EI448" s="485"/>
      <c r="EJ448" s="485"/>
      <c r="EK448" s="485"/>
      <c r="EL448" s="485"/>
      <c r="EM448" s="485"/>
      <c r="EN448" s="485"/>
      <c r="EO448" s="485"/>
      <c r="EP448" s="485"/>
    </row>
    <row r="449" spans="1:146">
      <c r="A449" s="485"/>
      <c r="B449" s="485"/>
      <c r="C449" s="485"/>
      <c r="D449" s="485"/>
      <c r="E449" s="485"/>
      <c r="F449" s="485"/>
      <c r="G449" s="485"/>
      <c r="H449" s="485"/>
      <c r="I449" s="485"/>
      <c r="J449" s="485"/>
      <c r="K449" s="485"/>
      <c r="L449" s="485"/>
      <c r="M449" s="485"/>
      <c r="P449" s="485"/>
      <c r="Q449" s="485"/>
      <c r="R449" s="485"/>
      <c r="S449" s="485"/>
      <c r="T449" s="485"/>
      <c r="U449" s="485"/>
      <c r="V449" s="485"/>
      <c r="W449" s="485"/>
      <c r="X449" s="485"/>
      <c r="Y449" s="485"/>
      <c r="Z449" s="485"/>
      <c r="AA449" s="485"/>
      <c r="AB449" s="485"/>
      <c r="AC449" s="485"/>
      <c r="AD449" s="485"/>
      <c r="AE449" s="485"/>
      <c r="AF449" s="485"/>
      <c r="AG449" s="485"/>
      <c r="AH449" s="485"/>
      <c r="AI449" s="485"/>
      <c r="AJ449" s="485"/>
      <c r="AK449" s="485"/>
      <c r="AL449" s="485"/>
      <c r="AM449" s="485"/>
      <c r="AN449" s="485"/>
      <c r="AO449" s="485"/>
      <c r="AP449" s="485"/>
      <c r="AQ449" s="485"/>
      <c r="AR449" s="485"/>
      <c r="AS449" s="485"/>
      <c r="AT449" s="485"/>
      <c r="AU449" s="485"/>
      <c r="AV449" s="485"/>
      <c r="AW449" s="485"/>
      <c r="AX449" s="485"/>
      <c r="AY449" s="485"/>
      <c r="AZ449" s="485"/>
      <c r="BA449" s="485"/>
      <c r="BB449" s="485"/>
      <c r="BC449" s="485"/>
      <c r="BD449" s="485"/>
      <c r="BE449" s="485"/>
      <c r="BF449" s="485"/>
      <c r="BG449" s="485"/>
      <c r="BH449" s="485"/>
      <c r="BI449" s="485"/>
      <c r="BJ449" s="485"/>
      <c r="BK449" s="485"/>
      <c r="BL449" s="485"/>
      <c r="BM449" s="485"/>
      <c r="BN449" s="485"/>
      <c r="BO449" s="485"/>
      <c r="BP449" s="485"/>
      <c r="BQ449" s="485"/>
      <c r="BR449" s="485"/>
      <c r="BS449" s="485"/>
      <c r="BT449" s="485"/>
      <c r="BU449" s="485"/>
      <c r="BV449" s="485"/>
      <c r="BW449" s="485"/>
      <c r="BX449" s="485"/>
      <c r="BY449" s="485"/>
      <c r="BZ449" s="485"/>
      <c r="CA449" s="485"/>
      <c r="CB449" s="485"/>
      <c r="CC449" s="485"/>
      <c r="CD449" s="485"/>
      <c r="CE449" s="485"/>
      <c r="CF449" s="485"/>
      <c r="CG449" s="485"/>
      <c r="CH449" s="485"/>
      <c r="CI449" s="485"/>
      <c r="CJ449" s="485"/>
      <c r="CK449" s="485"/>
      <c r="CL449" s="485"/>
      <c r="CM449" s="485"/>
      <c r="CN449" s="485"/>
      <c r="CO449" s="485"/>
      <c r="CP449" s="485"/>
      <c r="CQ449" s="485"/>
      <c r="CR449" s="485"/>
      <c r="CS449" s="485"/>
      <c r="CT449" s="485"/>
      <c r="CU449" s="485"/>
      <c r="CV449" s="485"/>
      <c r="CW449" s="485"/>
      <c r="CX449" s="485"/>
      <c r="CY449" s="485"/>
      <c r="CZ449" s="485"/>
      <c r="DA449" s="485"/>
      <c r="DB449" s="485"/>
      <c r="DC449" s="485"/>
      <c r="DD449" s="485"/>
      <c r="DE449" s="485"/>
      <c r="DF449" s="485"/>
      <c r="DG449" s="485"/>
      <c r="DH449" s="485"/>
      <c r="DI449" s="485"/>
      <c r="DJ449" s="485"/>
      <c r="DK449" s="485"/>
      <c r="DL449" s="485"/>
      <c r="DM449" s="485"/>
      <c r="DN449" s="485"/>
      <c r="DO449" s="485"/>
      <c r="DP449" s="485"/>
      <c r="DQ449" s="485"/>
      <c r="DR449" s="485"/>
      <c r="DS449" s="485"/>
      <c r="DT449" s="485"/>
      <c r="DU449" s="485"/>
      <c r="DV449" s="485"/>
      <c r="DW449" s="485"/>
      <c r="DX449" s="485"/>
      <c r="DY449" s="485"/>
      <c r="DZ449" s="485"/>
      <c r="EA449" s="485"/>
      <c r="EB449" s="485"/>
      <c r="EC449" s="485"/>
      <c r="ED449" s="485"/>
      <c r="EE449" s="485"/>
      <c r="EF449" s="485"/>
      <c r="EG449" s="485"/>
      <c r="EH449" s="485"/>
      <c r="EI449" s="485"/>
      <c r="EJ449" s="485"/>
      <c r="EK449" s="485"/>
      <c r="EL449" s="485"/>
      <c r="EM449" s="485"/>
      <c r="EN449" s="485"/>
      <c r="EO449" s="485"/>
      <c r="EP449" s="485"/>
    </row>
    <row r="450" spans="1:146">
      <c r="A450" s="485"/>
      <c r="B450" s="485"/>
      <c r="C450" s="485"/>
      <c r="D450" s="485"/>
      <c r="E450" s="485"/>
      <c r="F450" s="485"/>
      <c r="G450" s="485"/>
      <c r="H450" s="485"/>
      <c r="I450" s="485"/>
      <c r="J450" s="485"/>
      <c r="K450" s="485"/>
      <c r="L450" s="485"/>
      <c r="M450" s="485"/>
      <c r="P450" s="485"/>
      <c r="Q450" s="485"/>
      <c r="R450" s="485"/>
      <c r="S450" s="485"/>
      <c r="T450" s="485"/>
      <c r="U450" s="485"/>
      <c r="V450" s="485"/>
      <c r="W450" s="485"/>
      <c r="X450" s="485"/>
      <c r="Y450" s="485"/>
      <c r="Z450" s="485"/>
      <c r="AA450" s="485"/>
      <c r="AB450" s="485"/>
      <c r="AC450" s="485"/>
      <c r="AD450" s="485"/>
      <c r="AE450" s="485"/>
      <c r="AF450" s="485"/>
      <c r="AG450" s="485"/>
      <c r="AH450" s="485"/>
      <c r="AI450" s="485"/>
      <c r="AJ450" s="485"/>
      <c r="AK450" s="485"/>
      <c r="AL450" s="485"/>
      <c r="AM450" s="485"/>
      <c r="AN450" s="485"/>
      <c r="AO450" s="485"/>
      <c r="AP450" s="485"/>
      <c r="AQ450" s="485"/>
      <c r="AR450" s="485"/>
      <c r="AS450" s="485"/>
      <c r="AT450" s="485"/>
      <c r="AU450" s="485"/>
      <c r="AV450" s="485"/>
      <c r="AW450" s="485"/>
      <c r="AX450" s="485"/>
      <c r="AY450" s="485"/>
      <c r="AZ450" s="485"/>
      <c r="BA450" s="485"/>
      <c r="BB450" s="485"/>
      <c r="BC450" s="485"/>
      <c r="BD450" s="485"/>
      <c r="BE450" s="485"/>
      <c r="BF450" s="485"/>
      <c r="BG450" s="485"/>
      <c r="BH450" s="485"/>
      <c r="BI450" s="485"/>
      <c r="BJ450" s="485"/>
      <c r="BK450" s="485"/>
      <c r="BL450" s="485"/>
      <c r="BM450" s="485"/>
      <c r="BN450" s="485"/>
      <c r="BO450" s="485"/>
      <c r="BP450" s="485"/>
      <c r="BQ450" s="485"/>
      <c r="BR450" s="485"/>
      <c r="BS450" s="485"/>
      <c r="BT450" s="485"/>
      <c r="BU450" s="485"/>
      <c r="BV450" s="485"/>
      <c r="BW450" s="485"/>
      <c r="BX450" s="485"/>
      <c r="BY450" s="485"/>
      <c r="BZ450" s="485"/>
      <c r="CA450" s="485"/>
      <c r="CB450" s="485"/>
      <c r="CC450" s="485"/>
      <c r="CD450" s="485"/>
      <c r="CE450" s="485"/>
      <c r="CF450" s="485"/>
      <c r="CG450" s="485"/>
      <c r="CH450" s="485"/>
      <c r="CI450" s="485"/>
      <c r="CJ450" s="485"/>
      <c r="CK450" s="485"/>
      <c r="CL450" s="485"/>
      <c r="CM450" s="485"/>
      <c r="CN450" s="485"/>
      <c r="CO450" s="485"/>
      <c r="CP450" s="485"/>
      <c r="CQ450" s="485"/>
      <c r="CR450" s="485"/>
      <c r="CS450" s="485"/>
      <c r="CT450" s="485"/>
      <c r="CU450" s="485"/>
      <c r="CV450" s="485"/>
      <c r="CW450" s="485"/>
      <c r="CX450" s="485"/>
      <c r="CY450" s="485"/>
      <c r="CZ450" s="485"/>
      <c r="DA450" s="485"/>
      <c r="DB450" s="485"/>
      <c r="DC450" s="485"/>
      <c r="DD450" s="485"/>
      <c r="DE450" s="485"/>
      <c r="DF450" s="485"/>
      <c r="DG450" s="485"/>
      <c r="DH450" s="485"/>
      <c r="DI450" s="485"/>
      <c r="DJ450" s="485"/>
      <c r="DK450" s="485"/>
      <c r="DL450" s="485"/>
      <c r="DM450" s="485"/>
      <c r="DN450" s="485"/>
      <c r="DO450" s="485"/>
      <c r="DP450" s="485"/>
      <c r="DQ450" s="485"/>
      <c r="DR450" s="485"/>
      <c r="DS450" s="485"/>
      <c r="DT450" s="485"/>
      <c r="DU450" s="485"/>
      <c r="DV450" s="485"/>
      <c r="DW450" s="485"/>
      <c r="DX450" s="485"/>
      <c r="DY450" s="485"/>
      <c r="DZ450" s="485"/>
      <c r="EA450" s="485"/>
      <c r="EB450" s="485"/>
      <c r="EC450" s="485"/>
      <c r="ED450" s="485"/>
      <c r="EE450" s="485"/>
      <c r="EF450" s="485"/>
      <c r="EG450" s="485"/>
      <c r="EH450" s="485"/>
      <c r="EI450" s="485"/>
      <c r="EJ450" s="485"/>
      <c r="EK450" s="485"/>
      <c r="EL450" s="485"/>
      <c r="EM450" s="485"/>
      <c r="EN450" s="485"/>
      <c r="EO450" s="485"/>
      <c r="EP450" s="485"/>
    </row>
    <row r="451" spans="1:146">
      <c r="A451" s="485"/>
      <c r="B451" s="485"/>
      <c r="C451" s="485"/>
      <c r="D451" s="485"/>
      <c r="E451" s="485"/>
      <c r="F451" s="485"/>
      <c r="G451" s="485"/>
      <c r="H451" s="485"/>
      <c r="I451" s="485"/>
      <c r="J451" s="485"/>
      <c r="K451" s="485"/>
      <c r="L451" s="485"/>
      <c r="M451" s="485"/>
      <c r="P451" s="485"/>
      <c r="Q451" s="485"/>
      <c r="R451" s="485"/>
      <c r="S451" s="485"/>
      <c r="T451" s="485"/>
      <c r="U451" s="485"/>
      <c r="V451" s="485"/>
      <c r="W451" s="485"/>
      <c r="X451" s="485"/>
      <c r="Y451" s="485"/>
      <c r="Z451" s="485"/>
      <c r="AA451" s="485"/>
      <c r="AB451" s="485"/>
      <c r="AC451" s="485"/>
      <c r="AD451" s="485"/>
      <c r="AE451" s="485"/>
      <c r="AF451" s="485"/>
      <c r="AG451" s="485"/>
      <c r="AH451" s="485"/>
      <c r="AI451" s="485"/>
      <c r="AJ451" s="485"/>
      <c r="AK451" s="485"/>
      <c r="AL451" s="485"/>
      <c r="AM451" s="485"/>
      <c r="AN451" s="485"/>
      <c r="AO451" s="485"/>
      <c r="AP451" s="485"/>
      <c r="AQ451" s="485"/>
      <c r="AR451" s="485"/>
      <c r="AS451" s="485"/>
      <c r="AT451" s="485"/>
      <c r="AU451" s="485"/>
      <c r="AV451" s="485"/>
      <c r="AW451" s="485"/>
      <c r="AX451" s="485"/>
      <c r="AY451" s="485"/>
      <c r="AZ451" s="485"/>
      <c r="BA451" s="485"/>
      <c r="BB451" s="485"/>
      <c r="BC451" s="485"/>
      <c r="BD451" s="485"/>
      <c r="BE451" s="485"/>
      <c r="BF451" s="485"/>
      <c r="BG451" s="485"/>
      <c r="BH451" s="485"/>
      <c r="BI451" s="485"/>
      <c r="BJ451" s="485"/>
      <c r="BK451" s="485"/>
      <c r="BL451" s="485"/>
      <c r="BM451" s="485"/>
      <c r="BN451" s="485"/>
      <c r="BO451" s="485"/>
      <c r="BP451" s="485"/>
      <c r="BQ451" s="485"/>
      <c r="BR451" s="485"/>
      <c r="BS451" s="485"/>
      <c r="BT451" s="485"/>
      <c r="BU451" s="485"/>
      <c r="BV451" s="485"/>
      <c r="BW451" s="485"/>
      <c r="BX451" s="485"/>
      <c r="BY451" s="485"/>
      <c r="BZ451" s="485"/>
      <c r="CA451" s="485"/>
      <c r="CB451" s="485"/>
      <c r="CC451" s="485"/>
      <c r="CD451" s="485"/>
      <c r="CE451" s="485"/>
      <c r="CF451" s="485"/>
      <c r="CG451" s="485"/>
      <c r="CH451" s="485"/>
      <c r="CI451" s="485"/>
      <c r="CJ451" s="485"/>
      <c r="CK451" s="485"/>
      <c r="CL451" s="485"/>
      <c r="CM451" s="485"/>
      <c r="CN451" s="485"/>
      <c r="CO451" s="485"/>
      <c r="CP451" s="485"/>
      <c r="CQ451" s="485"/>
      <c r="CR451" s="485"/>
      <c r="CS451" s="485"/>
      <c r="CT451" s="485"/>
      <c r="CU451" s="485"/>
      <c r="CV451" s="485"/>
      <c r="CW451" s="485"/>
      <c r="CX451" s="485"/>
      <c r="CY451" s="485"/>
      <c r="CZ451" s="485"/>
      <c r="DA451" s="485"/>
      <c r="DB451" s="485"/>
      <c r="DC451" s="485"/>
      <c r="DD451" s="485"/>
      <c r="DE451" s="485"/>
      <c r="DF451" s="485"/>
      <c r="DG451" s="485"/>
      <c r="DH451" s="485"/>
      <c r="DI451" s="485"/>
      <c r="DJ451" s="485"/>
      <c r="DK451" s="485"/>
      <c r="DL451" s="485"/>
      <c r="DM451" s="485"/>
      <c r="DN451" s="485"/>
      <c r="DO451" s="485"/>
      <c r="DP451" s="485"/>
      <c r="DQ451" s="485"/>
      <c r="DR451" s="485"/>
      <c r="DS451" s="485"/>
      <c r="DT451" s="485"/>
      <c r="DU451" s="485"/>
      <c r="DV451" s="485"/>
      <c r="DW451" s="485"/>
      <c r="DX451" s="485"/>
      <c r="DY451" s="485"/>
      <c r="DZ451" s="485"/>
      <c r="EA451" s="485"/>
      <c r="EB451" s="485"/>
      <c r="EC451" s="485"/>
      <c r="ED451" s="485"/>
      <c r="EE451" s="485"/>
      <c r="EF451" s="485"/>
      <c r="EG451" s="485"/>
      <c r="EH451" s="485"/>
      <c r="EI451" s="485"/>
      <c r="EJ451" s="485"/>
      <c r="EK451" s="485"/>
      <c r="EL451" s="485"/>
      <c r="EM451" s="485"/>
      <c r="EN451" s="485"/>
      <c r="EO451" s="485"/>
      <c r="EP451" s="485"/>
    </row>
    <row r="452" spans="1:146">
      <c r="A452" s="485"/>
      <c r="B452" s="485"/>
      <c r="C452" s="485"/>
      <c r="D452" s="485"/>
      <c r="E452" s="485"/>
      <c r="F452" s="485"/>
      <c r="G452" s="485"/>
      <c r="H452" s="485"/>
      <c r="I452" s="485"/>
      <c r="J452" s="485"/>
      <c r="K452" s="485"/>
      <c r="L452" s="485"/>
      <c r="M452" s="485"/>
      <c r="P452" s="485"/>
      <c r="Q452" s="485"/>
      <c r="R452" s="485"/>
      <c r="S452" s="485"/>
      <c r="T452" s="485"/>
      <c r="U452" s="485"/>
      <c r="V452" s="485"/>
      <c r="W452" s="485"/>
      <c r="X452" s="485"/>
      <c r="Y452" s="485"/>
      <c r="Z452" s="485"/>
      <c r="AA452" s="485"/>
      <c r="AB452" s="485"/>
      <c r="AC452" s="485"/>
      <c r="AD452" s="485"/>
      <c r="AE452" s="485"/>
      <c r="AF452" s="485"/>
      <c r="AG452" s="485"/>
      <c r="AH452" s="485"/>
      <c r="AI452" s="485"/>
      <c r="AJ452" s="485"/>
      <c r="AK452" s="485"/>
      <c r="AL452" s="485"/>
      <c r="AM452" s="485"/>
      <c r="AN452" s="485"/>
      <c r="AO452" s="485"/>
      <c r="AP452" s="485"/>
      <c r="AQ452" s="485"/>
      <c r="AR452" s="485"/>
      <c r="AS452" s="485"/>
      <c r="AT452" s="485"/>
      <c r="AU452" s="485"/>
      <c r="AV452" s="485"/>
      <c r="AW452" s="485"/>
      <c r="AX452" s="485"/>
      <c r="AY452" s="485"/>
      <c r="AZ452" s="485"/>
      <c r="BA452" s="485"/>
      <c r="BB452" s="485"/>
      <c r="BC452" s="485"/>
      <c r="BD452" s="485"/>
      <c r="BE452" s="485"/>
      <c r="BF452" s="485"/>
      <c r="BG452" s="485"/>
      <c r="BH452" s="485"/>
      <c r="BI452" s="485"/>
      <c r="BJ452" s="485"/>
      <c r="BK452" s="485"/>
      <c r="BL452" s="485"/>
      <c r="BM452" s="485"/>
      <c r="BN452" s="485"/>
      <c r="BO452" s="485"/>
      <c r="BP452" s="485"/>
      <c r="BQ452" s="485"/>
      <c r="BR452" s="485"/>
      <c r="BS452" s="485"/>
      <c r="BT452" s="485"/>
      <c r="BU452" s="485"/>
      <c r="BV452" s="485"/>
      <c r="BW452" s="485"/>
      <c r="BX452" s="485"/>
      <c r="BY452" s="485"/>
      <c r="BZ452" s="485"/>
      <c r="CA452" s="485"/>
      <c r="CB452" s="485"/>
      <c r="CC452" s="485"/>
      <c r="CD452" s="485"/>
      <c r="CE452" s="485"/>
      <c r="CF452" s="485"/>
      <c r="CG452" s="485"/>
      <c r="CH452" s="485"/>
      <c r="CI452" s="485"/>
      <c r="CJ452" s="485"/>
      <c r="CK452" s="485"/>
      <c r="CL452" s="485"/>
      <c r="CM452" s="485"/>
      <c r="CN452" s="485"/>
      <c r="CO452" s="485"/>
      <c r="CP452" s="485"/>
      <c r="CQ452" s="485"/>
      <c r="CR452" s="485"/>
      <c r="CS452" s="485"/>
      <c r="CT452" s="485"/>
      <c r="CU452" s="485"/>
      <c r="CV452" s="485"/>
      <c r="CW452" s="485"/>
      <c r="CX452" s="485"/>
      <c r="CY452" s="485"/>
      <c r="CZ452" s="485"/>
      <c r="DA452" s="485"/>
      <c r="DB452" s="485"/>
      <c r="DC452" s="485"/>
      <c r="DD452" s="485"/>
      <c r="DE452" s="485"/>
      <c r="DF452" s="485"/>
      <c r="DG452" s="485"/>
      <c r="DH452" s="485"/>
      <c r="DI452" s="485"/>
      <c r="DJ452" s="485"/>
      <c r="DK452" s="485"/>
      <c r="DL452" s="485"/>
      <c r="DM452" s="485"/>
      <c r="DN452" s="485"/>
      <c r="DO452" s="485"/>
      <c r="DP452" s="485"/>
      <c r="DQ452" s="485"/>
      <c r="DR452" s="485"/>
      <c r="DS452" s="485"/>
      <c r="DT452" s="485"/>
      <c r="DU452" s="485"/>
      <c r="DV452" s="485"/>
      <c r="DW452" s="485"/>
      <c r="DX452" s="485"/>
      <c r="DY452" s="485"/>
      <c r="DZ452" s="485"/>
      <c r="EA452" s="485"/>
      <c r="EB452" s="485"/>
      <c r="EC452" s="485"/>
      <c r="ED452" s="485"/>
      <c r="EE452" s="485"/>
      <c r="EF452" s="485"/>
      <c r="EG452" s="485"/>
      <c r="EH452" s="485"/>
      <c r="EI452" s="485"/>
      <c r="EJ452" s="485"/>
      <c r="EK452" s="485"/>
      <c r="EL452" s="485"/>
      <c r="EM452" s="485"/>
      <c r="EN452" s="485"/>
      <c r="EO452" s="485"/>
      <c r="EP452" s="485"/>
    </row>
    <row r="453" spans="1:146">
      <c r="A453" s="485"/>
      <c r="B453" s="485"/>
      <c r="C453" s="485"/>
      <c r="D453" s="485"/>
      <c r="E453" s="485"/>
      <c r="F453" s="485"/>
      <c r="G453" s="485"/>
      <c r="H453" s="485"/>
      <c r="I453" s="485"/>
      <c r="J453" s="485"/>
      <c r="K453" s="485"/>
      <c r="L453" s="485"/>
      <c r="M453" s="485"/>
      <c r="P453" s="485"/>
      <c r="Q453" s="485"/>
      <c r="R453" s="485"/>
      <c r="S453" s="485"/>
      <c r="T453" s="485"/>
      <c r="U453" s="485"/>
      <c r="V453" s="485"/>
      <c r="W453" s="485"/>
      <c r="X453" s="485"/>
      <c r="Y453" s="485"/>
      <c r="Z453" s="485"/>
      <c r="AA453" s="485"/>
      <c r="AB453" s="485"/>
      <c r="AC453" s="485"/>
      <c r="AD453" s="485"/>
      <c r="AE453" s="485"/>
      <c r="AF453" s="485"/>
      <c r="AG453" s="485"/>
      <c r="AH453" s="485"/>
      <c r="AI453" s="485"/>
      <c r="AJ453" s="485"/>
      <c r="AK453" s="485"/>
      <c r="AL453" s="485"/>
      <c r="AM453" s="485"/>
      <c r="AN453" s="485"/>
      <c r="AO453" s="485"/>
      <c r="AP453" s="485"/>
      <c r="AQ453" s="485"/>
      <c r="AR453" s="485"/>
      <c r="AS453" s="485"/>
      <c r="AT453" s="485"/>
      <c r="AU453" s="485"/>
      <c r="AV453" s="485"/>
      <c r="AW453" s="485"/>
      <c r="AX453" s="485"/>
      <c r="AY453" s="485"/>
      <c r="AZ453" s="485"/>
      <c r="BA453" s="485"/>
      <c r="BB453" s="485"/>
      <c r="BC453" s="485"/>
      <c r="BD453" s="485"/>
      <c r="BE453" s="485"/>
      <c r="BF453" s="485"/>
      <c r="BG453" s="485"/>
      <c r="BH453" s="485"/>
      <c r="BI453" s="485"/>
      <c r="BJ453" s="485"/>
      <c r="BK453" s="485"/>
      <c r="BL453" s="485"/>
      <c r="BM453" s="485"/>
      <c r="BN453" s="485"/>
      <c r="BO453" s="485"/>
      <c r="BP453" s="485"/>
      <c r="BQ453" s="485"/>
      <c r="BR453" s="485"/>
      <c r="BS453" s="485"/>
      <c r="BT453" s="485"/>
      <c r="BU453" s="485"/>
      <c r="BV453" s="485"/>
      <c r="BW453" s="485"/>
      <c r="BX453" s="485"/>
      <c r="BY453" s="485"/>
      <c r="BZ453" s="485"/>
      <c r="CA453" s="485"/>
      <c r="CB453" s="485"/>
      <c r="CC453" s="485"/>
      <c r="CD453" s="485"/>
      <c r="CE453" s="485"/>
      <c r="CF453" s="485"/>
      <c r="CG453" s="485"/>
      <c r="CH453" s="485"/>
      <c r="CI453" s="485"/>
      <c r="CJ453" s="485"/>
      <c r="CK453" s="485"/>
      <c r="CL453" s="485"/>
      <c r="CM453" s="485"/>
      <c r="CN453" s="485"/>
      <c r="CO453" s="485"/>
      <c r="CP453" s="485"/>
      <c r="CQ453" s="485"/>
      <c r="CR453" s="485"/>
      <c r="CS453" s="485"/>
      <c r="CT453" s="485"/>
      <c r="CU453" s="485"/>
      <c r="CV453" s="485"/>
      <c r="CW453" s="485"/>
      <c r="CX453" s="485"/>
      <c r="CY453" s="485"/>
      <c r="CZ453" s="485"/>
      <c r="DA453" s="485"/>
      <c r="DB453" s="485"/>
      <c r="DC453" s="485"/>
      <c r="DD453" s="485"/>
      <c r="DE453" s="485"/>
      <c r="DF453" s="485"/>
      <c r="DG453" s="485"/>
      <c r="DH453" s="485"/>
      <c r="DI453" s="485"/>
      <c r="DJ453" s="485"/>
      <c r="DK453" s="485"/>
      <c r="DL453" s="485"/>
      <c r="DM453" s="485"/>
      <c r="DN453" s="485"/>
      <c r="DO453" s="485"/>
      <c r="DP453" s="485"/>
      <c r="DQ453" s="485"/>
      <c r="DR453" s="485"/>
      <c r="DS453" s="485"/>
      <c r="DT453" s="485"/>
      <c r="DU453" s="485"/>
      <c r="DV453" s="485"/>
      <c r="DW453" s="485"/>
      <c r="DX453" s="485"/>
      <c r="DY453" s="485"/>
      <c r="DZ453" s="485"/>
      <c r="EA453" s="485"/>
      <c r="EB453" s="485"/>
      <c r="EC453" s="485"/>
      <c r="ED453" s="485"/>
      <c r="EE453" s="485"/>
      <c r="EF453" s="485"/>
      <c r="EG453" s="485"/>
      <c r="EH453" s="485"/>
      <c r="EI453" s="485"/>
      <c r="EJ453" s="485"/>
      <c r="EK453" s="485"/>
      <c r="EL453" s="485"/>
      <c r="EM453" s="485"/>
      <c r="EN453" s="485"/>
      <c r="EO453" s="485"/>
      <c r="EP453" s="485"/>
    </row>
    <row r="454" spans="1:146">
      <c r="A454" s="485"/>
      <c r="B454" s="485"/>
      <c r="C454" s="485"/>
      <c r="D454" s="485"/>
      <c r="E454" s="485"/>
      <c r="F454" s="485"/>
      <c r="G454" s="485"/>
      <c r="H454" s="485"/>
      <c r="I454" s="485"/>
      <c r="J454" s="485"/>
      <c r="K454" s="485"/>
      <c r="L454" s="485"/>
      <c r="M454" s="485"/>
      <c r="P454" s="485"/>
      <c r="Q454" s="485"/>
      <c r="R454" s="485"/>
      <c r="S454" s="485"/>
      <c r="T454" s="485"/>
      <c r="U454" s="485"/>
      <c r="V454" s="485"/>
      <c r="W454" s="485"/>
      <c r="X454" s="485"/>
      <c r="Y454" s="485"/>
      <c r="Z454" s="485"/>
      <c r="AA454" s="485"/>
      <c r="AB454" s="485"/>
      <c r="AC454" s="485"/>
      <c r="AD454" s="485"/>
      <c r="AE454" s="485"/>
      <c r="AF454" s="485"/>
      <c r="AG454" s="485"/>
      <c r="AH454" s="485"/>
      <c r="AI454" s="485"/>
      <c r="AJ454" s="485"/>
      <c r="AK454" s="485"/>
      <c r="AL454" s="485"/>
      <c r="AM454" s="485"/>
      <c r="AN454" s="485"/>
      <c r="AO454" s="485"/>
      <c r="AP454" s="485"/>
      <c r="AQ454" s="485"/>
      <c r="AR454" s="485"/>
      <c r="AS454" s="485"/>
      <c r="AT454" s="485"/>
      <c r="AU454" s="485"/>
      <c r="AV454" s="485"/>
      <c r="AW454" s="485"/>
      <c r="AX454" s="485"/>
      <c r="AY454" s="485"/>
      <c r="AZ454" s="485"/>
      <c r="BA454" s="485"/>
      <c r="BB454" s="485"/>
      <c r="BC454" s="485"/>
      <c r="BD454" s="485"/>
      <c r="BE454" s="485"/>
      <c r="BF454" s="485"/>
      <c r="BG454" s="485"/>
      <c r="BH454" s="485"/>
      <c r="BI454" s="485"/>
      <c r="BJ454" s="485"/>
      <c r="BK454" s="485"/>
      <c r="BL454" s="485"/>
      <c r="BM454" s="485"/>
      <c r="BN454" s="485"/>
      <c r="BO454" s="485"/>
      <c r="BP454" s="485"/>
      <c r="BQ454" s="485"/>
      <c r="BR454" s="485"/>
      <c r="BS454" s="485"/>
      <c r="BT454" s="485"/>
      <c r="BU454" s="485"/>
      <c r="BV454" s="485"/>
      <c r="BW454" s="485"/>
      <c r="BX454" s="485"/>
      <c r="BY454" s="485"/>
      <c r="BZ454" s="485"/>
      <c r="CA454" s="485"/>
      <c r="CB454" s="485"/>
      <c r="CC454" s="485"/>
      <c r="CD454" s="485"/>
      <c r="CE454" s="485"/>
      <c r="CF454" s="485"/>
      <c r="CG454" s="485"/>
      <c r="CH454" s="485"/>
      <c r="CI454" s="485"/>
      <c r="CJ454" s="485"/>
      <c r="CK454" s="485"/>
      <c r="CL454" s="485"/>
      <c r="CM454" s="485"/>
      <c r="CN454" s="485"/>
      <c r="CO454" s="485"/>
      <c r="CP454" s="485"/>
      <c r="CQ454" s="485"/>
      <c r="CR454" s="485"/>
      <c r="CS454" s="485"/>
      <c r="CT454" s="485"/>
      <c r="CU454" s="485"/>
      <c r="CV454" s="485"/>
      <c r="CW454" s="485"/>
      <c r="CX454" s="485"/>
      <c r="CY454" s="485"/>
      <c r="CZ454" s="485"/>
      <c r="DA454" s="485"/>
      <c r="DB454" s="485"/>
      <c r="DC454" s="485"/>
      <c r="DD454" s="485"/>
      <c r="DE454" s="485"/>
      <c r="DF454" s="485"/>
      <c r="DG454" s="485"/>
      <c r="DH454" s="485"/>
      <c r="DI454" s="485"/>
      <c r="DJ454" s="485"/>
      <c r="DK454" s="485"/>
      <c r="DL454" s="485"/>
      <c r="DM454" s="485"/>
      <c r="DN454" s="485"/>
      <c r="DO454" s="485"/>
      <c r="DP454" s="485"/>
      <c r="DQ454" s="485"/>
      <c r="DR454" s="485"/>
      <c r="DS454" s="485"/>
      <c r="DT454" s="485"/>
      <c r="DU454" s="485"/>
      <c r="DV454" s="485"/>
      <c r="DW454" s="485"/>
      <c r="DX454" s="485"/>
      <c r="DY454" s="485"/>
      <c r="DZ454" s="485"/>
      <c r="EA454" s="485"/>
      <c r="EB454" s="485"/>
      <c r="EC454" s="485"/>
      <c r="ED454" s="485"/>
      <c r="EE454" s="485"/>
      <c r="EF454" s="485"/>
      <c r="EG454" s="485"/>
      <c r="EH454" s="485"/>
      <c r="EI454" s="485"/>
      <c r="EJ454" s="485"/>
      <c r="EK454" s="485"/>
      <c r="EL454" s="485"/>
      <c r="EM454" s="485"/>
      <c r="EN454" s="485"/>
      <c r="EO454" s="485"/>
      <c r="EP454" s="485"/>
    </row>
    <row r="455" spans="1:146">
      <c r="A455" s="485"/>
      <c r="B455" s="485"/>
      <c r="C455" s="485"/>
      <c r="D455" s="485"/>
      <c r="E455" s="485"/>
      <c r="F455" s="485"/>
      <c r="G455" s="485"/>
      <c r="H455" s="485"/>
      <c r="I455" s="485"/>
      <c r="J455" s="485"/>
      <c r="K455" s="485"/>
      <c r="L455" s="485"/>
      <c r="M455" s="485"/>
      <c r="P455" s="485"/>
      <c r="Q455" s="485"/>
      <c r="R455" s="485"/>
      <c r="S455" s="485"/>
      <c r="T455" s="485"/>
      <c r="U455" s="485"/>
      <c r="V455" s="485"/>
      <c r="W455" s="485"/>
      <c r="X455" s="485"/>
      <c r="Y455" s="485"/>
      <c r="Z455" s="485"/>
      <c r="AA455" s="485"/>
      <c r="AB455" s="485"/>
      <c r="AC455" s="485"/>
      <c r="AD455" s="485"/>
      <c r="AE455" s="485"/>
      <c r="AF455" s="485"/>
      <c r="AG455" s="485"/>
      <c r="AH455" s="485"/>
      <c r="AI455" s="485"/>
      <c r="AJ455" s="485"/>
      <c r="AK455" s="485"/>
      <c r="AL455" s="485"/>
      <c r="AM455" s="485"/>
      <c r="AN455" s="485"/>
      <c r="AO455" s="485"/>
      <c r="AP455" s="485"/>
      <c r="AQ455" s="485"/>
      <c r="AR455" s="485"/>
      <c r="AS455" s="485"/>
      <c r="AT455" s="485"/>
      <c r="AU455" s="485"/>
      <c r="AV455" s="485"/>
      <c r="AW455" s="485"/>
      <c r="AX455" s="485"/>
      <c r="AY455" s="485"/>
      <c r="AZ455" s="485"/>
      <c r="BA455" s="485"/>
      <c r="BB455" s="485"/>
      <c r="BC455" s="485"/>
      <c r="BD455" s="485"/>
      <c r="BE455" s="485"/>
      <c r="BF455" s="485"/>
      <c r="BG455" s="485"/>
      <c r="BH455" s="485"/>
      <c r="BI455" s="485"/>
      <c r="BJ455" s="485"/>
      <c r="BK455" s="485"/>
      <c r="BL455" s="485"/>
      <c r="BM455" s="485"/>
      <c r="BN455" s="485"/>
      <c r="BO455" s="485"/>
      <c r="BP455" s="485"/>
      <c r="BQ455" s="485"/>
      <c r="BR455" s="485"/>
      <c r="BS455" s="485"/>
      <c r="BT455" s="485"/>
      <c r="BU455" s="485"/>
      <c r="BV455" s="485"/>
      <c r="BW455" s="485"/>
      <c r="BX455" s="485"/>
      <c r="BY455" s="485"/>
      <c r="BZ455" s="485"/>
      <c r="CA455" s="485"/>
      <c r="CB455" s="485"/>
      <c r="CC455" s="485"/>
      <c r="CD455" s="485"/>
      <c r="CE455" s="485"/>
      <c r="CF455" s="485"/>
      <c r="CG455" s="485"/>
      <c r="CH455" s="485"/>
      <c r="CI455" s="485"/>
      <c r="CJ455" s="485"/>
      <c r="CK455" s="485"/>
      <c r="CL455" s="485"/>
      <c r="CM455" s="485"/>
      <c r="CN455" s="485"/>
      <c r="CO455" s="485"/>
      <c r="CP455" s="485"/>
      <c r="CQ455" s="485"/>
      <c r="CR455" s="485"/>
      <c r="CS455" s="485"/>
      <c r="CT455" s="485"/>
      <c r="CU455" s="485"/>
      <c r="CV455" s="485"/>
      <c r="CW455" s="485"/>
      <c r="CX455" s="485"/>
      <c r="CY455" s="485"/>
      <c r="CZ455" s="485"/>
      <c r="DA455" s="485"/>
      <c r="DB455" s="485"/>
      <c r="DC455" s="485"/>
      <c r="DD455" s="485"/>
      <c r="DE455" s="485"/>
      <c r="DF455" s="485"/>
      <c r="DG455" s="485"/>
      <c r="DH455" s="485"/>
      <c r="DI455" s="485"/>
      <c r="DJ455" s="485"/>
      <c r="DK455" s="485"/>
      <c r="DL455" s="485"/>
      <c r="DM455" s="485"/>
      <c r="DN455" s="485"/>
      <c r="DO455" s="485"/>
      <c r="DP455" s="485"/>
      <c r="DQ455" s="485"/>
      <c r="DR455" s="485"/>
      <c r="DS455" s="485"/>
      <c r="DT455" s="485"/>
      <c r="DU455" s="485"/>
      <c r="DV455" s="485"/>
      <c r="DW455" s="485"/>
      <c r="DX455" s="485"/>
      <c r="DY455" s="485"/>
      <c r="DZ455" s="485"/>
      <c r="EA455" s="485"/>
      <c r="EB455" s="485"/>
      <c r="EC455" s="485"/>
      <c r="ED455" s="485"/>
      <c r="EE455" s="485"/>
      <c r="EF455" s="485"/>
      <c r="EG455" s="485"/>
      <c r="EH455" s="485"/>
      <c r="EI455" s="485"/>
      <c r="EJ455" s="485"/>
      <c r="EK455" s="485"/>
      <c r="EL455" s="485"/>
      <c r="EM455" s="485"/>
      <c r="EN455" s="485"/>
      <c r="EO455" s="485"/>
      <c r="EP455" s="485"/>
    </row>
    <row r="456" spans="1:146">
      <c r="A456" s="485"/>
      <c r="B456" s="485"/>
      <c r="C456" s="485"/>
      <c r="D456" s="485"/>
      <c r="E456" s="485"/>
      <c r="F456" s="485"/>
      <c r="G456" s="485"/>
      <c r="H456" s="485"/>
      <c r="I456" s="485"/>
      <c r="J456" s="485"/>
      <c r="K456" s="485"/>
      <c r="L456" s="485"/>
      <c r="M456" s="485"/>
      <c r="P456" s="485"/>
      <c r="Q456" s="485"/>
      <c r="R456" s="485"/>
      <c r="S456" s="485"/>
      <c r="T456" s="485"/>
      <c r="U456" s="485"/>
      <c r="V456" s="485"/>
      <c r="W456" s="485"/>
      <c r="X456" s="485"/>
      <c r="Y456" s="485"/>
      <c r="Z456" s="485"/>
      <c r="AA456" s="485"/>
      <c r="AB456" s="485"/>
      <c r="AC456" s="485"/>
      <c r="AD456" s="485"/>
      <c r="AE456" s="485"/>
      <c r="AF456" s="485"/>
      <c r="AG456" s="485"/>
      <c r="AH456" s="485"/>
      <c r="AI456" s="485"/>
      <c r="AJ456" s="485"/>
      <c r="AK456" s="485"/>
      <c r="AL456" s="485"/>
      <c r="AM456" s="485"/>
      <c r="AN456" s="485"/>
      <c r="AO456" s="485"/>
      <c r="AP456" s="485"/>
      <c r="AQ456" s="485"/>
      <c r="AR456" s="485"/>
      <c r="AS456" s="485"/>
      <c r="AT456" s="485"/>
      <c r="AU456" s="485"/>
      <c r="AV456" s="485"/>
      <c r="AW456" s="485"/>
      <c r="AX456" s="485"/>
      <c r="AY456" s="485"/>
      <c r="AZ456" s="485"/>
      <c r="BA456" s="485"/>
      <c r="BB456" s="485"/>
      <c r="BC456" s="485"/>
      <c r="BD456" s="485"/>
      <c r="BE456" s="485"/>
      <c r="BF456" s="485"/>
      <c r="BG456" s="485"/>
      <c r="BH456" s="485"/>
      <c r="BI456" s="485"/>
      <c r="BJ456" s="485"/>
      <c r="BK456" s="485"/>
      <c r="BL456" s="485"/>
      <c r="BM456" s="485"/>
      <c r="BN456" s="485"/>
      <c r="BO456" s="485"/>
      <c r="BP456" s="485"/>
      <c r="BQ456" s="485"/>
      <c r="BR456" s="485"/>
      <c r="BS456" s="485"/>
      <c r="BT456" s="485"/>
      <c r="BU456" s="485"/>
      <c r="BV456" s="485"/>
      <c r="BW456" s="485"/>
      <c r="BX456" s="485"/>
      <c r="BY456" s="485"/>
      <c r="BZ456" s="485"/>
      <c r="CA456" s="485"/>
      <c r="CB456" s="485"/>
      <c r="CC456" s="485"/>
      <c r="CD456" s="485"/>
      <c r="CE456" s="485"/>
      <c r="CF456" s="485"/>
      <c r="CG456" s="485"/>
      <c r="CH456" s="485"/>
      <c r="CI456" s="485"/>
      <c r="CJ456" s="485"/>
      <c r="CK456" s="485"/>
      <c r="CL456" s="485"/>
      <c r="CM456" s="485"/>
      <c r="CN456" s="485"/>
      <c r="CO456" s="485"/>
      <c r="CP456" s="485"/>
      <c r="CQ456" s="485"/>
      <c r="CR456" s="485"/>
      <c r="CS456" s="485"/>
      <c r="CT456" s="485"/>
      <c r="CU456" s="485"/>
      <c r="CV456" s="485"/>
      <c r="CW456" s="485"/>
      <c r="CX456" s="485"/>
      <c r="CY456" s="485"/>
      <c r="CZ456" s="485"/>
      <c r="DA456" s="485"/>
      <c r="DB456" s="485"/>
      <c r="DC456" s="485"/>
      <c r="DD456" s="485"/>
      <c r="DE456" s="485"/>
      <c r="DF456" s="485"/>
      <c r="DG456" s="485"/>
      <c r="DH456" s="485"/>
      <c r="DI456" s="485"/>
      <c r="DJ456" s="485"/>
      <c r="DK456" s="485"/>
      <c r="DL456" s="485"/>
      <c r="DM456" s="485"/>
      <c r="DN456" s="485"/>
      <c r="DO456" s="485"/>
      <c r="DP456" s="485"/>
      <c r="DQ456" s="485"/>
      <c r="DR456" s="485"/>
      <c r="DS456" s="485"/>
      <c r="DT456" s="485"/>
      <c r="DU456" s="485"/>
      <c r="DV456" s="485"/>
      <c r="DW456" s="485"/>
      <c r="DX456" s="485"/>
      <c r="DY456" s="485"/>
      <c r="DZ456" s="485"/>
      <c r="EA456" s="485"/>
      <c r="EB456" s="485"/>
      <c r="EC456" s="485"/>
      <c r="ED456" s="485"/>
      <c r="EE456" s="485"/>
      <c r="EF456" s="485"/>
      <c r="EG456" s="485"/>
      <c r="EH456" s="485"/>
      <c r="EI456" s="485"/>
      <c r="EJ456" s="485"/>
      <c r="EK456" s="485"/>
      <c r="EL456" s="485"/>
      <c r="EM456" s="485"/>
      <c r="EN456" s="485"/>
      <c r="EO456" s="485"/>
      <c r="EP456" s="485"/>
    </row>
    <row r="457" spans="1:146">
      <c r="A457" s="485"/>
      <c r="B457" s="485"/>
      <c r="C457" s="485"/>
      <c r="D457" s="485"/>
      <c r="E457" s="485"/>
      <c r="F457" s="485"/>
      <c r="G457" s="485"/>
      <c r="H457" s="485"/>
      <c r="I457" s="485"/>
      <c r="J457" s="485"/>
      <c r="K457" s="485"/>
      <c r="L457" s="485"/>
      <c r="M457" s="485"/>
      <c r="P457" s="485"/>
      <c r="Q457" s="485"/>
      <c r="R457" s="485"/>
      <c r="S457" s="485"/>
      <c r="T457" s="485"/>
      <c r="U457" s="485"/>
      <c r="V457" s="485"/>
      <c r="W457" s="485"/>
      <c r="X457" s="485"/>
      <c r="Y457" s="485"/>
      <c r="Z457" s="485"/>
      <c r="AA457" s="485"/>
      <c r="AB457" s="485"/>
      <c r="AC457" s="485"/>
      <c r="AD457" s="485"/>
      <c r="AE457" s="485"/>
      <c r="AF457" s="485"/>
      <c r="AG457" s="485"/>
      <c r="AH457" s="485"/>
      <c r="AI457" s="485"/>
      <c r="AJ457" s="485"/>
      <c r="AK457" s="485"/>
      <c r="AL457" s="485"/>
      <c r="AM457" s="485"/>
      <c r="AN457" s="485"/>
      <c r="AO457" s="485"/>
      <c r="AP457" s="485"/>
      <c r="AQ457" s="485"/>
      <c r="AR457" s="485"/>
      <c r="AS457" s="485"/>
      <c r="AT457" s="485"/>
      <c r="AU457" s="485"/>
      <c r="AV457" s="485"/>
      <c r="AW457" s="485"/>
      <c r="AX457" s="485"/>
      <c r="AY457" s="485"/>
      <c r="AZ457" s="485"/>
      <c r="BA457" s="485"/>
      <c r="BB457" s="485"/>
      <c r="BC457" s="485"/>
      <c r="BD457" s="485"/>
      <c r="BE457" s="485"/>
      <c r="BF457" s="485"/>
      <c r="BG457" s="485"/>
      <c r="BH457" s="485"/>
      <c r="BI457" s="485"/>
      <c r="BJ457" s="485"/>
      <c r="BK457" s="485"/>
      <c r="BL457" s="485"/>
      <c r="BM457" s="485"/>
      <c r="BN457" s="485"/>
      <c r="BO457" s="485"/>
      <c r="BP457" s="485"/>
      <c r="BQ457" s="485"/>
      <c r="BR457" s="485"/>
      <c r="BS457" s="485"/>
      <c r="BT457" s="485"/>
      <c r="BU457" s="485"/>
      <c r="BV457" s="485"/>
      <c r="BW457" s="485"/>
      <c r="BX457" s="485"/>
      <c r="BY457" s="485"/>
      <c r="BZ457" s="485"/>
      <c r="CA457" s="485"/>
      <c r="CB457" s="485"/>
      <c r="CC457" s="485"/>
      <c r="CD457" s="485"/>
      <c r="CE457" s="485"/>
      <c r="CF457" s="485"/>
      <c r="CG457" s="485"/>
      <c r="CH457" s="485"/>
      <c r="CI457" s="485"/>
      <c r="CJ457" s="485"/>
      <c r="CK457" s="485"/>
      <c r="CL457" s="485"/>
      <c r="CM457" s="485"/>
      <c r="CN457" s="485"/>
      <c r="CO457" s="485"/>
      <c r="CP457" s="485"/>
      <c r="CQ457" s="485"/>
      <c r="CR457" s="485"/>
      <c r="CS457" s="485"/>
      <c r="CT457" s="485"/>
      <c r="CU457" s="485"/>
      <c r="CV457" s="485"/>
      <c r="CW457" s="485"/>
      <c r="CX457" s="485"/>
      <c r="CY457" s="485"/>
      <c r="CZ457" s="485"/>
      <c r="DA457" s="485"/>
      <c r="DB457" s="485"/>
      <c r="DC457" s="485"/>
      <c r="DD457" s="485"/>
      <c r="DE457" s="485"/>
      <c r="DF457" s="485"/>
      <c r="DG457" s="485"/>
      <c r="DH457" s="485"/>
      <c r="DI457" s="485"/>
      <c r="DJ457" s="485"/>
      <c r="DK457" s="485"/>
      <c r="DL457" s="485"/>
      <c r="DM457" s="485"/>
      <c r="DN457" s="485"/>
      <c r="DO457" s="485"/>
      <c r="DP457" s="485"/>
      <c r="DQ457" s="485"/>
      <c r="DR457" s="485"/>
      <c r="DS457" s="485"/>
      <c r="DT457" s="485"/>
      <c r="DU457" s="485"/>
      <c r="DV457" s="485"/>
      <c r="DW457" s="485"/>
      <c r="DX457" s="485"/>
      <c r="DY457" s="485"/>
      <c r="DZ457" s="485"/>
      <c r="EA457" s="485"/>
      <c r="EB457" s="485"/>
      <c r="EC457" s="485"/>
      <c r="ED457" s="485"/>
      <c r="EE457" s="485"/>
      <c r="EF457" s="485"/>
      <c r="EG457" s="485"/>
      <c r="EH457" s="485"/>
      <c r="EI457" s="485"/>
      <c r="EJ457" s="485"/>
      <c r="EK457" s="485"/>
      <c r="EL457" s="485"/>
      <c r="EM457" s="485"/>
      <c r="EN457" s="485"/>
      <c r="EO457" s="485"/>
      <c r="EP457" s="485"/>
    </row>
    <row r="458" spans="1:146">
      <c r="A458" s="485"/>
      <c r="B458" s="485"/>
      <c r="C458" s="485"/>
      <c r="D458" s="485"/>
      <c r="E458" s="485"/>
      <c r="F458" s="485"/>
      <c r="G458" s="485"/>
      <c r="H458" s="485"/>
      <c r="I458" s="485"/>
      <c r="J458" s="485"/>
      <c r="K458" s="485"/>
      <c r="L458" s="485"/>
      <c r="M458" s="485"/>
      <c r="P458" s="485"/>
      <c r="Q458" s="485"/>
      <c r="R458" s="485"/>
      <c r="S458" s="485"/>
      <c r="T458" s="485"/>
      <c r="U458" s="485"/>
      <c r="V458" s="485"/>
      <c r="W458" s="485"/>
      <c r="X458" s="485"/>
      <c r="Y458" s="485"/>
      <c r="Z458" s="485"/>
      <c r="AA458" s="485"/>
      <c r="AB458" s="485"/>
      <c r="AC458" s="485"/>
      <c r="AD458" s="485"/>
      <c r="AE458" s="485"/>
      <c r="AF458" s="485"/>
      <c r="AG458" s="485"/>
      <c r="AH458" s="485"/>
      <c r="AI458" s="485"/>
      <c r="AJ458" s="485"/>
      <c r="AK458" s="485"/>
      <c r="AL458" s="485"/>
      <c r="AM458" s="485"/>
      <c r="AN458" s="485"/>
      <c r="AO458" s="485"/>
      <c r="AP458" s="485"/>
      <c r="AQ458" s="485"/>
      <c r="AR458" s="485"/>
      <c r="AS458" s="485"/>
      <c r="AT458" s="485"/>
      <c r="AU458" s="485"/>
      <c r="AV458" s="485"/>
      <c r="AW458" s="485"/>
      <c r="AX458" s="485"/>
      <c r="AY458" s="485"/>
      <c r="AZ458" s="485"/>
      <c r="BA458" s="485"/>
      <c r="BB458" s="485"/>
      <c r="BC458" s="485"/>
      <c r="BD458" s="485"/>
      <c r="BE458" s="485"/>
      <c r="BF458" s="485"/>
      <c r="BG458" s="485"/>
      <c r="BH458" s="485"/>
      <c r="BI458" s="485"/>
      <c r="BJ458" s="485"/>
      <c r="BK458" s="485"/>
      <c r="BL458" s="485"/>
      <c r="BM458" s="485"/>
      <c r="BN458" s="485"/>
      <c r="BO458" s="485"/>
      <c r="BP458" s="485"/>
      <c r="BQ458" s="485"/>
      <c r="BR458" s="485"/>
      <c r="BS458" s="485"/>
      <c r="BT458" s="485"/>
      <c r="BU458" s="485"/>
      <c r="BV458" s="485"/>
      <c r="BW458" s="485"/>
      <c r="BX458" s="485"/>
      <c r="BY458" s="485"/>
      <c r="BZ458" s="485"/>
      <c r="CA458" s="485"/>
      <c r="CB458" s="485"/>
      <c r="CC458" s="485"/>
      <c r="CD458" s="485"/>
      <c r="CE458" s="485"/>
      <c r="CF458" s="485"/>
      <c r="CG458" s="485"/>
      <c r="CH458" s="485"/>
      <c r="CI458" s="485"/>
      <c r="CJ458" s="485"/>
      <c r="CK458" s="485"/>
      <c r="CL458" s="485"/>
      <c r="CM458" s="485"/>
      <c r="CN458" s="485"/>
      <c r="CO458" s="485"/>
      <c r="CP458" s="485"/>
      <c r="CQ458" s="485"/>
      <c r="CR458" s="485"/>
      <c r="CS458" s="485"/>
      <c r="CT458" s="485"/>
      <c r="CU458" s="485"/>
      <c r="CV458" s="485"/>
      <c r="CW458" s="485"/>
      <c r="CX458" s="485"/>
      <c r="CY458" s="485"/>
      <c r="CZ458" s="485"/>
      <c r="DA458" s="485"/>
      <c r="DB458" s="485"/>
      <c r="DC458" s="485"/>
      <c r="DD458" s="485"/>
      <c r="DE458" s="485"/>
      <c r="DF458" s="485"/>
      <c r="DG458" s="485"/>
      <c r="DH458" s="485"/>
      <c r="DI458" s="485"/>
      <c r="DJ458" s="485"/>
      <c r="DK458" s="485"/>
      <c r="DL458" s="485"/>
      <c r="DM458" s="485"/>
      <c r="DN458" s="485"/>
      <c r="DO458" s="485"/>
      <c r="DP458" s="485"/>
      <c r="DQ458" s="485"/>
      <c r="DR458" s="485"/>
      <c r="DS458" s="485"/>
      <c r="DT458" s="485"/>
      <c r="DU458" s="485"/>
      <c r="DV458" s="485"/>
      <c r="DW458" s="485"/>
      <c r="DX458" s="485"/>
      <c r="DY458" s="485"/>
      <c r="DZ458" s="485"/>
      <c r="EA458" s="485"/>
      <c r="EB458" s="485"/>
      <c r="EC458" s="485"/>
      <c r="ED458" s="485"/>
      <c r="EE458" s="485"/>
      <c r="EF458" s="485"/>
      <c r="EG458" s="485"/>
      <c r="EH458" s="485"/>
      <c r="EI458" s="485"/>
      <c r="EJ458" s="485"/>
      <c r="EK458" s="485"/>
      <c r="EL458" s="485"/>
      <c r="EM458" s="485"/>
      <c r="EN458" s="485"/>
      <c r="EO458" s="485"/>
      <c r="EP458" s="485"/>
    </row>
    <row r="459" spans="1:146">
      <c r="A459" s="485"/>
      <c r="B459" s="485"/>
      <c r="C459" s="485"/>
      <c r="D459" s="485"/>
      <c r="E459" s="485"/>
      <c r="F459" s="485"/>
      <c r="G459" s="485"/>
      <c r="H459" s="485"/>
      <c r="I459" s="485"/>
      <c r="J459" s="485"/>
      <c r="K459" s="485"/>
      <c r="L459" s="485"/>
      <c r="M459" s="485"/>
      <c r="P459" s="485"/>
      <c r="Q459" s="485"/>
      <c r="R459" s="485"/>
      <c r="S459" s="485"/>
      <c r="T459" s="485"/>
      <c r="U459" s="485"/>
      <c r="V459" s="485"/>
      <c r="W459" s="485"/>
      <c r="X459" s="485"/>
      <c r="Y459" s="485"/>
      <c r="Z459" s="485"/>
      <c r="AA459" s="485"/>
      <c r="AB459" s="485"/>
      <c r="AC459" s="485"/>
      <c r="AD459" s="485"/>
      <c r="AE459" s="485"/>
      <c r="AF459" s="485"/>
      <c r="AG459" s="485"/>
      <c r="AH459" s="485"/>
      <c r="AI459" s="485"/>
      <c r="AJ459" s="485"/>
      <c r="AK459" s="485"/>
      <c r="AL459" s="485"/>
      <c r="AM459" s="485"/>
      <c r="AN459" s="485"/>
      <c r="AO459" s="485"/>
      <c r="AP459" s="485"/>
      <c r="AQ459" s="485"/>
      <c r="AR459" s="485"/>
      <c r="AS459" s="485"/>
      <c r="AT459" s="485"/>
      <c r="AU459" s="485"/>
      <c r="AV459" s="485"/>
      <c r="AW459" s="485"/>
      <c r="AX459" s="485"/>
      <c r="AY459" s="485"/>
      <c r="AZ459" s="485"/>
      <c r="BA459" s="485"/>
      <c r="BB459" s="485"/>
      <c r="BC459" s="485"/>
      <c r="BD459" s="485"/>
      <c r="BE459" s="485"/>
      <c r="BF459" s="485"/>
      <c r="BG459" s="485"/>
      <c r="BH459" s="485"/>
      <c r="BI459" s="485"/>
      <c r="BJ459" s="485"/>
      <c r="BK459" s="485"/>
      <c r="BL459" s="485"/>
      <c r="BM459" s="485"/>
      <c r="BN459" s="485"/>
      <c r="BO459" s="485"/>
      <c r="BP459" s="485"/>
      <c r="BQ459" s="485"/>
      <c r="BR459" s="485"/>
      <c r="BS459" s="485"/>
      <c r="BT459" s="485"/>
      <c r="BU459" s="485"/>
      <c r="BV459" s="485"/>
      <c r="BW459" s="485"/>
      <c r="BX459" s="485"/>
      <c r="BY459" s="485"/>
      <c r="BZ459" s="485"/>
      <c r="CA459" s="485"/>
      <c r="CB459" s="485"/>
      <c r="CC459" s="485"/>
      <c r="CD459" s="485"/>
      <c r="CE459" s="485"/>
      <c r="CF459" s="485"/>
      <c r="CG459" s="485"/>
      <c r="CH459" s="485"/>
      <c r="CI459" s="485"/>
      <c r="CJ459" s="485"/>
      <c r="CK459" s="485"/>
      <c r="CL459" s="485"/>
      <c r="CM459" s="485"/>
      <c r="CN459" s="485"/>
      <c r="CO459" s="485"/>
      <c r="CP459" s="485"/>
      <c r="CQ459" s="485"/>
      <c r="CR459" s="485"/>
      <c r="CS459" s="485"/>
      <c r="CT459" s="485"/>
      <c r="CU459" s="485"/>
      <c r="CV459" s="485"/>
      <c r="CW459" s="485"/>
      <c r="CX459" s="485"/>
      <c r="CY459" s="485"/>
      <c r="CZ459" s="485"/>
      <c r="DA459" s="485"/>
      <c r="DB459" s="485"/>
      <c r="DC459" s="485"/>
      <c r="DD459" s="485"/>
      <c r="DE459" s="485"/>
      <c r="DF459" s="485"/>
      <c r="DG459" s="485"/>
      <c r="DH459" s="485"/>
      <c r="DI459" s="485"/>
      <c r="DJ459" s="485"/>
      <c r="DK459" s="485"/>
      <c r="DL459" s="485"/>
      <c r="DM459" s="485"/>
      <c r="DN459" s="485"/>
      <c r="DO459" s="485"/>
      <c r="DP459" s="485"/>
      <c r="DQ459" s="485"/>
      <c r="DR459" s="485"/>
      <c r="DS459" s="485"/>
      <c r="DT459" s="485"/>
      <c r="DU459" s="485"/>
      <c r="DV459" s="485"/>
      <c r="DW459" s="485"/>
      <c r="DX459" s="485"/>
      <c r="DY459" s="485"/>
      <c r="DZ459" s="485"/>
      <c r="EA459" s="485"/>
      <c r="EB459" s="485"/>
      <c r="EC459" s="485"/>
      <c r="ED459" s="485"/>
      <c r="EE459" s="485"/>
      <c r="EF459" s="485"/>
      <c r="EG459" s="485"/>
      <c r="EH459" s="485"/>
      <c r="EI459" s="485"/>
      <c r="EJ459" s="485"/>
      <c r="EK459" s="485"/>
      <c r="EL459" s="485"/>
      <c r="EM459" s="485"/>
      <c r="EN459" s="485"/>
      <c r="EO459" s="485"/>
      <c r="EP459" s="485"/>
    </row>
    <row r="460" spans="1:146">
      <c r="A460" s="485"/>
      <c r="B460" s="485"/>
      <c r="C460" s="485"/>
      <c r="D460" s="485"/>
      <c r="E460" s="485"/>
      <c r="F460" s="485"/>
      <c r="G460" s="485"/>
      <c r="H460" s="485"/>
      <c r="I460" s="485"/>
      <c r="J460" s="485"/>
      <c r="K460" s="485"/>
      <c r="L460" s="485"/>
      <c r="M460" s="485"/>
      <c r="P460" s="485"/>
      <c r="Q460" s="485"/>
      <c r="R460" s="485"/>
      <c r="S460" s="485"/>
      <c r="T460" s="485"/>
      <c r="U460" s="485"/>
      <c r="V460" s="485"/>
      <c r="W460" s="485"/>
      <c r="X460" s="485"/>
      <c r="Y460" s="485"/>
      <c r="Z460" s="485"/>
      <c r="AA460" s="485"/>
      <c r="AB460" s="485"/>
      <c r="AC460" s="485"/>
      <c r="AD460" s="485"/>
      <c r="AE460" s="485"/>
      <c r="AF460" s="485"/>
      <c r="AG460" s="485"/>
      <c r="AH460" s="485"/>
      <c r="AI460" s="485"/>
      <c r="AJ460" s="485"/>
      <c r="AK460" s="485"/>
      <c r="AL460" s="485"/>
      <c r="AM460" s="485"/>
      <c r="AN460" s="485"/>
      <c r="AO460" s="485"/>
      <c r="AP460" s="485"/>
      <c r="AQ460" s="485"/>
      <c r="AR460" s="485"/>
      <c r="AS460" s="485"/>
      <c r="AT460" s="485"/>
      <c r="AU460" s="485"/>
      <c r="AV460" s="485"/>
      <c r="AW460" s="485"/>
      <c r="AX460" s="485"/>
      <c r="AY460" s="485"/>
      <c r="AZ460" s="485"/>
      <c r="BA460" s="485"/>
      <c r="BB460" s="485"/>
      <c r="BC460" s="485"/>
      <c r="BD460" s="485"/>
      <c r="BE460" s="485"/>
      <c r="BF460" s="485"/>
      <c r="BG460" s="485"/>
      <c r="BH460" s="485"/>
      <c r="BI460" s="485"/>
      <c r="BJ460" s="485"/>
      <c r="BK460" s="485"/>
      <c r="BL460" s="485"/>
      <c r="BM460" s="485"/>
      <c r="BN460" s="485"/>
      <c r="BO460" s="485"/>
      <c r="BP460" s="485"/>
      <c r="BQ460" s="485"/>
      <c r="BR460" s="485"/>
      <c r="BS460" s="485"/>
      <c r="BT460" s="485"/>
      <c r="BU460" s="485"/>
      <c r="BV460" s="485"/>
      <c r="BW460" s="485"/>
      <c r="BX460" s="485"/>
      <c r="BY460" s="485"/>
      <c r="BZ460" s="485"/>
      <c r="CA460" s="485"/>
      <c r="CB460" s="485"/>
      <c r="CC460" s="485"/>
      <c r="CD460" s="485"/>
      <c r="CE460" s="485"/>
      <c r="CF460" s="485"/>
      <c r="CG460" s="485"/>
      <c r="CH460" s="485"/>
      <c r="CI460" s="485"/>
      <c r="CJ460" s="485"/>
      <c r="CK460" s="485"/>
      <c r="CL460" s="485"/>
      <c r="CM460" s="485"/>
      <c r="CN460" s="485"/>
      <c r="CO460" s="485"/>
      <c r="CP460" s="485"/>
      <c r="CQ460" s="485"/>
      <c r="CR460" s="485"/>
      <c r="CS460" s="485"/>
      <c r="CT460" s="485"/>
      <c r="CU460" s="485"/>
      <c r="CV460" s="485"/>
      <c r="CW460" s="485"/>
      <c r="CX460" s="485"/>
      <c r="CY460" s="485"/>
      <c r="CZ460" s="485"/>
      <c r="DA460" s="485"/>
      <c r="DB460" s="485"/>
      <c r="DC460" s="485"/>
      <c r="DD460" s="485"/>
      <c r="DE460" s="485"/>
      <c r="DF460" s="485"/>
      <c r="DG460" s="485"/>
      <c r="DH460" s="485"/>
      <c r="DI460" s="485"/>
      <c r="DJ460" s="485"/>
      <c r="DK460" s="485"/>
      <c r="DL460" s="485"/>
      <c r="DM460" s="485"/>
      <c r="DN460" s="485"/>
      <c r="DO460" s="485"/>
      <c r="DP460" s="485"/>
      <c r="DQ460" s="485"/>
      <c r="DR460" s="485"/>
      <c r="DS460" s="485"/>
      <c r="DT460" s="485"/>
      <c r="DU460" s="485"/>
      <c r="DV460" s="485"/>
      <c r="DW460" s="485"/>
      <c r="DX460" s="485"/>
      <c r="DY460" s="485"/>
      <c r="DZ460" s="485"/>
      <c r="EA460" s="485"/>
      <c r="EB460" s="485"/>
      <c r="EC460" s="485"/>
      <c r="ED460" s="485"/>
      <c r="EE460" s="485"/>
      <c r="EF460" s="485"/>
      <c r="EG460" s="485"/>
      <c r="EH460" s="485"/>
      <c r="EI460" s="485"/>
      <c r="EJ460" s="485"/>
      <c r="EK460" s="485"/>
      <c r="EL460" s="485"/>
      <c r="EM460" s="485"/>
      <c r="EN460" s="485"/>
      <c r="EO460" s="485"/>
      <c r="EP460" s="485"/>
    </row>
    <row r="461" spans="1:146">
      <c r="A461" s="485"/>
      <c r="B461" s="485"/>
      <c r="C461" s="485"/>
      <c r="D461" s="485"/>
      <c r="E461" s="485"/>
      <c r="F461" s="485"/>
      <c r="G461" s="485"/>
      <c r="H461" s="485"/>
      <c r="I461" s="485"/>
      <c r="J461" s="485"/>
      <c r="K461" s="485"/>
      <c r="L461" s="485"/>
      <c r="M461" s="485"/>
      <c r="P461" s="485"/>
      <c r="Q461" s="485"/>
      <c r="R461" s="485"/>
      <c r="S461" s="485"/>
      <c r="T461" s="485"/>
      <c r="U461" s="485"/>
      <c r="V461" s="485"/>
      <c r="W461" s="485"/>
      <c r="X461" s="485"/>
      <c r="Y461" s="485"/>
      <c r="Z461" s="485"/>
      <c r="AA461" s="485"/>
      <c r="AB461" s="485"/>
      <c r="AC461" s="485"/>
      <c r="AD461" s="485"/>
      <c r="AE461" s="485"/>
      <c r="AF461" s="485"/>
      <c r="AG461" s="485"/>
      <c r="AH461" s="485"/>
      <c r="AI461" s="485"/>
      <c r="AJ461" s="485"/>
      <c r="AK461" s="485"/>
      <c r="AL461" s="485"/>
      <c r="AM461" s="485"/>
      <c r="AN461" s="485"/>
      <c r="AO461" s="485"/>
      <c r="AP461" s="485"/>
      <c r="AQ461" s="485"/>
      <c r="AR461" s="485"/>
      <c r="AS461" s="485"/>
      <c r="AT461" s="485"/>
      <c r="AU461" s="485"/>
      <c r="AV461" s="485"/>
      <c r="AW461" s="485"/>
      <c r="AX461" s="485"/>
      <c r="AY461" s="485"/>
      <c r="AZ461" s="485"/>
      <c r="BA461" s="485"/>
      <c r="BB461" s="485"/>
      <c r="BC461" s="485"/>
      <c r="BD461" s="485"/>
      <c r="BE461" s="485"/>
      <c r="BF461" s="485"/>
      <c r="BG461" s="485"/>
      <c r="BH461" s="485"/>
      <c r="BI461" s="485"/>
      <c r="BJ461" s="485"/>
      <c r="BK461" s="485"/>
      <c r="BL461" s="485"/>
      <c r="BM461" s="485"/>
      <c r="BN461" s="485"/>
      <c r="BO461" s="485"/>
      <c r="BP461" s="485"/>
      <c r="BQ461" s="485"/>
      <c r="BR461" s="485"/>
      <c r="BS461" s="485"/>
      <c r="BT461" s="485"/>
      <c r="BU461" s="485"/>
      <c r="BV461" s="485"/>
      <c r="BW461" s="485"/>
      <c r="BX461" s="485"/>
      <c r="BY461" s="485"/>
      <c r="BZ461" s="485"/>
      <c r="CA461" s="485"/>
      <c r="CB461" s="485"/>
      <c r="CC461" s="485"/>
      <c r="CD461" s="485"/>
      <c r="CE461" s="485"/>
      <c r="CF461" s="485"/>
      <c r="CG461" s="485"/>
      <c r="CH461" s="485"/>
      <c r="CI461" s="485"/>
      <c r="CJ461" s="485"/>
      <c r="CK461" s="485"/>
      <c r="CL461" s="485"/>
      <c r="CM461" s="485"/>
      <c r="CN461" s="485"/>
      <c r="CO461" s="485"/>
      <c r="CP461" s="485"/>
      <c r="CQ461" s="485"/>
      <c r="CR461" s="485"/>
      <c r="CS461" s="485"/>
      <c r="CT461" s="485"/>
      <c r="CU461" s="485"/>
      <c r="CV461" s="485"/>
      <c r="CW461" s="485"/>
      <c r="CX461" s="485"/>
      <c r="CY461" s="485"/>
      <c r="CZ461" s="485"/>
      <c r="DA461" s="485"/>
      <c r="DB461" s="485"/>
      <c r="DC461" s="485"/>
      <c r="DD461" s="485"/>
      <c r="DE461" s="485"/>
      <c r="DF461" s="485"/>
      <c r="DG461" s="485"/>
      <c r="DH461" s="485"/>
      <c r="DI461" s="485"/>
      <c r="DJ461" s="485"/>
      <c r="DK461" s="485"/>
      <c r="DL461" s="485"/>
      <c r="DM461" s="485"/>
      <c r="DN461" s="485"/>
      <c r="DO461" s="485"/>
      <c r="DP461" s="485"/>
      <c r="DQ461" s="485"/>
      <c r="DR461" s="485"/>
      <c r="DS461" s="485"/>
      <c r="DT461" s="485"/>
      <c r="DU461" s="485"/>
      <c r="DV461" s="485"/>
      <c r="DW461" s="485"/>
      <c r="DX461" s="485"/>
      <c r="DY461" s="485"/>
      <c r="DZ461" s="485"/>
      <c r="EA461" s="485"/>
      <c r="EB461" s="485"/>
      <c r="EC461" s="485"/>
      <c r="ED461" s="485"/>
      <c r="EE461" s="485"/>
      <c r="EF461" s="485"/>
      <c r="EG461" s="485"/>
      <c r="EH461" s="485"/>
      <c r="EI461" s="485"/>
      <c r="EJ461" s="485"/>
      <c r="EK461" s="485"/>
      <c r="EL461" s="485"/>
      <c r="EM461" s="485"/>
      <c r="EN461" s="485"/>
      <c r="EO461" s="485"/>
      <c r="EP461" s="485"/>
    </row>
    <row r="462" spans="1:146">
      <c r="A462" s="485"/>
      <c r="B462" s="485"/>
      <c r="C462" s="485"/>
      <c r="D462" s="485"/>
      <c r="E462" s="485"/>
      <c r="F462" s="485"/>
      <c r="G462" s="485"/>
      <c r="H462" s="485"/>
      <c r="I462" s="485"/>
      <c r="J462" s="485"/>
      <c r="K462" s="485"/>
      <c r="L462" s="485"/>
      <c r="M462" s="485"/>
      <c r="P462" s="485"/>
      <c r="Q462" s="485"/>
      <c r="R462" s="485"/>
      <c r="S462" s="485"/>
      <c r="T462" s="485"/>
      <c r="U462" s="485"/>
      <c r="V462" s="485"/>
      <c r="W462" s="485"/>
      <c r="X462" s="485"/>
      <c r="Y462" s="485"/>
      <c r="Z462" s="485"/>
      <c r="AA462" s="485"/>
      <c r="AB462" s="485"/>
      <c r="AC462" s="485"/>
      <c r="AD462" s="485"/>
      <c r="AE462" s="485"/>
      <c r="AF462" s="485"/>
      <c r="AG462" s="485"/>
      <c r="AH462" s="485"/>
      <c r="AI462" s="485"/>
      <c r="AJ462" s="485"/>
      <c r="AK462" s="485"/>
      <c r="AL462" s="485"/>
      <c r="AM462" s="485"/>
      <c r="AN462" s="485"/>
      <c r="AO462" s="485"/>
      <c r="AP462" s="485"/>
      <c r="AQ462" s="485"/>
      <c r="AR462" s="485"/>
      <c r="AS462" s="485"/>
      <c r="AT462" s="485"/>
      <c r="AU462" s="485"/>
      <c r="AV462" s="485"/>
      <c r="AW462" s="485"/>
      <c r="AX462" s="485"/>
      <c r="AY462" s="485"/>
      <c r="AZ462" s="485"/>
      <c r="BA462" s="485"/>
      <c r="BB462" s="485"/>
      <c r="BC462" s="485"/>
      <c r="BD462" s="485"/>
      <c r="BE462" s="485"/>
      <c r="BF462" s="485"/>
      <c r="BG462" s="485"/>
      <c r="BH462" s="485"/>
      <c r="BI462" s="485"/>
      <c r="BJ462" s="485"/>
      <c r="BK462" s="485"/>
      <c r="BL462" s="485"/>
      <c r="BM462" s="485"/>
      <c r="BN462" s="485"/>
      <c r="BO462" s="485"/>
      <c r="BP462" s="485"/>
      <c r="BQ462" s="485"/>
      <c r="BR462" s="485"/>
      <c r="BS462" s="485"/>
      <c r="BT462" s="485"/>
      <c r="BU462" s="485"/>
      <c r="BV462" s="485"/>
      <c r="BW462" s="485"/>
      <c r="BX462" s="485"/>
      <c r="BY462" s="485"/>
      <c r="BZ462" s="485"/>
      <c r="CA462" s="485"/>
      <c r="CB462" s="485"/>
      <c r="CC462" s="485"/>
      <c r="CD462" s="485"/>
      <c r="CE462" s="485"/>
      <c r="CF462" s="485"/>
      <c r="CG462" s="485"/>
      <c r="CH462" s="485"/>
      <c r="CI462" s="485"/>
      <c r="CJ462" s="485"/>
      <c r="CK462" s="485"/>
      <c r="CL462" s="485"/>
      <c r="CM462" s="485"/>
      <c r="CN462" s="485"/>
      <c r="CO462" s="485"/>
      <c r="CP462" s="485"/>
      <c r="CQ462" s="485"/>
      <c r="CR462" s="485"/>
      <c r="CS462" s="485"/>
      <c r="CT462" s="485"/>
      <c r="CU462" s="485"/>
      <c r="CV462" s="485"/>
      <c r="CW462" s="485"/>
      <c r="CX462" s="485"/>
      <c r="CY462" s="485"/>
      <c r="CZ462" s="485"/>
      <c r="DA462" s="485"/>
      <c r="DB462" s="485"/>
      <c r="DC462" s="485"/>
      <c r="DD462" s="485"/>
      <c r="DE462" s="485"/>
      <c r="DF462" s="485"/>
      <c r="DG462" s="485"/>
      <c r="DH462" s="485"/>
      <c r="DI462" s="485"/>
      <c r="DJ462" s="485"/>
      <c r="DK462" s="485"/>
      <c r="DL462" s="485"/>
      <c r="DM462" s="485"/>
      <c r="DN462" s="485"/>
      <c r="DO462" s="485"/>
      <c r="DP462" s="485"/>
      <c r="DQ462" s="485"/>
      <c r="DR462" s="485"/>
      <c r="DS462" s="485"/>
      <c r="DT462" s="485"/>
      <c r="DU462" s="485"/>
      <c r="DV462" s="485"/>
      <c r="DW462" s="485"/>
      <c r="DX462" s="485"/>
      <c r="DY462" s="485"/>
      <c r="DZ462" s="485"/>
      <c r="EA462" s="485"/>
      <c r="EB462" s="485"/>
      <c r="EC462" s="485"/>
      <c r="ED462" s="485"/>
      <c r="EE462" s="485"/>
      <c r="EF462" s="485"/>
      <c r="EG462" s="485"/>
      <c r="EH462" s="485"/>
      <c r="EI462" s="485"/>
      <c r="EJ462" s="485"/>
      <c r="EK462" s="485"/>
      <c r="EL462" s="485"/>
      <c r="EM462" s="485"/>
      <c r="EN462" s="485"/>
      <c r="EO462" s="485"/>
      <c r="EP462" s="485"/>
    </row>
    <row r="463" spans="1:146">
      <c r="A463" s="485"/>
      <c r="B463" s="485"/>
      <c r="C463" s="485"/>
      <c r="D463" s="485"/>
      <c r="E463" s="485"/>
      <c r="F463" s="485"/>
      <c r="G463" s="485"/>
      <c r="H463" s="485"/>
      <c r="I463" s="485"/>
      <c r="J463" s="485"/>
      <c r="K463" s="485"/>
      <c r="L463" s="485"/>
      <c r="M463" s="485"/>
      <c r="P463" s="485"/>
      <c r="Q463" s="485"/>
      <c r="R463" s="485"/>
      <c r="S463" s="485"/>
      <c r="T463" s="485"/>
      <c r="U463" s="485"/>
      <c r="V463" s="485"/>
      <c r="W463" s="485"/>
      <c r="X463" s="485"/>
      <c r="Y463" s="485"/>
      <c r="Z463" s="485"/>
      <c r="AA463" s="485"/>
      <c r="AB463" s="485"/>
      <c r="AC463" s="485"/>
      <c r="AD463" s="485"/>
      <c r="AE463" s="485"/>
      <c r="AF463" s="485"/>
      <c r="AG463" s="485"/>
      <c r="AH463" s="485"/>
      <c r="AI463" s="485"/>
      <c r="AJ463" s="485"/>
      <c r="AK463" s="485"/>
      <c r="AL463" s="485"/>
      <c r="AM463" s="485"/>
      <c r="AN463" s="485"/>
      <c r="AO463" s="485"/>
      <c r="AP463" s="485"/>
      <c r="AQ463" s="485"/>
      <c r="AR463" s="485"/>
      <c r="AS463" s="485"/>
      <c r="AT463" s="485"/>
      <c r="AU463" s="485"/>
      <c r="AV463" s="485"/>
      <c r="AW463" s="485"/>
      <c r="AX463" s="485"/>
      <c r="AY463" s="485"/>
      <c r="AZ463" s="485"/>
      <c r="BA463" s="485"/>
      <c r="BB463" s="485"/>
      <c r="BC463" s="485"/>
      <c r="BD463" s="485"/>
      <c r="BE463" s="485"/>
      <c r="BF463" s="485"/>
      <c r="BG463" s="485"/>
      <c r="BH463" s="485"/>
      <c r="BI463" s="485"/>
      <c r="BJ463" s="485"/>
      <c r="BK463" s="485"/>
      <c r="BL463" s="485"/>
      <c r="BM463" s="485"/>
      <c r="BN463" s="485"/>
      <c r="BO463" s="485"/>
      <c r="BP463" s="485"/>
      <c r="BQ463" s="485"/>
      <c r="BR463" s="485"/>
      <c r="BS463" s="485"/>
      <c r="BT463" s="485"/>
      <c r="BU463" s="485"/>
      <c r="BV463" s="485"/>
      <c r="BW463" s="485"/>
      <c r="BX463" s="485"/>
      <c r="BY463" s="485"/>
      <c r="BZ463" s="485"/>
      <c r="CA463" s="485"/>
      <c r="CB463" s="485"/>
      <c r="CC463" s="485"/>
      <c r="CD463" s="485"/>
      <c r="CE463" s="485"/>
      <c r="CF463" s="485"/>
      <c r="CG463" s="485"/>
      <c r="CH463" s="485"/>
      <c r="CI463" s="485"/>
      <c r="CJ463" s="485"/>
      <c r="CK463" s="485"/>
      <c r="CL463" s="485"/>
      <c r="CM463" s="485"/>
      <c r="CN463" s="485"/>
      <c r="CO463" s="485"/>
      <c r="CP463" s="485"/>
      <c r="CQ463" s="485"/>
      <c r="CR463" s="485"/>
      <c r="CS463" s="485"/>
      <c r="CT463" s="485"/>
      <c r="CU463" s="485"/>
      <c r="CV463" s="485"/>
      <c r="CW463" s="485"/>
      <c r="CX463" s="485"/>
      <c r="CY463" s="485"/>
      <c r="CZ463" s="485"/>
      <c r="DA463" s="485"/>
      <c r="DB463" s="485"/>
      <c r="DC463" s="485"/>
      <c r="DD463" s="485"/>
      <c r="DE463" s="485"/>
      <c r="DF463" s="485"/>
      <c r="DG463" s="485"/>
      <c r="DH463" s="485"/>
      <c r="DI463" s="485"/>
      <c r="DJ463" s="485"/>
      <c r="DK463" s="485"/>
      <c r="DL463" s="485"/>
      <c r="DM463" s="485"/>
      <c r="DN463" s="485"/>
      <c r="DO463" s="485"/>
      <c r="DP463" s="485"/>
      <c r="DQ463" s="485"/>
      <c r="DR463" s="485"/>
      <c r="DS463" s="485"/>
      <c r="DT463" s="485"/>
      <c r="DU463" s="485"/>
      <c r="DV463" s="485"/>
      <c r="DW463" s="485"/>
      <c r="DX463" s="485"/>
      <c r="DY463" s="485"/>
      <c r="DZ463" s="485"/>
      <c r="EA463" s="485"/>
      <c r="EB463" s="485"/>
      <c r="EC463" s="485"/>
      <c r="ED463" s="485"/>
      <c r="EE463" s="485"/>
      <c r="EF463" s="485"/>
      <c r="EG463" s="485"/>
      <c r="EH463" s="485"/>
      <c r="EI463" s="485"/>
      <c r="EJ463" s="485"/>
      <c r="EK463" s="485"/>
      <c r="EL463" s="485"/>
      <c r="EM463" s="485"/>
      <c r="EN463" s="485"/>
      <c r="EO463" s="485"/>
      <c r="EP463" s="485"/>
    </row>
    <row r="464" spans="1:146">
      <c r="A464" s="485"/>
      <c r="B464" s="485"/>
      <c r="C464" s="485"/>
      <c r="D464" s="485"/>
      <c r="E464" s="485"/>
      <c r="F464" s="485"/>
      <c r="G464" s="485"/>
      <c r="H464" s="485"/>
      <c r="I464" s="485"/>
      <c r="J464" s="485"/>
      <c r="K464" s="485"/>
      <c r="L464" s="485"/>
      <c r="M464" s="485"/>
      <c r="P464" s="485"/>
      <c r="Q464" s="485"/>
      <c r="R464" s="485"/>
      <c r="S464" s="485"/>
      <c r="T464" s="485"/>
      <c r="U464" s="485"/>
      <c r="V464" s="485"/>
      <c r="W464" s="485"/>
      <c r="X464" s="485"/>
      <c r="Y464" s="485"/>
      <c r="Z464" s="485"/>
      <c r="AA464" s="485"/>
      <c r="AB464" s="485"/>
      <c r="AC464" s="485"/>
      <c r="AD464" s="485"/>
      <c r="AE464" s="485"/>
      <c r="AF464" s="485"/>
      <c r="AG464" s="485"/>
      <c r="AH464" s="485"/>
      <c r="AI464" s="485"/>
      <c r="AJ464" s="485"/>
      <c r="AK464" s="485"/>
      <c r="AL464" s="485"/>
      <c r="AM464" s="485"/>
      <c r="AN464" s="485"/>
      <c r="AO464" s="485"/>
      <c r="AP464" s="485"/>
      <c r="AQ464" s="485"/>
      <c r="AR464" s="485"/>
      <c r="AS464" s="485"/>
      <c r="AT464" s="485"/>
      <c r="AU464" s="485"/>
      <c r="AV464" s="485"/>
      <c r="AW464" s="485"/>
      <c r="AX464" s="485"/>
      <c r="AY464" s="485"/>
      <c r="AZ464" s="485"/>
      <c r="BA464" s="485"/>
      <c r="BB464" s="485"/>
      <c r="BC464" s="485"/>
      <c r="BD464" s="485"/>
      <c r="BE464" s="485"/>
      <c r="BF464" s="485"/>
      <c r="BG464" s="485"/>
      <c r="BH464" s="485"/>
      <c r="BI464" s="485"/>
      <c r="BJ464" s="485"/>
      <c r="BK464" s="485"/>
      <c r="BL464" s="485"/>
      <c r="BM464" s="485"/>
      <c r="BN464" s="485"/>
      <c r="BO464" s="485"/>
      <c r="BP464" s="485"/>
      <c r="BQ464" s="485"/>
      <c r="BR464" s="485"/>
      <c r="BS464" s="485"/>
      <c r="BT464" s="485"/>
      <c r="BU464" s="485"/>
      <c r="BV464" s="485"/>
      <c r="BW464" s="485"/>
      <c r="BX464" s="485"/>
      <c r="BY464" s="485"/>
      <c r="BZ464" s="485"/>
      <c r="CA464" s="485"/>
      <c r="CB464" s="485"/>
      <c r="CC464" s="485"/>
      <c r="CD464" s="485"/>
      <c r="CE464" s="485"/>
      <c r="CF464" s="485"/>
      <c r="CG464" s="485"/>
      <c r="CH464" s="485"/>
      <c r="CI464" s="485"/>
      <c r="CJ464" s="485"/>
      <c r="CK464" s="485"/>
      <c r="CL464" s="485"/>
      <c r="CM464" s="485"/>
      <c r="CN464" s="485"/>
      <c r="CO464" s="485"/>
      <c r="CP464" s="485"/>
      <c r="CQ464" s="485"/>
      <c r="CR464" s="485"/>
      <c r="CS464" s="485"/>
      <c r="CT464" s="485"/>
      <c r="CU464" s="485"/>
      <c r="CV464" s="485"/>
      <c r="CW464" s="485"/>
      <c r="CX464" s="485"/>
      <c r="CY464" s="485"/>
      <c r="CZ464" s="485"/>
      <c r="DA464" s="485"/>
      <c r="DB464" s="485"/>
      <c r="DC464" s="485"/>
      <c r="DD464" s="485"/>
      <c r="DE464" s="485"/>
      <c r="DF464" s="485"/>
      <c r="DG464" s="485"/>
      <c r="DH464" s="485"/>
      <c r="DI464" s="485"/>
      <c r="DJ464" s="485"/>
      <c r="DK464" s="485"/>
      <c r="DL464" s="485"/>
      <c r="DM464" s="485"/>
      <c r="DN464" s="485"/>
      <c r="DO464" s="485"/>
      <c r="DP464" s="485"/>
      <c r="DQ464" s="485"/>
      <c r="DR464" s="485"/>
      <c r="DS464" s="485"/>
      <c r="DT464" s="485"/>
      <c r="DU464" s="485"/>
      <c r="DV464" s="485"/>
      <c r="DW464" s="485"/>
      <c r="DX464" s="485"/>
      <c r="DY464" s="485"/>
      <c r="DZ464" s="485"/>
      <c r="EA464" s="485"/>
      <c r="EB464" s="485"/>
      <c r="EC464" s="485"/>
      <c r="ED464" s="485"/>
      <c r="EE464" s="485"/>
      <c r="EF464" s="485"/>
      <c r="EG464" s="485"/>
      <c r="EH464" s="485"/>
      <c r="EI464" s="485"/>
      <c r="EJ464" s="485"/>
      <c r="EK464" s="485"/>
      <c r="EL464" s="485"/>
      <c r="EM464" s="485"/>
      <c r="EN464" s="485"/>
      <c r="EO464" s="485"/>
      <c r="EP464" s="485"/>
    </row>
    <row r="465" spans="1:146">
      <c r="A465" s="485"/>
      <c r="B465" s="485"/>
      <c r="C465" s="485"/>
      <c r="D465" s="485"/>
      <c r="E465" s="485"/>
      <c r="F465" s="485"/>
      <c r="G465" s="485"/>
      <c r="H465" s="485"/>
      <c r="I465" s="485"/>
      <c r="J465" s="485"/>
      <c r="K465" s="485"/>
      <c r="L465" s="485"/>
      <c r="M465" s="485"/>
      <c r="P465" s="485"/>
      <c r="Q465" s="485"/>
      <c r="R465" s="485"/>
      <c r="S465" s="485"/>
      <c r="T465" s="485"/>
      <c r="U465" s="485"/>
      <c r="V465" s="485"/>
      <c r="W465" s="485"/>
      <c r="X465" s="485"/>
      <c r="Y465" s="485"/>
      <c r="Z465" s="485"/>
      <c r="AA465" s="485"/>
      <c r="AB465" s="485"/>
      <c r="AC465" s="485"/>
      <c r="AD465" s="485"/>
      <c r="AE465" s="485"/>
      <c r="AF465" s="485"/>
      <c r="AG465" s="485"/>
      <c r="AH465" s="485"/>
      <c r="AI465" s="485"/>
      <c r="AJ465" s="485"/>
      <c r="AK465" s="485"/>
      <c r="AL465" s="485"/>
      <c r="AM465" s="485"/>
      <c r="AN465" s="485"/>
      <c r="AO465" s="485"/>
      <c r="AP465" s="485"/>
      <c r="AQ465" s="485"/>
      <c r="AR465" s="485"/>
      <c r="AS465" s="485"/>
      <c r="AT465" s="485"/>
      <c r="AU465" s="485"/>
      <c r="AV465" s="485"/>
      <c r="AW465" s="485"/>
      <c r="AX465" s="485"/>
      <c r="AY465" s="485"/>
      <c r="AZ465" s="485"/>
      <c r="BA465" s="485"/>
      <c r="BB465" s="485"/>
      <c r="BC465" s="485"/>
      <c r="BD465" s="485"/>
      <c r="BE465" s="485"/>
      <c r="BF465" s="485"/>
      <c r="BG465" s="485"/>
      <c r="BH465" s="485"/>
      <c r="BI465" s="485"/>
      <c r="BJ465" s="485"/>
      <c r="BK465" s="485"/>
      <c r="BL465" s="485"/>
      <c r="BM465" s="485"/>
      <c r="BN465" s="485"/>
      <c r="BO465" s="485"/>
      <c r="BP465" s="485"/>
      <c r="BQ465" s="485"/>
      <c r="BR465" s="485"/>
      <c r="BS465" s="485"/>
      <c r="BT465" s="485"/>
      <c r="BU465" s="485"/>
      <c r="BV465" s="485"/>
      <c r="BW465" s="485"/>
      <c r="BX465" s="485"/>
      <c r="BY465" s="485"/>
      <c r="BZ465" s="485"/>
      <c r="CA465" s="485"/>
      <c r="CB465" s="485"/>
      <c r="CC465" s="485"/>
      <c r="CD465" s="485"/>
      <c r="CE465" s="485"/>
      <c r="CF465" s="485"/>
      <c r="CG465" s="485"/>
      <c r="CH465" s="485"/>
      <c r="CI465" s="485"/>
      <c r="CJ465" s="485"/>
      <c r="CK465" s="485"/>
      <c r="CL465" s="485"/>
      <c r="CM465" s="485"/>
      <c r="CN465" s="485"/>
      <c r="CO465" s="485"/>
      <c r="CP465" s="485"/>
      <c r="CQ465" s="485"/>
      <c r="CR465" s="485"/>
      <c r="CS465" s="485"/>
      <c r="CT465" s="485"/>
      <c r="CU465" s="485"/>
      <c r="CV465" s="485"/>
      <c r="CW465" s="485"/>
      <c r="CX465" s="485"/>
      <c r="CY465" s="485"/>
      <c r="CZ465" s="485"/>
      <c r="DA465" s="485"/>
      <c r="DB465" s="485"/>
      <c r="DC465" s="485"/>
      <c r="DD465" s="485"/>
      <c r="DE465" s="485"/>
      <c r="DF465" s="485"/>
      <c r="DG465" s="485"/>
      <c r="DH465" s="485"/>
      <c r="DI465" s="485"/>
      <c r="DJ465" s="485"/>
      <c r="DK465" s="485"/>
      <c r="DL465" s="485"/>
      <c r="DM465" s="485"/>
      <c r="DN465" s="485"/>
      <c r="DO465" s="485"/>
      <c r="DP465" s="485"/>
      <c r="DQ465" s="485"/>
      <c r="DR465" s="485"/>
      <c r="DS465" s="485"/>
      <c r="DT465" s="485"/>
      <c r="DU465" s="485"/>
      <c r="DV465" s="485"/>
      <c r="DW465" s="485"/>
      <c r="DX465" s="485"/>
      <c r="DY465" s="485"/>
      <c r="DZ465" s="485"/>
      <c r="EA465" s="485"/>
      <c r="EB465" s="485"/>
      <c r="EC465" s="485"/>
      <c r="ED465" s="485"/>
      <c r="EE465" s="485"/>
      <c r="EF465" s="485"/>
      <c r="EG465" s="485"/>
      <c r="EH465" s="485"/>
      <c r="EI465" s="485"/>
      <c r="EJ465" s="485"/>
      <c r="EK465" s="485"/>
      <c r="EL465" s="485"/>
      <c r="EM465" s="485"/>
      <c r="EN465" s="485"/>
      <c r="EO465" s="485"/>
      <c r="EP465" s="485"/>
    </row>
    <row r="466" spans="1:146">
      <c r="A466" s="485"/>
      <c r="B466" s="485"/>
      <c r="C466" s="485"/>
      <c r="D466" s="485"/>
      <c r="E466" s="485"/>
      <c r="F466" s="485"/>
      <c r="G466" s="485"/>
      <c r="H466" s="485"/>
      <c r="I466" s="485"/>
      <c r="J466" s="485"/>
      <c r="K466" s="485"/>
      <c r="L466" s="485"/>
      <c r="M466" s="485"/>
      <c r="P466" s="485"/>
      <c r="Q466" s="485"/>
      <c r="R466" s="485"/>
      <c r="S466" s="485"/>
      <c r="T466" s="485"/>
      <c r="U466" s="485"/>
      <c r="V466" s="485"/>
      <c r="W466" s="485"/>
      <c r="X466" s="485"/>
      <c r="Y466" s="485"/>
      <c r="Z466" s="485"/>
      <c r="AA466" s="485"/>
      <c r="AB466" s="485"/>
      <c r="AC466" s="485"/>
      <c r="AD466" s="485"/>
      <c r="AE466" s="485"/>
      <c r="AF466" s="485"/>
      <c r="AG466" s="485"/>
      <c r="AH466" s="485"/>
      <c r="AI466" s="485"/>
      <c r="AJ466" s="485"/>
      <c r="AK466" s="485"/>
      <c r="AL466" s="485"/>
      <c r="AM466" s="485"/>
      <c r="AN466" s="485"/>
      <c r="AO466" s="485"/>
      <c r="AP466" s="485"/>
      <c r="AQ466" s="485"/>
      <c r="AR466" s="485"/>
      <c r="AS466" s="485"/>
      <c r="AT466" s="485"/>
      <c r="AU466" s="485"/>
      <c r="AV466" s="485"/>
      <c r="AW466" s="485"/>
      <c r="AX466" s="485"/>
      <c r="AY466" s="485"/>
      <c r="AZ466" s="485"/>
      <c r="BA466" s="485"/>
      <c r="BB466" s="485"/>
      <c r="BC466" s="485"/>
      <c r="BD466" s="485"/>
      <c r="BE466" s="485"/>
      <c r="BF466" s="485"/>
      <c r="BG466" s="485"/>
      <c r="BH466" s="485"/>
      <c r="BI466" s="485"/>
      <c r="BJ466" s="485"/>
      <c r="BK466" s="485"/>
      <c r="BL466" s="485"/>
      <c r="BM466" s="485"/>
      <c r="BN466" s="485"/>
      <c r="BO466" s="485"/>
      <c r="BP466" s="485"/>
      <c r="BQ466" s="485"/>
      <c r="BR466" s="485"/>
      <c r="BS466" s="485"/>
      <c r="BT466" s="485"/>
      <c r="BU466" s="485"/>
      <c r="BV466" s="485"/>
      <c r="BW466" s="485"/>
      <c r="BX466" s="485"/>
      <c r="BY466" s="485"/>
      <c r="BZ466" s="485"/>
      <c r="CA466" s="485"/>
      <c r="CB466" s="485"/>
      <c r="CC466" s="485"/>
      <c r="CD466" s="485"/>
      <c r="CE466" s="485"/>
      <c r="CF466" s="485"/>
      <c r="CG466" s="485"/>
      <c r="CH466" s="485"/>
      <c r="CI466" s="485"/>
      <c r="CJ466" s="485"/>
      <c r="CK466" s="485"/>
      <c r="CL466" s="485"/>
      <c r="CM466" s="485"/>
      <c r="CN466" s="485"/>
      <c r="CO466" s="485"/>
      <c r="CP466" s="485"/>
      <c r="CQ466" s="485"/>
      <c r="CR466" s="485"/>
      <c r="CS466" s="485"/>
      <c r="CT466" s="485"/>
      <c r="CU466" s="485"/>
      <c r="CV466" s="485"/>
      <c r="CW466" s="485"/>
      <c r="CX466" s="485"/>
      <c r="CY466" s="485"/>
      <c r="CZ466" s="485"/>
      <c r="DA466" s="485"/>
      <c r="DB466" s="485"/>
      <c r="DC466" s="485"/>
      <c r="DD466" s="485"/>
      <c r="DE466" s="485"/>
      <c r="DF466" s="485"/>
      <c r="DG466" s="485"/>
      <c r="DH466" s="485"/>
      <c r="DI466" s="485"/>
      <c r="DJ466" s="485"/>
      <c r="DK466" s="485"/>
      <c r="DL466" s="485"/>
      <c r="DM466" s="485"/>
      <c r="DN466" s="485"/>
      <c r="DO466" s="485"/>
      <c r="DP466" s="485"/>
      <c r="DQ466" s="485"/>
      <c r="DR466" s="485"/>
      <c r="DS466" s="485"/>
      <c r="DT466" s="485"/>
      <c r="DU466" s="485"/>
      <c r="DV466" s="485"/>
      <c r="DW466" s="485"/>
      <c r="DX466" s="485"/>
      <c r="DY466" s="485"/>
      <c r="DZ466" s="485"/>
      <c r="EA466" s="485"/>
      <c r="EB466" s="485"/>
      <c r="EC466" s="485"/>
      <c r="ED466" s="485"/>
      <c r="EE466" s="485"/>
      <c r="EF466" s="485"/>
      <c r="EG466" s="485"/>
      <c r="EH466" s="485"/>
      <c r="EI466" s="485"/>
      <c r="EJ466" s="485"/>
      <c r="EK466" s="485"/>
      <c r="EL466" s="485"/>
      <c r="EM466" s="485"/>
      <c r="EN466" s="485"/>
      <c r="EO466" s="485"/>
      <c r="EP466" s="485"/>
    </row>
    <row r="467" spans="1:146">
      <c r="A467" s="485"/>
      <c r="B467" s="485"/>
      <c r="C467" s="485"/>
      <c r="D467" s="485"/>
      <c r="E467" s="485"/>
      <c r="F467" s="485"/>
      <c r="G467" s="485"/>
      <c r="H467" s="485"/>
      <c r="I467" s="485"/>
      <c r="J467" s="485"/>
      <c r="K467" s="485"/>
      <c r="L467" s="485"/>
      <c r="M467" s="485"/>
      <c r="P467" s="485"/>
      <c r="Q467" s="485"/>
      <c r="R467" s="485"/>
      <c r="S467" s="485"/>
      <c r="T467" s="485"/>
      <c r="U467" s="485"/>
      <c r="V467" s="485"/>
      <c r="W467" s="485"/>
      <c r="X467" s="485"/>
      <c r="Y467" s="485"/>
      <c r="Z467" s="485"/>
      <c r="AA467" s="485"/>
      <c r="AB467" s="485"/>
      <c r="AC467" s="485"/>
      <c r="AD467" s="485"/>
      <c r="AE467" s="485"/>
      <c r="AF467" s="485"/>
      <c r="AG467" s="485"/>
      <c r="AH467" s="485"/>
      <c r="AI467" s="485"/>
      <c r="AJ467" s="485"/>
      <c r="AK467" s="485"/>
      <c r="AL467" s="485"/>
      <c r="AM467" s="485"/>
      <c r="AN467" s="485"/>
      <c r="AO467" s="485"/>
      <c r="AP467" s="485"/>
      <c r="AQ467" s="485"/>
      <c r="AR467" s="485"/>
      <c r="AS467" s="485"/>
      <c r="AT467" s="485"/>
      <c r="AU467" s="485"/>
      <c r="AV467" s="485"/>
      <c r="AW467" s="485"/>
      <c r="AX467" s="485"/>
      <c r="AY467" s="485"/>
      <c r="AZ467" s="485"/>
      <c r="BA467" s="485"/>
      <c r="BB467" s="485"/>
      <c r="BC467" s="485"/>
      <c r="BD467" s="485"/>
      <c r="BE467" s="485"/>
      <c r="BF467" s="485"/>
      <c r="BG467" s="485"/>
      <c r="BH467" s="485"/>
      <c r="BI467" s="485"/>
      <c r="BJ467" s="485"/>
      <c r="BK467" s="485"/>
      <c r="BL467" s="485"/>
      <c r="BM467" s="485"/>
      <c r="BN467" s="485"/>
      <c r="BO467" s="485"/>
      <c r="BP467" s="485"/>
      <c r="BQ467" s="485"/>
      <c r="BR467" s="485"/>
      <c r="BS467" s="485"/>
      <c r="BT467" s="485"/>
      <c r="BU467" s="485"/>
      <c r="BV467" s="485"/>
      <c r="BW467" s="485"/>
      <c r="BX467" s="485"/>
      <c r="BY467" s="485"/>
      <c r="BZ467" s="485"/>
      <c r="CA467" s="485"/>
      <c r="CB467" s="485"/>
      <c r="CC467" s="485"/>
      <c r="CD467" s="485"/>
      <c r="CE467" s="485"/>
      <c r="CF467" s="485"/>
      <c r="CG467" s="485"/>
      <c r="CH467" s="485"/>
      <c r="CI467" s="485"/>
      <c r="CJ467" s="485"/>
      <c r="CK467" s="485"/>
      <c r="CL467" s="485"/>
      <c r="CM467" s="485"/>
      <c r="CN467" s="485"/>
      <c r="CO467" s="485"/>
      <c r="CP467" s="485"/>
      <c r="CQ467" s="485"/>
      <c r="CR467" s="485"/>
      <c r="CS467" s="485"/>
      <c r="CT467" s="485"/>
      <c r="CU467" s="485"/>
      <c r="CV467" s="485"/>
      <c r="CW467" s="485"/>
      <c r="CX467" s="485"/>
      <c r="CY467" s="485"/>
      <c r="CZ467" s="485"/>
      <c r="DA467" s="485"/>
      <c r="DB467" s="485"/>
      <c r="DC467" s="485"/>
      <c r="DD467" s="485"/>
      <c r="DE467" s="485"/>
      <c r="DF467" s="485"/>
      <c r="DG467" s="485"/>
      <c r="DH467" s="485"/>
      <c r="DI467" s="485"/>
      <c r="DJ467" s="485"/>
      <c r="DK467" s="485"/>
      <c r="DL467" s="485"/>
      <c r="DM467" s="485"/>
      <c r="DN467" s="485"/>
      <c r="DO467" s="485"/>
      <c r="DP467" s="485"/>
      <c r="DQ467" s="485"/>
      <c r="DR467" s="485"/>
      <c r="DS467" s="485"/>
      <c r="DT467" s="485"/>
      <c r="DU467" s="485"/>
      <c r="DV467" s="485"/>
      <c r="DW467" s="485"/>
      <c r="DX467" s="485"/>
      <c r="DY467" s="485"/>
      <c r="DZ467" s="485"/>
      <c r="EA467" s="485"/>
      <c r="EB467" s="485"/>
      <c r="EC467" s="485"/>
      <c r="ED467" s="485"/>
      <c r="EE467" s="485"/>
      <c r="EF467" s="485"/>
      <c r="EG467" s="485"/>
      <c r="EH467" s="485"/>
      <c r="EI467" s="485"/>
      <c r="EJ467" s="485"/>
      <c r="EK467" s="485"/>
      <c r="EL467" s="485"/>
      <c r="EM467" s="485"/>
      <c r="EN467" s="485"/>
      <c r="EO467" s="485"/>
      <c r="EP467" s="485"/>
    </row>
    <row r="468" spans="1:146">
      <c r="A468" s="485"/>
      <c r="B468" s="485"/>
      <c r="C468" s="485"/>
      <c r="D468" s="485"/>
      <c r="E468" s="485"/>
      <c r="F468" s="485"/>
      <c r="G468" s="485"/>
      <c r="H468" s="485"/>
      <c r="I468" s="485"/>
      <c r="J468" s="485"/>
      <c r="K468" s="485"/>
      <c r="L468" s="485"/>
      <c r="M468" s="485"/>
      <c r="P468" s="485"/>
      <c r="Q468" s="485"/>
      <c r="R468" s="485"/>
      <c r="S468" s="485"/>
      <c r="T468" s="485"/>
      <c r="U468" s="485"/>
      <c r="V468" s="485"/>
      <c r="W468" s="485"/>
      <c r="X468" s="485"/>
      <c r="Y468" s="485"/>
      <c r="Z468" s="485"/>
      <c r="AA468" s="485"/>
      <c r="AB468" s="485"/>
      <c r="AC468" s="485"/>
      <c r="AD468" s="485"/>
      <c r="AE468" s="485"/>
      <c r="AF468" s="485"/>
      <c r="AG468" s="485"/>
      <c r="AH468" s="485"/>
      <c r="AI468" s="485"/>
      <c r="AJ468" s="485"/>
      <c r="AK468" s="485"/>
      <c r="AL468" s="485"/>
      <c r="AM468" s="485"/>
      <c r="AN468" s="485"/>
      <c r="AO468" s="485"/>
      <c r="AP468" s="485"/>
      <c r="AQ468" s="485"/>
      <c r="AR468" s="485"/>
      <c r="AS468" s="485"/>
      <c r="AT468" s="485"/>
      <c r="AU468" s="485"/>
      <c r="AV468" s="485"/>
      <c r="AW468" s="485"/>
      <c r="AX468" s="485"/>
      <c r="AY468" s="485"/>
      <c r="AZ468" s="485"/>
      <c r="BA468" s="485"/>
      <c r="BB468" s="485"/>
      <c r="BC468" s="485"/>
      <c r="BD468" s="485"/>
      <c r="BE468" s="485"/>
      <c r="BF468" s="485"/>
      <c r="BG468" s="485"/>
      <c r="BH468" s="485"/>
      <c r="BI468" s="485"/>
      <c r="BJ468" s="485"/>
      <c r="BK468" s="485"/>
      <c r="BL468" s="485"/>
      <c r="BM468" s="485"/>
      <c r="BN468" s="485"/>
      <c r="BO468" s="485"/>
      <c r="BP468" s="485"/>
      <c r="BQ468" s="485"/>
      <c r="BR468" s="485"/>
      <c r="BS468" s="485"/>
      <c r="BT468" s="485"/>
      <c r="BU468" s="485"/>
      <c r="BV468" s="485"/>
      <c r="BW468" s="485"/>
      <c r="BX468" s="485"/>
      <c r="BY468" s="485"/>
      <c r="BZ468" s="485"/>
      <c r="CA468" s="485"/>
      <c r="CB468" s="485"/>
      <c r="CC468" s="485"/>
      <c r="CD468" s="485"/>
      <c r="CE468" s="485"/>
      <c r="CF468" s="485"/>
      <c r="CG468" s="485"/>
      <c r="CH468" s="485"/>
      <c r="CI468" s="485"/>
      <c r="CJ468" s="485"/>
      <c r="CK468" s="485"/>
      <c r="CL468" s="485"/>
      <c r="CM468" s="485"/>
      <c r="CN468" s="485"/>
      <c r="CO468" s="485"/>
      <c r="CP468" s="485"/>
      <c r="CQ468" s="485"/>
      <c r="CR468" s="485"/>
      <c r="CS468" s="485"/>
      <c r="CT468" s="485"/>
      <c r="CU468" s="485"/>
      <c r="CV468" s="485"/>
      <c r="CW468" s="485"/>
      <c r="CX468" s="485"/>
      <c r="CY468" s="485"/>
      <c r="CZ468" s="485"/>
      <c r="DA468" s="485"/>
      <c r="DB468" s="485"/>
      <c r="DC468" s="485"/>
      <c r="DD468" s="485"/>
      <c r="DE468" s="485"/>
      <c r="DF468" s="485"/>
      <c r="DG468" s="485"/>
      <c r="DH468" s="485"/>
      <c r="DI468" s="485"/>
      <c r="DJ468" s="485"/>
      <c r="DK468" s="485"/>
      <c r="DL468" s="485"/>
      <c r="DM468" s="485"/>
      <c r="DN468" s="485"/>
      <c r="DO468" s="485"/>
      <c r="DP468" s="485"/>
      <c r="DQ468" s="485"/>
      <c r="DR468" s="485"/>
      <c r="DS468" s="485"/>
      <c r="DT468" s="485"/>
      <c r="DU468" s="485"/>
      <c r="DV468" s="485"/>
      <c r="DW468" s="485"/>
      <c r="DX468" s="485"/>
      <c r="DY468" s="485"/>
      <c r="DZ468" s="485"/>
      <c r="EA468" s="485"/>
      <c r="EB468" s="485"/>
      <c r="EC468" s="485"/>
      <c r="ED468" s="485"/>
      <c r="EE468" s="485"/>
      <c r="EF468" s="485"/>
      <c r="EG468" s="485"/>
      <c r="EH468" s="485"/>
      <c r="EI468" s="485"/>
      <c r="EJ468" s="485"/>
      <c r="EK468" s="485"/>
      <c r="EL468" s="485"/>
      <c r="EM468" s="485"/>
      <c r="EN468" s="485"/>
      <c r="EO468" s="485"/>
      <c r="EP468" s="485"/>
    </row>
    <row r="469" spans="1:146">
      <c r="A469" s="485"/>
      <c r="B469" s="485"/>
      <c r="C469" s="485"/>
      <c r="D469" s="485"/>
      <c r="E469" s="485"/>
      <c r="F469" s="485"/>
      <c r="G469" s="485"/>
      <c r="H469" s="485"/>
      <c r="I469" s="485"/>
      <c r="J469" s="485"/>
      <c r="K469" s="485"/>
      <c r="L469" s="485"/>
      <c r="M469" s="485"/>
      <c r="P469" s="485"/>
      <c r="Q469" s="485"/>
      <c r="R469" s="485"/>
      <c r="S469" s="485"/>
      <c r="T469" s="485"/>
      <c r="U469" s="485"/>
      <c r="V469" s="485"/>
      <c r="W469" s="485"/>
      <c r="X469" s="485"/>
      <c r="Y469" s="485"/>
      <c r="Z469" s="485"/>
      <c r="AA469" s="485"/>
      <c r="AB469" s="485"/>
      <c r="AC469" s="485"/>
      <c r="AD469" s="485"/>
      <c r="AE469" s="485"/>
      <c r="AF469" s="485"/>
      <c r="AG469" s="485"/>
      <c r="AH469" s="485"/>
      <c r="AI469" s="485"/>
      <c r="AJ469" s="485"/>
      <c r="AK469" s="485"/>
      <c r="AL469" s="485"/>
      <c r="AM469" s="485"/>
      <c r="AN469" s="485"/>
      <c r="AO469" s="485"/>
      <c r="AP469" s="485"/>
      <c r="AQ469" s="485"/>
      <c r="AR469" s="485"/>
      <c r="AS469" s="485"/>
      <c r="AT469" s="485"/>
      <c r="AU469" s="485"/>
      <c r="AV469" s="485"/>
      <c r="AW469" s="485"/>
      <c r="AX469" s="485"/>
      <c r="AY469" s="485"/>
      <c r="AZ469" s="485"/>
      <c r="BA469" s="485"/>
      <c r="BB469" s="485"/>
      <c r="BC469" s="485"/>
      <c r="BD469" s="485"/>
      <c r="BE469" s="485"/>
      <c r="BF469" s="485"/>
      <c r="BG469" s="485"/>
      <c r="BH469" s="485"/>
      <c r="BI469" s="485"/>
      <c r="BJ469" s="485"/>
      <c r="BK469" s="485"/>
      <c r="BL469" s="485"/>
      <c r="BM469" s="485"/>
      <c r="BN469" s="485"/>
      <c r="BO469" s="485"/>
      <c r="BP469" s="485"/>
      <c r="BQ469" s="485"/>
      <c r="BR469" s="485"/>
      <c r="BS469" s="485"/>
      <c r="BT469" s="485"/>
      <c r="BU469" s="485"/>
      <c r="BV469" s="485"/>
      <c r="BW469" s="485"/>
      <c r="BX469" s="485"/>
      <c r="BY469" s="485"/>
      <c r="BZ469" s="485"/>
      <c r="CA469" s="485"/>
      <c r="CB469" s="485"/>
      <c r="CC469" s="485"/>
      <c r="CD469" s="485"/>
      <c r="CE469" s="485"/>
      <c r="CF469" s="485"/>
      <c r="CG469" s="485"/>
      <c r="CH469" s="485"/>
      <c r="CI469" s="485"/>
      <c r="CJ469" s="485"/>
      <c r="CK469" s="485"/>
      <c r="CL469" s="485"/>
      <c r="CM469" s="485"/>
      <c r="CN469" s="485"/>
      <c r="CO469" s="485"/>
      <c r="CP469" s="485"/>
      <c r="CQ469" s="485"/>
      <c r="CR469" s="485"/>
      <c r="CS469" s="485"/>
      <c r="CT469" s="485"/>
      <c r="CU469" s="485"/>
      <c r="CV469" s="485"/>
      <c r="CW469" s="485"/>
      <c r="CX469" s="485"/>
      <c r="CY469" s="485"/>
      <c r="CZ469" s="485"/>
      <c r="DA469" s="485"/>
      <c r="DB469" s="485"/>
      <c r="DC469" s="485"/>
      <c r="DD469" s="485"/>
      <c r="DE469" s="485"/>
      <c r="DF469" s="485"/>
      <c r="DG469" s="485"/>
      <c r="DH469" s="485"/>
      <c r="DI469" s="485"/>
      <c r="DJ469" s="485"/>
      <c r="DK469" s="485"/>
      <c r="DL469" s="485"/>
      <c r="DM469" s="485"/>
      <c r="DN469" s="485"/>
      <c r="DO469" s="485"/>
      <c r="DP469" s="485"/>
      <c r="DQ469" s="485"/>
      <c r="DR469" s="485"/>
      <c r="DS469" s="485"/>
      <c r="DT469" s="485"/>
      <c r="DU469" s="485"/>
      <c r="DV469" s="485"/>
      <c r="DW469" s="485"/>
      <c r="DX469" s="485"/>
      <c r="DY469" s="485"/>
      <c r="DZ469" s="485"/>
      <c r="EA469" s="485"/>
      <c r="EB469" s="485"/>
      <c r="EC469" s="485"/>
      <c r="ED469" s="485"/>
      <c r="EE469" s="485"/>
      <c r="EF469" s="485"/>
      <c r="EG469" s="485"/>
      <c r="EH469" s="485"/>
      <c r="EI469" s="485"/>
      <c r="EJ469" s="485"/>
      <c r="EK469" s="485"/>
      <c r="EL469" s="485"/>
      <c r="EM469" s="485"/>
      <c r="EN469" s="485"/>
      <c r="EO469" s="485"/>
      <c r="EP469" s="485"/>
    </row>
    <row r="470" spans="1:146">
      <c r="A470" s="485"/>
      <c r="B470" s="485"/>
      <c r="C470" s="485"/>
      <c r="D470" s="485"/>
      <c r="E470" s="485"/>
      <c r="F470" s="485"/>
      <c r="G470" s="485"/>
      <c r="H470" s="485"/>
      <c r="I470" s="485"/>
      <c r="J470" s="485"/>
      <c r="K470" s="485"/>
      <c r="L470" s="485"/>
      <c r="M470" s="485"/>
      <c r="P470" s="485"/>
      <c r="Q470" s="485"/>
      <c r="R470" s="485"/>
      <c r="S470" s="485"/>
      <c r="T470" s="485"/>
      <c r="U470" s="485"/>
      <c r="V470" s="485"/>
      <c r="W470" s="485"/>
      <c r="X470" s="485"/>
      <c r="Y470" s="485"/>
      <c r="Z470" s="485"/>
      <c r="AA470" s="485"/>
      <c r="AB470" s="485"/>
      <c r="AC470" s="485"/>
      <c r="AD470" s="485"/>
      <c r="AE470" s="485"/>
      <c r="AF470" s="485"/>
      <c r="AG470" s="485"/>
      <c r="AH470" s="485"/>
      <c r="AI470" s="485"/>
      <c r="AJ470" s="485"/>
      <c r="AK470" s="485"/>
      <c r="AL470" s="485"/>
      <c r="AM470" s="485"/>
      <c r="AN470" s="485"/>
      <c r="AO470" s="485"/>
      <c r="AP470" s="485"/>
      <c r="AQ470" s="485"/>
      <c r="AR470" s="485"/>
      <c r="AS470" s="485"/>
      <c r="AT470" s="485"/>
      <c r="AU470" s="485"/>
      <c r="AV470" s="485"/>
      <c r="AW470" s="485"/>
      <c r="AX470" s="485"/>
      <c r="AY470" s="485"/>
      <c r="AZ470" s="485"/>
      <c r="BA470" s="485"/>
      <c r="BB470" s="485"/>
      <c r="BC470" s="485"/>
      <c r="BD470" s="485"/>
      <c r="BE470" s="485"/>
      <c r="BF470" s="485"/>
      <c r="BG470" s="485"/>
      <c r="BH470" s="485"/>
      <c r="BI470" s="485"/>
      <c r="BJ470" s="485"/>
      <c r="BK470" s="485"/>
      <c r="BL470" s="485"/>
      <c r="BM470" s="485"/>
      <c r="BN470" s="485"/>
      <c r="BO470" s="485"/>
      <c r="BP470" s="485"/>
      <c r="BQ470" s="485"/>
      <c r="BR470" s="485"/>
      <c r="BS470" s="485"/>
      <c r="BT470" s="485"/>
      <c r="BU470" s="485"/>
      <c r="BV470" s="485"/>
      <c r="BW470" s="485"/>
      <c r="BX470" s="485"/>
      <c r="BY470" s="485"/>
      <c r="BZ470" s="485"/>
      <c r="CA470" s="485"/>
      <c r="CB470" s="485"/>
      <c r="CC470" s="485"/>
      <c r="CD470" s="485"/>
      <c r="CE470" s="485"/>
      <c r="CF470" s="485"/>
      <c r="CG470" s="485"/>
      <c r="CH470" s="485"/>
      <c r="CI470" s="485"/>
      <c r="CJ470" s="485"/>
      <c r="CK470" s="485"/>
      <c r="CL470" s="485"/>
      <c r="CM470" s="485"/>
      <c r="CN470" s="485"/>
      <c r="CO470" s="485"/>
      <c r="CP470" s="485"/>
      <c r="CQ470" s="485"/>
      <c r="CR470" s="485"/>
      <c r="CS470" s="485"/>
      <c r="CT470" s="485"/>
      <c r="CU470" s="485"/>
      <c r="CV470" s="485"/>
      <c r="CW470" s="485"/>
      <c r="CX470" s="485"/>
      <c r="CY470" s="485"/>
      <c r="CZ470" s="485"/>
      <c r="DA470" s="485"/>
      <c r="DB470" s="485"/>
      <c r="DC470" s="485"/>
      <c r="DD470" s="485"/>
      <c r="DE470" s="485"/>
      <c r="DF470" s="485"/>
      <c r="DG470" s="485"/>
      <c r="DH470" s="485"/>
      <c r="DI470" s="485"/>
      <c r="DJ470" s="485"/>
      <c r="DK470" s="485"/>
      <c r="DL470" s="485"/>
      <c r="DM470" s="485"/>
      <c r="DN470" s="485"/>
      <c r="DO470" s="485"/>
      <c r="DP470" s="485"/>
      <c r="DQ470" s="485"/>
      <c r="DR470" s="485"/>
      <c r="DS470" s="485"/>
      <c r="DT470" s="485"/>
      <c r="DU470" s="485"/>
      <c r="DV470" s="485"/>
      <c r="DW470" s="485"/>
      <c r="DX470" s="485"/>
      <c r="DY470" s="485"/>
      <c r="DZ470" s="485"/>
      <c r="EA470" s="485"/>
      <c r="EB470" s="485"/>
      <c r="EC470" s="485"/>
      <c r="ED470" s="485"/>
      <c r="EE470" s="485"/>
      <c r="EF470" s="485"/>
      <c r="EG470" s="485"/>
      <c r="EH470" s="485"/>
      <c r="EI470" s="485"/>
      <c r="EJ470" s="485"/>
      <c r="EK470" s="485"/>
      <c r="EL470" s="485"/>
      <c r="EM470" s="485"/>
      <c r="EN470" s="485"/>
      <c r="EO470" s="485"/>
      <c r="EP470" s="485"/>
    </row>
    <row r="471" spans="1:146">
      <c r="A471" s="485"/>
      <c r="B471" s="485"/>
      <c r="C471" s="485"/>
      <c r="D471" s="485"/>
      <c r="E471" s="485"/>
      <c r="F471" s="485"/>
      <c r="G471" s="485"/>
      <c r="H471" s="485"/>
      <c r="I471" s="485"/>
      <c r="J471" s="485"/>
      <c r="K471" s="485"/>
      <c r="L471" s="485"/>
      <c r="M471" s="485"/>
      <c r="P471" s="485"/>
      <c r="Q471" s="485"/>
      <c r="R471" s="485"/>
      <c r="S471" s="485"/>
      <c r="T471" s="485"/>
      <c r="U471" s="485"/>
      <c r="V471" s="485"/>
      <c r="W471" s="485"/>
      <c r="X471" s="485"/>
      <c r="Y471" s="485"/>
      <c r="Z471" s="485"/>
      <c r="AA471" s="485"/>
      <c r="AB471" s="485"/>
      <c r="AC471" s="485"/>
      <c r="AD471" s="485"/>
      <c r="AE471" s="485"/>
      <c r="AF471" s="485"/>
      <c r="AG471" s="485"/>
      <c r="AH471" s="485"/>
      <c r="AI471" s="485"/>
      <c r="AJ471" s="485"/>
      <c r="AK471" s="485"/>
      <c r="AL471" s="485"/>
      <c r="AM471" s="485"/>
      <c r="AN471" s="485"/>
      <c r="AO471" s="485"/>
      <c r="AP471" s="485"/>
      <c r="AQ471" s="485"/>
      <c r="AR471" s="485"/>
      <c r="AS471" s="485"/>
      <c r="AT471" s="485"/>
      <c r="AU471" s="485"/>
      <c r="AV471" s="485"/>
      <c r="AW471" s="485"/>
      <c r="AX471" s="485"/>
      <c r="AY471" s="485"/>
      <c r="AZ471" s="485"/>
      <c r="BA471" s="485"/>
      <c r="BB471" s="485"/>
      <c r="BC471" s="485"/>
      <c r="BD471" s="485"/>
      <c r="BE471" s="485"/>
      <c r="BF471" s="485"/>
      <c r="BG471" s="485"/>
      <c r="BH471" s="485"/>
      <c r="BI471" s="485"/>
      <c r="BJ471" s="485"/>
      <c r="BK471" s="485"/>
      <c r="BL471" s="485"/>
      <c r="BM471" s="485"/>
      <c r="BN471" s="485"/>
      <c r="BO471" s="485"/>
      <c r="BP471" s="485"/>
      <c r="BQ471" s="485"/>
      <c r="BR471" s="485"/>
      <c r="BS471" s="485"/>
      <c r="BT471" s="485"/>
      <c r="BU471" s="485"/>
      <c r="BV471" s="485"/>
      <c r="BW471" s="485"/>
      <c r="BX471" s="485"/>
      <c r="BY471" s="485"/>
      <c r="BZ471" s="485"/>
      <c r="CA471" s="485"/>
      <c r="CB471" s="485"/>
      <c r="CC471" s="485"/>
      <c r="CD471" s="485"/>
      <c r="CE471" s="485"/>
      <c r="CF471" s="485"/>
      <c r="CG471" s="485"/>
      <c r="CH471" s="485"/>
      <c r="CI471" s="485"/>
      <c r="CJ471" s="485"/>
      <c r="CK471" s="485"/>
      <c r="CL471" s="485"/>
      <c r="CM471" s="485"/>
      <c r="CN471" s="485"/>
      <c r="CO471" s="485"/>
      <c r="CP471" s="485"/>
      <c r="CQ471" s="485"/>
      <c r="CR471" s="485"/>
      <c r="CS471" s="485"/>
      <c r="CT471" s="485"/>
      <c r="CU471" s="485"/>
      <c r="CV471" s="485"/>
      <c r="CW471" s="485"/>
      <c r="CX471" s="485"/>
      <c r="CY471" s="485"/>
      <c r="CZ471" s="485"/>
      <c r="DA471" s="485"/>
      <c r="DB471" s="485"/>
      <c r="DC471" s="485"/>
      <c r="DD471" s="485"/>
      <c r="DE471" s="485"/>
      <c r="DF471" s="485"/>
      <c r="DG471" s="485"/>
      <c r="DH471" s="485"/>
      <c r="DI471" s="485"/>
      <c r="DJ471" s="485"/>
      <c r="DK471" s="485"/>
      <c r="DL471" s="485"/>
      <c r="DM471" s="485"/>
      <c r="DN471" s="485"/>
      <c r="DO471" s="485"/>
      <c r="DP471" s="485"/>
      <c r="DQ471" s="485"/>
      <c r="DR471" s="485"/>
      <c r="DS471" s="485"/>
      <c r="DT471" s="485"/>
      <c r="DU471" s="485"/>
      <c r="DV471" s="485"/>
      <c r="DW471" s="485"/>
      <c r="DX471" s="485"/>
      <c r="DY471" s="485"/>
      <c r="DZ471" s="485"/>
      <c r="EA471" s="485"/>
      <c r="EB471" s="485"/>
      <c r="EC471" s="485"/>
      <c r="ED471" s="485"/>
      <c r="EE471" s="485"/>
      <c r="EF471" s="485"/>
      <c r="EG471" s="485"/>
      <c r="EH471" s="485"/>
      <c r="EI471" s="485"/>
      <c r="EJ471" s="485"/>
      <c r="EK471" s="485"/>
      <c r="EL471" s="485"/>
      <c r="EM471" s="485"/>
      <c r="EN471" s="485"/>
      <c r="EO471" s="485"/>
      <c r="EP471" s="485"/>
    </row>
    <row r="472" spans="1:146">
      <c r="A472" s="485"/>
      <c r="B472" s="485"/>
      <c r="C472" s="485"/>
      <c r="D472" s="485"/>
      <c r="E472" s="485"/>
      <c r="F472" s="485"/>
      <c r="G472" s="485"/>
      <c r="H472" s="485"/>
      <c r="I472" s="485"/>
      <c r="J472" s="485"/>
      <c r="K472" s="485"/>
      <c r="L472" s="485"/>
      <c r="M472" s="485"/>
      <c r="P472" s="485"/>
      <c r="Q472" s="485"/>
      <c r="R472" s="485"/>
      <c r="S472" s="485"/>
      <c r="T472" s="485"/>
      <c r="U472" s="485"/>
      <c r="V472" s="485"/>
      <c r="W472" s="485"/>
      <c r="X472" s="485"/>
      <c r="Y472" s="485"/>
      <c r="Z472" s="485"/>
      <c r="AA472" s="485"/>
      <c r="AB472" s="485"/>
      <c r="AC472" s="485"/>
      <c r="AD472" s="485"/>
      <c r="AE472" s="485"/>
      <c r="AF472" s="485"/>
      <c r="AG472" s="485"/>
      <c r="AH472" s="485"/>
      <c r="AI472" s="485"/>
      <c r="AJ472" s="485"/>
      <c r="AK472" s="485"/>
      <c r="AL472" s="485"/>
      <c r="AM472" s="485"/>
      <c r="AN472" s="485"/>
      <c r="AO472" s="485"/>
      <c r="AP472" s="485"/>
      <c r="AQ472" s="485"/>
      <c r="AR472" s="485"/>
      <c r="AS472" s="485"/>
      <c r="AT472" s="485"/>
      <c r="AU472" s="485"/>
      <c r="AV472" s="485"/>
      <c r="AW472" s="485"/>
      <c r="AX472" s="485"/>
      <c r="AY472" s="485"/>
      <c r="AZ472" s="485"/>
      <c r="BA472" s="485"/>
      <c r="BB472" s="485"/>
      <c r="BC472" s="485"/>
      <c r="BD472" s="485"/>
      <c r="BE472" s="485"/>
      <c r="BF472" s="485"/>
      <c r="BG472" s="485"/>
      <c r="BH472" s="485"/>
      <c r="BI472" s="485"/>
      <c r="BJ472" s="485"/>
      <c r="BK472" s="485"/>
      <c r="BL472" s="485"/>
      <c r="BM472" s="485"/>
      <c r="BN472" s="485"/>
      <c r="BO472" s="485"/>
      <c r="BP472" s="485"/>
      <c r="BQ472" s="485"/>
      <c r="BR472" s="485"/>
      <c r="BS472" s="485"/>
      <c r="BT472" s="485"/>
      <c r="BU472" s="485"/>
      <c r="BV472" s="485"/>
      <c r="BW472" s="485"/>
      <c r="BX472" s="485"/>
      <c r="BY472" s="485"/>
      <c r="BZ472" s="485"/>
      <c r="CA472" s="485"/>
      <c r="CB472" s="485"/>
      <c r="CC472" s="485"/>
      <c r="CD472" s="485"/>
      <c r="CE472" s="485"/>
      <c r="CF472" s="485"/>
      <c r="CG472" s="485"/>
      <c r="CH472" s="485"/>
      <c r="CI472" s="485"/>
      <c r="CJ472" s="485"/>
      <c r="CK472" s="485"/>
      <c r="CL472" s="485"/>
      <c r="CM472" s="485"/>
      <c r="CN472" s="485"/>
      <c r="CO472" s="485"/>
      <c r="CP472" s="485"/>
      <c r="CQ472" s="485"/>
      <c r="CR472" s="485"/>
      <c r="CS472" s="485"/>
      <c r="CT472" s="485"/>
      <c r="CU472" s="485"/>
      <c r="CV472" s="485"/>
      <c r="CW472" s="485"/>
      <c r="CX472" s="485"/>
      <c r="CY472" s="485"/>
      <c r="CZ472" s="485"/>
      <c r="DA472" s="485"/>
      <c r="DB472" s="485"/>
      <c r="DC472" s="485"/>
      <c r="DD472" s="485"/>
      <c r="DE472" s="485"/>
      <c r="DF472" s="485"/>
      <c r="DG472" s="485"/>
      <c r="DH472" s="485"/>
      <c r="DI472" s="485"/>
      <c r="DJ472" s="485"/>
      <c r="DK472" s="485"/>
      <c r="DL472" s="485"/>
      <c r="DM472" s="485"/>
      <c r="DN472" s="485"/>
      <c r="DO472" s="485"/>
      <c r="DP472" s="485"/>
      <c r="DQ472" s="485"/>
      <c r="DR472" s="485"/>
      <c r="DS472" s="485"/>
      <c r="DT472" s="485"/>
      <c r="DU472" s="485"/>
      <c r="DV472" s="485"/>
      <c r="DW472" s="485"/>
      <c r="DX472" s="485"/>
      <c r="DY472" s="485"/>
      <c r="DZ472" s="485"/>
      <c r="EA472" s="485"/>
      <c r="EB472" s="485"/>
      <c r="EC472" s="485"/>
      <c r="ED472" s="485"/>
      <c r="EE472" s="485"/>
      <c r="EF472" s="485"/>
      <c r="EG472" s="485"/>
      <c r="EH472" s="485"/>
      <c r="EI472" s="485"/>
      <c r="EJ472" s="485"/>
      <c r="EK472" s="485"/>
      <c r="EL472" s="485"/>
      <c r="EM472" s="485"/>
      <c r="EN472" s="485"/>
      <c r="EO472" s="485"/>
      <c r="EP472" s="485"/>
    </row>
    <row r="473" spans="1:146">
      <c r="A473" s="485"/>
      <c r="B473" s="485"/>
      <c r="C473" s="485"/>
      <c r="D473" s="485"/>
      <c r="E473" s="485"/>
      <c r="F473" s="485"/>
      <c r="G473" s="485"/>
      <c r="H473" s="485"/>
      <c r="I473" s="485"/>
      <c r="J473" s="485"/>
      <c r="K473" s="485"/>
      <c r="L473" s="485"/>
      <c r="M473" s="485"/>
      <c r="P473" s="485"/>
      <c r="Q473" s="485"/>
      <c r="R473" s="485"/>
      <c r="S473" s="485"/>
      <c r="T473" s="485"/>
      <c r="U473" s="485"/>
      <c r="V473" s="485"/>
      <c r="W473" s="485"/>
      <c r="X473" s="485"/>
      <c r="Y473" s="485"/>
      <c r="Z473" s="485"/>
      <c r="AA473" s="485"/>
      <c r="AB473" s="485"/>
      <c r="AC473" s="485"/>
      <c r="AD473" s="485"/>
      <c r="AE473" s="485"/>
      <c r="AF473" s="485"/>
      <c r="AG473" s="485"/>
      <c r="AH473" s="485"/>
      <c r="AI473" s="485"/>
      <c r="AJ473" s="485"/>
      <c r="AK473" s="485"/>
      <c r="AL473" s="485"/>
      <c r="AM473" s="485"/>
      <c r="AN473" s="485"/>
      <c r="AO473" s="485"/>
      <c r="AP473" s="485"/>
      <c r="AQ473" s="485"/>
      <c r="AR473" s="485"/>
      <c r="AS473" s="485"/>
      <c r="AT473" s="485"/>
      <c r="AU473" s="485"/>
      <c r="AV473" s="485"/>
      <c r="AW473" s="485"/>
      <c r="AX473" s="485"/>
      <c r="AY473" s="485"/>
      <c r="AZ473" s="485"/>
      <c r="BA473" s="485"/>
      <c r="BB473" s="485"/>
      <c r="BC473" s="485"/>
      <c r="BD473" s="485"/>
      <c r="BE473" s="485"/>
      <c r="BF473" s="485"/>
      <c r="BG473" s="485"/>
      <c r="BH473" s="485"/>
      <c r="BI473" s="485"/>
      <c r="BJ473" s="485"/>
      <c r="BK473" s="485"/>
      <c r="BL473" s="485"/>
      <c r="BM473" s="485"/>
      <c r="BN473" s="485"/>
      <c r="BO473" s="485"/>
      <c r="BP473" s="485"/>
      <c r="BQ473" s="485"/>
      <c r="BR473" s="485"/>
      <c r="BS473" s="485"/>
      <c r="BT473" s="485"/>
      <c r="BU473" s="485"/>
      <c r="BV473" s="485"/>
      <c r="BW473" s="485"/>
      <c r="BX473" s="485"/>
      <c r="BY473" s="485"/>
      <c r="BZ473" s="485"/>
      <c r="CA473" s="485"/>
      <c r="CB473" s="485"/>
      <c r="CC473" s="485"/>
      <c r="CD473" s="485"/>
      <c r="CE473" s="485"/>
      <c r="CF473" s="485"/>
      <c r="CG473" s="485"/>
      <c r="CH473" s="485"/>
      <c r="CI473" s="485"/>
      <c r="CJ473" s="485"/>
      <c r="CK473" s="485"/>
      <c r="CL473" s="485"/>
      <c r="CM473" s="485"/>
      <c r="CN473" s="485"/>
      <c r="CO473" s="485"/>
      <c r="CP473" s="485"/>
      <c r="CQ473" s="485"/>
      <c r="CR473" s="485"/>
      <c r="CS473" s="485"/>
      <c r="CT473" s="485"/>
      <c r="CU473" s="485"/>
      <c r="CV473" s="485"/>
      <c r="CW473" s="485"/>
      <c r="CX473" s="485"/>
      <c r="CY473" s="485"/>
      <c r="CZ473" s="485"/>
      <c r="DA473" s="485"/>
      <c r="DB473" s="485"/>
      <c r="DC473" s="485"/>
      <c r="DD473" s="485"/>
      <c r="DE473" s="485"/>
      <c r="DF473" s="485"/>
      <c r="DG473" s="485"/>
      <c r="DH473" s="485"/>
      <c r="DI473" s="485"/>
      <c r="DJ473" s="485"/>
      <c r="DK473" s="485"/>
      <c r="DL473" s="485"/>
      <c r="DM473" s="485"/>
      <c r="DN473" s="485"/>
      <c r="DO473" s="485"/>
      <c r="DP473" s="485"/>
      <c r="DQ473" s="485"/>
      <c r="DR473" s="485"/>
      <c r="DS473" s="485"/>
      <c r="DT473" s="485"/>
      <c r="DU473" s="485"/>
      <c r="DV473" s="485"/>
      <c r="DW473" s="485"/>
      <c r="DX473" s="485"/>
      <c r="DY473" s="485"/>
      <c r="DZ473" s="485"/>
      <c r="EA473" s="485"/>
      <c r="EB473" s="485"/>
      <c r="EC473" s="485"/>
      <c r="ED473" s="485"/>
      <c r="EE473" s="485"/>
      <c r="EF473" s="485"/>
      <c r="EG473" s="485"/>
      <c r="EH473" s="485"/>
      <c r="EI473" s="485"/>
      <c r="EJ473" s="485"/>
      <c r="EK473" s="485"/>
      <c r="EL473" s="485"/>
      <c r="EM473" s="485"/>
      <c r="EN473" s="485"/>
      <c r="EO473" s="485"/>
      <c r="EP473" s="485"/>
    </row>
    <row r="474" spans="1:146">
      <c r="A474" s="485"/>
      <c r="B474" s="485"/>
      <c r="C474" s="485"/>
      <c r="D474" s="485"/>
      <c r="E474" s="485"/>
      <c r="F474" s="485"/>
      <c r="G474" s="485"/>
      <c r="H474" s="485"/>
      <c r="I474" s="485"/>
      <c r="J474" s="485"/>
      <c r="K474" s="485"/>
      <c r="L474" s="485"/>
      <c r="M474" s="485"/>
      <c r="P474" s="485"/>
      <c r="Q474" s="485"/>
      <c r="R474" s="485"/>
      <c r="S474" s="485"/>
      <c r="T474" s="485"/>
      <c r="U474" s="485"/>
      <c r="V474" s="485"/>
      <c r="W474" s="485"/>
      <c r="X474" s="485"/>
      <c r="Y474" s="485"/>
      <c r="Z474" s="485"/>
      <c r="AA474" s="485"/>
      <c r="AB474" s="485"/>
      <c r="AC474" s="485"/>
      <c r="AD474" s="485"/>
      <c r="AE474" s="485"/>
      <c r="AF474" s="485"/>
      <c r="AG474" s="485"/>
      <c r="AH474" s="485"/>
      <c r="AI474" s="485"/>
      <c r="AJ474" s="485"/>
      <c r="AK474" s="485"/>
      <c r="AL474" s="485"/>
      <c r="AM474" s="485"/>
      <c r="AN474" s="485"/>
      <c r="AO474" s="485"/>
      <c r="AP474" s="485"/>
      <c r="AQ474" s="485"/>
      <c r="AR474" s="485"/>
      <c r="AS474" s="485"/>
      <c r="AT474" s="485"/>
      <c r="AU474" s="485"/>
      <c r="AV474" s="485"/>
      <c r="AW474" s="485"/>
      <c r="AX474" s="485"/>
      <c r="AY474" s="485"/>
      <c r="AZ474" s="485"/>
      <c r="BA474" s="485"/>
      <c r="BB474" s="485"/>
      <c r="BC474" s="485"/>
      <c r="BD474" s="485"/>
      <c r="BE474" s="485"/>
      <c r="BF474" s="485"/>
      <c r="BG474" s="485"/>
      <c r="BH474" s="485"/>
      <c r="BI474" s="485"/>
      <c r="BJ474" s="485"/>
      <c r="BK474" s="485"/>
      <c r="BL474" s="485"/>
      <c r="BM474" s="485"/>
      <c r="BN474" s="485"/>
      <c r="BO474" s="485"/>
      <c r="BP474" s="485"/>
      <c r="BQ474" s="485"/>
      <c r="BR474" s="485"/>
      <c r="BS474" s="485"/>
      <c r="BT474" s="485"/>
      <c r="BU474" s="485"/>
      <c r="BV474" s="485"/>
      <c r="BW474" s="485"/>
      <c r="BX474" s="485"/>
      <c r="BY474" s="485"/>
      <c r="BZ474" s="485"/>
      <c r="CA474" s="485"/>
      <c r="CB474" s="485"/>
      <c r="CC474" s="485"/>
      <c r="CD474" s="485"/>
      <c r="CE474" s="485"/>
      <c r="CF474" s="485"/>
      <c r="CG474" s="485"/>
      <c r="CH474" s="485"/>
      <c r="CI474" s="485"/>
      <c r="CJ474" s="485"/>
      <c r="CK474" s="485"/>
      <c r="CL474" s="485"/>
      <c r="CM474" s="485"/>
      <c r="CN474" s="485"/>
      <c r="CO474" s="485"/>
      <c r="CP474" s="485"/>
      <c r="CQ474" s="485"/>
      <c r="CR474" s="485"/>
      <c r="CS474" s="485"/>
      <c r="CT474" s="485"/>
      <c r="CU474" s="485"/>
      <c r="CV474" s="485"/>
      <c r="CW474" s="485"/>
      <c r="CX474" s="485"/>
      <c r="CY474" s="485"/>
      <c r="CZ474" s="485"/>
      <c r="DA474" s="485"/>
      <c r="DB474" s="485"/>
      <c r="DC474" s="485"/>
      <c r="DD474" s="485"/>
      <c r="DE474" s="485"/>
      <c r="DF474" s="485"/>
      <c r="DG474" s="485"/>
      <c r="DH474" s="485"/>
      <c r="DI474" s="485"/>
      <c r="DJ474" s="485"/>
      <c r="DK474" s="485"/>
      <c r="DL474" s="485"/>
      <c r="DM474" s="485"/>
      <c r="DN474" s="485"/>
      <c r="DO474" s="485"/>
      <c r="DP474" s="485"/>
      <c r="DQ474" s="485"/>
      <c r="DR474" s="485"/>
      <c r="DS474" s="485"/>
      <c r="DT474" s="485"/>
      <c r="DU474" s="485"/>
      <c r="DV474" s="485"/>
      <c r="DW474" s="485"/>
      <c r="DX474" s="485"/>
      <c r="DY474" s="485"/>
      <c r="DZ474" s="485"/>
      <c r="EA474" s="485"/>
      <c r="EB474" s="485"/>
      <c r="EC474" s="485"/>
      <c r="ED474" s="485"/>
      <c r="EE474" s="485"/>
      <c r="EF474" s="485"/>
      <c r="EG474" s="485"/>
      <c r="EH474" s="485"/>
      <c r="EI474" s="485"/>
      <c r="EJ474" s="485"/>
      <c r="EK474" s="485"/>
      <c r="EL474" s="485"/>
      <c r="EM474" s="485"/>
      <c r="EN474" s="485"/>
      <c r="EO474" s="485"/>
      <c r="EP474" s="485"/>
    </row>
    <row r="475" spans="1:146">
      <c r="A475" s="485"/>
      <c r="B475" s="485"/>
      <c r="C475" s="485"/>
      <c r="D475" s="485"/>
      <c r="E475" s="485"/>
      <c r="F475" s="485"/>
      <c r="G475" s="485"/>
      <c r="H475" s="485"/>
      <c r="I475" s="485"/>
      <c r="J475" s="485"/>
      <c r="K475" s="485"/>
      <c r="L475" s="485"/>
      <c r="M475" s="485"/>
      <c r="P475" s="485"/>
      <c r="Q475" s="485"/>
      <c r="R475" s="485"/>
      <c r="S475" s="485"/>
      <c r="T475" s="485"/>
      <c r="U475" s="485"/>
      <c r="V475" s="485"/>
      <c r="W475" s="485"/>
      <c r="X475" s="485"/>
      <c r="Y475" s="485"/>
      <c r="Z475" s="485"/>
      <c r="AA475" s="485"/>
      <c r="AB475" s="485"/>
      <c r="AC475" s="485"/>
      <c r="AD475" s="485"/>
      <c r="AE475" s="485"/>
      <c r="AF475" s="485"/>
      <c r="AG475" s="485"/>
      <c r="AH475" s="485"/>
      <c r="AI475" s="485"/>
      <c r="AJ475" s="485"/>
      <c r="AK475" s="485"/>
      <c r="AL475" s="485"/>
      <c r="AM475" s="485"/>
      <c r="AN475" s="485"/>
      <c r="AO475" s="485"/>
      <c r="AP475" s="485"/>
      <c r="AQ475" s="485"/>
      <c r="AR475" s="485"/>
      <c r="AS475" s="485"/>
      <c r="AT475" s="485"/>
      <c r="AU475" s="485"/>
      <c r="AV475" s="485"/>
      <c r="AW475" s="485"/>
      <c r="AX475" s="485"/>
      <c r="AY475" s="485"/>
      <c r="AZ475" s="485"/>
      <c r="BA475" s="485"/>
      <c r="BB475" s="485"/>
      <c r="BC475" s="485"/>
      <c r="BD475" s="485"/>
      <c r="BE475" s="485"/>
      <c r="BF475" s="485"/>
      <c r="BG475" s="485"/>
      <c r="BH475" s="485"/>
      <c r="BI475" s="485"/>
      <c r="BJ475" s="485"/>
      <c r="BK475" s="485"/>
      <c r="BL475" s="485"/>
      <c r="BM475" s="485"/>
      <c r="BN475" s="485"/>
      <c r="BO475" s="485"/>
      <c r="BP475" s="485"/>
      <c r="BQ475" s="485"/>
      <c r="BR475" s="485"/>
      <c r="BS475" s="485"/>
      <c r="BT475" s="485"/>
      <c r="BU475" s="485"/>
      <c r="BV475" s="485"/>
      <c r="BW475" s="485"/>
      <c r="BX475" s="485"/>
      <c r="BY475" s="485"/>
      <c r="BZ475" s="485"/>
      <c r="CA475" s="485"/>
      <c r="CB475" s="485"/>
      <c r="CC475" s="485"/>
      <c r="CD475" s="485"/>
      <c r="CE475" s="485"/>
      <c r="CF475" s="485"/>
      <c r="CG475" s="485"/>
      <c r="CH475" s="485"/>
      <c r="CI475" s="485"/>
      <c r="CJ475" s="485"/>
      <c r="CK475" s="485"/>
      <c r="CL475" s="485"/>
      <c r="CM475" s="485"/>
      <c r="CN475" s="485"/>
      <c r="CO475" s="485"/>
      <c r="CP475" s="485"/>
      <c r="CQ475" s="485"/>
      <c r="CR475" s="485"/>
      <c r="CS475" s="485"/>
      <c r="CT475" s="485"/>
      <c r="CU475" s="485"/>
      <c r="CV475" s="485"/>
      <c r="CW475" s="485"/>
      <c r="CX475" s="485"/>
      <c r="CY475" s="485"/>
      <c r="CZ475" s="485"/>
      <c r="DA475" s="485"/>
      <c r="DB475" s="485"/>
      <c r="DC475" s="485"/>
      <c r="DD475" s="485"/>
      <c r="DE475" s="485"/>
      <c r="DF475" s="485"/>
      <c r="DG475" s="485"/>
      <c r="DH475" s="485"/>
      <c r="DI475" s="485"/>
      <c r="DJ475" s="485"/>
      <c r="DK475" s="485"/>
      <c r="DL475" s="485"/>
      <c r="DM475" s="485"/>
      <c r="DN475" s="485"/>
      <c r="DO475" s="485"/>
      <c r="DP475" s="485"/>
      <c r="DQ475" s="485"/>
      <c r="DR475" s="485"/>
      <c r="DS475" s="485"/>
      <c r="DT475" s="485"/>
      <c r="DU475" s="485"/>
      <c r="DV475" s="485"/>
      <c r="DW475" s="485"/>
      <c r="DX475" s="485"/>
      <c r="DY475" s="485"/>
      <c r="DZ475" s="485"/>
      <c r="EA475" s="485"/>
      <c r="EB475" s="485"/>
      <c r="EC475" s="485"/>
      <c r="ED475" s="485"/>
      <c r="EE475" s="485"/>
      <c r="EF475" s="485"/>
      <c r="EG475" s="485"/>
      <c r="EH475" s="485"/>
      <c r="EI475" s="485"/>
      <c r="EJ475" s="485"/>
      <c r="EK475" s="485"/>
      <c r="EL475" s="485"/>
      <c r="EM475" s="485"/>
      <c r="EN475" s="485"/>
      <c r="EO475" s="485"/>
      <c r="EP475" s="485"/>
    </row>
    <row r="476" spans="1:146">
      <c r="A476" s="485"/>
      <c r="B476" s="485"/>
      <c r="C476" s="485"/>
      <c r="D476" s="485"/>
      <c r="E476" s="485"/>
      <c r="F476" s="485"/>
      <c r="G476" s="485"/>
      <c r="H476" s="485"/>
      <c r="I476" s="485"/>
      <c r="J476" s="485"/>
      <c r="K476" s="485"/>
      <c r="L476" s="485"/>
      <c r="M476" s="485"/>
      <c r="P476" s="485"/>
      <c r="Q476" s="485"/>
      <c r="R476" s="485"/>
      <c r="S476" s="485"/>
      <c r="T476" s="485"/>
      <c r="U476" s="485"/>
      <c r="V476" s="485"/>
      <c r="W476" s="485"/>
      <c r="X476" s="485"/>
      <c r="Y476" s="485"/>
      <c r="Z476" s="485"/>
      <c r="AA476" s="485"/>
      <c r="AB476" s="485"/>
      <c r="AC476" s="485"/>
      <c r="AD476" s="485"/>
      <c r="AE476" s="485"/>
      <c r="AF476" s="485"/>
      <c r="AG476" s="485"/>
      <c r="AH476" s="485"/>
      <c r="AI476" s="485"/>
      <c r="AJ476" s="485"/>
      <c r="AK476" s="485"/>
      <c r="AL476" s="485"/>
      <c r="AM476" s="485"/>
      <c r="AN476" s="485"/>
      <c r="AO476" s="485"/>
      <c r="AP476" s="485"/>
      <c r="AQ476" s="485"/>
      <c r="AR476" s="485"/>
      <c r="AS476" s="485"/>
      <c r="AT476" s="485"/>
      <c r="AU476" s="485"/>
      <c r="AV476" s="485"/>
      <c r="AW476" s="485"/>
      <c r="AX476" s="485"/>
      <c r="AY476" s="485"/>
      <c r="AZ476" s="485"/>
      <c r="BA476" s="485"/>
      <c r="BB476" s="485"/>
      <c r="BC476" s="485"/>
      <c r="BD476" s="485"/>
      <c r="BE476" s="485"/>
      <c r="BF476" s="485"/>
      <c r="BG476" s="485"/>
      <c r="BH476" s="485"/>
      <c r="BI476" s="485"/>
      <c r="BJ476" s="485"/>
      <c r="BK476" s="485"/>
      <c r="BL476" s="485"/>
      <c r="BM476" s="485"/>
      <c r="BN476" s="485"/>
      <c r="BO476" s="485"/>
      <c r="BP476" s="485"/>
      <c r="BQ476" s="485"/>
      <c r="BR476" s="485"/>
      <c r="BS476" s="485"/>
      <c r="BT476" s="485"/>
      <c r="BU476" s="485"/>
      <c r="BV476" s="485"/>
      <c r="BW476" s="485"/>
      <c r="BX476" s="485"/>
      <c r="BY476" s="485"/>
      <c r="BZ476" s="485"/>
      <c r="CA476" s="485"/>
      <c r="CB476" s="485"/>
      <c r="CC476" s="485"/>
      <c r="CD476" s="485"/>
      <c r="CE476" s="485"/>
      <c r="CF476" s="485"/>
      <c r="CG476" s="485"/>
      <c r="CH476" s="485"/>
      <c r="CI476" s="485"/>
      <c r="CJ476" s="485"/>
      <c r="CK476" s="485"/>
      <c r="CL476" s="485"/>
      <c r="CM476" s="485"/>
      <c r="CN476" s="485"/>
      <c r="CO476" s="485"/>
      <c r="CP476" s="485"/>
      <c r="CQ476" s="485"/>
      <c r="CR476" s="485"/>
      <c r="CS476" s="485"/>
      <c r="CT476" s="485"/>
      <c r="CU476" s="485"/>
      <c r="CV476" s="485"/>
      <c r="CW476" s="485"/>
      <c r="CX476" s="485"/>
      <c r="CY476" s="485"/>
      <c r="CZ476" s="485"/>
      <c r="DA476" s="485"/>
      <c r="DB476" s="485"/>
      <c r="DC476" s="485"/>
      <c r="DD476" s="485"/>
      <c r="DE476" s="485"/>
      <c r="DF476" s="485"/>
      <c r="DG476" s="485"/>
      <c r="DH476" s="485"/>
      <c r="DI476" s="485"/>
      <c r="DJ476" s="485"/>
      <c r="DK476" s="485"/>
      <c r="DL476" s="485"/>
      <c r="DM476" s="485"/>
      <c r="DN476" s="485"/>
      <c r="DO476" s="485"/>
      <c r="DP476" s="485"/>
      <c r="DQ476" s="485"/>
      <c r="DR476" s="485"/>
      <c r="DS476" s="485"/>
      <c r="DT476" s="485"/>
      <c r="DU476" s="485"/>
      <c r="DV476" s="485"/>
      <c r="DW476" s="485"/>
      <c r="DX476" s="485"/>
      <c r="DY476" s="485"/>
      <c r="DZ476" s="485"/>
      <c r="EA476" s="485"/>
      <c r="EB476" s="485"/>
      <c r="EC476" s="485"/>
      <c r="ED476" s="485"/>
      <c r="EE476" s="485"/>
      <c r="EF476" s="485"/>
      <c r="EG476" s="485"/>
      <c r="EH476" s="485"/>
      <c r="EI476" s="485"/>
      <c r="EJ476" s="485"/>
      <c r="EK476" s="485"/>
      <c r="EL476" s="485"/>
      <c r="EM476" s="485"/>
      <c r="EN476" s="485"/>
      <c r="EO476" s="485"/>
      <c r="EP476" s="485"/>
    </row>
    <row r="477" spans="1:146">
      <c r="A477" s="485"/>
      <c r="B477" s="485"/>
      <c r="C477" s="485"/>
      <c r="D477" s="485"/>
      <c r="E477" s="485"/>
      <c r="F477" s="485"/>
      <c r="G477" s="485"/>
      <c r="H477" s="485"/>
      <c r="I477" s="485"/>
      <c r="J477" s="485"/>
      <c r="K477" s="485"/>
      <c r="L477" s="485"/>
      <c r="M477" s="485"/>
      <c r="P477" s="485"/>
      <c r="Q477" s="485"/>
      <c r="R477" s="485"/>
      <c r="S477" s="485"/>
      <c r="T477" s="485"/>
      <c r="U477" s="485"/>
      <c r="V477" s="485"/>
      <c r="W477" s="485"/>
      <c r="X477" s="485"/>
      <c r="Y477" s="485"/>
      <c r="Z477" s="485"/>
      <c r="AA477" s="485"/>
      <c r="AB477" s="485"/>
      <c r="AC477" s="485"/>
      <c r="AD477" s="485"/>
      <c r="AE477" s="485"/>
      <c r="AF477" s="485"/>
      <c r="AG477" s="485"/>
      <c r="AH477" s="485"/>
      <c r="AI477" s="485"/>
      <c r="AJ477" s="485"/>
      <c r="AK477" s="485"/>
      <c r="AL477" s="485"/>
      <c r="AM477" s="485"/>
      <c r="AN477" s="485"/>
      <c r="AO477" s="485"/>
      <c r="AP477" s="485"/>
      <c r="AQ477" s="485"/>
      <c r="AR477" s="485"/>
      <c r="AS477" s="485"/>
      <c r="AT477" s="485"/>
      <c r="AU477" s="485"/>
      <c r="AV477" s="485"/>
      <c r="AW477" s="485"/>
      <c r="AX477" s="485"/>
      <c r="AY477" s="485"/>
      <c r="AZ477" s="485"/>
      <c r="BA477" s="485"/>
      <c r="BB477" s="485"/>
      <c r="BC477" s="485"/>
      <c r="BD477" s="485"/>
      <c r="BE477" s="485"/>
      <c r="BF477" s="485"/>
      <c r="BG477" s="485"/>
      <c r="BH477" s="485"/>
      <c r="BI477" s="485"/>
      <c r="BJ477" s="485"/>
      <c r="BK477" s="485"/>
      <c r="BL477" s="485"/>
      <c r="BM477" s="485"/>
      <c r="BN477" s="485"/>
      <c r="BO477" s="485"/>
      <c r="BP477" s="485"/>
      <c r="BQ477" s="485"/>
      <c r="BR477" s="485"/>
      <c r="BS477" s="485"/>
      <c r="BT477" s="485"/>
      <c r="BU477" s="485"/>
      <c r="BV477" s="485"/>
      <c r="BW477" s="485"/>
      <c r="BX477" s="485"/>
      <c r="BY477" s="485"/>
      <c r="BZ477" s="485"/>
      <c r="CA477" s="485"/>
      <c r="CB477" s="485"/>
      <c r="CC477" s="485"/>
      <c r="CD477" s="485"/>
      <c r="CE477" s="485"/>
      <c r="CF477" s="485"/>
      <c r="CG477" s="485"/>
      <c r="CH477" s="485"/>
      <c r="CI477" s="485"/>
      <c r="CJ477" s="485"/>
      <c r="CK477" s="485"/>
      <c r="CL477" s="485"/>
      <c r="CM477" s="485"/>
      <c r="CN477" s="485"/>
      <c r="CO477" s="485"/>
      <c r="CP477" s="485"/>
      <c r="CQ477" s="485"/>
      <c r="CR477" s="485"/>
      <c r="CS477" s="485"/>
      <c r="CT477" s="485"/>
      <c r="CU477" s="485"/>
      <c r="CV477" s="485"/>
      <c r="CW477" s="485"/>
      <c r="CX477" s="485"/>
      <c r="CY477" s="485"/>
      <c r="CZ477" s="485"/>
      <c r="DA477" s="485"/>
      <c r="DB477" s="485"/>
      <c r="DC477" s="485"/>
      <c r="DD477" s="485"/>
      <c r="DE477" s="485"/>
      <c r="DF477" s="485"/>
      <c r="DG477" s="485"/>
      <c r="DH477" s="485"/>
      <c r="DI477" s="485"/>
      <c r="DJ477" s="485"/>
      <c r="DK477" s="485"/>
      <c r="DL477" s="485"/>
      <c r="DM477" s="485"/>
      <c r="DN477" s="485"/>
      <c r="DO477" s="485"/>
      <c r="DP477" s="485"/>
      <c r="DQ477" s="485"/>
      <c r="DR477" s="485"/>
      <c r="DS477" s="485"/>
      <c r="DT477" s="485"/>
      <c r="DU477" s="485"/>
      <c r="DV477" s="485"/>
      <c r="DW477" s="485"/>
      <c r="DX477" s="485"/>
      <c r="DY477" s="485"/>
      <c r="DZ477" s="485"/>
      <c r="EA477" s="485"/>
      <c r="EB477" s="485"/>
      <c r="EC477" s="485"/>
      <c r="ED477" s="485"/>
      <c r="EE477" s="485"/>
      <c r="EF477" s="485"/>
      <c r="EG477" s="485"/>
      <c r="EH477" s="485"/>
      <c r="EI477" s="485"/>
      <c r="EJ477" s="485"/>
      <c r="EK477" s="485"/>
      <c r="EL477" s="485"/>
      <c r="EM477" s="485"/>
      <c r="EN477" s="485"/>
      <c r="EO477" s="485"/>
      <c r="EP477" s="485"/>
    </row>
    <row r="478" spans="1:146">
      <c r="A478" s="485"/>
      <c r="B478" s="485"/>
      <c r="C478" s="485"/>
      <c r="D478" s="485"/>
      <c r="E478" s="485"/>
      <c r="F478" s="485"/>
      <c r="G478" s="485"/>
      <c r="H478" s="485"/>
      <c r="I478" s="485"/>
      <c r="J478" s="485"/>
      <c r="K478" s="485"/>
      <c r="L478" s="485"/>
      <c r="M478" s="485"/>
      <c r="P478" s="485"/>
      <c r="Q478" s="485"/>
      <c r="R478" s="485"/>
      <c r="S478" s="485"/>
      <c r="T478" s="485"/>
      <c r="U478" s="485"/>
      <c r="V478" s="485"/>
      <c r="W478" s="485"/>
      <c r="X478" s="485"/>
      <c r="Y478" s="485"/>
      <c r="Z478" s="485"/>
      <c r="AA478" s="485"/>
      <c r="AB478" s="485"/>
      <c r="AC478" s="485"/>
      <c r="AD478" s="485"/>
      <c r="AE478" s="485"/>
      <c r="AF478" s="485"/>
      <c r="AG478" s="485"/>
      <c r="AH478" s="485"/>
      <c r="AI478" s="485"/>
      <c r="AJ478" s="485"/>
      <c r="AK478" s="485"/>
      <c r="AL478" s="485"/>
      <c r="AM478" s="485"/>
      <c r="AN478" s="485"/>
      <c r="AO478" s="485"/>
      <c r="AP478" s="485"/>
      <c r="AQ478" s="485"/>
      <c r="AR478" s="485"/>
      <c r="AS478" s="485"/>
      <c r="AT478" s="485"/>
      <c r="AU478" s="485"/>
      <c r="AV478" s="485"/>
      <c r="AW478" s="485"/>
      <c r="AX478" s="485"/>
      <c r="AY478" s="485"/>
      <c r="AZ478" s="485"/>
      <c r="BA478" s="485"/>
      <c r="BB478" s="485"/>
      <c r="BC478" s="485"/>
      <c r="BD478" s="485"/>
      <c r="BE478" s="485"/>
      <c r="BF478" s="485"/>
      <c r="BG478" s="485"/>
      <c r="BH478" s="485"/>
      <c r="BI478" s="485"/>
      <c r="BJ478" s="485"/>
      <c r="BK478" s="485"/>
      <c r="BL478" s="485"/>
      <c r="BM478" s="485"/>
      <c r="BN478" s="485"/>
      <c r="BO478" s="485"/>
      <c r="BP478" s="485"/>
      <c r="BQ478" s="485"/>
      <c r="BR478" s="485"/>
      <c r="BS478" s="485"/>
      <c r="BT478" s="485"/>
      <c r="BU478" s="485"/>
      <c r="BV478" s="485"/>
      <c r="BW478" s="485"/>
      <c r="BX478" s="485"/>
      <c r="BY478" s="485"/>
      <c r="BZ478" s="485"/>
      <c r="CA478" s="485"/>
      <c r="CB478" s="485"/>
      <c r="CC478" s="485"/>
      <c r="CD478" s="485"/>
      <c r="CE478" s="485"/>
      <c r="CF478" s="485"/>
      <c r="CG478" s="485"/>
      <c r="CH478" s="485"/>
      <c r="CI478" s="485"/>
      <c r="CJ478" s="485"/>
      <c r="CK478" s="485"/>
      <c r="CL478" s="485"/>
      <c r="CM478" s="485"/>
      <c r="CN478" s="485"/>
      <c r="CO478" s="485"/>
      <c r="CP478" s="485"/>
      <c r="CQ478" s="485"/>
      <c r="CR478" s="485"/>
      <c r="CS478" s="485"/>
      <c r="CT478" s="485"/>
      <c r="CU478" s="485"/>
      <c r="CV478" s="485"/>
      <c r="CW478" s="485"/>
      <c r="CX478" s="485"/>
      <c r="CY478" s="485"/>
      <c r="CZ478" s="485"/>
      <c r="DA478" s="485"/>
      <c r="DB478" s="485"/>
      <c r="DC478" s="485"/>
      <c r="DD478" s="485"/>
      <c r="DE478" s="485"/>
      <c r="DF478" s="485"/>
      <c r="DG478" s="485"/>
      <c r="DH478" s="485"/>
      <c r="DI478" s="485"/>
      <c r="DJ478" s="485"/>
      <c r="DK478" s="485"/>
      <c r="DL478" s="485"/>
      <c r="DM478" s="485"/>
      <c r="DN478" s="485"/>
      <c r="DO478" s="485"/>
      <c r="DP478" s="485"/>
      <c r="DQ478" s="485"/>
      <c r="DR478" s="485"/>
      <c r="DS478" s="485"/>
      <c r="DT478" s="485"/>
      <c r="DU478" s="485"/>
      <c r="DV478" s="485"/>
      <c r="DW478" s="485"/>
      <c r="DX478" s="485"/>
      <c r="DY478" s="485"/>
      <c r="DZ478" s="485"/>
      <c r="EA478" s="485"/>
      <c r="EB478" s="485"/>
      <c r="EC478" s="485"/>
      <c r="ED478" s="485"/>
      <c r="EE478" s="485"/>
      <c r="EF478" s="485"/>
      <c r="EG478" s="485"/>
      <c r="EH478" s="485"/>
      <c r="EI478" s="485"/>
      <c r="EJ478" s="485"/>
      <c r="EK478" s="485"/>
      <c r="EL478" s="485"/>
      <c r="EM478" s="485"/>
      <c r="EN478" s="485"/>
      <c r="EO478" s="485"/>
      <c r="EP478" s="485"/>
    </row>
    <row r="479" spans="1:146">
      <c r="A479" s="485"/>
      <c r="B479" s="485"/>
      <c r="C479" s="485"/>
      <c r="D479" s="485"/>
      <c r="E479" s="485"/>
      <c r="F479" s="485"/>
      <c r="G479" s="485"/>
      <c r="H479" s="485"/>
      <c r="I479" s="485"/>
      <c r="J479" s="485"/>
      <c r="K479" s="485"/>
      <c r="L479" s="485"/>
      <c r="M479" s="485"/>
      <c r="P479" s="485"/>
      <c r="Q479" s="485"/>
      <c r="R479" s="485"/>
      <c r="S479" s="485"/>
      <c r="T479" s="485"/>
      <c r="U479" s="485"/>
      <c r="V479" s="485"/>
      <c r="W479" s="485"/>
      <c r="X479" s="485"/>
      <c r="Y479" s="485"/>
      <c r="Z479" s="485"/>
      <c r="AA479" s="485"/>
      <c r="AB479" s="485"/>
      <c r="AC479" s="485"/>
      <c r="AD479" s="485"/>
      <c r="AE479" s="485"/>
      <c r="AF479" s="485"/>
      <c r="AG479" s="485"/>
      <c r="AH479" s="485"/>
      <c r="AI479" s="485"/>
      <c r="AJ479" s="485"/>
      <c r="AK479" s="485"/>
      <c r="AL479" s="485"/>
      <c r="AM479" s="485"/>
      <c r="AN479" s="485"/>
      <c r="AO479" s="485"/>
      <c r="AP479" s="485"/>
      <c r="AQ479" s="485"/>
      <c r="AR479" s="485"/>
      <c r="AS479" s="485"/>
      <c r="AT479" s="485"/>
      <c r="AU479" s="485"/>
      <c r="AV479" s="485"/>
      <c r="AW479" s="485"/>
      <c r="AX479" s="485"/>
      <c r="AY479" s="485"/>
      <c r="AZ479" s="485"/>
      <c r="BA479" s="485"/>
      <c r="BB479" s="485"/>
      <c r="BC479" s="485"/>
      <c r="BD479" s="485"/>
      <c r="BE479" s="485"/>
      <c r="BF479" s="485"/>
      <c r="BG479" s="485"/>
      <c r="BH479" s="485"/>
      <c r="BI479" s="485"/>
      <c r="BJ479" s="485"/>
      <c r="BK479" s="485"/>
      <c r="BL479" s="485"/>
      <c r="BM479" s="485"/>
      <c r="BN479" s="485"/>
      <c r="BO479" s="485"/>
      <c r="BP479" s="485"/>
      <c r="BQ479" s="485"/>
      <c r="BR479" s="485"/>
      <c r="BS479" s="485"/>
      <c r="BT479" s="485"/>
      <c r="BU479" s="485"/>
      <c r="BV479" s="485"/>
      <c r="BW479" s="485"/>
      <c r="BX479" s="485"/>
      <c r="BY479" s="485"/>
      <c r="BZ479" s="485"/>
      <c r="CA479" s="485"/>
      <c r="CB479" s="485"/>
      <c r="CC479" s="485"/>
      <c r="CD479" s="485"/>
      <c r="CE479" s="485"/>
      <c r="CF479" s="485"/>
      <c r="CG479" s="485"/>
      <c r="CH479" s="485"/>
      <c r="CI479" s="485"/>
      <c r="CJ479" s="485"/>
      <c r="CK479" s="485"/>
      <c r="CL479" s="485"/>
      <c r="CM479" s="485"/>
      <c r="CN479" s="485"/>
      <c r="CO479" s="485"/>
      <c r="CP479" s="485"/>
      <c r="CQ479" s="485"/>
      <c r="CR479" s="485"/>
      <c r="CS479" s="485"/>
      <c r="CT479" s="485"/>
      <c r="CU479" s="485"/>
      <c r="CV479" s="485"/>
      <c r="CW479" s="485"/>
      <c r="CX479" s="485"/>
      <c r="CY479" s="485"/>
      <c r="CZ479" s="485"/>
      <c r="DA479" s="485"/>
      <c r="DB479" s="485"/>
      <c r="DC479" s="485"/>
      <c r="DD479" s="485"/>
      <c r="DE479" s="485"/>
      <c r="DF479" s="485"/>
      <c r="DG479" s="485"/>
      <c r="DH479" s="485"/>
      <c r="DI479" s="485"/>
      <c r="DJ479" s="485"/>
      <c r="DK479" s="485"/>
      <c r="DL479" s="485"/>
      <c r="DM479" s="485"/>
      <c r="DN479" s="485"/>
      <c r="DO479" s="485"/>
      <c r="DP479" s="485"/>
      <c r="DQ479" s="485"/>
      <c r="DR479" s="485"/>
      <c r="DS479" s="485"/>
      <c r="DT479" s="485"/>
      <c r="DU479" s="485"/>
      <c r="DV479" s="485"/>
      <c r="DW479" s="485"/>
      <c r="DX479" s="485"/>
      <c r="DY479" s="485"/>
      <c r="DZ479" s="485"/>
      <c r="EA479" s="485"/>
      <c r="EB479" s="485"/>
      <c r="EC479" s="485"/>
      <c r="ED479" s="485"/>
      <c r="EE479" s="485"/>
      <c r="EF479" s="485"/>
      <c r="EG479" s="485"/>
      <c r="EH479" s="485"/>
      <c r="EI479" s="485"/>
      <c r="EJ479" s="485"/>
      <c r="EK479" s="485"/>
      <c r="EL479" s="485"/>
      <c r="EM479" s="485"/>
      <c r="EN479" s="485"/>
      <c r="EO479" s="485"/>
      <c r="EP479" s="485"/>
    </row>
    <row r="480" spans="1:146">
      <c r="A480" s="485"/>
      <c r="B480" s="485"/>
      <c r="C480" s="485"/>
      <c r="D480" s="485"/>
      <c r="E480" s="485"/>
      <c r="F480" s="485"/>
      <c r="G480" s="485"/>
      <c r="H480" s="485"/>
      <c r="I480" s="485"/>
      <c r="J480" s="485"/>
      <c r="K480" s="485"/>
      <c r="L480" s="485"/>
      <c r="M480" s="485"/>
      <c r="P480" s="485"/>
      <c r="Q480" s="485"/>
      <c r="R480" s="485"/>
      <c r="S480" s="485"/>
      <c r="T480" s="485"/>
      <c r="U480" s="485"/>
      <c r="V480" s="485"/>
      <c r="W480" s="485"/>
      <c r="X480" s="485"/>
      <c r="Y480" s="485"/>
      <c r="Z480" s="485"/>
      <c r="AA480" s="485"/>
      <c r="AB480" s="485"/>
      <c r="AC480" s="485"/>
      <c r="AD480" s="485"/>
      <c r="AE480" s="485"/>
      <c r="AF480" s="485"/>
      <c r="AG480" s="485"/>
      <c r="AH480" s="485"/>
      <c r="AI480" s="485"/>
      <c r="AJ480" s="485"/>
      <c r="AK480" s="485"/>
      <c r="AL480" s="485"/>
      <c r="AM480" s="485"/>
      <c r="AN480" s="485"/>
      <c r="AO480" s="485"/>
      <c r="AP480" s="485"/>
      <c r="AQ480" s="485"/>
      <c r="AR480" s="485"/>
      <c r="AS480" s="485"/>
      <c r="AT480" s="485"/>
      <c r="AU480" s="485"/>
      <c r="AV480" s="485"/>
      <c r="AW480" s="485"/>
      <c r="AX480" s="485"/>
      <c r="AY480" s="485"/>
      <c r="AZ480" s="485"/>
      <c r="BA480" s="485"/>
      <c r="BB480" s="485"/>
      <c r="BC480" s="485"/>
      <c r="BD480" s="485"/>
      <c r="BE480" s="485"/>
      <c r="BF480" s="485"/>
      <c r="BG480" s="485"/>
      <c r="BH480" s="485"/>
      <c r="BI480" s="485"/>
      <c r="BJ480" s="485"/>
      <c r="BK480" s="485"/>
      <c r="BL480" s="485"/>
      <c r="BM480" s="485"/>
      <c r="BN480" s="485"/>
      <c r="BO480" s="485"/>
      <c r="BP480" s="485"/>
      <c r="BQ480" s="485"/>
      <c r="BR480" s="485"/>
      <c r="BS480" s="485"/>
      <c r="BT480" s="485"/>
      <c r="BU480" s="485"/>
      <c r="BV480" s="485"/>
      <c r="BW480" s="485"/>
      <c r="BX480" s="485"/>
      <c r="BY480" s="485"/>
      <c r="BZ480" s="485"/>
      <c r="CA480" s="485"/>
      <c r="CB480" s="485"/>
      <c r="CC480" s="485"/>
      <c r="CD480" s="485"/>
      <c r="CE480" s="485"/>
      <c r="CF480" s="485"/>
      <c r="CG480" s="485"/>
      <c r="CH480" s="485"/>
      <c r="CI480" s="485"/>
      <c r="CJ480" s="485"/>
      <c r="CK480" s="485"/>
      <c r="CL480" s="485"/>
      <c r="CM480" s="485"/>
      <c r="CN480" s="485"/>
      <c r="CO480" s="485"/>
      <c r="CP480" s="485"/>
      <c r="CQ480" s="485"/>
      <c r="CR480" s="485"/>
      <c r="CS480" s="485"/>
      <c r="CT480" s="485"/>
      <c r="CU480" s="485"/>
      <c r="CV480" s="485"/>
      <c r="CW480" s="485"/>
      <c r="CX480" s="485"/>
      <c r="CY480" s="485"/>
      <c r="CZ480" s="485"/>
      <c r="DA480" s="485"/>
      <c r="DB480" s="485"/>
      <c r="DC480" s="485"/>
      <c r="DD480" s="485"/>
      <c r="DE480" s="485"/>
      <c r="DF480" s="485"/>
      <c r="DG480" s="485"/>
      <c r="DH480" s="485"/>
      <c r="DI480" s="485"/>
      <c r="DJ480" s="485"/>
      <c r="DK480" s="485"/>
      <c r="DL480" s="485"/>
      <c r="DM480" s="485"/>
      <c r="DN480" s="485"/>
      <c r="DO480" s="485"/>
      <c r="DP480" s="485"/>
      <c r="DQ480" s="485"/>
      <c r="DR480" s="485"/>
      <c r="DS480" s="485"/>
      <c r="DT480" s="485"/>
      <c r="DU480" s="485"/>
      <c r="DV480" s="485"/>
      <c r="DW480" s="485"/>
      <c r="DX480" s="485"/>
      <c r="DY480" s="485"/>
      <c r="DZ480" s="485"/>
      <c r="EA480" s="485"/>
      <c r="EB480" s="485"/>
      <c r="EC480" s="485"/>
      <c r="ED480" s="485"/>
      <c r="EE480" s="485"/>
      <c r="EF480" s="485"/>
      <c r="EG480" s="485"/>
      <c r="EH480" s="485"/>
      <c r="EI480" s="485"/>
      <c r="EJ480" s="485"/>
      <c r="EK480" s="485"/>
      <c r="EL480" s="485"/>
      <c r="EM480" s="485"/>
      <c r="EN480" s="485"/>
      <c r="EO480" s="485"/>
      <c r="EP480" s="485"/>
    </row>
    <row r="481" spans="1:146">
      <c r="A481" s="485"/>
      <c r="B481" s="485"/>
      <c r="C481" s="485"/>
      <c r="D481" s="485"/>
      <c r="E481" s="485"/>
      <c r="F481" s="485"/>
      <c r="G481" s="485"/>
      <c r="H481" s="485"/>
      <c r="I481" s="485"/>
      <c r="J481" s="485"/>
      <c r="K481" s="485"/>
      <c r="L481" s="485"/>
      <c r="M481" s="485"/>
      <c r="P481" s="485"/>
      <c r="Q481" s="485"/>
      <c r="R481" s="485"/>
      <c r="S481" s="485"/>
      <c r="T481" s="485"/>
      <c r="U481" s="485"/>
      <c r="V481" s="485"/>
      <c r="W481" s="485"/>
      <c r="X481" s="485"/>
      <c r="Y481" s="485"/>
      <c r="Z481" s="485"/>
      <c r="AA481" s="485"/>
      <c r="AB481" s="485"/>
      <c r="AC481" s="485"/>
      <c r="AD481" s="485"/>
      <c r="AE481" s="485"/>
      <c r="AF481" s="485"/>
      <c r="AG481" s="485"/>
      <c r="AH481" s="485"/>
      <c r="AI481" s="485"/>
      <c r="AJ481" s="485"/>
      <c r="AK481" s="485"/>
      <c r="AL481" s="485"/>
      <c r="AM481" s="485"/>
      <c r="AN481" s="485"/>
      <c r="AO481" s="485"/>
      <c r="AP481" s="485"/>
      <c r="AQ481" s="485"/>
      <c r="AR481" s="485"/>
      <c r="AS481" s="485"/>
      <c r="AT481" s="485"/>
      <c r="AU481" s="485"/>
      <c r="AV481" s="485"/>
      <c r="AW481" s="485"/>
      <c r="AX481" s="485"/>
      <c r="AY481" s="485"/>
      <c r="AZ481" s="485"/>
      <c r="BA481" s="485"/>
      <c r="BB481" s="485"/>
      <c r="BC481" s="485"/>
      <c r="BD481" s="485"/>
      <c r="BE481" s="485"/>
      <c r="BF481" s="485"/>
      <c r="BG481" s="485"/>
      <c r="BH481" s="485"/>
      <c r="BI481" s="485"/>
      <c r="BJ481" s="485"/>
      <c r="BK481" s="485"/>
      <c r="BL481" s="485"/>
      <c r="BM481" s="485"/>
      <c r="BN481" s="485"/>
      <c r="BO481" s="485"/>
      <c r="BP481" s="485"/>
      <c r="BQ481" s="485"/>
      <c r="BR481" s="485"/>
      <c r="BS481" s="485"/>
      <c r="BT481" s="485"/>
      <c r="BU481" s="485"/>
      <c r="BV481" s="485"/>
      <c r="BW481" s="485"/>
      <c r="BX481" s="485"/>
      <c r="BY481" s="485"/>
      <c r="BZ481" s="485"/>
      <c r="CA481" s="485"/>
      <c r="CB481" s="485"/>
      <c r="CC481" s="485"/>
      <c r="CD481" s="485"/>
      <c r="CE481" s="485"/>
      <c r="CF481" s="485"/>
      <c r="CG481" s="485"/>
      <c r="CH481" s="485"/>
      <c r="CI481" s="485"/>
      <c r="CJ481" s="485"/>
      <c r="CK481" s="485"/>
      <c r="CL481" s="485"/>
      <c r="CM481" s="485"/>
      <c r="CN481" s="485"/>
      <c r="CO481" s="485"/>
      <c r="CP481" s="485"/>
      <c r="CQ481" s="485"/>
      <c r="CR481" s="485"/>
      <c r="CS481" s="485"/>
      <c r="CT481" s="485"/>
      <c r="CU481" s="485"/>
      <c r="CV481" s="485"/>
      <c r="CW481" s="485"/>
      <c r="CX481" s="485"/>
      <c r="CY481" s="485"/>
      <c r="CZ481" s="485"/>
      <c r="DA481" s="485"/>
      <c r="DB481" s="485"/>
      <c r="DC481" s="485"/>
      <c r="DD481" s="485"/>
      <c r="DE481" s="485"/>
      <c r="DF481" s="485"/>
      <c r="DG481" s="485"/>
      <c r="DH481" s="485"/>
      <c r="DI481" s="485"/>
      <c r="DJ481" s="485"/>
      <c r="DK481" s="485"/>
      <c r="DL481" s="485"/>
      <c r="DM481" s="485"/>
      <c r="DN481" s="485"/>
      <c r="DO481" s="485"/>
      <c r="DP481" s="485"/>
      <c r="DQ481" s="485"/>
      <c r="DR481" s="485"/>
      <c r="DS481" s="485"/>
      <c r="DT481" s="485"/>
      <c r="DU481" s="485"/>
      <c r="DV481" s="485"/>
      <c r="DW481" s="485"/>
      <c r="DX481" s="485"/>
      <c r="DY481" s="485"/>
      <c r="DZ481" s="485"/>
      <c r="EA481" s="485"/>
      <c r="EB481" s="485"/>
      <c r="EC481" s="485"/>
      <c r="ED481" s="485"/>
      <c r="EE481" s="485"/>
      <c r="EF481" s="485"/>
      <c r="EG481" s="485"/>
      <c r="EH481" s="485"/>
      <c r="EI481" s="485"/>
      <c r="EJ481" s="485"/>
      <c r="EK481" s="485"/>
      <c r="EL481" s="485"/>
      <c r="EM481" s="485"/>
      <c r="EN481" s="485"/>
      <c r="EO481" s="485"/>
      <c r="EP481" s="485"/>
    </row>
    <row r="482" spans="1:146">
      <c r="A482" s="485"/>
      <c r="B482" s="485"/>
      <c r="C482" s="485"/>
      <c r="D482" s="485"/>
      <c r="E482" s="485"/>
      <c r="F482" s="485"/>
      <c r="G482" s="485"/>
      <c r="H482" s="485"/>
      <c r="I482" s="485"/>
      <c r="J482" s="485"/>
      <c r="K482" s="485"/>
      <c r="L482" s="485"/>
      <c r="M482" s="485"/>
      <c r="P482" s="485"/>
      <c r="Q482" s="485"/>
      <c r="R482" s="485"/>
      <c r="S482" s="485"/>
      <c r="T482" s="485"/>
      <c r="U482" s="485"/>
      <c r="V482" s="485"/>
      <c r="W482" s="485"/>
      <c r="X482" s="485"/>
      <c r="Y482" s="485"/>
      <c r="Z482" s="485"/>
      <c r="AA482" s="485"/>
      <c r="AB482" s="485"/>
      <c r="AC482" s="485"/>
      <c r="AD482" s="485"/>
      <c r="AE482" s="485"/>
      <c r="AF482" s="485"/>
      <c r="AG482" s="485"/>
      <c r="AH482" s="485"/>
      <c r="AI482" s="485"/>
      <c r="AJ482" s="485"/>
      <c r="AK482" s="485"/>
      <c r="AL482" s="485"/>
      <c r="AM482" s="485"/>
      <c r="AN482" s="485"/>
      <c r="AO482" s="485"/>
      <c r="AP482" s="485"/>
      <c r="AQ482" s="485"/>
      <c r="AR482" s="485"/>
      <c r="AS482" s="485"/>
      <c r="AT482" s="485"/>
      <c r="AU482" s="485"/>
      <c r="AV482" s="485"/>
      <c r="AW482" s="485"/>
      <c r="AX482" s="485"/>
      <c r="AY482" s="485"/>
      <c r="AZ482" s="485"/>
      <c r="BA482" s="485"/>
      <c r="BB482" s="485"/>
      <c r="BC482" s="485"/>
      <c r="BD482" s="485"/>
      <c r="BE482" s="485"/>
      <c r="BF482" s="485"/>
      <c r="BG482" s="485"/>
      <c r="BH482" s="485"/>
      <c r="BI482" s="485"/>
      <c r="BJ482" s="485"/>
      <c r="BK482" s="485"/>
      <c r="BL482" s="485"/>
      <c r="BM482" s="485"/>
      <c r="BN482" s="485"/>
      <c r="BO482" s="485"/>
      <c r="BP482" s="485"/>
      <c r="BQ482" s="485"/>
      <c r="BR482" s="485"/>
      <c r="BS482" s="485"/>
      <c r="BT482" s="485"/>
      <c r="BU482" s="485"/>
      <c r="BV482" s="485"/>
      <c r="BW482" s="485"/>
      <c r="BX482" s="485"/>
      <c r="BY482" s="485"/>
      <c r="BZ482" s="485"/>
      <c r="CA482" s="485"/>
      <c r="CB482" s="485"/>
      <c r="CC482" s="485"/>
      <c r="CD482" s="485"/>
      <c r="CE482" s="485"/>
      <c r="CF482" s="485"/>
      <c r="CG482" s="485"/>
      <c r="CH482" s="485"/>
      <c r="CI482" s="485"/>
      <c r="CJ482" s="485"/>
      <c r="CK482" s="485"/>
      <c r="CL482" s="485"/>
      <c r="CM482" s="485"/>
      <c r="CN482" s="485"/>
      <c r="CO482" s="485"/>
      <c r="CP482" s="485"/>
      <c r="CQ482" s="485"/>
      <c r="CR482" s="485"/>
      <c r="CS482" s="485"/>
      <c r="CT482" s="485"/>
      <c r="CU482" s="485"/>
      <c r="CV482" s="485"/>
      <c r="CW482" s="485"/>
      <c r="CX482" s="485"/>
      <c r="CY482" s="485"/>
      <c r="CZ482" s="485"/>
      <c r="DA482" s="485"/>
      <c r="DB482" s="485"/>
      <c r="DC482" s="485"/>
      <c r="DD482" s="485"/>
      <c r="DE482" s="485"/>
      <c r="DF482" s="485"/>
      <c r="DG482" s="485"/>
      <c r="DH482" s="485"/>
      <c r="DI482" s="485"/>
      <c r="DJ482" s="485"/>
      <c r="DK482" s="485"/>
      <c r="DL482" s="485"/>
      <c r="DM482" s="485"/>
      <c r="DN482" s="485"/>
      <c r="DO482" s="485"/>
      <c r="DP482" s="485"/>
      <c r="DQ482" s="485"/>
      <c r="DR482" s="485"/>
      <c r="DS482" s="485"/>
      <c r="DT482" s="485"/>
      <c r="DU482" s="485"/>
      <c r="DV482" s="485"/>
      <c r="DW482" s="485"/>
      <c r="DX482" s="485"/>
      <c r="DY482" s="485"/>
      <c r="DZ482" s="485"/>
      <c r="EA482" s="485"/>
      <c r="EB482" s="485"/>
      <c r="EC482" s="485"/>
      <c r="ED482" s="485"/>
      <c r="EE482" s="485"/>
      <c r="EF482" s="485"/>
      <c r="EG482" s="485"/>
      <c r="EH482" s="485"/>
      <c r="EI482" s="485"/>
      <c r="EJ482" s="485"/>
      <c r="EK482" s="485"/>
      <c r="EL482" s="485"/>
      <c r="EM482" s="485"/>
      <c r="EN482" s="485"/>
      <c r="EO482" s="485"/>
      <c r="EP482" s="485"/>
    </row>
    <row r="483" spans="1:146">
      <c r="A483" s="485"/>
      <c r="B483" s="485"/>
      <c r="C483" s="485"/>
      <c r="D483" s="485"/>
      <c r="E483" s="485"/>
      <c r="F483" s="485"/>
      <c r="G483" s="485"/>
      <c r="H483" s="485"/>
      <c r="I483" s="485"/>
      <c r="J483" s="485"/>
      <c r="K483" s="485"/>
      <c r="L483" s="485"/>
      <c r="M483" s="485"/>
      <c r="P483" s="485"/>
      <c r="Q483" s="485"/>
      <c r="R483" s="485"/>
      <c r="S483" s="485"/>
      <c r="T483" s="485"/>
      <c r="U483" s="485"/>
      <c r="V483" s="485"/>
      <c r="W483" s="485"/>
      <c r="X483" s="485"/>
      <c r="Y483" s="485"/>
      <c r="Z483" s="485"/>
      <c r="AA483" s="485"/>
      <c r="AB483" s="485"/>
      <c r="AC483" s="485"/>
      <c r="AD483" s="485"/>
      <c r="AE483" s="485"/>
      <c r="AF483" s="485"/>
      <c r="AG483" s="485"/>
      <c r="AH483" s="485"/>
      <c r="AI483" s="485"/>
      <c r="AJ483" s="485"/>
      <c r="AK483" s="485"/>
      <c r="AL483" s="485"/>
      <c r="AM483" s="485"/>
      <c r="AN483" s="485"/>
      <c r="AO483" s="485"/>
      <c r="AP483" s="485"/>
      <c r="AQ483" s="485"/>
      <c r="AR483" s="485"/>
      <c r="AS483" s="485"/>
      <c r="AT483" s="485"/>
      <c r="AU483" s="485"/>
      <c r="AV483" s="485"/>
      <c r="AW483" s="485"/>
      <c r="AX483" s="485"/>
      <c r="AY483" s="485"/>
      <c r="AZ483" s="485"/>
      <c r="BA483" s="485"/>
      <c r="BB483" s="485"/>
      <c r="BC483" s="485"/>
      <c r="BD483" s="485"/>
      <c r="BE483" s="485"/>
      <c r="BF483" s="485"/>
      <c r="BG483" s="485"/>
      <c r="BH483" s="485"/>
      <c r="BI483" s="485"/>
      <c r="BJ483" s="485"/>
      <c r="BK483" s="485"/>
      <c r="BL483" s="485"/>
      <c r="BM483" s="485"/>
      <c r="BN483" s="485"/>
      <c r="BO483" s="485"/>
      <c r="BP483" s="485"/>
      <c r="BQ483" s="485"/>
      <c r="BR483" s="485"/>
      <c r="BS483" s="485"/>
      <c r="BT483" s="485"/>
      <c r="BU483" s="485"/>
      <c r="BV483" s="485"/>
      <c r="BW483" s="485"/>
      <c r="BX483" s="485"/>
      <c r="BY483" s="485"/>
      <c r="BZ483" s="485"/>
      <c r="CA483" s="485"/>
      <c r="CB483" s="485"/>
      <c r="CC483" s="485"/>
      <c r="CD483" s="485"/>
      <c r="CE483" s="485"/>
      <c r="CF483" s="485"/>
      <c r="CG483" s="485"/>
      <c r="CH483" s="485"/>
      <c r="CI483" s="485"/>
      <c r="CJ483" s="485"/>
      <c r="CK483" s="485"/>
      <c r="CL483" s="485"/>
      <c r="CM483" s="485"/>
      <c r="CN483" s="485"/>
      <c r="CO483" s="485"/>
      <c r="CP483" s="485"/>
      <c r="CQ483" s="485"/>
      <c r="CR483" s="485"/>
      <c r="CS483" s="485"/>
      <c r="CT483" s="485"/>
      <c r="CU483" s="485"/>
      <c r="CV483" s="485"/>
      <c r="CW483" s="485"/>
      <c r="CX483" s="485"/>
      <c r="CY483" s="485"/>
      <c r="CZ483" s="485"/>
      <c r="DA483" s="485"/>
      <c r="DB483" s="485"/>
      <c r="DC483" s="485"/>
      <c r="DD483" s="485"/>
      <c r="DE483" s="485"/>
      <c r="DF483" s="485"/>
      <c r="DG483" s="485"/>
      <c r="DH483" s="485"/>
      <c r="DI483" s="485"/>
      <c r="DJ483" s="485"/>
      <c r="DK483" s="485"/>
      <c r="DL483" s="485"/>
      <c r="DM483" s="485"/>
      <c r="DN483" s="485"/>
      <c r="DO483" s="485"/>
      <c r="DP483" s="485"/>
      <c r="DQ483" s="485"/>
      <c r="DR483" s="485"/>
      <c r="DS483" s="485"/>
      <c r="DT483" s="485"/>
      <c r="DU483" s="485"/>
      <c r="DV483" s="485"/>
      <c r="DW483" s="485"/>
      <c r="DX483" s="485"/>
      <c r="DY483" s="485"/>
      <c r="DZ483" s="485"/>
      <c r="EA483" s="485"/>
      <c r="EB483" s="485"/>
      <c r="EC483" s="485"/>
      <c r="ED483" s="485"/>
      <c r="EE483" s="485"/>
      <c r="EF483" s="485"/>
      <c r="EG483" s="485"/>
      <c r="EH483" s="485"/>
      <c r="EI483" s="485"/>
      <c r="EJ483" s="485"/>
      <c r="EK483" s="485"/>
      <c r="EL483" s="485"/>
      <c r="EM483" s="485"/>
      <c r="EN483" s="485"/>
      <c r="EO483" s="485"/>
      <c r="EP483" s="485"/>
    </row>
    <row r="484" spans="1:146">
      <c r="A484" s="485"/>
      <c r="B484" s="485"/>
      <c r="C484" s="485"/>
      <c r="D484" s="485"/>
      <c r="E484" s="485"/>
      <c r="F484" s="485"/>
      <c r="G484" s="485"/>
      <c r="H484" s="485"/>
      <c r="I484" s="485"/>
      <c r="J484" s="485"/>
      <c r="K484" s="485"/>
      <c r="L484" s="485"/>
      <c r="M484" s="485"/>
      <c r="P484" s="485"/>
      <c r="Q484" s="485"/>
      <c r="R484" s="485"/>
      <c r="S484" s="485"/>
      <c r="T484" s="485"/>
      <c r="U484" s="485"/>
      <c r="V484" s="485"/>
      <c r="W484" s="485"/>
      <c r="X484" s="485"/>
      <c r="Y484" s="485"/>
      <c r="Z484" s="485"/>
      <c r="AA484" s="485"/>
      <c r="AB484" s="485"/>
      <c r="AC484" s="485"/>
      <c r="AD484" s="485"/>
      <c r="AE484" s="485"/>
      <c r="AF484" s="485"/>
      <c r="AG484" s="485"/>
      <c r="AH484" s="485"/>
      <c r="AI484" s="485"/>
      <c r="AJ484" s="485"/>
      <c r="AK484" s="485"/>
      <c r="AL484" s="485"/>
      <c r="AM484" s="485"/>
      <c r="AN484" s="485"/>
      <c r="AO484" s="485"/>
      <c r="AP484" s="485"/>
      <c r="AQ484" s="485"/>
      <c r="AR484" s="485"/>
      <c r="AS484" s="485"/>
      <c r="AT484" s="485"/>
      <c r="AU484" s="485"/>
      <c r="AV484" s="485"/>
      <c r="AW484" s="485"/>
      <c r="AX484" s="485"/>
      <c r="AY484" s="485"/>
      <c r="AZ484" s="485"/>
      <c r="BA484" s="485"/>
      <c r="BB484" s="485"/>
      <c r="BC484" s="485"/>
      <c r="BD484" s="485"/>
      <c r="BE484" s="485"/>
      <c r="BF484" s="485"/>
      <c r="BG484" s="485"/>
      <c r="BH484" s="485"/>
      <c r="BI484" s="485"/>
      <c r="BJ484" s="485"/>
      <c r="BK484" s="485"/>
      <c r="BL484" s="485"/>
      <c r="BM484" s="485"/>
      <c r="BN484" s="485"/>
      <c r="BO484" s="485"/>
      <c r="BP484" s="485"/>
      <c r="BQ484" s="485"/>
      <c r="BR484" s="485"/>
      <c r="BS484" s="485"/>
      <c r="BT484" s="485"/>
      <c r="BU484" s="485"/>
      <c r="BV484" s="485"/>
      <c r="BW484" s="485"/>
      <c r="BX484" s="485"/>
      <c r="BY484" s="485"/>
      <c r="BZ484" s="485"/>
      <c r="CA484" s="485"/>
      <c r="CB484" s="485"/>
      <c r="CC484" s="485"/>
      <c r="CD484" s="485"/>
      <c r="CE484" s="485"/>
      <c r="CF484" s="485"/>
      <c r="CG484" s="485"/>
      <c r="CH484" s="485"/>
      <c r="CI484" s="485"/>
      <c r="CJ484" s="485"/>
      <c r="CK484" s="485"/>
      <c r="CL484" s="485"/>
      <c r="CM484" s="485"/>
      <c r="CN484" s="485"/>
      <c r="CO484" s="485"/>
      <c r="CP484" s="485"/>
      <c r="CQ484" s="485"/>
      <c r="CR484" s="485"/>
      <c r="CS484" s="485"/>
      <c r="CT484" s="485"/>
      <c r="CU484" s="485"/>
      <c r="CV484" s="485"/>
      <c r="CW484" s="485"/>
      <c r="CX484" s="485"/>
      <c r="CY484" s="485"/>
      <c r="CZ484" s="485"/>
      <c r="DA484" s="485"/>
      <c r="DB484" s="485"/>
      <c r="DC484" s="485"/>
      <c r="DD484" s="485"/>
      <c r="DE484" s="485"/>
      <c r="DF484" s="485"/>
      <c r="DG484" s="485"/>
      <c r="DH484" s="485"/>
      <c r="DI484" s="485"/>
      <c r="DJ484" s="485"/>
      <c r="DK484" s="485"/>
      <c r="DL484" s="485"/>
      <c r="DM484" s="485"/>
      <c r="DN484" s="485"/>
      <c r="DO484" s="485"/>
      <c r="DP484" s="485"/>
      <c r="DQ484" s="485"/>
      <c r="DR484" s="485"/>
      <c r="DS484" s="485"/>
      <c r="DT484" s="485"/>
      <c r="DU484" s="485"/>
      <c r="DV484" s="485"/>
      <c r="DW484" s="485"/>
      <c r="DX484" s="485"/>
      <c r="DY484" s="485"/>
      <c r="DZ484" s="485"/>
      <c r="EA484" s="485"/>
      <c r="EB484" s="485"/>
      <c r="EC484" s="485"/>
      <c r="ED484" s="485"/>
      <c r="EE484" s="485"/>
      <c r="EF484" s="485"/>
      <c r="EG484" s="485"/>
      <c r="EH484" s="485"/>
      <c r="EI484" s="485"/>
      <c r="EJ484" s="485"/>
      <c r="EK484" s="485"/>
      <c r="EL484" s="485"/>
      <c r="EM484" s="485"/>
      <c r="EN484" s="485"/>
      <c r="EO484" s="485"/>
      <c r="EP484" s="485"/>
    </row>
    <row r="485" spans="1:146">
      <c r="A485" s="485"/>
      <c r="B485" s="485"/>
      <c r="C485" s="485"/>
      <c r="D485" s="485"/>
      <c r="E485" s="485"/>
      <c r="F485" s="485"/>
      <c r="G485" s="485"/>
      <c r="H485" s="485"/>
      <c r="I485" s="485"/>
      <c r="J485" s="485"/>
      <c r="K485" s="485"/>
      <c r="L485" s="485"/>
      <c r="M485" s="485"/>
      <c r="P485" s="485"/>
      <c r="Q485" s="485"/>
      <c r="R485" s="485"/>
      <c r="S485" s="485"/>
      <c r="T485" s="485"/>
      <c r="U485" s="485"/>
      <c r="V485" s="485"/>
      <c r="W485" s="485"/>
      <c r="X485" s="485"/>
      <c r="Y485" s="485"/>
      <c r="Z485" s="485"/>
      <c r="AA485" s="485"/>
      <c r="AB485" s="485"/>
      <c r="AC485" s="485"/>
      <c r="AD485" s="485"/>
      <c r="AE485" s="485"/>
      <c r="AF485" s="485"/>
      <c r="AG485" s="485"/>
      <c r="AH485" s="485"/>
      <c r="AI485" s="485"/>
      <c r="AJ485" s="485"/>
      <c r="AK485" s="485"/>
      <c r="AL485" s="485"/>
      <c r="AM485" s="485"/>
      <c r="AN485" s="485"/>
      <c r="AO485" s="485"/>
      <c r="AP485" s="485"/>
      <c r="AQ485" s="485"/>
      <c r="AR485" s="485"/>
      <c r="AS485" s="485"/>
      <c r="AT485" s="485"/>
      <c r="AU485" s="485"/>
      <c r="AV485" s="485"/>
      <c r="AW485" s="485"/>
      <c r="AX485" s="485"/>
      <c r="AY485" s="485"/>
      <c r="AZ485" s="485"/>
      <c r="BA485" s="485"/>
      <c r="BB485" s="485"/>
      <c r="BC485" s="485"/>
      <c r="BD485" s="485"/>
      <c r="BE485" s="485"/>
      <c r="BF485" s="485"/>
      <c r="BG485" s="485"/>
      <c r="BH485" s="485"/>
      <c r="BI485" s="485"/>
      <c r="BJ485" s="485"/>
      <c r="BK485" s="485"/>
      <c r="BL485" s="485"/>
      <c r="BM485" s="485"/>
      <c r="BN485" s="485"/>
      <c r="BO485" s="485"/>
      <c r="BP485" s="485"/>
      <c r="BQ485" s="485"/>
      <c r="BR485" s="485"/>
      <c r="BS485" s="485"/>
      <c r="BT485" s="485"/>
      <c r="BU485" s="485"/>
      <c r="BV485" s="485"/>
      <c r="BW485" s="485"/>
      <c r="BX485" s="485"/>
      <c r="BY485" s="485"/>
      <c r="BZ485" s="485"/>
      <c r="CA485" s="485"/>
      <c r="CB485" s="485"/>
      <c r="CC485" s="485"/>
      <c r="CD485" s="485"/>
      <c r="CE485" s="485"/>
      <c r="CF485" s="485"/>
      <c r="CG485" s="485"/>
      <c r="CH485" s="485"/>
      <c r="CI485" s="485"/>
      <c r="CJ485" s="485"/>
      <c r="CK485" s="485"/>
      <c r="CL485" s="485"/>
      <c r="CM485" s="485"/>
      <c r="CN485" s="485"/>
      <c r="CO485" s="485"/>
      <c r="CP485" s="485"/>
      <c r="CQ485" s="485"/>
      <c r="CR485" s="485"/>
      <c r="CS485" s="485"/>
      <c r="CT485" s="485"/>
      <c r="CU485" s="485"/>
      <c r="CV485" s="485"/>
      <c r="CW485" s="485"/>
      <c r="CX485" s="485"/>
      <c r="CY485" s="485"/>
      <c r="CZ485" s="485"/>
      <c r="DA485" s="485"/>
      <c r="DB485" s="485"/>
      <c r="DC485" s="485"/>
      <c r="DD485" s="485"/>
      <c r="DE485" s="485"/>
      <c r="DF485" s="485"/>
      <c r="DG485" s="485"/>
      <c r="DH485" s="485"/>
      <c r="DI485" s="485"/>
      <c r="DJ485" s="485"/>
      <c r="DK485" s="485"/>
      <c r="DL485" s="485"/>
      <c r="DM485" s="485"/>
      <c r="DN485" s="485"/>
      <c r="DO485" s="485"/>
      <c r="DP485" s="485"/>
      <c r="DQ485" s="485"/>
      <c r="DR485" s="485"/>
      <c r="DS485" s="485"/>
      <c r="DT485" s="485"/>
      <c r="DU485" s="485"/>
      <c r="DV485" s="485"/>
      <c r="DW485" s="485"/>
      <c r="DX485" s="485"/>
      <c r="DY485" s="485"/>
      <c r="DZ485" s="485"/>
      <c r="EA485" s="485"/>
      <c r="EB485" s="485"/>
      <c r="EC485" s="485"/>
      <c r="ED485" s="485"/>
      <c r="EE485" s="485"/>
      <c r="EF485" s="485"/>
      <c r="EG485" s="485"/>
      <c r="EH485" s="485"/>
      <c r="EI485" s="485"/>
      <c r="EJ485" s="485"/>
      <c r="EK485" s="485"/>
      <c r="EL485" s="485"/>
      <c r="EM485" s="485"/>
      <c r="EN485" s="485"/>
      <c r="EO485" s="485"/>
      <c r="EP485" s="485"/>
    </row>
    <row r="486" spans="1:146">
      <c r="A486" s="485"/>
      <c r="B486" s="485"/>
      <c r="C486" s="485"/>
      <c r="D486" s="485"/>
      <c r="E486" s="485"/>
      <c r="F486" s="485"/>
      <c r="G486" s="485"/>
      <c r="H486" s="485"/>
      <c r="I486" s="485"/>
      <c r="J486" s="485"/>
      <c r="K486" s="485"/>
      <c r="L486" s="485"/>
      <c r="M486" s="485"/>
      <c r="P486" s="485"/>
      <c r="Q486" s="485"/>
      <c r="R486" s="485"/>
      <c r="S486" s="485"/>
      <c r="T486" s="485"/>
      <c r="U486" s="485"/>
      <c r="V486" s="485"/>
      <c r="W486" s="485"/>
      <c r="X486" s="485"/>
      <c r="Y486" s="485"/>
      <c r="Z486" s="485"/>
      <c r="AA486" s="485"/>
      <c r="AB486" s="485"/>
      <c r="AC486" s="485"/>
      <c r="AD486" s="485"/>
      <c r="AE486" s="485"/>
      <c r="AF486" s="485"/>
      <c r="AG486" s="485"/>
      <c r="AH486" s="485"/>
      <c r="AI486" s="485"/>
      <c r="AJ486" s="485"/>
      <c r="AK486" s="485"/>
      <c r="AL486" s="485"/>
      <c r="AM486" s="485"/>
      <c r="AN486" s="485"/>
      <c r="AO486" s="485"/>
      <c r="AP486" s="485"/>
      <c r="AQ486" s="485"/>
      <c r="AR486" s="485"/>
      <c r="AS486" s="485"/>
      <c r="AT486" s="485"/>
      <c r="AU486" s="485"/>
      <c r="AV486" s="485"/>
      <c r="AW486" s="485"/>
      <c r="AX486" s="485"/>
      <c r="AY486" s="485"/>
      <c r="AZ486" s="485"/>
      <c r="BA486" s="485"/>
      <c r="BB486" s="485"/>
      <c r="BC486" s="485"/>
      <c r="BD486" s="485"/>
      <c r="BE486" s="485"/>
      <c r="BF486" s="485"/>
      <c r="BG486" s="485"/>
      <c r="BH486" s="485"/>
      <c r="BI486" s="485"/>
      <c r="BJ486" s="485"/>
      <c r="BK486" s="485"/>
      <c r="BL486" s="485"/>
      <c r="BM486" s="485"/>
      <c r="BN486" s="485"/>
      <c r="BO486" s="485"/>
      <c r="BP486" s="485"/>
      <c r="BQ486" s="485"/>
      <c r="BR486" s="485"/>
      <c r="BS486" s="485"/>
      <c r="BT486" s="485"/>
      <c r="BU486" s="485"/>
      <c r="BV486" s="485"/>
      <c r="BW486" s="485"/>
      <c r="BX486" s="485"/>
      <c r="BY486" s="485"/>
      <c r="BZ486" s="485"/>
      <c r="CA486" s="485"/>
      <c r="CB486" s="485"/>
      <c r="CC486" s="485"/>
      <c r="CD486" s="485"/>
      <c r="CE486" s="485"/>
      <c r="CF486" s="485"/>
      <c r="CG486" s="485"/>
      <c r="CH486" s="485"/>
      <c r="CI486" s="485"/>
      <c r="CJ486" s="485"/>
      <c r="CK486" s="485"/>
      <c r="CL486" s="485"/>
      <c r="CM486" s="485"/>
      <c r="CN486" s="485"/>
      <c r="CO486" s="485"/>
      <c r="CP486" s="485"/>
      <c r="CQ486" s="485"/>
      <c r="CR486" s="485"/>
      <c r="CS486" s="485"/>
      <c r="CT486" s="485"/>
      <c r="CU486" s="485"/>
      <c r="CV486" s="485"/>
      <c r="CW486" s="485"/>
      <c r="CX486" s="485"/>
      <c r="CY486" s="485"/>
      <c r="CZ486" s="485"/>
      <c r="DA486" s="485"/>
      <c r="DB486" s="485"/>
      <c r="DC486" s="485"/>
      <c r="DD486" s="485"/>
      <c r="DE486" s="485"/>
      <c r="DF486" s="485"/>
      <c r="DG486" s="485"/>
      <c r="DH486" s="485"/>
      <c r="DI486" s="485"/>
      <c r="DJ486" s="485"/>
      <c r="DK486" s="485"/>
      <c r="DL486" s="485"/>
      <c r="DM486" s="485"/>
      <c r="DN486" s="485"/>
      <c r="DO486" s="485"/>
      <c r="DP486" s="485"/>
      <c r="DQ486" s="485"/>
      <c r="DR486" s="485"/>
      <c r="DS486" s="485"/>
      <c r="DT486" s="485"/>
      <c r="DU486" s="485"/>
      <c r="DV486" s="485"/>
      <c r="DW486" s="485"/>
      <c r="DX486" s="485"/>
      <c r="DY486" s="485"/>
      <c r="DZ486" s="485"/>
      <c r="EA486" s="485"/>
      <c r="EB486" s="485"/>
      <c r="EC486" s="485"/>
      <c r="ED486" s="485"/>
      <c r="EE486" s="485"/>
      <c r="EF486" s="485"/>
      <c r="EG486" s="485"/>
      <c r="EH486" s="485"/>
      <c r="EI486" s="485"/>
      <c r="EJ486" s="485"/>
      <c r="EK486" s="485"/>
      <c r="EL486" s="485"/>
      <c r="EM486" s="485"/>
      <c r="EN486" s="485"/>
      <c r="EO486" s="485"/>
      <c r="EP486" s="485"/>
    </row>
    <row r="487" spans="1:146">
      <c r="A487" s="485"/>
      <c r="B487" s="485"/>
      <c r="C487" s="485"/>
      <c r="D487" s="485"/>
      <c r="E487" s="485"/>
      <c r="F487" s="485"/>
      <c r="G487" s="485"/>
      <c r="H487" s="485"/>
      <c r="I487" s="485"/>
      <c r="J487" s="485"/>
      <c r="K487" s="485"/>
      <c r="L487" s="485"/>
      <c r="M487" s="485"/>
      <c r="P487" s="485"/>
      <c r="Q487" s="485"/>
      <c r="R487" s="485"/>
      <c r="S487" s="485"/>
      <c r="T487" s="485"/>
      <c r="U487" s="485"/>
      <c r="V487" s="485"/>
      <c r="W487" s="485"/>
      <c r="X487" s="485"/>
      <c r="Y487" s="485"/>
      <c r="Z487" s="485"/>
      <c r="AA487" s="485"/>
      <c r="AB487" s="485"/>
      <c r="AC487" s="485"/>
      <c r="AD487" s="485"/>
      <c r="AE487" s="485"/>
      <c r="AF487" s="485"/>
      <c r="AG487" s="485"/>
      <c r="AH487" s="485"/>
      <c r="AI487" s="485"/>
      <c r="AJ487" s="485"/>
      <c r="AK487" s="485"/>
      <c r="AL487" s="485"/>
      <c r="AM487" s="485"/>
      <c r="AN487" s="485"/>
      <c r="AO487" s="485"/>
      <c r="AP487" s="485"/>
      <c r="AQ487" s="485"/>
      <c r="AR487" s="485"/>
      <c r="AS487" s="485"/>
      <c r="AT487" s="485"/>
      <c r="AU487" s="485"/>
      <c r="AV487" s="485"/>
      <c r="AW487" s="485"/>
      <c r="AX487" s="485"/>
      <c r="AY487" s="485"/>
      <c r="AZ487" s="485"/>
      <c r="BA487" s="485"/>
      <c r="BB487" s="485"/>
      <c r="BC487" s="485"/>
      <c r="BD487" s="485"/>
      <c r="BE487" s="485"/>
      <c r="BF487" s="485"/>
      <c r="BG487" s="485"/>
      <c r="BH487" s="485"/>
      <c r="BI487" s="485"/>
      <c r="BJ487" s="485"/>
      <c r="BK487" s="485"/>
      <c r="BL487" s="485"/>
      <c r="BM487" s="485"/>
      <c r="BN487" s="485"/>
      <c r="BO487" s="485"/>
      <c r="BP487" s="485"/>
      <c r="BQ487" s="485"/>
      <c r="BR487" s="485"/>
      <c r="BS487" s="485"/>
      <c r="BT487" s="485"/>
      <c r="BU487" s="485"/>
      <c r="BV487" s="485"/>
      <c r="BW487" s="485"/>
      <c r="BX487" s="485"/>
      <c r="BY487" s="485"/>
      <c r="BZ487" s="485"/>
      <c r="CA487" s="485"/>
      <c r="CB487" s="485"/>
      <c r="CC487" s="485"/>
      <c r="CD487" s="485"/>
      <c r="CE487" s="485"/>
      <c r="CF487" s="485"/>
      <c r="CG487" s="485"/>
      <c r="CH487" s="485"/>
      <c r="CI487" s="485"/>
      <c r="CJ487" s="485"/>
      <c r="CK487" s="485"/>
      <c r="CL487" s="485"/>
      <c r="CM487" s="485"/>
      <c r="CN487" s="485"/>
      <c r="CO487" s="485"/>
      <c r="CP487" s="485"/>
      <c r="CQ487" s="485"/>
      <c r="CR487" s="485"/>
      <c r="CS487" s="485"/>
      <c r="CT487" s="485"/>
      <c r="CU487" s="485"/>
      <c r="CV487" s="485"/>
      <c r="CW487" s="485"/>
      <c r="CX487" s="485"/>
      <c r="CY487" s="485"/>
      <c r="CZ487" s="485"/>
      <c r="DA487" s="485"/>
      <c r="DB487" s="485"/>
      <c r="DC487" s="485"/>
      <c r="DD487" s="485"/>
      <c r="DE487" s="485"/>
      <c r="DF487" s="485"/>
      <c r="DG487" s="485"/>
      <c r="DH487" s="485"/>
      <c r="DI487" s="485"/>
      <c r="DJ487" s="485"/>
      <c r="DK487" s="485"/>
      <c r="DL487" s="485"/>
      <c r="DM487" s="485"/>
      <c r="DN487" s="485"/>
      <c r="DO487" s="485"/>
      <c r="DP487" s="485"/>
      <c r="DQ487" s="485"/>
      <c r="DR487" s="485"/>
      <c r="DS487" s="485"/>
      <c r="DT487" s="485"/>
      <c r="DU487" s="485"/>
      <c r="DV487" s="485"/>
      <c r="DW487" s="485"/>
      <c r="DX487" s="485"/>
      <c r="DY487" s="485"/>
      <c r="DZ487" s="485"/>
      <c r="EA487" s="485"/>
      <c r="EB487" s="485"/>
      <c r="EC487" s="485"/>
      <c r="ED487" s="485"/>
      <c r="EE487" s="485"/>
      <c r="EF487" s="485"/>
      <c r="EG487" s="485"/>
      <c r="EH487" s="485"/>
      <c r="EI487" s="485"/>
      <c r="EJ487" s="485"/>
      <c r="EK487" s="485"/>
      <c r="EL487" s="485"/>
      <c r="EM487" s="485"/>
      <c r="EN487" s="485"/>
      <c r="EO487" s="485"/>
      <c r="EP487" s="485"/>
    </row>
    <row r="488" spans="1:146">
      <c r="A488" s="485"/>
      <c r="B488" s="485"/>
      <c r="C488" s="485"/>
      <c r="D488" s="485"/>
      <c r="E488" s="485"/>
      <c r="F488" s="485"/>
      <c r="G488" s="485"/>
      <c r="H488" s="485"/>
      <c r="I488" s="485"/>
      <c r="J488" s="485"/>
      <c r="K488" s="485"/>
      <c r="L488" s="485"/>
      <c r="M488" s="485"/>
      <c r="P488" s="485"/>
      <c r="Q488" s="485"/>
      <c r="R488" s="485"/>
      <c r="S488" s="485"/>
      <c r="T488" s="485"/>
      <c r="U488" s="485"/>
      <c r="V488" s="485"/>
      <c r="W488" s="485"/>
      <c r="X488" s="485"/>
      <c r="Y488" s="485"/>
      <c r="Z488" s="485"/>
      <c r="AA488" s="485"/>
      <c r="AB488" s="485"/>
      <c r="AC488" s="485"/>
      <c r="AD488" s="485"/>
      <c r="AE488" s="485"/>
      <c r="AF488" s="485"/>
      <c r="AG488" s="485"/>
      <c r="AH488" s="485"/>
      <c r="AI488" s="485"/>
      <c r="AJ488" s="485"/>
      <c r="AK488" s="485"/>
      <c r="AL488" s="485"/>
      <c r="AM488" s="485"/>
      <c r="AN488" s="485"/>
      <c r="AO488" s="485"/>
      <c r="AP488" s="485"/>
      <c r="AQ488" s="485"/>
      <c r="AR488" s="485"/>
      <c r="AS488" s="485"/>
      <c r="AT488" s="485"/>
      <c r="AU488" s="485"/>
      <c r="AV488" s="485"/>
      <c r="AW488" s="485"/>
      <c r="AX488" s="485"/>
      <c r="AY488" s="485"/>
      <c r="AZ488" s="485"/>
      <c r="BA488" s="485"/>
      <c r="BB488" s="485"/>
      <c r="BC488" s="485"/>
      <c r="BD488" s="485"/>
      <c r="BE488" s="485"/>
      <c r="BF488" s="485"/>
      <c r="BG488" s="485"/>
      <c r="BH488" s="485"/>
      <c r="BI488" s="485"/>
      <c r="BJ488" s="485"/>
      <c r="BK488" s="485"/>
      <c r="BL488" s="485"/>
      <c r="BM488" s="485"/>
      <c r="BN488" s="485"/>
      <c r="BO488" s="485"/>
      <c r="BP488" s="485"/>
      <c r="BQ488" s="485"/>
      <c r="BR488" s="485"/>
      <c r="BS488" s="485"/>
      <c r="BT488" s="485"/>
      <c r="BU488" s="485"/>
      <c r="BV488" s="485"/>
      <c r="BW488" s="485"/>
      <c r="BX488" s="485"/>
      <c r="BY488" s="485"/>
      <c r="BZ488" s="485"/>
      <c r="CA488" s="485"/>
      <c r="CB488" s="485"/>
      <c r="CC488" s="485"/>
      <c r="CD488" s="485"/>
      <c r="CE488" s="485"/>
      <c r="CF488" s="485"/>
      <c r="CG488" s="485"/>
      <c r="CH488" s="485"/>
      <c r="CI488" s="485"/>
      <c r="CJ488" s="485"/>
      <c r="CK488" s="485"/>
      <c r="CL488" s="485"/>
      <c r="CM488" s="485"/>
      <c r="CN488" s="485"/>
      <c r="CO488" s="485"/>
      <c r="CP488" s="485"/>
      <c r="CQ488" s="485"/>
      <c r="CR488" s="485"/>
      <c r="CS488" s="485"/>
      <c r="CT488" s="485"/>
      <c r="CU488" s="485"/>
      <c r="CV488" s="485"/>
      <c r="CW488" s="485"/>
      <c r="CX488" s="485"/>
      <c r="CY488" s="485"/>
      <c r="CZ488" s="485"/>
      <c r="DA488" s="485"/>
      <c r="DB488" s="485"/>
      <c r="DC488" s="485"/>
      <c r="DD488" s="485"/>
      <c r="DE488" s="485"/>
      <c r="DF488" s="485"/>
      <c r="DG488" s="485"/>
      <c r="DH488" s="485"/>
      <c r="DI488" s="485"/>
      <c r="DJ488" s="485"/>
      <c r="DK488" s="485"/>
      <c r="DL488" s="485"/>
      <c r="DM488" s="485"/>
      <c r="DN488" s="485"/>
      <c r="DO488" s="485"/>
      <c r="DP488" s="485"/>
      <c r="DQ488" s="485"/>
      <c r="DR488" s="485"/>
      <c r="DS488" s="485"/>
      <c r="DT488" s="485"/>
      <c r="DU488" s="485"/>
      <c r="DV488" s="485"/>
      <c r="DW488" s="485"/>
      <c r="DX488" s="485"/>
      <c r="DY488" s="485"/>
      <c r="DZ488" s="485"/>
      <c r="EA488" s="485"/>
      <c r="EB488" s="485"/>
      <c r="EC488" s="485"/>
      <c r="ED488" s="485"/>
      <c r="EE488" s="485"/>
      <c r="EF488" s="485"/>
      <c r="EG488" s="485"/>
      <c r="EH488" s="485"/>
      <c r="EI488" s="485"/>
      <c r="EJ488" s="485"/>
      <c r="EK488" s="485"/>
      <c r="EL488" s="485"/>
      <c r="EM488" s="485"/>
      <c r="EN488" s="485"/>
      <c r="EO488" s="485"/>
      <c r="EP488" s="485"/>
    </row>
    <row r="489" spans="1:146">
      <c r="A489" s="485"/>
      <c r="B489" s="485"/>
      <c r="C489" s="485"/>
      <c r="D489" s="485"/>
      <c r="E489" s="485"/>
      <c r="F489" s="485"/>
      <c r="G489" s="485"/>
      <c r="H489" s="485"/>
      <c r="I489" s="485"/>
      <c r="J489" s="485"/>
      <c r="K489" s="485"/>
      <c r="L489" s="485"/>
      <c r="M489" s="485"/>
      <c r="P489" s="485"/>
      <c r="Q489" s="485"/>
      <c r="R489" s="485"/>
      <c r="S489" s="485"/>
      <c r="T489" s="485"/>
      <c r="U489" s="485"/>
      <c r="V489" s="485"/>
      <c r="W489" s="485"/>
      <c r="X489" s="485"/>
      <c r="Y489" s="485"/>
      <c r="Z489" s="485"/>
      <c r="AA489" s="485"/>
      <c r="AB489" s="485"/>
      <c r="AC489" s="485"/>
      <c r="AD489" s="485"/>
      <c r="AE489" s="485"/>
      <c r="AF489" s="485"/>
      <c r="AG489" s="485"/>
      <c r="AH489" s="485"/>
      <c r="AI489" s="485"/>
      <c r="AJ489" s="485"/>
      <c r="AK489" s="485"/>
      <c r="AL489" s="485"/>
      <c r="AM489" s="485"/>
      <c r="AN489" s="485"/>
      <c r="AO489" s="485"/>
      <c r="AP489" s="485"/>
      <c r="AQ489" s="485"/>
      <c r="AR489" s="485"/>
      <c r="AS489" s="485"/>
      <c r="AT489" s="485"/>
      <c r="AU489" s="485"/>
      <c r="AV489" s="485"/>
      <c r="AW489" s="485"/>
      <c r="AX489" s="485"/>
      <c r="AY489" s="485"/>
      <c r="AZ489" s="485"/>
      <c r="BA489" s="485"/>
      <c r="BB489" s="485"/>
      <c r="BC489" s="485"/>
      <c r="BD489" s="485"/>
      <c r="BE489" s="485"/>
      <c r="BF489" s="485"/>
      <c r="BG489" s="485"/>
      <c r="BH489" s="485"/>
      <c r="BI489" s="485"/>
      <c r="BJ489" s="485"/>
      <c r="BK489" s="485"/>
      <c r="BL489" s="485"/>
      <c r="BM489" s="485"/>
      <c r="BN489" s="485"/>
      <c r="BO489" s="485"/>
      <c r="BP489" s="485"/>
      <c r="BQ489" s="485"/>
      <c r="BR489" s="485"/>
      <c r="BS489" s="485"/>
      <c r="BT489" s="485"/>
      <c r="BU489" s="485"/>
      <c r="BV489" s="485"/>
      <c r="BW489" s="485"/>
      <c r="BX489" s="485"/>
      <c r="BY489" s="485"/>
      <c r="BZ489" s="485"/>
      <c r="CA489" s="485"/>
      <c r="CB489" s="485"/>
      <c r="CC489" s="485"/>
      <c r="CD489" s="485"/>
      <c r="CE489" s="485"/>
      <c r="CF489" s="485"/>
      <c r="CG489" s="485"/>
      <c r="CH489" s="485"/>
      <c r="CI489" s="485"/>
      <c r="CJ489" s="485"/>
      <c r="CK489" s="485"/>
      <c r="CL489" s="485"/>
      <c r="CM489" s="485"/>
      <c r="CN489" s="485"/>
      <c r="CO489" s="485"/>
      <c r="CP489" s="485"/>
      <c r="CQ489" s="485"/>
      <c r="CR489" s="485"/>
      <c r="CS489" s="485"/>
      <c r="CT489" s="485"/>
      <c r="CU489" s="485"/>
      <c r="CV489" s="485"/>
      <c r="CW489" s="485"/>
      <c r="CX489" s="485"/>
      <c r="CY489" s="485"/>
      <c r="CZ489" s="485"/>
      <c r="DA489" s="485"/>
      <c r="DB489" s="485"/>
      <c r="DC489" s="485"/>
      <c r="DD489" s="485"/>
      <c r="DE489" s="485"/>
      <c r="DF489" s="485"/>
      <c r="DG489" s="485"/>
      <c r="DH489" s="485"/>
      <c r="DI489" s="485"/>
      <c r="DJ489" s="485"/>
      <c r="DK489" s="485"/>
      <c r="DL489" s="485"/>
      <c r="DM489" s="485"/>
      <c r="DN489" s="485"/>
      <c r="DO489" s="485"/>
      <c r="DP489" s="485"/>
      <c r="DQ489" s="485"/>
      <c r="DR489" s="485"/>
      <c r="DS489" s="485"/>
      <c r="DT489" s="485"/>
      <c r="DU489" s="485"/>
      <c r="DV489" s="485"/>
      <c r="DW489" s="485"/>
      <c r="DX489" s="485"/>
      <c r="DY489" s="485"/>
      <c r="DZ489" s="485"/>
      <c r="EA489" s="485"/>
      <c r="EB489" s="485"/>
      <c r="EC489" s="485"/>
      <c r="ED489" s="485"/>
      <c r="EE489" s="485"/>
      <c r="EF489" s="485"/>
      <c r="EG489" s="485"/>
      <c r="EH489" s="485"/>
      <c r="EI489" s="485"/>
      <c r="EJ489" s="485"/>
      <c r="EK489" s="485"/>
      <c r="EL489" s="485"/>
      <c r="EM489" s="485"/>
      <c r="EN489" s="485"/>
      <c r="EO489" s="485"/>
      <c r="EP489" s="485"/>
    </row>
    <row r="490" spans="1:146">
      <c r="A490" s="485"/>
      <c r="B490" s="485"/>
      <c r="C490" s="485"/>
      <c r="D490" s="485"/>
      <c r="E490" s="485"/>
      <c r="F490" s="485"/>
      <c r="G490" s="485"/>
      <c r="H490" s="485"/>
      <c r="I490" s="485"/>
      <c r="J490" s="485"/>
      <c r="K490" s="485"/>
      <c r="L490" s="485"/>
      <c r="M490" s="485"/>
      <c r="P490" s="485"/>
      <c r="Q490" s="485"/>
      <c r="R490" s="485"/>
      <c r="S490" s="485"/>
      <c r="T490" s="485"/>
      <c r="U490" s="485"/>
      <c r="V490" s="485"/>
      <c r="W490" s="485"/>
      <c r="X490" s="485"/>
      <c r="Y490" s="485"/>
      <c r="Z490" s="485"/>
      <c r="AA490" s="485"/>
      <c r="AB490" s="485"/>
      <c r="AC490" s="485"/>
      <c r="AD490" s="485"/>
      <c r="AE490" s="485"/>
      <c r="AF490" s="485"/>
      <c r="AG490" s="485"/>
      <c r="AH490" s="485"/>
      <c r="AI490" s="485"/>
      <c r="AJ490" s="485"/>
      <c r="AK490" s="485"/>
      <c r="AL490" s="485"/>
      <c r="AM490" s="485"/>
      <c r="AN490" s="485"/>
      <c r="AO490" s="485"/>
      <c r="AP490" s="485"/>
      <c r="AQ490" s="485"/>
      <c r="AR490" s="485"/>
      <c r="AS490" s="485"/>
      <c r="AT490" s="485"/>
      <c r="AU490" s="485"/>
      <c r="AV490" s="485"/>
      <c r="AW490" s="485"/>
      <c r="AX490" s="485"/>
      <c r="AY490" s="485"/>
      <c r="AZ490" s="485"/>
      <c r="BA490" s="485"/>
      <c r="BB490" s="485"/>
      <c r="BC490" s="485"/>
      <c r="BD490" s="485"/>
      <c r="BE490" s="485"/>
      <c r="BF490" s="485"/>
      <c r="BG490" s="485"/>
      <c r="BH490" s="485"/>
      <c r="BI490" s="485"/>
      <c r="BJ490" s="485"/>
      <c r="BK490" s="485"/>
      <c r="BL490" s="485"/>
      <c r="BM490" s="485"/>
      <c r="BN490" s="485"/>
      <c r="BO490" s="485"/>
      <c r="BP490" s="485"/>
      <c r="BQ490" s="485"/>
      <c r="BR490" s="485"/>
      <c r="BS490" s="485"/>
      <c r="BT490" s="485"/>
      <c r="BU490" s="485"/>
      <c r="BV490" s="485"/>
      <c r="BW490" s="485"/>
      <c r="BX490" s="485"/>
      <c r="BY490" s="485"/>
      <c r="BZ490" s="485"/>
      <c r="CA490" s="485"/>
      <c r="CB490" s="485"/>
      <c r="CC490" s="485"/>
      <c r="CD490" s="485"/>
      <c r="CE490" s="485"/>
      <c r="CF490" s="485"/>
      <c r="CG490" s="485"/>
      <c r="CH490" s="485"/>
      <c r="CI490" s="485"/>
      <c r="CJ490" s="485"/>
      <c r="CK490" s="485"/>
      <c r="CL490" s="485"/>
      <c r="CM490" s="485"/>
      <c r="CN490" s="485"/>
      <c r="CO490" s="485"/>
      <c r="CP490" s="485"/>
      <c r="CQ490" s="485"/>
      <c r="CR490" s="485"/>
      <c r="CS490" s="485"/>
      <c r="CT490" s="485"/>
      <c r="CU490" s="485"/>
      <c r="CV490" s="485"/>
      <c r="CW490" s="485"/>
      <c r="CX490" s="485"/>
      <c r="CY490" s="485"/>
      <c r="CZ490" s="485"/>
      <c r="DA490" s="485"/>
      <c r="DB490" s="485"/>
      <c r="DC490" s="485"/>
      <c r="DD490" s="485"/>
      <c r="DE490" s="485"/>
      <c r="DF490" s="485"/>
      <c r="DG490" s="485"/>
      <c r="DH490" s="485"/>
      <c r="DI490" s="485"/>
      <c r="DJ490" s="485"/>
      <c r="DK490" s="485"/>
      <c r="DL490" s="485"/>
      <c r="DM490" s="485"/>
      <c r="DN490" s="485"/>
      <c r="DO490" s="485"/>
      <c r="DP490" s="485"/>
      <c r="DQ490" s="485"/>
      <c r="DR490" s="485"/>
      <c r="DS490" s="485"/>
      <c r="DT490" s="485"/>
      <c r="DU490" s="485"/>
      <c r="DV490" s="485"/>
      <c r="DW490" s="485"/>
      <c r="DX490" s="485"/>
      <c r="DY490" s="485"/>
      <c r="DZ490" s="485"/>
      <c r="EA490" s="485"/>
      <c r="EB490" s="485"/>
      <c r="EC490" s="485"/>
      <c r="ED490" s="485"/>
      <c r="EE490" s="485"/>
      <c r="EF490" s="485"/>
      <c r="EG490" s="485"/>
      <c r="EH490" s="485"/>
      <c r="EI490" s="485"/>
      <c r="EJ490" s="485"/>
      <c r="EK490" s="485"/>
      <c r="EL490" s="485"/>
      <c r="EM490" s="485"/>
      <c r="EN490" s="485"/>
      <c r="EO490" s="485"/>
      <c r="EP490" s="485"/>
    </row>
    <row r="491" spans="1:146">
      <c r="A491" s="485"/>
      <c r="B491" s="485"/>
      <c r="C491" s="485"/>
      <c r="D491" s="485"/>
      <c r="E491" s="485"/>
      <c r="F491" s="485"/>
      <c r="G491" s="485"/>
      <c r="H491" s="485"/>
      <c r="I491" s="485"/>
      <c r="J491" s="485"/>
      <c r="K491" s="485"/>
      <c r="L491" s="485"/>
      <c r="M491" s="485"/>
      <c r="P491" s="485"/>
      <c r="Q491" s="485"/>
      <c r="R491" s="485"/>
      <c r="S491" s="485"/>
      <c r="T491" s="485"/>
      <c r="U491" s="485"/>
      <c r="V491" s="485"/>
      <c r="W491" s="485"/>
      <c r="X491" s="485"/>
      <c r="Y491" s="485"/>
      <c r="Z491" s="485"/>
      <c r="AA491" s="485"/>
      <c r="AB491" s="485"/>
      <c r="AC491" s="485"/>
      <c r="AD491" s="485"/>
      <c r="AE491" s="485"/>
      <c r="AF491" s="485"/>
      <c r="AG491" s="485"/>
      <c r="AH491" s="485"/>
      <c r="AI491" s="485"/>
      <c r="AJ491" s="485"/>
      <c r="AK491" s="485"/>
      <c r="AL491" s="485"/>
      <c r="AM491" s="485"/>
      <c r="AN491" s="485"/>
      <c r="AO491" s="485"/>
      <c r="AP491" s="485"/>
      <c r="AQ491" s="485"/>
      <c r="AR491" s="485"/>
      <c r="AS491" s="485"/>
      <c r="AT491" s="485"/>
      <c r="AU491" s="485"/>
      <c r="AV491" s="485"/>
      <c r="AW491" s="485"/>
      <c r="AX491" s="485"/>
      <c r="AY491" s="485"/>
      <c r="AZ491" s="485"/>
      <c r="BA491" s="485"/>
      <c r="BB491" s="485"/>
      <c r="BC491" s="485"/>
      <c r="BD491" s="485"/>
      <c r="BE491" s="485"/>
      <c r="BF491" s="485"/>
      <c r="BG491" s="485"/>
      <c r="BH491" s="485"/>
      <c r="BI491" s="485"/>
      <c r="BJ491" s="485"/>
      <c r="BK491" s="485"/>
      <c r="BL491" s="485"/>
      <c r="BM491" s="485"/>
      <c r="BN491" s="485"/>
      <c r="BO491" s="485"/>
      <c r="BP491" s="485"/>
      <c r="BQ491" s="485"/>
      <c r="BR491" s="485"/>
      <c r="BS491" s="485"/>
      <c r="BT491" s="485"/>
      <c r="BU491" s="485"/>
      <c r="BV491" s="485"/>
      <c r="BW491" s="485"/>
      <c r="BX491" s="485"/>
      <c r="BY491" s="485"/>
      <c r="BZ491" s="485"/>
      <c r="CA491" s="485"/>
      <c r="CB491" s="485"/>
      <c r="CC491" s="485"/>
      <c r="CD491" s="485"/>
      <c r="CE491" s="485"/>
      <c r="CF491" s="485"/>
      <c r="CG491" s="485"/>
      <c r="CH491" s="485"/>
      <c r="CI491" s="485"/>
      <c r="CJ491" s="485"/>
      <c r="CK491" s="485"/>
      <c r="CL491" s="485"/>
      <c r="CM491" s="485"/>
      <c r="CN491" s="485"/>
      <c r="CO491" s="485"/>
      <c r="CP491" s="485"/>
      <c r="CQ491" s="485"/>
      <c r="CR491" s="485"/>
      <c r="CS491" s="485"/>
      <c r="CT491" s="485"/>
      <c r="CU491" s="485"/>
      <c r="CV491" s="485"/>
      <c r="CW491" s="485"/>
      <c r="CX491" s="485"/>
      <c r="CY491" s="485"/>
      <c r="CZ491" s="485"/>
      <c r="DA491" s="485"/>
      <c r="DB491" s="485"/>
      <c r="DC491" s="485"/>
      <c r="DD491" s="485"/>
      <c r="DE491" s="485"/>
      <c r="DF491" s="485"/>
      <c r="DG491" s="485"/>
      <c r="DH491" s="485"/>
      <c r="DI491" s="485"/>
      <c r="DJ491" s="485"/>
      <c r="DK491" s="485"/>
      <c r="DL491" s="485"/>
      <c r="DM491" s="485"/>
      <c r="DN491" s="485"/>
      <c r="DO491" s="485"/>
      <c r="DP491" s="485"/>
      <c r="DQ491" s="485"/>
      <c r="DR491" s="485"/>
      <c r="DS491" s="485"/>
      <c r="DT491" s="485"/>
      <c r="DU491" s="485"/>
      <c r="DV491" s="485"/>
      <c r="DW491" s="485"/>
      <c r="DX491" s="485"/>
      <c r="DY491" s="485"/>
      <c r="DZ491" s="485"/>
      <c r="EA491" s="485"/>
      <c r="EB491" s="485"/>
      <c r="EC491" s="485"/>
      <c r="ED491" s="485"/>
      <c r="EE491" s="485"/>
      <c r="EF491" s="485"/>
      <c r="EG491" s="485"/>
      <c r="EH491" s="485"/>
      <c r="EI491" s="485"/>
      <c r="EJ491" s="485"/>
      <c r="EK491" s="485"/>
      <c r="EL491" s="485"/>
      <c r="EM491" s="485"/>
      <c r="EN491" s="485"/>
      <c r="EO491" s="485"/>
      <c r="EP491" s="485"/>
    </row>
    <row r="492" spans="1:146">
      <c r="A492" s="485"/>
      <c r="B492" s="485"/>
      <c r="C492" s="485"/>
      <c r="D492" s="485"/>
      <c r="E492" s="485"/>
      <c r="F492" s="485"/>
      <c r="G492" s="485"/>
      <c r="H492" s="485"/>
      <c r="I492" s="485"/>
      <c r="J492" s="485"/>
      <c r="K492" s="485"/>
      <c r="L492" s="485"/>
      <c r="M492" s="485"/>
      <c r="P492" s="485"/>
      <c r="Q492" s="485"/>
      <c r="R492" s="485"/>
      <c r="S492" s="485"/>
      <c r="T492" s="485"/>
      <c r="U492" s="485"/>
      <c r="V492" s="485"/>
      <c r="W492" s="485"/>
      <c r="X492" s="485"/>
      <c r="Y492" s="485"/>
      <c r="Z492" s="485"/>
      <c r="AA492" s="485"/>
      <c r="AB492" s="485"/>
      <c r="AC492" s="485"/>
      <c r="AD492" s="485"/>
      <c r="AE492" s="485"/>
      <c r="AF492" s="485"/>
      <c r="AG492" s="485"/>
      <c r="AH492" s="485"/>
      <c r="AI492" s="485"/>
      <c r="AJ492" s="485"/>
      <c r="AK492" s="485"/>
      <c r="AL492" s="485"/>
      <c r="AM492" s="485"/>
      <c r="AN492" s="485"/>
      <c r="AO492" s="485"/>
      <c r="AP492" s="485"/>
      <c r="AQ492" s="485"/>
      <c r="AR492" s="485"/>
      <c r="AS492" s="485"/>
      <c r="AT492" s="485"/>
      <c r="AU492" s="485"/>
      <c r="AV492" s="485"/>
      <c r="AW492" s="485"/>
      <c r="AX492" s="485"/>
      <c r="AY492" s="485"/>
      <c r="AZ492" s="485"/>
      <c r="BA492" s="485"/>
      <c r="BB492" s="485"/>
      <c r="BC492" s="485"/>
      <c r="BD492" s="485"/>
      <c r="BE492" s="485"/>
      <c r="BF492" s="485"/>
      <c r="BG492" s="485"/>
      <c r="BH492" s="485"/>
      <c r="BI492" s="485"/>
      <c r="BJ492" s="485"/>
      <c r="BK492" s="485"/>
      <c r="BL492" s="485"/>
      <c r="BM492" s="485"/>
      <c r="BN492" s="485"/>
      <c r="BO492" s="485"/>
      <c r="BP492" s="485"/>
      <c r="BQ492" s="485"/>
      <c r="BR492" s="485"/>
      <c r="BS492" s="485"/>
      <c r="BT492" s="485"/>
      <c r="BU492" s="485"/>
      <c r="BV492" s="485"/>
      <c r="BW492" s="485"/>
      <c r="BX492" s="485"/>
      <c r="BY492" s="485"/>
      <c r="BZ492" s="485"/>
      <c r="CA492" s="485"/>
      <c r="CB492" s="485"/>
      <c r="CC492" s="485"/>
      <c r="CD492" s="485"/>
      <c r="CE492" s="485"/>
      <c r="CF492" s="485"/>
      <c r="CG492" s="485"/>
      <c r="CH492" s="485"/>
      <c r="CI492" s="485"/>
      <c r="CJ492" s="485"/>
      <c r="CK492" s="485"/>
      <c r="CL492" s="485"/>
      <c r="CM492" s="485"/>
      <c r="CN492" s="485"/>
      <c r="CO492" s="485"/>
      <c r="CP492" s="485"/>
      <c r="CQ492" s="485"/>
      <c r="CR492" s="485"/>
      <c r="CS492" s="485"/>
      <c r="CT492" s="485"/>
      <c r="CU492" s="485"/>
      <c r="CV492" s="485"/>
      <c r="CW492" s="485"/>
      <c r="CX492" s="485"/>
      <c r="CY492" s="485"/>
      <c r="CZ492" s="485"/>
      <c r="DA492" s="485"/>
      <c r="DB492" s="485"/>
      <c r="DC492" s="485"/>
      <c r="DD492" s="485"/>
      <c r="DE492" s="485"/>
      <c r="DF492" s="485"/>
      <c r="DG492" s="485"/>
      <c r="DH492" s="485"/>
      <c r="DI492" s="485"/>
      <c r="DJ492" s="485"/>
      <c r="DK492" s="485"/>
      <c r="DL492" s="485"/>
      <c r="DM492" s="485"/>
      <c r="DN492" s="485"/>
      <c r="DO492" s="485"/>
      <c r="DP492" s="485"/>
      <c r="DQ492" s="485"/>
      <c r="DR492" s="485"/>
      <c r="DS492" s="485"/>
      <c r="DT492" s="485"/>
      <c r="DU492" s="485"/>
      <c r="DV492" s="485"/>
      <c r="DW492" s="485"/>
      <c r="DX492" s="485"/>
      <c r="DY492" s="485"/>
      <c r="DZ492" s="485"/>
      <c r="EA492" s="485"/>
      <c r="EB492" s="485"/>
      <c r="EC492" s="485"/>
      <c r="ED492" s="485"/>
      <c r="EE492" s="485"/>
      <c r="EF492" s="485"/>
      <c r="EG492" s="485"/>
      <c r="EH492" s="485"/>
      <c r="EI492" s="485"/>
      <c r="EJ492" s="485"/>
      <c r="EK492" s="485"/>
      <c r="EL492" s="485"/>
      <c r="EM492" s="485"/>
      <c r="EN492" s="485"/>
      <c r="EO492" s="485"/>
      <c r="EP492" s="485"/>
    </row>
    <row r="493" spans="1:146">
      <c r="A493" s="485"/>
      <c r="B493" s="485"/>
      <c r="C493" s="485"/>
      <c r="D493" s="485"/>
      <c r="E493" s="485"/>
      <c r="F493" s="485"/>
      <c r="G493" s="485"/>
      <c r="H493" s="485"/>
      <c r="I493" s="485"/>
      <c r="J493" s="485"/>
      <c r="K493" s="485"/>
      <c r="L493" s="485"/>
      <c r="M493" s="485"/>
      <c r="P493" s="485"/>
      <c r="Q493" s="485"/>
      <c r="R493" s="485"/>
      <c r="S493" s="485"/>
      <c r="T493" s="485"/>
      <c r="U493" s="485"/>
      <c r="V493" s="485"/>
      <c r="W493" s="485"/>
      <c r="X493" s="485"/>
      <c r="Y493" s="485"/>
      <c r="Z493" s="485"/>
      <c r="AA493" s="485"/>
      <c r="AB493" s="485"/>
      <c r="AC493" s="485"/>
      <c r="AD493" s="485"/>
      <c r="AE493" s="485"/>
      <c r="AF493" s="485"/>
      <c r="AG493" s="485"/>
      <c r="AH493" s="485"/>
      <c r="AI493" s="485"/>
      <c r="AJ493" s="485"/>
      <c r="AK493" s="485"/>
      <c r="AL493" s="485"/>
      <c r="AM493" s="485"/>
      <c r="AN493" s="485"/>
      <c r="AO493" s="485"/>
      <c r="AP493" s="485"/>
      <c r="AQ493" s="485"/>
      <c r="AR493" s="485"/>
      <c r="AS493" s="485"/>
      <c r="AT493" s="485"/>
      <c r="AU493" s="485"/>
      <c r="AV493" s="485"/>
      <c r="AW493" s="485"/>
      <c r="AX493" s="485"/>
      <c r="AY493" s="485"/>
      <c r="AZ493" s="485"/>
      <c r="BA493" s="485"/>
      <c r="BB493" s="485"/>
      <c r="BC493" s="485"/>
      <c r="BD493" s="485"/>
      <c r="BE493" s="485"/>
      <c r="BF493" s="485"/>
      <c r="BG493" s="485"/>
      <c r="BH493" s="485"/>
      <c r="BI493" s="485"/>
      <c r="BJ493" s="485"/>
      <c r="BK493" s="485"/>
      <c r="BL493" s="485"/>
      <c r="BM493" s="485"/>
      <c r="BN493" s="485"/>
      <c r="BO493" s="485"/>
      <c r="BP493" s="485"/>
      <c r="BQ493" s="485"/>
      <c r="BR493" s="485"/>
      <c r="BS493" s="485"/>
      <c r="BT493" s="485"/>
      <c r="BU493" s="485"/>
      <c r="BV493" s="485"/>
      <c r="BW493" s="485"/>
      <c r="BX493" s="485"/>
      <c r="BY493" s="485"/>
      <c r="BZ493" s="485"/>
      <c r="CA493" s="485"/>
      <c r="CB493" s="485"/>
      <c r="CC493" s="485"/>
      <c r="CD493" s="485"/>
      <c r="CE493" s="485"/>
      <c r="CF493" s="485"/>
      <c r="CG493" s="485"/>
      <c r="CH493" s="485"/>
      <c r="CI493" s="485"/>
      <c r="CJ493" s="485"/>
      <c r="CK493" s="485"/>
      <c r="CL493" s="485"/>
      <c r="CM493" s="485"/>
      <c r="CN493" s="485"/>
      <c r="CO493" s="485"/>
      <c r="CP493" s="485"/>
      <c r="CQ493" s="485"/>
      <c r="CR493" s="485"/>
      <c r="CS493" s="485"/>
      <c r="CT493" s="485"/>
      <c r="CU493" s="485"/>
      <c r="CV493" s="485"/>
      <c r="CW493" s="485"/>
      <c r="CX493" s="485"/>
      <c r="CY493" s="485"/>
      <c r="CZ493" s="485"/>
      <c r="DA493" s="485"/>
      <c r="DB493" s="485"/>
      <c r="DC493" s="485"/>
      <c r="DD493" s="485"/>
      <c r="DE493" s="485"/>
      <c r="DF493" s="485"/>
      <c r="DG493" s="485"/>
      <c r="DH493" s="485"/>
      <c r="DI493" s="485"/>
      <c r="DJ493" s="485"/>
      <c r="DK493" s="485"/>
      <c r="DL493" s="485"/>
      <c r="DM493" s="485"/>
      <c r="DN493" s="485"/>
      <c r="DO493" s="485"/>
      <c r="DP493" s="485"/>
      <c r="DQ493" s="485"/>
      <c r="DR493" s="485"/>
      <c r="DS493" s="485"/>
      <c r="DT493" s="485"/>
      <c r="DU493" s="485"/>
      <c r="DV493" s="485"/>
      <c r="DW493" s="485"/>
      <c r="DX493" s="485"/>
      <c r="DY493" s="485"/>
      <c r="DZ493" s="485"/>
      <c r="EA493" s="485"/>
      <c r="EB493" s="485"/>
      <c r="EC493" s="485"/>
      <c r="ED493" s="485"/>
      <c r="EE493" s="485"/>
      <c r="EF493" s="485"/>
      <c r="EG493" s="485"/>
      <c r="EH493" s="485"/>
      <c r="EI493" s="485"/>
      <c r="EJ493" s="485"/>
      <c r="EK493" s="485"/>
      <c r="EL493" s="485"/>
      <c r="EM493" s="485"/>
      <c r="EN493" s="485"/>
      <c r="EO493" s="485"/>
      <c r="EP493" s="485"/>
    </row>
    <row r="494" spans="1:146">
      <c r="A494" s="485"/>
      <c r="B494" s="485"/>
      <c r="C494" s="485"/>
      <c r="D494" s="485"/>
      <c r="E494" s="485"/>
      <c r="F494" s="485"/>
      <c r="G494" s="485"/>
      <c r="H494" s="485"/>
      <c r="I494" s="485"/>
      <c r="J494" s="485"/>
      <c r="K494" s="485"/>
      <c r="L494" s="485"/>
      <c r="M494" s="485"/>
      <c r="P494" s="485"/>
      <c r="Q494" s="485"/>
      <c r="R494" s="485"/>
      <c r="S494" s="485"/>
      <c r="T494" s="485"/>
      <c r="U494" s="485"/>
      <c r="V494" s="485"/>
      <c r="W494" s="485"/>
      <c r="X494" s="485"/>
      <c r="Y494" s="485"/>
      <c r="Z494" s="485"/>
      <c r="AA494" s="485"/>
      <c r="AB494" s="485"/>
      <c r="AC494" s="485"/>
      <c r="AD494" s="485"/>
      <c r="AE494" s="485"/>
      <c r="AF494" s="485"/>
      <c r="AG494" s="485"/>
      <c r="AH494" s="485"/>
      <c r="AI494" s="485"/>
      <c r="AJ494" s="485"/>
      <c r="AK494" s="485"/>
      <c r="AL494" s="485"/>
      <c r="AM494" s="485"/>
      <c r="AN494" s="485"/>
      <c r="AO494" s="485"/>
      <c r="AP494" s="485"/>
      <c r="AQ494" s="485"/>
      <c r="AR494" s="485"/>
      <c r="AS494" s="485"/>
      <c r="AT494" s="485"/>
      <c r="AU494" s="485"/>
      <c r="AV494" s="485"/>
      <c r="AW494" s="485"/>
      <c r="AX494" s="485"/>
      <c r="AY494" s="485"/>
      <c r="AZ494" s="485"/>
      <c r="BA494" s="485"/>
      <c r="BB494" s="485"/>
      <c r="BC494" s="485"/>
      <c r="BD494" s="485"/>
      <c r="BE494" s="485"/>
      <c r="BF494" s="485"/>
      <c r="BG494" s="485"/>
      <c r="BH494" s="485"/>
      <c r="BI494" s="485"/>
      <c r="BJ494" s="485"/>
      <c r="BK494" s="485"/>
      <c r="BL494" s="485"/>
      <c r="BM494" s="485"/>
      <c r="BN494" s="485"/>
      <c r="BO494" s="485"/>
      <c r="BP494" s="485"/>
      <c r="BQ494" s="485"/>
      <c r="BR494" s="485"/>
      <c r="BS494" s="485"/>
      <c r="BT494" s="485"/>
      <c r="BU494" s="485"/>
      <c r="BV494" s="485"/>
      <c r="BW494" s="485"/>
      <c r="BX494" s="485"/>
      <c r="BY494" s="485"/>
      <c r="BZ494" s="485"/>
      <c r="CA494" s="485"/>
      <c r="CB494" s="485"/>
      <c r="CC494" s="485"/>
      <c r="CD494" s="485"/>
      <c r="CE494" s="485"/>
      <c r="CF494" s="485"/>
      <c r="CG494" s="485"/>
      <c r="CH494" s="485"/>
      <c r="CI494" s="485"/>
      <c r="CJ494" s="485"/>
      <c r="CK494" s="485"/>
      <c r="CL494" s="485"/>
      <c r="CM494" s="485"/>
      <c r="CN494" s="485"/>
      <c r="CO494" s="485"/>
      <c r="CP494" s="485"/>
      <c r="CQ494" s="485"/>
      <c r="CR494" s="485"/>
      <c r="CS494" s="485"/>
      <c r="CT494" s="485"/>
      <c r="CU494" s="485"/>
      <c r="CV494" s="485"/>
      <c r="CW494" s="485"/>
      <c r="CX494" s="485"/>
      <c r="CY494" s="485"/>
      <c r="CZ494" s="485"/>
      <c r="DA494" s="485"/>
      <c r="DB494" s="485"/>
      <c r="DC494" s="485"/>
      <c r="DD494" s="485"/>
      <c r="DE494" s="485"/>
      <c r="DF494" s="485"/>
      <c r="DG494" s="485"/>
      <c r="DH494" s="485"/>
      <c r="DI494" s="485"/>
      <c r="DJ494" s="485"/>
      <c r="DK494" s="485"/>
      <c r="DL494" s="485"/>
      <c r="DM494" s="485"/>
      <c r="DN494" s="485"/>
      <c r="DO494" s="485"/>
      <c r="DP494" s="485"/>
      <c r="DQ494" s="485"/>
      <c r="DR494" s="485"/>
      <c r="DS494" s="485"/>
      <c r="DT494" s="485"/>
      <c r="DU494" s="485"/>
      <c r="DV494" s="485"/>
      <c r="DW494" s="485"/>
      <c r="DX494" s="485"/>
      <c r="DY494" s="485"/>
      <c r="DZ494" s="485"/>
      <c r="EA494" s="485"/>
      <c r="EB494" s="485"/>
      <c r="EC494" s="485"/>
      <c r="ED494" s="485"/>
      <c r="EE494" s="485"/>
      <c r="EF494" s="485"/>
      <c r="EG494" s="485"/>
      <c r="EH494" s="485"/>
      <c r="EI494" s="485"/>
      <c r="EJ494" s="485"/>
      <c r="EK494" s="485"/>
      <c r="EL494" s="485"/>
      <c r="EM494" s="485"/>
      <c r="EN494" s="485"/>
      <c r="EO494" s="485"/>
      <c r="EP494" s="485"/>
    </row>
    <row r="495" spans="1:146">
      <c r="A495" s="485"/>
      <c r="B495" s="485"/>
      <c r="C495" s="485"/>
      <c r="D495" s="485"/>
      <c r="E495" s="485"/>
      <c r="F495" s="485"/>
      <c r="G495" s="485"/>
      <c r="H495" s="485"/>
      <c r="I495" s="485"/>
      <c r="J495" s="485"/>
      <c r="K495" s="485"/>
      <c r="L495" s="485"/>
      <c r="M495" s="485"/>
      <c r="P495" s="485"/>
      <c r="Q495" s="485"/>
      <c r="R495" s="485"/>
      <c r="S495" s="485"/>
      <c r="T495" s="485"/>
      <c r="U495" s="485"/>
      <c r="V495" s="485"/>
      <c r="W495" s="485"/>
      <c r="X495" s="485"/>
      <c r="Y495" s="485"/>
      <c r="Z495" s="485"/>
      <c r="AA495" s="485"/>
      <c r="AB495" s="485"/>
      <c r="AC495" s="485"/>
      <c r="AD495" s="485"/>
      <c r="AE495" s="485"/>
      <c r="AF495" s="485"/>
      <c r="AG495" s="485"/>
      <c r="AH495" s="485"/>
      <c r="AI495" s="485"/>
      <c r="AJ495" s="485"/>
      <c r="AK495" s="485"/>
      <c r="AL495" s="485"/>
      <c r="AM495" s="485"/>
      <c r="AN495" s="485"/>
      <c r="AO495" s="485"/>
      <c r="AP495" s="485"/>
      <c r="AQ495" s="485"/>
      <c r="AR495" s="485"/>
      <c r="AS495" s="485"/>
      <c r="AT495" s="485"/>
      <c r="AU495" s="485"/>
      <c r="AV495" s="485"/>
      <c r="AW495" s="485"/>
      <c r="AX495" s="485"/>
      <c r="AY495" s="485"/>
      <c r="AZ495" s="485"/>
      <c r="BA495" s="485"/>
      <c r="BB495" s="485"/>
      <c r="BC495" s="485"/>
      <c r="BD495" s="485"/>
      <c r="BE495" s="485"/>
      <c r="BF495" s="485"/>
      <c r="BG495" s="485"/>
      <c r="BH495" s="485"/>
      <c r="BI495" s="485"/>
      <c r="BJ495" s="485"/>
      <c r="BK495" s="485"/>
      <c r="BL495" s="485"/>
      <c r="BM495" s="485"/>
      <c r="BN495" s="485"/>
      <c r="BO495" s="485"/>
      <c r="BP495" s="485"/>
      <c r="BQ495" s="485"/>
      <c r="BR495" s="485"/>
      <c r="BS495" s="485"/>
      <c r="BT495" s="485"/>
      <c r="BU495" s="485"/>
      <c r="BV495" s="485"/>
      <c r="BW495" s="485"/>
      <c r="BX495" s="485"/>
      <c r="BY495" s="485"/>
      <c r="BZ495" s="485"/>
      <c r="CA495" s="485"/>
      <c r="CB495" s="485"/>
      <c r="CC495" s="485"/>
      <c r="CD495" s="485"/>
      <c r="CE495" s="485"/>
      <c r="CF495" s="485"/>
      <c r="CG495" s="485"/>
      <c r="CH495" s="485"/>
      <c r="CI495" s="485"/>
      <c r="CJ495" s="485"/>
      <c r="CK495" s="485"/>
      <c r="CL495" s="485"/>
      <c r="CM495" s="485"/>
      <c r="CN495" s="485"/>
      <c r="CO495" s="485"/>
      <c r="CP495" s="485"/>
      <c r="CQ495" s="485"/>
      <c r="CR495" s="485"/>
      <c r="CS495" s="485"/>
      <c r="CT495" s="485"/>
      <c r="CU495" s="485"/>
      <c r="CV495" s="485"/>
      <c r="CW495" s="485"/>
      <c r="CX495" s="485"/>
      <c r="CY495" s="485"/>
      <c r="CZ495" s="485"/>
      <c r="DA495" s="485"/>
      <c r="DB495" s="485"/>
      <c r="DC495" s="485"/>
      <c r="DD495" s="485"/>
      <c r="DE495" s="485"/>
      <c r="DF495" s="485"/>
      <c r="DG495" s="485"/>
      <c r="DH495" s="485"/>
      <c r="DI495" s="485"/>
      <c r="DJ495" s="485"/>
      <c r="DK495" s="485"/>
      <c r="DL495" s="485"/>
      <c r="DM495" s="485"/>
      <c r="DN495" s="485"/>
      <c r="DO495" s="485"/>
      <c r="DP495" s="485"/>
      <c r="DQ495" s="485"/>
      <c r="DR495" s="485"/>
      <c r="DS495" s="485"/>
      <c r="DT495" s="485"/>
      <c r="DU495" s="485"/>
      <c r="DV495" s="485"/>
      <c r="DW495" s="485"/>
      <c r="DX495" s="485"/>
      <c r="DY495" s="485"/>
      <c r="DZ495" s="485"/>
      <c r="EA495" s="485"/>
      <c r="EB495" s="485"/>
      <c r="EC495" s="485"/>
      <c r="ED495" s="485"/>
      <c r="EE495" s="485"/>
      <c r="EF495" s="485"/>
      <c r="EG495" s="485"/>
      <c r="EH495" s="485"/>
      <c r="EI495" s="485"/>
      <c r="EJ495" s="485"/>
      <c r="EK495" s="485"/>
      <c r="EL495" s="485"/>
      <c r="EM495" s="485"/>
      <c r="EN495" s="485"/>
      <c r="EO495" s="485"/>
      <c r="EP495" s="485"/>
    </row>
    <row r="496" spans="1:146">
      <c r="A496" s="485"/>
      <c r="B496" s="485"/>
      <c r="C496" s="485"/>
      <c r="D496" s="485"/>
      <c r="E496" s="485"/>
      <c r="F496" s="485"/>
      <c r="G496" s="485"/>
      <c r="H496" s="485"/>
      <c r="I496" s="485"/>
      <c r="J496" s="485"/>
      <c r="K496" s="485"/>
      <c r="L496" s="485"/>
      <c r="M496" s="485"/>
      <c r="P496" s="485"/>
      <c r="Q496" s="485"/>
      <c r="R496" s="485"/>
      <c r="S496" s="485"/>
      <c r="T496" s="485"/>
      <c r="U496" s="485"/>
      <c r="V496" s="485"/>
      <c r="W496" s="485"/>
      <c r="X496" s="485"/>
      <c r="Y496" s="485"/>
      <c r="Z496" s="485"/>
      <c r="AA496" s="485"/>
      <c r="AB496" s="485"/>
      <c r="AC496" s="485"/>
      <c r="AD496" s="485"/>
      <c r="AE496" s="485"/>
      <c r="AF496" s="485"/>
      <c r="AG496" s="485"/>
      <c r="AH496" s="485"/>
      <c r="AI496" s="485"/>
      <c r="AJ496" s="485"/>
      <c r="AK496" s="485"/>
      <c r="AL496" s="485"/>
      <c r="AM496" s="485"/>
      <c r="AN496" s="485"/>
      <c r="AO496" s="485"/>
      <c r="AP496" s="485"/>
      <c r="AQ496" s="485"/>
      <c r="AR496" s="485"/>
      <c r="AS496" s="485"/>
      <c r="AT496" s="485"/>
      <c r="AU496" s="485"/>
      <c r="AV496" s="485"/>
      <c r="AW496" s="485"/>
      <c r="AX496" s="485"/>
      <c r="AY496" s="485"/>
      <c r="AZ496" s="485"/>
      <c r="BA496" s="485"/>
      <c r="BB496" s="485"/>
      <c r="BC496" s="485"/>
      <c r="BD496" s="485"/>
      <c r="BE496" s="485"/>
      <c r="BF496" s="485"/>
      <c r="BG496" s="485"/>
      <c r="BH496" s="485"/>
      <c r="BI496" s="485"/>
      <c r="BJ496" s="485"/>
      <c r="BK496" s="485"/>
      <c r="BL496" s="485"/>
      <c r="BM496" s="485"/>
      <c r="BN496" s="485"/>
      <c r="BO496" s="485"/>
      <c r="BP496" s="485"/>
      <c r="BQ496" s="485"/>
      <c r="BR496" s="485"/>
      <c r="BS496" s="485"/>
      <c r="BT496" s="485"/>
      <c r="BU496" s="485"/>
      <c r="BV496" s="485"/>
      <c r="BW496" s="485"/>
      <c r="BX496" s="485"/>
      <c r="BY496" s="485"/>
      <c r="BZ496" s="485"/>
      <c r="CA496" s="485"/>
      <c r="CB496" s="485"/>
      <c r="CC496" s="485"/>
      <c r="CD496" s="485"/>
      <c r="CE496" s="485"/>
      <c r="CF496" s="485"/>
      <c r="CG496" s="485"/>
      <c r="CH496" s="485"/>
      <c r="CI496" s="485"/>
      <c r="CJ496" s="485"/>
      <c r="CK496" s="485"/>
      <c r="CL496" s="485"/>
      <c r="CM496" s="485"/>
      <c r="CN496" s="485"/>
      <c r="CO496" s="485"/>
      <c r="CP496" s="485"/>
      <c r="CQ496" s="485"/>
      <c r="CR496" s="485"/>
      <c r="CS496" s="485"/>
      <c r="CT496" s="485"/>
      <c r="CU496" s="485"/>
      <c r="CV496" s="485"/>
      <c r="CW496" s="485"/>
      <c r="CX496" s="485"/>
      <c r="CY496" s="485"/>
      <c r="CZ496" s="485"/>
      <c r="DA496" s="485"/>
      <c r="DB496" s="485"/>
      <c r="DC496" s="485"/>
      <c r="DD496" s="485"/>
      <c r="DE496" s="485"/>
      <c r="DF496" s="485"/>
      <c r="DG496" s="485"/>
      <c r="DH496" s="485"/>
      <c r="DI496" s="485"/>
      <c r="DJ496" s="485"/>
      <c r="DK496" s="485"/>
      <c r="DL496" s="485"/>
      <c r="DM496" s="485"/>
      <c r="DN496" s="485"/>
      <c r="DO496" s="485"/>
      <c r="DP496" s="485"/>
      <c r="DQ496" s="485"/>
      <c r="DR496" s="485"/>
      <c r="DS496" s="485"/>
      <c r="DT496" s="485"/>
      <c r="DU496" s="485"/>
      <c r="DV496" s="485"/>
      <c r="DW496" s="485"/>
      <c r="DX496" s="485"/>
      <c r="DY496" s="485"/>
      <c r="DZ496" s="485"/>
      <c r="EA496" s="485"/>
      <c r="EB496" s="485"/>
      <c r="EC496" s="485"/>
      <c r="ED496" s="485"/>
      <c r="EE496" s="485"/>
      <c r="EF496" s="485"/>
      <c r="EG496" s="485"/>
      <c r="EH496" s="485"/>
      <c r="EI496" s="485"/>
      <c r="EJ496" s="485"/>
      <c r="EK496" s="485"/>
      <c r="EL496" s="485"/>
      <c r="EM496" s="485"/>
      <c r="EN496" s="485"/>
      <c r="EO496" s="485"/>
      <c r="EP496" s="485"/>
    </row>
    <row r="497" spans="1:146">
      <c r="A497" s="485"/>
      <c r="B497" s="485"/>
      <c r="C497" s="485"/>
      <c r="D497" s="485"/>
      <c r="E497" s="485"/>
      <c r="F497" s="485"/>
      <c r="G497" s="485"/>
      <c r="H497" s="485"/>
      <c r="I497" s="485"/>
      <c r="J497" s="485"/>
      <c r="K497" s="485"/>
      <c r="L497" s="485"/>
      <c r="M497" s="485"/>
      <c r="P497" s="485"/>
      <c r="Q497" s="485"/>
      <c r="R497" s="485"/>
      <c r="S497" s="485"/>
      <c r="T497" s="485"/>
      <c r="U497" s="485"/>
      <c r="V497" s="485"/>
      <c r="W497" s="485"/>
      <c r="X497" s="485"/>
      <c r="Y497" s="485"/>
      <c r="Z497" s="485"/>
      <c r="AA497" s="485"/>
      <c r="AB497" s="485"/>
      <c r="AC497" s="485"/>
      <c r="AD497" s="485"/>
      <c r="AE497" s="485"/>
      <c r="AF497" s="485"/>
      <c r="AG497" s="485"/>
      <c r="AH497" s="485"/>
      <c r="AI497" s="485"/>
      <c r="AJ497" s="485"/>
      <c r="AK497" s="485"/>
      <c r="AL497" s="485"/>
      <c r="AM497" s="485"/>
      <c r="AN497" s="485"/>
      <c r="AO497" s="485"/>
      <c r="AP497" s="485"/>
      <c r="AQ497" s="485"/>
      <c r="AR497" s="485"/>
      <c r="AS497" s="485"/>
      <c r="AT497" s="485"/>
      <c r="AU497" s="485"/>
      <c r="AV497" s="485"/>
      <c r="AW497" s="485"/>
      <c r="AX497" s="485"/>
      <c r="AY497" s="485"/>
      <c r="AZ497" s="485"/>
      <c r="BA497" s="485"/>
      <c r="BB497" s="485"/>
      <c r="BC497" s="485"/>
      <c r="BD497" s="485"/>
      <c r="BE497" s="485"/>
      <c r="BF497" s="485"/>
      <c r="BG497" s="485"/>
      <c r="BH497" s="485"/>
      <c r="BI497" s="485"/>
      <c r="BJ497" s="485"/>
      <c r="BK497" s="485"/>
      <c r="BL497" s="485"/>
      <c r="BM497" s="485"/>
      <c r="BN497" s="485"/>
      <c r="BO497" s="485"/>
      <c r="BP497" s="485"/>
      <c r="BQ497" s="485"/>
      <c r="BR497" s="485"/>
      <c r="BS497" s="485"/>
      <c r="BT497" s="485"/>
      <c r="BU497" s="485"/>
      <c r="BV497" s="485"/>
      <c r="BW497" s="485"/>
      <c r="BX497" s="485"/>
      <c r="BY497" s="485"/>
      <c r="BZ497" s="485"/>
      <c r="CA497" s="485"/>
      <c r="CB497" s="485"/>
      <c r="CC497" s="485"/>
      <c r="CD497" s="485"/>
      <c r="CE497" s="485"/>
      <c r="CF497" s="485"/>
      <c r="CG497" s="485"/>
      <c r="CH497" s="485"/>
      <c r="CI497" s="485"/>
      <c r="CJ497" s="485"/>
      <c r="CK497" s="485"/>
      <c r="CL497" s="485"/>
      <c r="CM497" s="485"/>
      <c r="CN497" s="485"/>
      <c r="CO497" s="485"/>
      <c r="CP497" s="485"/>
      <c r="CQ497" s="485"/>
      <c r="CR497" s="485"/>
      <c r="CS497" s="485"/>
      <c r="CT497" s="485"/>
      <c r="CU497" s="485"/>
      <c r="CV497" s="485"/>
      <c r="CW497" s="485"/>
      <c r="CX497" s="485"/>
      <c r="CY497" s="485"/>
      <c r="CZ497" s="485"/>
      <c r="DA497" s="485"/>
      <c r="DB497" s="485"/>
      <c r="DC497" s="485"/>
      <c r="DD497" s="485"/>
      <c r="DE497" s="485"/>
      <c r="DF497" s="485"/>
      <c r="DG497" s="485"/>
      <c r="DH497" s="485"/>
      <c r="DI497" s="485"/>
      <c r="DJ497" s="485"/>
      <c r="DK497" s="485"/>
      <c r="DL497" s="485"/>
      <c r="DM497" s="485"/>
      <c r="DN497" s="485"/>
      <c r="DO497" s="485"/>
      <c r="DP497" s="485"/>
      <c r="DQ497" s="485"/>
      <c r="DR497" s="485"/>
      <c r="DS497" s="485"/>
      <c r="DT497" s="485"/>
      <c r="DU497" s="485"/>
      <c r="DV497" s="485"/>
      <c r="DW497" s="485"/>
      <c r="DX497" s="485"/>
      <c r="DY497" s="485"/>
      <c r="DZ497" s="485"/>
      <c r="EA497" s="485"/>
      <c r="EB497" s="485"/>
      <c r="EC497" s="485"/>
      <c r="ED497" s="485"/>
      <c r="EE497" s="485"/>
      <c r="EF497" s="485"/>
      <c r="EG497" s="485"/>
      <c r="EH497" s="485"/>
      <c r="EI497" s="485"/>
      <c r="EJ497" s="485"/>
      <c r="EK497" s="485"/>
      <c r="EL497" s="485"/>
      <c r="EM497" s="485"/>
      <c r="EN497" s="485"/>
      <c r="EO497" s="485"/>
      <c r="EP497" s="485"/>
    </row>
    <row r="498" spans="1:146">
      <c r="A498" s="485"/>
      <c r="B498" s="485"/>
      <c r="C498" s="485"/>
      <c r="D498" s="485"/>
      <c r="E498" s="485"/>
      <c r="F498" s="485"/>
      <c r="G498" s="485"/>
      <c r="H498" s="485"/>
      <c r="I498" s="485"/>
      <c r="J498" s="485"/>
      <c r="K498" s="485"/>
      <c r="L498" s="485"/>
      <c r="M498" s="485"/>
      <c r="P498" s="485"/>
      <c r="Q498" s="485"/>
      <c r="R498" s="485"/>
      <c r="S498" s="485"/>
      <c r="T498" s="485"/>
      <c r="U498" s="485"/>
      <c r="V498" s="485"/>
      <c r="W498" s="485"/>
      <c r="X498" s="485"/>
      <c r="Y498" s="485"/>
      <c r="Z498" s="485"/>
      <c r="AA498" s="485"/>
      <c r="AB498" s="485"/>
      <c r="AC498" s="485"/>
      <c r="AD498" s="485"/>
      <c r="AE498" s="485"/>
      <c r="AF498" s="485"/>
      <c r="AG498" s="485"/>
      <c r="AH498" s="485"/>
      <c r="AI498" s="485"/>
      <c r="AJ498" s="485"/>
      <c r="AK498" s="485"/>
      <c r="AL498" s="485"/>
      <c r="AM498" s="485"/>
      <c r="AN498" s="485"/>
      <c r="AO498" s="485"/>
      <c r="AP498" s="485"/>
      <c r="AQ498" s="485"/>
      <c r="AR498" s="485"/>
      <c r="AS498" s="485"/>
      <c r="AT498" s="485"/>
      <c r="AU498" s="485"/>
      <c r="AV498" s="485"/>
      <c r="AW498" s="485"/>
      <c r="AX498" s="485"/>
      <c r="AY498" s="485"/>
      <c r="AZ498" s="485"/>
      <c r="BA498" s="485"/>
      <c r="BB498" s="485"/>
      <c r="BC498" s="485"/>
      <c r="BD498" s="485"/>
      <c r="BE498" s="485"/>
      <c r="BF498" s="485"/>
      <c r="BG498" s="485"/>
      <c r="BH498" s="485"/>
      <c r="BI498" s="485"/>
      <c r="BJ498" s="485"/>
      <c r="BK498" s="485"/>
      <c r="BL498" s="485"/>
      <c r="BM498" s="485"/>
      <c r="BN498" s="485"/>
      <c r="BO498" s="485"/>
      <c r="BP498" s="485"/>
      <c r="BQ498" s="485"/>
      <c r="BR498" s="485"/>
      <c r="BS498" s="485"/>
      <c r="BT498" s="485"/>
      <c r="BU498" s="485"/>
      <c r="BV498" s="485"/>
      <c r="BW498" s="485"/>
      <c r="BX498" s="485"/>
      <c r="BY498" s="485"/>
      <c r="BZ498" s="485"/>
      <c r="CA498" s="485"/>
      <c r="CB498" s="485"/>
      <c r="CC498" s="485"/>
      <c r="CD498" s="485"/>
      <c r="CE498" s="485"/>
      <c r="CF498" s="485"/>
      <c r="CG498" s="485"/>
      <c r="CH498" s="485"/>
      <c r="CI498" s="485"/>
      <c r="CJ498" s="485"/>
      <c r="CK498" s="485"/>
      <c r="CL498" s="485"/>
      <c r="CM498" s="485"/>
      <c r="CN498" s="485"/>
      <c r="CO498" s="485"/>
      <c r="CP498" s="485"/>
      <c r="CQ498" s="485"/>
      <c r="CR498" s="485"/>
      <c r="CS498" s="485"/>
      <c r="CT498" s="485"/>
      <c r="CU498" s="485"/>
      <c r="CV498" s="485"/>
      <c r="CW498" s="485"/>
      <c r="CX498" s="485"/>
      <c r="CY498" s="485"/>
      <c r="CZ498" s="485"/>
      <c r="DA498" s="485"/>
      <c r="DB498" s="485"/>
      <c r="DC498" s="485"/>
      <c r="DD498" s="485"/>
      <c r="DE498" s="485"/>
      <c r="DF498" s="485"/>
      <c r="DG498" s="485"/>
      <c r="DH498" s="485"/>
      <c r="DI498" s="485"/>
      <c r="DJ498" s="485"/>
      <c r="DK498" s="485"/>
      <c r="DL498" s="485"/>
      <c r="DM498" s="485"/>
      <c r="DN498" s="485"/>
      <c r="DO498" s="485"/>
      <c r="DP498" s="485"/>
      <c r="DQ498" s="485"/>
      <c r="DR498" s="485"/>
      <c r="DS498" s="485"/>
      <c r="DT498" s="485"/>
      <c r="DU498" s="485"/>
      <c r="DV498" s="485"/>
      <c r="DW498" s="485"/>
      <c r="DX498" s="485"/>
      <c r="DY498" s="485"/>
      <c r="DZ498" s="485"/>
      <c r="EA498" s="485"/>
      <c r="EB498" s="485"/>
      <c r="EC498" s="485"/>
      <c r="ED498" s="485"/>
      <c r="EE498" s="485"/>
      <c r="EF498" s="485"/>
      <c r="EG498" s="485"/>
      <c r="EH498" s="485"/>
      <c r="EI498" s="485"/>
      <c r="EJ498" s="485"/>
      <c r="EK498" s="485"/>
      <c r="EL498" s="485"/>
      <c r="EM498" s="485"/>
      <c r="EN498" s="485"/>
      <c r="EO498" s="485"/>
      <c r="EP498" s="485"/>
    </row>
    <row r="499" spans="1:146">
      <c r="A499" s="485"/>
      <c r="B499" s="485"/>
      <c r="C499" s="485"/>
      <c r="D499" s="485"/>
      <c r="E499" s="485"/>
      <c r="F499" s="485"/>
      <c r="G499" s="485"/>
      <c r="H499" s="485"/>
      <c r="I499" s="485"/>
      <c r="J499" s="485"/>
      <c r="K499" s="485"/>
      <c r="L499" s="485"/>
      <c r="M499" s="485"/>
      <c r="P499" s="485"/>
      <c r="Q499" s="485"/>
      <c r="R499" s="485"/>
      <c r="S499" s="485"/>
      <c r="T499" s="485"/>
      <c r="U499" s="485"/>
      <c r="V499" s="485"/>
      <c r="W499" s="485"/>
      <c r="X499" s="485"/>
      <c r="Y499" s="485"/>
      <c r="Z499" s="485"/>
      <c r="AA499" s="485"/>
      <c r="AB499" s="485"/>
      <c r="AC499" s="485"/>
      <c r="AD499" s="485"/>
      <c r="AE499" s="485"/>
      <c r="AF499" s="485"/>
      <c r="AG499" s="485"/>
      <c r="AH499" s="485"/>
      <c r="AI499" s="485"/>
      <c r="AJ499" s="485"/>
      <c r="AK499" s="485"/>
      <c r="AL499" s="485"/>
      <c r="AM499" s="485"/>
      <c r="AN499" s="485"/>
      <c r="AO499" s="485"/>
      <c r="AP499" s="485"/>
      <c r="AQ499" s="485"/>
      <c r="AR499" s="485"/>
      <c r="AS499" s="485"/>
      <c r="AT499" s="485"/>
      <c r="AU499" s="485"/>
      <c r="AV499" s="485"/>
      <c r="AW499" s="485"/>
      <c r="AX499" s="485"/>
      <c r="AY499" s="485"/>
      <c r="AZ499" s="485"/>
      <c r="BA499" s="485"/>
      <c r="BB499" s="485"/>
      <c r="BC499" s="485"/>
      <c r="BD499" s="485"/>
      <c r="BE499" s="485"/>
      <c r="BF499" s="485"/>
      <c r="BG499" s="485"/>
      <c r="BH499" s="485"/>
      <c r="BI499" s="485"/>
      <c r="BJ499" s="485"/>
      <c r="BK499" s="485"/>
      <c r="BL499" s="485"/>
      <c r="BM499" s="485"/>
      <c r="BN499" s="485"/>
      <c r="BO499" s="485"/>
      <c r="BP499" s="485"/>
      <c r="BQ499" s="485"/>
      <c r="BR499" s="485"/>
      <c r="BS499" s="485"/>
      <c r="BT499" s="485"/>
      <c r="BU499" s="485"/>
      <c r="BV499" s="485"/>
      <c r="BW499" s="485"/>
      <c r="BX499" s="485"/>
      <c r="BY499" s="485"/>
      <c r="BZ499" s="485"/>
      <c r="CA499" s="485"/>
      <c r="CB499" s="485"/>
      <c r="CC499" s="485"/>
      <c r="CD499" s="485"/>
      <c r="CE499" s="485"/>
      <c r="CF499" s="485"/>
      <c r="CG499" s="485"/>
      <c r="CH499" s="485"/>
      <c r="CI499" s="485"/>
      <c r="CJ499" s="485"/>
      <c r="CK499" s="485"/>
      <c r="CL499" s="485"/>
      <c r="CM499" s="485"/>
      <c r="CN499" s="485"/>
      <c r="CO499" s="485"/>
      <c r="CP499" s="485"/>
      <c r="CQ499" s="485"/>
      <c r="CR499" s="485"/>
      <c r="CS499" s="485"/>
      <c r="CT499" s="485"/>
      <c r="CU499" s="485"/>
      <c r="CV499" s="485"/>
      <c r="CW499" s="485"/>
      <c r="CX499" s="485"/>
      <c r="CY499" s="485"/>
      <c r="CZ499" s="485"/>
      <c r="DA499" s="485"/>
      <c r="DB499" s="485"/>
      <c r="DC499" s="485"/>
      <c r="DD499" s="485"/>
      <c r="DE499" s="485"/>
      <c r="DF499" s="485"/>
      <c r="DG499" s="485"/>
      <c r="DH499" s="485"/>
      <c r="DI499" s="485"/>
      <c r="DJ499" s="485"/>
      <c r="DK499" s="485"/>
      <c r="DL499" s="485"/>
      <c r="DM499" s="485"/>
      <c r="DN499" s="485"/>
      <c r="DO499" s="485"/>
      <c r="DP499" s="485"/>
      <c r="DQ499" s="485"/>
      <c r="DR499" s="485"/>
      <c r="DS499" s="485"/>
      <c r="DT499" s="485"/>
      <c r="DU499" s="485"/>
      <c r="DV499" s="485"/>
      <c r="DW499" s="485"/>
      <c r="DX499" s="485"/>
      <c r="DY499" s="485"/>
      <c r="DZ499" s="485"/>
      <c r="EA499" s="485"/>
      <c r="EB499" s="485"/>
      <c r="EC499" s="485"/>
      <c r="ED499" s="485"/>
      <c r="EE499" s="485"/>
      <c r="EF499" s="485"/>
      <c r="EG499" s="485"/>
      <c r="EH499" s="485"/>
      <c r="EI499" s="485"/>
      <c r="EJ499" s="485"/>
      <c r="EK499" s="485"/>
      <c r="EL499" s="485"/>
      <c r="EM499" s="485"/>
      <c r="EN499" s="485"/>
      <c r="EO499" s="485"/>
      <c r="EP499" s="485"/>
    </row>
    <row r="500" spans="1:146">
      <c r="A500" s="485"/>
      <c r="B500" s="485"/>
      <c r="C500" s="485"/>
      <c r="D500" s="485"/>
      <c r="E500" s="485"/>
      <c r="F500" s="485"/>
      <c r="G500" s="485"/>
      <c r="H500" s="485"/>
      <c r="I500" s="485"/>
      <c r="J500" s="485"/>
      <c r="K500" s="485"/>
      <c r="L500" s="485"/>
      <c r="M500" s="485"/>
      <c r="P500" s="485"/>
      <c r="Q500" s="485"/>
      <c r="R500" s="485"/>
      <c r="S500" s="485"/>
      <c r="T500" s="485"/>
      <c r="U500" s="485"/>
      <c r="V500" s="485"/>
      <c r="W500" s="485"/>
      <c r="X500" s="485"/>
      <c r="Y500" s="485"/>
      <c r="Z500" s="485"/>
      <c r="AA500" s="485"/>
      <c r="AB500" s="485"/>
      <c r="AC500" s="485"/>
      <c r="AD500" s="485"/>
      <c r="AE500" s="485"/>
      <c r="AF500" s="485"/>
      <c r="AG500" s="485"/>
      <c r="AH500" s="485"/>
      <c r="AI500" s="485"/>
      <c r="AJ500" s="485"/>
      <c r="AK500" s="485"/>
      <c r="AL500" s="485"/>
      <c r="AM500" s="485"/>
      <c r="AN500" s="485"/>
      <c r="AO500" s="485"/>
      <c r="AP500" s="485"/>
      <c r="AQ500" s="485"/>
      <c r="AR500" s="485"/>
      <c r="AS500" s="485"/>
      <c r="AT500" s="485"/>
      <c r="AU500" s="485"/>
      <c r="AV500" s="485"/>
      <c r="AW500" s="485"/>
      <c r="AX500" s="485"/>
      <c r="AY500" s="485"/>
      <c r="AZ500" s="485"/>
      <c r="BA500" s="485"/>
      <c r="BB500" s="485"/>
      <c r="BC500" s="485"/>
      <c r="BD500" s="485"/>
      <c r="BE500" s="485"/>
      <c r="BF500" s="485"/>
      <c r="BG500" s="485"/>
      <c r="BH500" s="485"/>
      <c r="BI500" s="485"/>
      <c r="BJ500" s="485"/>
      <c r="BK500" s="485"/>
      <c r="BL500" s="485"/>
      <c r="BM500" s="485"/>
      <c r="BN500" s="485"/>
      <c r="BO500" s="485"/>
      <c r="BP500" s="485"/>
      <c r="BQ500" s="485"/>
      <c r="BR500" s="485"/>
      <c r="BS500" s="485"/>
      <c r="BT500" s="485"/>
      <c r="BU500" s="485"/>
      <c r="BV500" s="485"/>
      <c r="BW500" s="485"/>
      <c r="BX500" s="485"/>
      <c r="BY500" s="485"/>
      <c r="BZ500" s="485"/>
      <c r="CA500" s="485"/>
      <c r="CB500" s="485"/>
      <c r="CC500" s="485"/>
      <c r="CD500" s="485"/>
      <c r="CE500" s="485"/>
      <c r="CF500" s="485"/>
      <c r="CG500" s="485"/>
      <c r="CH500" s="485"/>
      <c r="CI500" s="485"/>
      <c r="CJ500" s="485"/>
      <c r="CK500" s="485"/>
      <c r="CL500" s="485"/>
      <c r="CM500" s="485"/>
      <c r="CN500" s="485"/>
      <c r="CO500" s="485"/>
      <c r="CP500" s="485"/>
      <c r="CQ500" s="485"/>
      <c r="CR500" s="485"/>
      <c r="CS500" s="485"/>
      <c r="CT500" s="485"/>
      <c r="CU500" s="485"/>
      <c r="CV500" s="485"/>
      <c r="CW500" s="485"/>
      <c r="CX500" s="485"/>
      <c r="CY500" s="485"/>
      <c r="CZ500" s="485"/>
      <c r="DA500" s="485"/>
      <c r="DB500" s="485"/>
      <c r="DC500" s="485"/>
      <c r="DD500" s="485"/>
      <c r="DE500" s="485"/>
      <c r="DF500" s="485"/>
      <c r="DG500" s="485"/>
      <c r="DH500" s="485"/>
      <c r="DI500" s="485"/>
      <c r="DJ500" s="485"/>
      <c r="DK500" s="485"/>
      <c r="DL500" s="485"/>
      <c r="DM500" s="485"/>
      <c r="DN500" s="485"/>
      <c r="DO500" s="485"/>
      <c r="DP500" s="485"/>
      <c r="DQ500" s="485"/>
      <c r="DR500" s="485"/>
      <c r="DS500" s="485"/>
      <c r="DT500" s="485"/>
      <c r="DU500" s="485"/>
      <c r="DV500" s="485"/>
      <c r="DW500" s="485"/>
      <c r="DX500" s="485"/>
      <c r="DY500" s="485"/>
      <c r="DZ500" s="485"/>
      <c r="EA500" s="485"/>
      <c r="EB500" s="485"/>
      <c r="EC500" s="485"/>
      <c r="ED500" s="485"/>
      <c r="EE500" s="485"/>
      <c r="EF500" s="485"/>
      <c r="EG500" s="485"/>
      <c r="EH500" s="485"/>
      <c r="EI500" s="485"/>
      <c r="EJ500" s="485"/>
      <c r="EK500" s="485"/>
      <c r="EL500" s="485"/>
      <c r="EM500" s="485"/>
      <c r="EN500" s="485"/>
      <c r="EO500" s="485"/>
      <c r="EP500" s="485"/>
    </row>
    <row r="501" spans="1:146">
      <c r="A501" s="485"/>
      <c r="B501" s="485"/>
      <c r="C501" s="485"/>
      <c r="D501" s="485"/>
      <c r="E501" s="485"/>
      <c r="F501" s="485"/>
      <c r="G501" s="485"/>
      <c r="H501" s="485"/>
      <c r="I501" s="485"/>
      <c r="J501" s="485"/>
      <c r="K501" s="485"/>
      <c r="L501" s="485"/>
      <c r="M501" s="485"/>
      <c r="P501" s="485"/>
      <c r="Q501" s="485"/>
      <c r="R501" s="485"/>
      <c r="S501" s="485"/>
      <c r="T501" s="485"/>
      <c r="U501" s="485"/>
      <c r="V501" s="485"/>
      <c r="W501" s="485"/>
      <c r="X501" s="485"/>
      <c r="Y501" s="485"/>
      <c r="Z501" s="485"/>
      <c r="AA501" s="485"/>
      <c r="AB501" s="485"/>
      <c r="AC501" s="485"/>
      <c r="AD501" s="485"/>
      <c r="AE501" s="485"/>
      <c r="AF501" s="485"/>
      <c r="AG501" s="485"/>
      <c r="AH501" s="485"/>
      <c r="AI501" s="485"/>
      <c r="AJ501" s="485"/>
      <c r="AK501" s="485"/>
      <c r="AL501" s="485"/>
      <c r="AM501" s="485"/>
      <c r="AN501" s="485"/>
      <c r="AO501" s="485"/>
      <c r="AP501" s="485"/>
      <c r="AQ501" s="485"/>
      <c r="AR501" s="485"/>
      <c r="AS501" s="485"/>
      <c r="AT501" s="485"/>
      <c r="AU501" s="485"/>
      <c r="AV501" s="485"/>
      <c r="AW501" s="485"/>
      <c r="AX501" s="485"/>
      <c r="AY501" s="485"/>
      <c r="AZ501" s="485"/>
      <c r="BA501" s="485"/>
      <c r="BB501" s="485"/>
      <c r="BC501" s="485"/>
      <c r="BD501" s="485"/>
      <c r="BE501" s="485"/>
      <c r="BF501" s="485"/>
      <c r="BG501" s="485"/>
      <c r="BH501" s="485"/>
      <c r="BI501" s="485"/>
      <c r="BJ501" s="485"/>
      <c r="BK501" s="485"/>
      <c r="BL501" s="485"/>
      <c r="BM501" s="485"/>
      <c r="BN501" s="485"/>
      <c r="BO501" s="485"/>
      <c r="BP501" s="485"/>
      <c r="BQ501" s="485"/>
      <c r="BR501" s="485"/>
      <c r="BS501" s="485"/>
      <c r="BT501" s="485"/>
      <c r="BU501" s="485"/>
      <c r="BV501" s="485"/>
      <c r="BW501" s="485"/>
      <c r="BX501" s="485"/>
      <c r="BY501" s="485"/>
      <c r="BZ501" s="485"/>
      <c r="CA501" s="485"/>
      <c r="CB501" s="485"/>
      <c r="CC501" s="485"/>
      <c r="CD501" s="485"/>
      <c r="CE501" s="485"/>
      <c r="CF501" s="485"/>
      <c r="CG501" s="485"/>
      <c r="CH501" s="485"/>
      <c r="CI501" s="485"/>
      <c r="CJ501" s="485"/>
      <c r="CK501" s="485"/>
      <c r="CL501" s="485"/>
      <c r="CM501" s="485"/>
      <c r="CN501" s="485"/>
      <c r="CO501" s="485"/>
      <c r="CP501" s="485"/>
      <c r="CQ501" s="485"/>
      <c r="CR501" s="485"/>
      <c r="CS501" s="485"/>
      <c r="CT501" s="485"/>
      <c r="CU501" s="485"/>
      <c r="CV501" s="485"/>
      <c r="CW501" s="485"/>
      <c r="CX501" s="485"/>
      <c r="CY501" s="485"/>
      <c r="CZ501" s="485"/>
      <c r="DA501" s="485"/>
      <c r="DB501" s="485"/>
      <c r="DC501" s="485"/>
      <c r="DD501" s="485"/>
      <c r="DE501" s="485"/>
      <c r="DF501" s="485"/>
      <c r="DG501" s="485"/>
      <c r="DH501" s="485"/>
      <c r="DI501" s="485"/>
      <c r="DJ501" s="485"/>
      <c r="DK501" s="485"/>
      <c r="DL501" s="485"/>
      <c r="DM501" s="485"/>
      <c r="DN501" s="485"/>
      <c r="DO501" s="485"/>
      <c r="DP501" s="485"/>
      <c r="DQ501" s="485"/>
      <c r="DR501" s="485"/>
      <c r="DS501" s="485"/>
      <c r="DT501" s="485"/>
      <c r="DU501" s="485"/>
      <c r="DV501" s="485"/>
      <c r="DW501" s="485"/>
      <c r="DX501" s="485"/>
      <c r="DY501" s="485"/>
      <c r="DZ501" s="485"/>
      <c r="EA501" s="485"/>
      <c r="EB501" s="485"/>
      <c r="EC501" s="485"/>
      <c r="ED501" s="485"/>
      <c r="EE501" s="485"/>
      <c r="EF501" s="485"/>
      <c r="EG501" s="485"/>
      <c r="EH501" s="485"/>
      <c r="EI501" s="485"/>
      <c r="EJ501" s="485"/>
      <c r="EK501" s="485"/>
      <c r="EL501" s="485"/>
      <c r="EM501" s="485"/>
      <c r="EN501" s="485"/>
      <c r="EO501" s="485"/>
      <c r="EP501" s="485"/>
    </row>
    <row r="502" spans="1:146">
      <c r="A502" s="485"/>
      <c r="B502" s="485"/>
      <c r="C502" s="485"/>
      <c r="D502" s="485"/>
      <c r="E502" s="485"/>
      <c r="F502" s="485"/>
      <c r="G502" s="485"/>
      <c r="H502" s="485"/>
      <c r="I502" s="485"/>
      <c r="J502" s="485"/>
      <c r="K502" s="485"/>
      <c r="L502" s="485"/>
      <c r="M502" s="485"/>
      <c r="P502" s="485"/>
      <c r="Q502" s="485"/>
      <c r="R502" s="485"/>
      <c r="S502" s="485"/>
      <c r="T502" s="485"/>
      <c r="U502" s="485"/>
      <c r="V502" s="485"/>
      <c r="W502" s="485"/>
      <c r="X502" s="485"/>
      <c r="Y502" s="485"/>
      <c r="Z502" s="485"/>
      <c r="AA502" s="485"/>
      <c r="AB502" s="485"/>
      <c r="AC502" s="485"/>
      <c r="AD502" s="485"/>
      <c r="AE502" s="485"/>
      <c r="AF502" s="485"/>
      <c r="AG502" s="485"/>
      <c r="AH502" s="485"/>
      <c r="AI502" s="485"/>
      <c r="AJ502" s="485"/>
      <c r="AK502" s="485"/>
      <c r="AL502" s="485"/>
      <c r="AM502" s="485"/>
      <c r="AN502" s="485"/>
      <c r="AO502" s="485"/>
      <c r="AP502" s="485"/>
      <c r="AQ502" s="485"/>
      <c r="AR502" s="485"/>
      <c r="AS502" s="485"/>
      <c r="AT502" s="485"/>
      <c r="AU502" s="485"/>
      <c r="AV502" s="485"/>
      <c r="AW502" s="485"/>
      <c r="AX502" s="485"/>
      <c r="AY502" s="485"/>
      <c r="AZ502" s="485"/>
      <c r="BA502" s="485"/>
      <c r="BB502" s="485"/>
      <c r="BC502" s="485"/>
      <c r="BD502" s="485"/>
      <c r="BE502" s="485"/>
      <c r="BF502" s="485"/>
      <c r="BG502" s="485"/>
      <c r="BH502" s="485"/>
      <c r="BI502" s="485"/>
      <c r="BJ502" s="485"/>
      <c r="BK502" s="485"/>
      <c r="BL502" s="485"/>
      <c r="BM502" s="485"/>
      <c r="BN502" s="485"/>
      <c r="BO502" s="485"/>
      <c r="BP502" s="485"/>
      <c r="BQ502" s="485"/>
      <c r="BR502" s="485"/>
      <c r="BS502" s="485"/>
      <c r="BT502" s="485"/>
      <c r="BU502" s="485"/>
      <c r="BV502" s="485"/>
      <c r="BW502" s="485"/>
      <c r="BX502" s="485"/>
      <c r="BY502" s="485"/>
      <c r="BZ502" s="485"/>
      <c r="CA502" s="485"/>
      <c r="CB502" s="485"/>
      <c r="CC502" s="485"/>
      <c r="CD502" s="485"/>
      <c r="CE502" s="485"/>
      <c r="CF502" s="485"/>
      <c r="CG502" s="485"/>
      <c r="CH502" s="485"/>
      <c r="CI502" s="485"/>
      <c r="CJ502" s="485"/>
      <c r="CK502" s="485"/>
      <c r="CL502" s="485"/>
      <c r="CM502" s="485"/>
      <c r="CN502" s="485"/>
      <c r="CO502" s="485"/>
      <c r="CP502" s="485"/>
      <c r="CQ502" s="485"/>
      <c r="CR502" s="485"/>
      <c r="CS502" s="485"/>
      <c r="CT502" s="485"/>
      <c r="CU502" s="485"/>
      <c r="CV502" s="485"/>
      <c r="CW502" s="485"/>
      <c r="CX502" s="485"/>
      <c r="CY502" s="485"/>
      <c r="CZ502" s="485"/>
      <c r="DA502" s="485"/>
      <c r="DB502" s="485"/>
      <c r="DC502" s="485"/>
      <c r="DD502" s="485"/>
      <c r="DE502" s="485"/>
      <c r="DF502" s="485"/>
      <c r="DG502" s="485"/>
      <c r="DH502" s="485"/>
      <c r="DI502" s="485"/>
      <c r="DJ502" s="485"/>
      <c r="DK502" s="485"/>
      <c r="DL502" s="485"/>
      <c r="DM502" s="485"/>
      <c r="DN502" s="485"/>
      <c r="DO502" s="485"/>
      <c r="DP502" s="485"/>
      <c r="DQ502" s="485"/>
      <c r="DR502" s="485"/>
      <c r="DS502" s="485"/>
      <c r="DT502" s="485"/>
      <c r="DU502" s="485"/>
      <c r="DV502" s="485"/>
      <c r="DW502" s="485"/>
      <c r="DX502" s="485"/>
      <c r="DY502" s="485"/>
      <c r="DZ502" s="485"/>
      <c r="EA502" s="485"/>
      <c r="EB502" s="485"/>
      <c r="EC502" s="485"/>
      <c r="ED502" s="485"/>
      <c r="EE502" s="485"/>
      <c r="EF502" s="485"/>
      <c r="EG502" s="485"/>
      <c r="EH502" s="485"/>
      <c r="EI502" s="485"/>
      <c r="EJ502" s="485"/>
      <c r="EK502" s="485"/>
      <c r="EL502" s="485"/>
      <c r="EM502" s="485"/>
      <c r="EN502" s="485"/>
      <c r="EO502" s="485"/>
      <c r="EP502" s="485"/>
    </row>
    <row r="503" spans="1:146">
      <c r="A503" s="485"/>
      <c r="B503" s="485"/>
      <c r="C503" s="485"/>
      <c r="D503" s="485"/>
      <c r="E503" s="485"/>
      <c r="F503" s="485"/>
      <c r="G503" s="485"/>
      <c r="H503" s="485"/>
      <c r="I503" s="485"/>
      <c r="J503" s="485"/>
      <c r="K503" s="485"/>
      <c r="L503" s="485"/>
      <c r="M503" s="485"/>
      <c r="P503" s="485"/>
      <c r="Q503" s="485"/>
      <c r="R503" s="485"/>
      <c r="S503" s="485"/>
      <c r="T503" s="485"/>
      <c r="U503" s="485"/>
      <c r="V503" s="485"/>
      <c r="W503" s="485"/>
      <c r="X503" s="485"/>
      <c r="Y503" s="485"/>
      <c r="Z503" s="485"/>
      <c r="AA503" s="485"/>
      <c r="AB503" s="485"/>
      <c r="AC503" s="485"/>
      <c r="AD503" s="485"/>
      <c r="AE503" s="485"/>
      <c r="AF503" s="485"/>
      <c r="AG503" s="485"/>
      <c r="AH503" s="485"/>
      <c r="AI503" s="485"/>
      <c r="AJ503" s="485"/>
      <c r="AK503" s="485"/>
      <c r="AL503" s="485"/>
      <c r="AM503" s="485"/>
      <c r="AN503" s="485"/>
      <c r="AO503" s="485"/>
      <c r="AP503" s="485"/>
      <c r="AQ503" s="485"/>
      <c r="AR503" s="485"/>
      <c r="AS503" s="485"/>
      <c r="AT503" s="485"/>
      <c r="AU503" s="485"/>
      <c r="AV503" s="485"/>
      <c r="AW503" s="485"/>
      <c r="AX503" s="485"/>
      <c r="AY503" s="485"/>
      <c r="AZ503" s="485"/>
      <c r="BA503" s="485"/>
      <c r="BB503" s="485"/>
      <c r="BC503" s="485"/>
      <c r="BD503" s="485"/>
      <c r="BE503" s="485"/>
      <c r="BF503" s="485"/>
      <c r="BG503" s="485"/>
      <c r="BH503" s="485"/>
      <c r="BI503" s="485"/>
      <c r="BJ503" s="485"/>
      <c r="BK503" s="485"/>
      <c r="BL503" s="485"/>
      <c r="BM503" s="485"/>
      <c r="BN503" s="485"/>
      <c r="BO503" s="485"/>
      <c r="BP503" s="485"/>
      <c r="BQ503" s="485"/>
      <c r="BR503" s="485"/>
      <c r="BS503" s="485"/>
      <c r="BT503" s="485"/>
      <c r="BU503" s="485"/>
      <c r="BV503" s="485"/>
      <c r="BW503" s="485"/>
      <c r="BX503" s="485"/>
      <c r="BY503" s="485"/>
      <c r="BZ503" s="485"/>
      <c r="CA503" s="485"/>
      <c r="CB503" s="485"/>
      <c r="CC503" s="485"/>
      <c r="CD503" s="485"/>
      <c r="CE503" s="485"/>
      <c r="CF503" s="485"/>
      <c r="CG503" s="485"/>
      <c r="CH503" s="485"/>
      <c r="CI503" s="485"/>
      <c r="CJ503" s="485"/>
      <c r="CK503" s="485"/>
      <c r="CL503" s="485"/>
      <c r="CM503" s="485"/>
      <c r="CN503" s="485"/>
      <c r="CO503" s="485"/>
      <c r="CP503" s="485"/>
      <c r="CQ503" s="485"/>
      <c r="CR503" s="485"/>
      <c r="CS503" s="485"/>
      <c r="CT503" s="485"/>
      <c r="CU503" s="485"/>
      <c r="CV503" s="485"/>
      <c r="CW503" s="485"/>
      <c r="CX503" s="485"/>
      <c r="CY503" s="485"/>
      <c r="CZ503" s="485"/>
      <c r="DA503" s="485"/>
      <c r="DB503" s="485"/>
      <c r="DC503" s="485"/>
      <c r="DD503" s="485"/>
      <c r="DE503" s="485"/>
      <c r="DF503" s="485"/>
      <c r="DG503" s="485"/>
      <c r="DH503" s="485"/>
      <c r="DI503" s="485"/>
      <c r="DJ503" s="485"/>
      <c r="DK503" s="485"/>
      <c r="DL503" s="485"/>
      <c r="DM503" s="485"/>
      <c r="DN503" s="485"/>
      <c r="DO503" s="485"/>
      <c r="DP503" s="485"/>
      <c r="DQ503" s="485"/>
      <c r="DR503" s="485"/>
      <c r="DS503" s="485"/>
      <c r="DT503" s="485"/>
      <c r="DU503" s="485"/>
      <c r="DV503" s="485"/>
      <c r="DW503" s="485"/>
      <c r="DX503" s="485"/>
      <c r="DY503" s="485"/>
      <c r="DZ503" s="485"/>
      <c r="EA503" s="485"/>
      <c r="EB503" s="485"/>
      <c r="EC503" s="485"/>
      <c r="ED503" s="485"/>
      <c r="EE503" s="485"/>
      <c r="EF503" s="485"/>
      <c r="EG503" s="485"/>
      <c r="EH503" s="485"/>
      <c r="EI503" s="485"/>
      <c r="EJ503" s="485"/>
      <c r="EK503" s="485"/>
      <c r="EL503" s="485"/>
      <c r="EM503" s="485"/>
      <c r="EN503" s="485"/>
      <c r="EO503" s="485"/>
      <c r="EP503" s="485"/>
    </row>
    <row r="504" spans="1:146">
      <c r="A504" s="485"/>
      <c r="B504" s="485"/>
      <c r="C504" s="485"/>
      <c r="D504" s="485"/>
      <c r="E504" s="485"/>
      <c r="F504" s="485"/>
      <c r="G504" s="485"/>
      <c r="H504" s="485"/>
      <c r="I504" s="485"/>
      <c r="J504" s="485"/>
      <c r="K504" s="485"/>
      <c r="L504" s="485"/>
      <c r="M504" s="485"/>
      <c r="P504" s="485"/>
      <c r="Q504" s="485"/>
      <c r="R504" s="485"/>
      <c r="S504" s="485"/>
      <c r="T504" s="485"/>
      <c r="U504" s="485"/>
      <c r="V504" s="485"/>
      <c r="W504" s="485"/>
      <c r="X504" s="485"/>
      <c r="Y504" s="485"/>
      <c r="Z504" s="485"/>
      <c r="AA504" s="485"/>
      <c r="AB504" s="485"/>
      <c r="AC504" s="485"/>
      <c r="AD504" s="485"/>
      <c r="AE504" s="485"/>
      <c r="AF504" s="485"/>
      <c r="AG504" s="485"/>
      <c r="AH504" s="485"/>
      <c r="AI504" s="485"/>
      <c r="AJ504" s="485"/>
      <c r="AK504" s="485"/>
      <c r="AL504" s="485"/>
      <c r="AM504" s="485"/>
      <c r="AN504" s="485"/>
      <c r="AO504" s="485"/>
      <c r="AP504" s="485"/>
      <c r="AQ504" s="485"/>
      <c r="AR504" s="485"/>
      <c r="AS504" s="485"/>
      <c r="AT504" s="485"/>
      <c r="AU504" s="485"/>
      <c r="AV504" s="485"/>
      <c r="AW504" s="485"/>
      <c r="AX504" s="485"/>
      <c r="AY504" s="485"/>
      <c r="AZ504" s="485"/>
      <c r="BA504" s="485"/>
      <c r="BB504" s="485"/>
      <c r="BC504" s="485"/>
      <c r="BD504" s="485"/>
      <c r="BE504" s="485"/>
      <c r="BF504" s="485"/>
      <c r="BG504" s="485"/>
      <c r="BH504" s="485"/>
      <c r="BI504" s="485"/>
      <c r="BJ504" s="485"/>
      <c r="BK504" s="485"/>
      <c r="BL504" s="485"/>
      <c r="BM504" s="485"/>
      <c r="BN504" s="485"/>
      <c r="BO504" s="485"/>
      <c r="BP504" s="485"/>
      <c r="BQ504" s="485"/>
      <c r="BR504" s="485"/>
      <c r="BS504" s="485"/>
      <c r="BT504" s="485"/>
      <c r="BU504" s="485"/>
      <c r="BV504" s="485"/>
      <c r="BW504" s="485"/>
      <c r="BX504" s="485"/>
      <c r="BY504" s="485"/>
      <c r="BZ504" s="485"/>
      <c r="CA504" s="485"/>
      <c r="CB504" s="485"/>
      <c r="CC504" s="485"/>
      <c r="CD504" s="485"/>
      <c r="CE504" s="485"/>
      <c r="CF504" s="485"/>
      <c r="CG504" s="485"/>
      <c r="CH504" s="485"/>
      <c r="CI504" s="485"/>
      <c r="CJ504" s="485"/>
      <c r="CK504" s="485"/>
      <c r="CL504" s="485"/>
      <c r="CM504" s="485"/>
      <c r="CN504" s="485"/>
      <c r="CO504" s="485"/>
      <c r="CP504" s="485"/>
      <c r="CQ504" s="485"/>
      <c r="CR504" s="485"/>
      <c r="CS504" s="485"/>
      <c r="CT504" s="485"/>
      <c r="CU504" s="485"/>
      <c r="CV504" s="485"/>
      <c r="CW504" s="485"/>
      <c r="CX504" s="485"/>
      <c r="CY504" s="485"/>
      <c r="CZ504" s="485"/>
      <c r="DA504" s="485"/>
      <c r="DB504" s="485"/>
      <c r="DC504" s="485"/>
      <c r="DD504" s="485"/>
      <c r="DE504" s="485"/>
      <c r="DF504" s="485"/>
      <c r="DG504" s="485"/>
      <c r="DH504" s="485"/>
      <c r="DI504" s="485"/>
      <c r="DJ504" s="485"/>
      <c r="DK504" s="485"/>
      <c r="DL504" s="485"/>
      <c r="DM504" s="485"/>
      <c r="DN504" s="485"/>
      <c r="DO504" s="485"/>
      <c r="DP504" s="485"/>
      <c r="DQ504" s="485"/>
      <c r="DR504" s="485"/>
      <c r="DS504" s="485"/>
      <c r="DT504" s="485"/>
      <c r="DU504" s="485"/>
      <c r="DV504" s="485"/>
      <c r="DW504" s="485"/>
      <c r="DX504" s="485"/>
      <c r="DY504" s="485"/>
      <c r="DZ504" s="485"/>
      <c r="EA504" s="485"/>
      <c r="EB504" s="485"/>
      <c r="EC504" s="485"/>
      <c r="ED504" s="485"/>
      <c r="EE504" s="485"/>
      <c r="EF504" s="485"/>
      <c r="EG504" s="485"/>
      <c r="EH504" s="485"/>
      <c r="EI504" s="485"/>
      <c r="EJ504" s="485"/>
      <c r="EK504" s="485"/>
      <c r="EL504" s="485"/>
      <c r="EM504" s="485"/>
      <c r="EN504" s="485"/>
      <c r="EO504" s="485"/>
      <c r="EP504" s="485"/>
    </row>
    <row r="505" spans="1:146">
      <c r="A505" s="485"/>
      <c r="B505" s="485"/>
      <c r="C505" s="485"/>
      <c r="D505" s="485"/>
      <c r="E505" s="485"/>
      <c r="F505" s="485"/>
      <c r="G505" s="485"/>
      <c r="H505" s="485"/>
      <c r="I505" s="485"/>
      <c r="J505" s="485"/>
      <c r="K505" s="485"/>
      <c r="L505" s="485"/>
      <c r="M505" s="485"/>
      <c r="P505" s="485"/>
      <c r="Q505" s="485"/>
      <c r="R505" s="485"/>
      <c r="S505" s="485"/>
      <c r="T505" s="485"/>
      <c r="U505" s="485"/>
      <c r="V505" s="485"/>
      <c r="W505" s="485"/>
      <c r="X505" s="485"/>
      <c r="Y505" s="485"/>
      <c r="Z505" s="485"/>
      <c r="AA505" s="485"/>
      <c r="AB505" s="485"/>
      <c r="AC505" s="485"/>
      <c r="AD505" s="485"/>
      <c r="AE505" s="485"/>
      <c r="AF505" s="485"/>
      <c r="AG505" s="485"/>
      <c r="AH505" s="485"/>
      <c r="AI505" s="485"/>
      <c r="AJ505" s="485"/>
      <c r="AK505" s="485"/>
      <c r="AL505" s="485"/>
      <c r="AM505" s="485"/>
      <c r="AN505" s="485"/>
      <c r="AO505" s="485"/>
      <c r="AP505" s="485"/>
      <c r="AQ505" s="485"/>
      <c r="AR505" s="485"/>
      <c r="AS505" s="485"/>
      <c r="AT505" s="485"/>
      <c r="AU505" s="485"/>
      <c r="AV505" s="485"/>
      <c r="AW505" s="485"/>
      <c r="AX505" s="485"/>
      <c r="AY505" s="485"/>
      <c r="AZ505" s="485"/>
      <c r="BA505" s="485"/>
      <c r="BB505" s="485"/>
      <c r="BC505" s="485"/>
      <c r="BD505" s="485"/>
      <c r="BE505" s="485"/>
      <c r="BF505" s="485"/>
      <c r="BG505" s="485"/>
      <c r="BH505" s="485"/>
      <c r="BI505" s="485"/>
      <c r="BJ505" s="485"/>
      <c r="BK505" s="485"/>
      <c r="BL505" s="485"/>
      <c r="BM505" s="485"/>
      <c r="BN505" s="485"/>
      <c r="BO505" s="485"/>
      <c r="BP505" s="485"/>
      <c r="BQ505" s="485"/>
      <c r="BR505" s="485"/>
      <c r="BS505" s="485"/>
      <c r="BT505" s="485"/>
      <c r="BU505" s="485"/>
      <c r="BV505" s="485"/>
      <c r="BW505" s="485"/>
      <c r="BX505" s="485"/>
      <c r="BY505" s="485"/>
      <c r="BZ505" s="485"/>
      <c r="CA505" s="485"/>
      <c r="CB505" s="485"/>
      <c r="CC505" s="485"/>
      <c r="CD505" s="485"/>
      <c r="CE505" s="485"/>
      <c r="CF505" s="485"/>
      <c r="CG505" s="485"/>
      <c r="CH505" s="485"/>
      <c r="CI505" s="485"/>
      <c r="CJ505" s="485"/>
      <c r="CK505" s="485"/>
      <c r="CL505" s="485"/>
      <c r="CM505" s="485"/>
      <c r="CN505" s="485"/>
      <c r="CO505" s="485"/>
      <c r="CP505" s="485"/>
      <c r="CQ505" s="485"/>
      <c r="CR505" s="485"/>
      <c r="CS505" s="485"/>
      <c r="CT505" s="485"/>
      <c r="CU505" s="485"/>
      <c r="CV505" s="485"/>
      <c r="CW505" s="485"/>
      <c r="CX505" s="485"/>
      <c r="CY505" s="485"/>
      <c r="CZ505" s="485"/>
      <c r="DA505" s="485"/>
      <c r="DB505" s="485"/>
      <c r="DC505" s="485"/>
      <c r="DD505" s="485"/>
      <c r="DE505" s="485"/>
      <c r="DF505" s="485"/>
      <c r="DG505" s="485"/>
      <c r="DH505" s="485"/>
      <c r="DI505" s="485"/>
      <c r="DJ505" s="485"/>
      <c r="DK505" s="485"/>
      <c r="DL505" s="485"/>
      <c r="DM505" s="485"/>
      <c r="DN505" s="485"/>
      <c r="DO505" s="485"/>
      <c r="DP505" s="485"/>
      <c r="DQ505" s="485"/>
      <c r="DR505" s="485"/>
      <c r="DS505" s="485"/>
      <c r="DT505" s="485"/>
      <c r="DU505" s="485"/>
      <c r="DV505" s="485"/>
      <c r="DW505" s="485"/>
      <c r="DX505" s="485"/>
      <c r="DY505" s="485"/>
      <c r="DZ505" s="485"/>
      <c r="EA505" s="485"/>
      <c r="EB505" s="485"/>
      <c r="EC505" s="485"/>
      <c r="ED505" s="485"/>
      <c r="EE505" s="485"/>
      <c r="EF505" s="485"/>
      <c r="EG505" s="485"/>
      <c r="EH505" s="485"/>
      <c r="EI505" s="485"/>
      <c r="EJ505" s="485"/>
      <c r="EK505" s="485"/>
      <c r="EL505" s="485"/>
      <c r="EM505" s="485"/>
      <c r="EN505" s="485"/>
      <c r="EO505" s="485"/>
      <c r="EP505" s="485"/>
    </row>
    <row r="506" spans="1:146">
      <c r="A506" s="485"/>
      <c r="B506" s="485"/>
      <c r="C506" s="485"/>
      <c r="D506" s="485"/>
      <c r="E506" s="485"/>
      <c r="F506" s="485"/>
      <c r="G506" s="485"/>
      <c r="H506" s="485"/>
      <c r="I506" s="485"/>
      <c r="J506" s="485"/>
      <c r="K506" s="485"/>
      <c r="L506" s="485"/>
      <c r="M506" s="485"/>
      <c r="P506" s="485"/>
      <c r="Q506" s="485"/>
      <c r="R506" s="485"/>
      <c r="S506" s="485"/>
      <c r="T506" s="485"/>
      <c r="U506" s="485"/>
      <c r="V506" s="485"/>
      <c r="W506" s="485"/>
      <c r="X506" s="485"/>
      <c r="Y506" s="485"/>
      <c r="Z506" s="485"/>
      <c r="AA506" s="485"/>
      <c r="AB506" s="485"/>
      <c r="AC506" s="485"/>
      <c r="AD506" s="485"/>
      <c r="AE506" s="485"/>
      <c r="AF506" s="485"/>
      <c r="AG506" s="485"/>
      <c r="AH506" s="485"/>
      <c r="AI506" s="485"/>
      <c r="AJ506" s="485"/>
      <c r="AK506" s="485"/>
      <c r="AL506" s="485"/>
      <c r="AM506" s="485"/>
      <c r="AN506" s="485"/>
      <c r="AO506" s="485"/>
      <c r="AP506" s="485"/>
      <c r="AQ506" s="485"/>
      <c r="AR506" s="485"/>
      <c r="AS506" s="485"/>
      <c r="AT506" s="485"/>
      <c r="AU506" s="485"/>
      <c r="AV506" s="485"/>
      <c r="AW506" s="485"/>
      <c r="AX506" s="485"/>
      <c r="AY506" s="485"/>
      <c r="AZ506" s="485"/>
      <c r="BA506" s="485"/>
      <c r="BB506" s="485"/>
      <c r="BC506" s="485"/>
      <c r="BD506" s="485"/>
      <c r="BE506" s="485"/>
      <c r="BF506" s="485"/>
      <c r="BG506" s="485"/>
      <c r="BH506" s="485"/>
      <c r="BI506" s="485"/>
      <c r="BJ506" s="485"/>
      <c r="BK506" s="485"/>
      <c r="BL506" s="485"/>
      <c r="BM506" s="485"/>
      <c r="BN506" s="485"/>
      <c r="BO506" s="485"/>
      <c r="BP506" s="485"/>
      <c r="BQ506" s="485"/>
      <c r="BR506" s="485"/>
      <c r="BS506" s="485"/>
      <c r="BT506" s="485"/>
      <c r="BU506" s="485"/>
      <c r="BV506" s="485"/>
      <c r="BW506" s="485"/>
      <c r="BX506" s="485"/>
      <c r="BY506" s="485"/>
      <c r="BZ506" s="485"/>
      <c r="CA506" s="485"/>
      <c r="CB506" s="485"/>
      <c r="CC506" s="485"/>
      <c r="CD506" s="485"/>
      <c r="CE506" s="485"/>
      <c r="CF506" s="485"/>
      <c r="CG506" s="485"/>
      <c r="CH506" s="485"/>
      <c r="CI506" s="485"/>
      <c r="CJ506" s="485"/>
      <c r="CK506" s="485"/>
      <c r="CL506" s="485"/>
      <c r="CM506" s="485"/>
      <c r="CN506" s="485"/>
      <c r="CO506" s="485"/>
      <c r="CP506" s="485"/>
      <c r="CQ506" s="485"/>
      <c r="CR506" s="485"/>
      <c r="CS506" s="485"/>
      <c r="CT506" s="485"/>
      <c r="CU506" s="485"/>
      <c r="CV506" s="485"/>
      <c r="CW506" s="485"/>
      <c r="CX506" s="485"/>
      <c r="CY506" s="485"/>
      <c r="CZ506" s="485"/>
      <c r="DA506" s="485"/>
      <c r="DB506" s="485"/>
      <c r="DC506" s="485"/>
      <c r="DD506" s="485"/>
      <c r="DE506" s="485"/>
      <c r="DF506" s="485"/>
      <c r="DG506" s="485"/>
      <c r="DH506" s="485"/>
      <c r="DI506" s="485"/>
      <c r="DJ506" s="485"/>
      <c r="DK506" s="485"/>
      <c r="DL506" s="485"/>
      <c r="DM506" s="485"/>
      <c r="DN506" s="485"/>
      <c r="DO506" s="485"/>
      <c r="DP506" s="485"/>
      <c r="DQ506" s="485"/>
      <c r="DR506" s="485"/>
      <c r="DS506" s="485"/>
      <c r="DT506" s="485"/>
      <c r="DU506" s="485"/>
      <c r="DV506" s="485"/>
      <c r="DW506" s="485"/>
      <c r="DX506" s="485"/>
      <c r="DY506" s="485"/>
      <c r="DZ506" s="485"/>
      <c r="EA506" s="485"/>
      <c r="EB506" s="485"/>
      <c r="EC506" s="485"/>
      <c r="ED506" s="485"/>
      <c r="EE506" s="485"/>
      <c r="EF506" s="485"/>
      <c r="EG506" s="485"/>
      <c r="EH506" s="485"/>
      <c r="EI506" s="485"/>
      <c r="EJ506" s="485"/>
      <c r="EK506" s="485"/>
      <c r="EL506" s="485"/>
      <c r="EM506" s="485"/>
      <c r="EN506" s="485"/>
      <c r="EO506" s="485"/>
      <c r="EP506" s="485"/>
    </row>
    <row r="507" spans="1:146">
      <c r="A507" s="485"/>
      <c r="B507" s="485"/>
      <c r="C507" s="485"/>
      <c r="D507" s="485"/>
      <c r="E507" s="485"/>
      <c r="F507" s="485"/>
      <c r="G507" s="485"/>
      <c r="H507" s="485"/>
      <c r="I507" s="485"/>
      <c r="J507" s="485"/>
      <c r="K507" s="485"/>
      <c r="L507" s="485"/>
      <c r="M507" s="485"/>
      <c r="P507" s="485"/>
      <c r="Q507" s="485"/>
      <c r="R507" s="485"/>
      <c r="S507" s="485"/>
      <c r="T507" s="485"/>
      <c r="U507" s="485"/>
      <c r="V507" s="485"/>
      <c r="W507" s="485"/>
      <c r="X507" s="485"/>
      <c r="Y507" s="485"/>
      <c r="Z507" s="485"/>
      <c r="AA507" s="485"/>
      <c r="AB507" s="485"/>
      <c r="AC507" s="485"/>
      <c r="AD507" s="485"/>
      <c r="AE507" s="485"/>
      <c r="AF507" s="485"/>
      <c r="AG507" s="485"/>
      <c r="AH507" s="485"/>
      <c r="AI507" s="485"/>
      <c r="AJ507" s="485"/>
      <c r="AK507" s="485"/>
      <c r="AL507" s="485"/>
      <c r="AM507" s="485"/>
      <c r="AN507" s="485"/>
      <c r="AO507" s="485"/>
      <c r="AP507" s="485"/>
      <c r="AQ507" s="485"/>
      <c r="AR507" s="485"/>
      <c r="AS507" s="485"/>
      <c r="AT507" s="485"/>
      <c r="AU507" s="485"/>
      <c r="AV507" s="485"/>
      <c r="AW507" s="485"/>
      <c r="AX507" s="485"/>
      <c r="AY507" s="485"/>
      <c r="AZ507" s="485"/>
      <c r="BA507" s="485"/>
      <c r="BB507" s="485"/>
      <c r="BC507" s="485"/>
      <c r="BD507" s="485"/>
      <c r="BE507" s="485"/>
      <c r="BF507" s="485"/>
      <c r="BG507" s="485"/>
      <c r="BH507" s="485"/>
      <c r="BI507" s="485"/>
      <c r="BJ507" s="485"/>
      <c r="BK507" s="485"/>
      <c r="BL507" s="485"/>
      <c r="BM507" s="485"/>
      <c r="BN507" s="485"/>
      <c r="BO507" s="485"/>
      <c r="BP507" s="485"/>
      <c r="BQ507" s="485"/>
      <c r="BR507" s="485"/>
      <c r="BS507" s="485"/>
      <c r="BT507" s="485"/>
      <c r="BU507" s="485"/>
      <c r="BV507" s="485"/>
      <c r="BW507" s="485"/>
      <c r="BX507" s="485"/>
      <c r="BY507" s="485"/>
      <c r="BZ507" s="485"/>
      <c r="CA507" s="485"/>
      <c r="CB507" s="485"/>
      <c r="CC507" s="485"/>
      <c r="CD507" s="485"/>
      <c r="CE507" s="485"/>
      <c r="CF507" s="485"/>
      <c r="CG507" s="485"/>
      <c r="CH507" s="485"/>
      <c r="CI507" s="485"/>
      <c r="CJ507" s="485"/>
      <c r="CK507" s="485"/>
      <c r="CL507" s="485"/>
      <c r="CM507" s="485"/>
      <c r="CN507" s="485"/>
      <c r="CO507" s="485"/>
      <c r="CP507" s="485"/>
      <c r="CQ507" s="485"/>
      <c r="CR507" s="485"/>
      <c r="CS507" s="485"/>
      <c r="CT507" s="485"/>
      <c r="CU507" s="485"/>
      <c r="CV507" s="485"/>
      <c r="CW507" s="485"/>
      <c r="CX507" s="485"/>
      <c r="CY507" s="485"/>
      <c r="CZ507" s="485"/>
      <c r="DA507" s="485"/>
      <c r="DB507" s="485"/>
      <c r="DC507" s="485"/>
      <c r="DD507" s="485"/>
      <c r="DE507" s="485"/>
      <c r="DF507" s="485"/>
      <c r="DG507" s="485"/>
      <c r="DH507" s="485"/>
      <c r="DI507" s="485"/>
      <c r="DJ507" s="485"/>
      <c r="DK507" s="485"/>
      <c r="DL507" s="485"/>
      <c r="DM507" s="485"/>
      <c r="DN507" s="485"/>
      <c r="DO507" s="485"/>
      <c r="DP507" s="485"/>
      <c r="DQ507" s="485"/>
      <c r="DR507" s="485"/>
      <c r="DS507" s="485"/>
      <c r="DT507" s="485"/>
      <c r="DU507" s="485"/>
      <c r="DV507" s="485"/>
      <c r="DW507" s="485"/>
      <c r="DX507" s="485"/>
      <c r="DY507" s="485"/>
      <c r="DZ507" s="485"/>
      <c r="EA507" s="485"/>
      <c r="EB507" s="485"/>
      <c r="EC507" s="485"/>
      <c r="ED507" s="485"/>
      <c r="EE507" s="485"/>
      <c r="EF507" s="485"/>
      <c r="EG507" s="485"/>
      <c r="EH507" s="485"/>
      <c r="EI507" s="485"/>
      <c r="EJ507" s="485"/>
      <c r="EK507" s="485"/>
      <c r="EL507" s="485"/>
      <c r="EM507" s="485"/>
      <c r="EN507" s="485"/>
      <c r="EO507" s="485"/>
      <c r="EP507" s="485"/>
    </row>
    <row r="508" spans="1:146">
      <c r="A508" s="485"/>
      <c r="B508" s="485"/>
      <c r="C508" s="485"/>
      <c r="D508" s="485"/>
      <c r="E508" s="485"/>
      <c r="F508" s="485"/>
      <c r="G508" s="485"/>
      <c r="H508" s="485"/>
      <c r="I508" s="485"/>
      <c r="J508" s="485"/>
      <c r="K508" s="485"/>
      <c r="L508" s="485"/>
      <c r="M508" s="485"/>
      <c r="P508" s="485"/>
      <c r="Q508" s="485"/>
      <c r="R508" s="485"/>
      <c r="S508" s="485"/>
      <c r="T508" s="485"/>
      <c r="U508" s="485"/>
      <c r="V508" s="485"/>
      <c r="W508" s="485"/>
      <c r="X508" s="485"/>
      <c r="Y508" s="485"/>
      <c r="Z508" s="485"/>
      <c r="AA508" s="485"/>
      <c r="AB508" s="485"/>
      <c r="AC508" s="485"/>
      <c r="AD508" s="485"/>
      <c r="AE508" s="485"/>
      <c r="AF508" s="485"/>
      <c r="AG508" s="485"/>
      <c r="AH508" s="485"/>
      <c r="AI508" s="485"/>
      <c r="AJ508" s="485"/>
      <c r="AK508" s="485"/>
      <c r="AL508" s="485"/>
      <c r="AM508" s="485"/>
      <c r="AN508" s="485"/>
      <c r="AO508" s="485"/>
      <c r="AP508" s="485"/>
      <c r="AQ508" s="485"/>
      <c r="AR508" s="485"/>
      <c r="AS508" s="485"/>
      <c r="AT508" s="485"/>
      <c r="AU508" s="485"/>
      <c r="AV508" s="485"/>
      <c r="AW508" s="485"/>
      <c r="AX508" s="485"/>
      <c r="AY508" s="485"/>
      <c r="AZ508" s="485"/>
      <c r="BA508" s="485"/>
      <c r="BB508" s="485"/>
      <c r="BC508" s="485"/>
      <c r="BD508" s="485"/>
      <c r="BE508" s="485"/>
      <c r="BF508" s="485"/>
      <c r="BG508" s="485"/>
      <c r="BH508" s="485"/>
      <c r="BI508" s="485"/>
      <c r="BJ508" s="485"/>
      <c r="BK508" s="485"/>
      <c r="BL508" s="485"/>
      <c r="BM508" s="485"/>
      <c r="BN508" s="485"/>
      <c r="BO508" s="485"/>
      <c r="BP508" s="485"/>
      <c r="BQ508" s="485"/>
      <c r="BR508" s="485"/>
      <c r="BS508" s="485"/>
      <c r="BT508" s="485"/>
      <c r="BU508" s="485"/>
      <c r="BV508" s="485"/>
      <c r="BW508" s="485"/>
      <c r="BX508" s="485"/>
      <c r="BY508" s="485"/>
      <c r="BZ508" s="485"/>
      <c r="CA508" s="485"/>
      <c r="CB508" s="485"/>
      <c r="CC508" s="485"/>
      <c r="CD508" s="485"/>
      <c r="CE508" s="485"/>
      <c r="CF508" s="485"/>
      <c r="CG508" s="485"/>
      <c r="CH508" s="485"/>
      <c r="CI508" s="485"/>
      <c r="CJ508" s="485"/>
      <c r="CK508" s="485"/>
      <c r="CL508" s="485"/>
      <c r="CM508" s="485"/>
      <c r="CN508" s="485"/>
      <c r="CO508" s="485"/>
      <c r="CP508" s="485"/>
      <c r="CQ508" s="485"/>
      <c r="CR508" s="485"/>
      <c r="CS508" s="485"/>
      <c r="CT508" s="485"/>
      <c r="CU508" s="485"/>
      <c r="CV508" s="485"/>
      <c r="CW508" s="485"/>
      <c r="CX508" s="485"/>
      <c r="CY508" s="485"/>
      <c r="CZ508" s="485"/>
      <c r="DA508" s="485"/>
      <c r="DB508" s="485"/>
      <c r="DC508" s="485"/>
      <c r="DD508" s="485"/>
      <c r="DE508" s="485"/>
      <c r="DF508" s="485"/>
      <c r="DG508" s="485"/>
      <c r="DH508" s="485"/>
      <c r="DI508" s="485"/>
      <c r="DJ508" s="485"/>
      <c r="DK508" s="485"/>
      <c r="DL508" s="485"/>
      <c r="DM508" s="485"/>
      <c r="DN508" s="485"/>
      <c r="DO508" s="485"/>
      <c r="DP508" s="485"/>
      <c r="DQ508" s="485"/>
      <c r="DR508" s="485"/>
      <c r="DS508" s="485"/>
      <c r="DT508" s="485"/>
      <c r="DU508" s="485"/>
      <c r="DV508" s="485"/>
      <c r="DW508" s="485"/>
      <c r="DX508" s="485"/>
      <c r="DY508" s="485"/>
      <c r="DZ508" s="485"/>
      <c r="EA508" s="485"/>
      <c r="EB508" s="485"/>
      <c r="EC508" s="485"/>
      <c r="ED508" s="485"/>
      <c r="EE508" s="485"/>
      <c r="EF508" s="485"/>
      <c r="EG508" s="485"/>
      <c r="EH508" s="485"/>
      <c r="EI508" s="485"/>
      <c r="EJ508" s="485"/>
      <c r="EK508" s="485"/>
      <c r="EL508" s="485"/>
      <c r="EM508" s="485"/>
      <c r="EN508" s="485"/>
      <c r="EO508" s="485"/>
      <c r="EP508" s="485"/>
    </row>
    <row r="509" spans="1:146">
      <c r="A509" s="485"/>
      <c r="B509" s="485"/>
      <c r="C509" s="485"/>
      <c r="D509" s="485"/>
      <c r="E509" s="485"/>
      <c r="F509" s="485"/>
      <c r="G509" s="485"/>
      <c r="H509" s="485"/>
      <c r="I509" s="485"/>
      <c r="J509" s="485"/>
      <c r="K509" s="485"/>
      <c r="L509" s="485"/>
      <c r="M509" s="485"/>
      <c r="P509" s="485"/>
      <c r="Q509" s="485"/>
      <c r="R509" s="485"/>
      <c r="S509" s="485"/>
      <c r="T509" s="485"/>
      <c r="U509" s="485"/>
      <c r="V509" s="485"/>
      <c r="W509" s="485"/>
      <c r="X509" s="485"/>
      <c r="Y509" s="485"/>
      <c r="Z509" s="485"/>
      <c r="AA509" s="485"/>
      <c r="AB509" s="485"/>
      <c r="AC509" s="485"/>
      <c r="AD509" s="485"/>
      <c r="AE509" s="485"/>
      <c r="AF509" s="485"/>
      <c r="AG509" s="485"/>
      <c r="AH509" s="485"/>
      <c r="AI509" s="485"/>
      <c r="AJ509" s="485"/>
      <c r="AK509" s="485"/>
      <c r="AL509" s="485"/>
      <c r="AM509" s="485"/>
      <c r="AN509" s="485"/>
      <c r="AO509" s="485"/>
      <c r="AP509" s="485"/>
      <c r="AQ509" s="485"/>
      <c r="AR509" s="485"/>
      <c r="AS509" s="485"/>
      <c r="AT509" s="485"/>
      <c r="AU509" s="485"/>
      <c r="AV509" s="485"/>
      <c r="AW509" s="485"/>
      <c r="AX509" s="485"/>
      <c r="AY509" s="485"/>
      <c r="AZ509" s="485"/>
      <c r="BA509" s="485"/>
      <c r="BB509" s="485"/>
      <c r="BC509" s="485"/>
      <c r="BD509" s="485"/>
      <c r="BE509" s="485"/>
      <c r="BF509" s="485"/>
      <c r="BG509" s="485"/>
      <c r="BH509" s="485"/>
      <c r="BI509" s="485"/>
      <c r="BJ509" s="485"/>
      <c r="BK509" s="485"/>
      <c r="BL509" s="485"/>
      <c r="BM509" s="485"/>
      <c r="BN509" s="485"/>
      <c r="BO509" s="485"/>
      <c r="BP509" s="485"/>
      <c r="BQ509" s="485"/>
      <c r="BR509" s="485"/>
      <c r="BS509" s="485"/>
      <c r="BT509" s="485"/>
      <c r="BU509" s="485"/>
      <c r="BV509" s="485"/>
      <c r="BW509" s="485"/>
      <c r="BX509" s="485"/>
      <c r="BY509" s="485"/>
      <c r="BZ509" s="485"/>
      <c r="CA509" s="485"/>
      <c r="CB509" s="485"/>
      <c r="CC509" s="485"/>
      <c r="CD509" s="485"/>
      <c r="CE509" s="485"/>
      <c r="CF509" s="485"/>
      <c r="CG509" s="485"/>
      <c r="CH509" s="485"/>
      <c r="CI509" s="485"/>
      <c r="CJ509" s="485"/>
      <c r="CK509" s="485"/>
      <c r="CL509" s="485"/>
      <c r="CM509" s="485"/>
      <c r="CN509" s="485"/>
      <c r="CO509" s="485"/>
      <c r="CP509" s="485"/>
      <c r="CQ509" s="485"/>
      <c r="CR509" s="485"/>
      <c r="CS509" s="485"/>
      <c r="CT509" s="485"/>
      <c r="CU509" s="485"/>
      <c r="CV509" s="485"/>
      <c r="CW509" s="485"/>
      <c r="CX509" s="485"/>
      <c r="CY509" s="485"/>
      <c r="CZ509" s="485"/>
      <c r="DA509" s="485"/>
      <c r="DB509" s="485"/>
      <c r="DC509" s="485"/>
      <c r="DD509" s="485"/>
      <c r="DE509" s="485"/>
      <c r="DF509" s="485"/>
      <c r="DG509" s="485"/>
      <c r="DH509" s="485"/>
      <c r="DI509" s="485"/>
      <c r="DJ509" s="485"/>
      <c r="DK509" s="485"/>
      <c r="DL509" s="485"/>
      <c r="DM509" s="485"/>
      <c r="DN509" s="485"/>
      <c r="DO509" s="485"/>
      <c r="DP509" s="485"/>
      <c r="DQ509" s="485"/>
      <c r="DR509" s="485"/>
      <c r="DS509" s="485"/>
      <c r="DT509" s="485"/>
      <c r="DU509" s="485"/>
      <c r="DV509" s="485"/>
      <c r="DW509" s="485"/>
      <c r="DX509" s="485"/>
      <c r="DY509" s="485"/>
      <c r="DZ509" s="485"/>
      <c r="EA509" s="485"/>
      <c r="EB509" s="485"/>
      <c r="EC509" s="485"/>
      <c r="ED509" s="485"/>
      <c r="EE509" s="485"/>
      <c r="EF509" s="485"/>
      <c r="EG509" s="485"/>
      <c r="EH509" s="485"/>
      <c r="EI509" s="485"/>
      <c r="EJ509" s="485"/>
      <c r="EK509" s="485"/>
      <c r="EL509" s="485"/>
      <c r="EM509" s="485"/>
      <c r="EN509" s="485"/>
      <c r="EO509" s="485"/>
      <c r="EP509" s="485"/>
    </row>
    <row r="510" spans="1:146">
      <c r="A510" s="485"/>
      <c r="B510" s="485"/>
      <c r="C510" s="485"/>
      <c r="D510" s="485"/>
      <c r="E510" s="485"/>
      <c r="F510" s="485"/>
      <c r="G510" s="485"/>
      <c r="H510" s="485"/>
      <c r="I510" s="485"/>
      <c r="J510" s="485"/>
      <c r="K510" s="485"/>
      <c r="L510" s="485"/>
      <c r="M510" s="485"/>
      <c r="P510" s="485"/>
      <c r="Q510" s="485"/>
      <c r="R510" s="485"/>
      <c r="S510" s="485"/>
      <c r="T510" s="485"/>
      <c r="U510" s="485"/>
      <c r="V510" s="485"/>
      <c r="W510" s="485"/>
      <c r="X510" s="485"/>
      <c r="Y510" s="485"/>
      <c r="Z510" s="485"/>
      <c r="AA510" s="485"/>
      <c r="AB510" s="485"/>
      <c r="AC510" s="485"/>
      <c r="AD510" s="485"/>
      <c r="AE510" s="485"/>
      <c r="AF510" s="485"/>
      <c r="AG510" s="485"/>
      <c r="AH510" s="485"/>
      <c r="AI510" s="485"/>
      <c r="AJ510" s="485"/>
      <c r="AK510" s="485"/>
      <c r="AL510" s="485"/>
      <c r="AM510" s="485"/>
      <c r="AN510" s="485"/>
      <c r="AO510" s="485"/>
      <c r="AP510" s="485"/>
      <c r="AQ510" s="485"/>
      <c r="AR510" s="485"/>
      <c r="AS510" s="485"/>
      <c r="AT510" s="485"/>
      <c r="AU510" s="485"/>
      <c r="AV510" s="485"/>
      <c r="AW510" s="485"/>
      <c r="AX510" s="485"/>
      <c r="AY510" s="485"/>
      <c r="AZ510" s="485"/>
      <c r="BA510" s="485"/>
      <c r="BB510" s="485"/>
      <c r="BC510" s="485"/>
      <c r="BD510" s="485"/>
      <c r="BE510" s="485"/>
      <c r="BF510" s="485"/>
      <c r="BG510" s="485"/>
      <c r="BH510" s="485"/>
      <c r="BI510" s="485"/>
      <c r="BJ510" s="485"/>
      <c r="BK510" s="485"/>
      <c r="BL510" s="485"/>
      <c r="BM510" s="485"/>
      <c r="BN510" s="485"/>
      <c r="BO510" s="485"/>
      <c r="BP510" s="485"/>
      <c r="BQ510" s="485"/>
      <c r="BR510" s="485"/>
      <c r="BS510" s="485"/>
      <c r="BT510" s="485"/>
      <c r="BU510" s="485"/>
      <c r="BV510" s="485"/>
      <c r="BW510" s="485"/>
      <c r="BX510" s="485"/>
      <c r="BY510" s="485"/>
      <c r="BZ510" s="485"/>
      <c r="CA510" s="485"/>
      <c r="CB510" s="485"/>
      <c r="CC510" s="485"/>
      <c r="CD510" s="485"/>
      <c r="CE510" s="485"/>
      <c r="CF510" s="485"/>
      <c r="CG510" s="485"/>
      <c r="CH510" s="485"/>
      <c r="CI510" s="485"/>
      <c r="CJ510" s="485"/>
      <c r="CK510" s="485"/>
      <c r="CL510" s="485"/>
      <c r="CM510" s="485"/>
      <c r="CN510" s="485"/>
      <c r="CO510" s="485"/>
      <c r="CP510" s="485"/>
      <c r="CQ510" s="485"/>
      <c r="CR510" s="485"/>
      <c r="CS510" s="485"/>
      <c r="CT510" s="485"/>
      <c r="CU510" s="485"/>
      <c r="CV510" s="485"/>
      <c r="CW510" s="485"/>
      <c r="CX510" s="485"/>
      <c r="CY510" s="485"/>
      <c r="CZ510" s="485"/>
      <c r="DA510" s="485"/>
      <c r="DB510" s="485"/>
      <c r="DC510" s="485"/>
      <c r="DD510" s="485"/>
      <c r="DE510" s="485"/>
      <c r="DF510" s="485"/>
      <c r="DG510" s="485"/>
      <c r="DH510" s="485"/>
      <c r="DI510" s="485"/>
      <c r="DJ510" s="485"/>
      <c r="DK510" s="485"/>
      <c r="DL510" s="485"/>
      <c r="DM510" s="485"/>
      <c r="DN510" s="485"/>
      <c r="DO510" s="485"/>
      <c r="DP510" s="485"/>
      <c r="DQ510" s="485"/>
      <c r="DR510" s="485"/>
      <c r="DS510" s="485"/>
      <c r="DT510" s="485"/>
      <c r="DU510" s="485"/>
      <c r="DV510" s="485"/>
      <c r="DW510" s="485"/>
      <c r="DX510" s="485"/>
      <c r="DY510" s="485"/>
      <c r="DZ510" s="485"/>
      <c r="EA510" s="485"/>
      <c r="EB510" s="485"/>
      <c r="EC510" s="485"/>
      <c r="ED510" s="485"/>
      <c r="EE510" s="485"/>
      <c r="EF510" s="485"/>
      <c r="EG510" s="485"/>
      <c r="EH510" s="485"/>
      <c r="EI510" s="485"/>
      <c r="EJ510" s="485"/>
      <c r="EK510" s="485"/>
      <c r="EL510" s="485"/>
      <c r="EM510" s="485"/>
      <c r="EN510" s="485"/>
      <c r="EO510" s="485"/>
      <c r="EP510" s="485"/>
    </row>
    <row r="511" spans="1:146">
      <c r="A511" s="485"/>
      <c r="B511" s="485"/>
      <c r="C511" s="485"/>
      <c r="D511" s="485"/>
      <c r="E511" s="485"/>
      <c r="F511" s="485"/>
      <c r="G511" s="485"/>
      <c r="H511" s="485"/>
      <c r="I511" s="485"/>
      <c r="J511" s="485"/>
      <c r="K511" s="485"/>
      <c r="L511" s="485"/>
      <c r="M511" s="485"/>
      <c r="P511" s="485"/>
      <c r="Q511" s="485"/>
      <c r="R511" s="485"/>
      <c r="S511" s="485"/>
      <c r="T511" s="485"/>
      <c r="U511" s="485"/>
      <c r="V511" s="485"/>
      <c r="W511" s="485"/>
      <c r="X511" s="485"/>
      <c r="Y511" s="485"/>
      <c r="Z511" s="485"/>
      <c r="AA511" s="485"/>
      <c r="AB511" s="485"/>
      <c r="AC511" s="485"/>
      <c r="AD511" s="485"/>
      <c r="AE511" s="485"/>
      <c r="AF511" s="485"/>
      <c r="AG511" s="485"/>
      <c r="AH511" s="485"/>
      <c r="AI511" s="485"/>
      <c r="AJ511" s="485"/>
      <c r="AK511" s="485"/>
      <c r="AL511" s="485"/>
      <c r="AM511" s="485"/>
      <c r="AN511" s="485"/>
      <c r="AO511" s="485"/>
      <c r="AP511" s="485"/>
      <c r="AQ511" s="485"/>
      <c r="AR511" s="485"/>
      <c r="AS511" s="485"/>
      <c r="AT511" s="485"/>
      <c r="AU511" s="485"/>
      <c r="AV511" s="485"/>
      <c r="AW511" s="485"/>
      <c r="AX511" s="485"/>
      <c r="AY511" s="485"/>
      <c r="AZ511" s="485"/>
      <c r="BA511" s="485"/>
      <c r="BB511" s="485"/>
      <c r="BC511" s="485"/>
      <c r="BD511" s="485"/>
      <c r="BE511" s="485"/>
      <c r="BF511" s="485"/>
      <c r="BG511" s="485"/>
      <c r="BH511" s="485"/>
      <c r="BI511" s="485"/>
      <c r="BJ511" s="485"/>
      <c r="BK511" s="485"/>
      <c r="BL511" s="485"/>
      <c r="BM511" s="485"/>
      <c r="BN511" s="485"/>
      <c r="BO511" s="485"/>
      <c r="BP511" s="485"/>
      <c r="BQ511" s="485"/>
      <c r="BR511" s="485"/>
      <c r="BS511" s="485"/>
      <c r="BT511" s="485"/>
      <c r="BU511" s="485"/>
      <c r="BV511" s="485"/>
      <c r="BW511" s="485"/>
      <c r="BX511" s="485"/>
      <c r="BY511" s="485"/>
      <c r="BZ511" s="485"/>
      <c r="CA511" s="485"/>
      <c r="CB511" s="485"/>
      <c r="CC511" s="485"/>
      <c r="CD511" s="485"/>
      <c r="CE511" s="485"/>
      <c r="CF511" s="485"/>
      <c r="CG511" s="485"/>
      <c r="CH511" s="485"/>
      <c r="CI511" s="485"/>
      <c r="CJ511" s="485"/>
      <c r="CK511" s="485"/>
      <c r="CL511" s="485"/>
      <c r="CM511" s="485"/>
      <c r="CN511" s="485"/>
      <c r="CO511" s="485"/>
      <c r="CP511" s="485"/>
      <c r="CQ511" s="485"/>
      <c r="CR511" s="485"/>
      <c r="CS511" s="485"/>
      <c r="CT511" s="485"/>
      <c r="CU511" s="485"/>
      <c r="CV511" s="485"/>
      <c r="CW511" s="485"/>
      <c r="CX511" s="485"/>
      <c r="CY511" s="485"/>
      <c r="CZ511" s="485"/>
      <c r="DA511" s="485"/>
      <c r="DB511" s="485"/>
      <c r="DC511" s="485"/>
      <c r="DD511" s="485"/>
      <c r="DE511" s="485"/>
      <c r="DF511" s="485"/>
      <c r="DG511" s="485"/>
      <c r="DH511" s="485"/>
      <c r="DI511" s="485"/>
      <c r="DJ511" s="485"/>
      <c r="DK511" s="485"/>
      <c r="DL511" s="485"/>
      <c r="DM511" s="485"/>
      <c r="DN511" s="485"/>
      <c r="DO511" s="485"/>
      <c r="DP511" s="485"/>
      <c r="DQ511" s="485"/>
      <c r="DR511" s="485"/>
      <c r="DS511" s="485"/>
      <c r="DT511" s="485"/>
      <c r="DU511" s="485"/>
      <c r="DV511" s="485"/>
      <c r="DW511" s="485"/>
      <c r="DX511" s="485"/>
      <c r="DY511" s="485"/>
      <c r="DZ511" s="485"/>
      <c r="EA511" s="485"/>
      <c r="EB511" s="485"/>
      <c r="EC511" s="485"/>
      <c r="ED511" s="485"/>
      <c r="EE511" s="485"/>
      <c r="EF511" s="485"/>
      <c r="EG511" s="485"/>
      <c r="EH511" s="485"/>
      <c r="EI511" s="485"/>
      <c r="EJ511" s="485"/>
      <c r="EK511" s="485"/>
      <c r="EL511" s="485"/>
      <c r="EM511" s="485"/>
      <c r="EN511" s="485"/>
      <c r="EO511" s="485"/>
      <c r="EP511" s="485"/>
    </row>
    <row r="512" spans="1:146">
      <c r="A512" s="485"/>
      <c r="B512" s="485"/>
      <c r="C512" s="485"/>
      <c r="D512" s="485"/>
      <c r="E512" s="485"/>
      <c r="F512" s="485"/>
      <c r="G512" s="485"/>
      <c r="H512" s="485"/>
      <c r="I512" s="485"/>
      <c r="J512" s="485"/>
      <c r="K512" s="485"/>
      <c r="L512" s="485"/>
      <c r="M512" s="485"/>
      <c r="P512" s="485"/>
      <c r="Q512" s="485"/>
      <c r="R512" s="485"/>
      <c r="S512" s="485"/>
      <c r="T512" s="485"/>
      <c r="U512" s="485"/>
      <c r="V512" s="485"/>
      <c r="W512" s="485"/>
      <c r="X512" s="485"/>
      <c r="Y512" s="485"/>
      <c r="Z512" s="485"/>
      <c r="AA512" s="485"/>
      <c r="AB512" s="485"/>
      <c r="AC512" s="485"/>
      <c r="AD512" s="485"/>
      <c r="AE512" s="485"/>
      <c r="AF512" s="485"/>
      <c r="AG512" s="485"/>
      <c r="AH512" s="485"/>
      <c r="AI512" s="485"/>
      <c r="AJ512" s="485"/>
      <c r="AK512" s="485"/>
      <c r="AL512" s="485"/>
      <c r="AM512" s="485"/>
      <c r="AN512" s="485"/>
      <c r="AO512" s="485"/>
      <c r="AP512" s="485"/>
      <c r="AQ512" s="485"/>
      <c r="AR512" s="485"/>
      <c r="AS512" s="485"/>
      <c r="AT512" s="485"/>
      <c r="AU512" s="485"/>
      <c r="AV512" s="485"/>
      <c r="AW512" s="485"/>
      <c r="AX512" s="485"/>
      <c r="AY512" s="485"/>
      <c r="AZ512" s="485"/>
      <c r="BA512" s="485"/>
      <c r="BB512" s="485"/>
      <c r="BC512" s="485"/>
      <c r="BD512" s="485"/>
      <c r="BE512" s="485"/>
      <c r="BF512" s="485"/>
      <c r="BG512" s="485"/>
      <c r="BH512" s="485"/>
      <c r="BI512" s="485"/>
      <c r="BJ512" s="485"/>
      <c r="BK512" s="485"/>
      <c r="BL512" s="485"/>
      <c r="BM512" s="485"/>
      <c r="BN512" s="485"/>
      <c r="BO512" s="485"/>
      <c r="BP512" s="485"/>
      <c r="BQ512" s="485"/>
      <c r="BR512" s="485"/>
      <c r="BS512" s="485"/>
      <c r="BT512" s="485"/>
      <c r="BU512" s="485"/>
      <c r="BV512" s="485"/>
      <c r="BW512" s="485"/>
      <c r="BX512" s="485"/>
      <c r="BY512" s="485"/>
      <c r="BZ512" s="485"/>
      <c r="CA512" s="485"/>
      <c r="CB512" s="485"/>
      <c r="CC512" s="485"/>
      <c r="CD512" s="485"/>
      <c r="CE512" s="485"/>
      <c r="CF512" s="485"/>
      <c r="CG512" s="485"/>
      <c r="CH512" s="485"/>
      <c r="CI512" s="485"/>
      <c r="CJ512" s="485"/>
      <c r="CK512" s="485"/>
      <c r="CL512" s="485"/>
      <c r="CM512" s="485"/>
      <c r="CN512" s="485"/>
      <c r="CO512" s="485"/>
      <c r="CP512" s="485"/>
      <c r="CQ512" s="485"/>
      <c r="CR512" s="485"/>
      <c r="CS512" s="485"/>
      <c r="CT512" s="485"/>
      <c r="CU512" s="485"/>
      <c r="CV512" s="485"/>
      <c r="CW512" s="485"/>
      <c r="CX512" s="485"/>
      <c r="CY512" s="485"/>
      <c r="CZ512" s="485"/>
      <c r="DA512" s="485"/>
      <c r="DB512" s="485"/>
      <c r="DC512" s="485"/>
      <c r="DD512" s="485"/>
      <c r="DE512" s="485"/>
      <c r="DF512" s="485"/>
      <c r="DG512" s="485"/>
      <c r="DH512" s="485"/>
      <c r="DI512" s="485"/>
      <c r="DJ512" s="485"/>
      <c r="DK512" s="485"/>
      <c r="DL512" s="485"/>
      <c r="DM512" s="485"/>
      <c r="DN512" s="485"/>
      <c r="DO512" s="485"/>
      <c r="DP512" s="485"/>
      <c r="DQ512" s="485"/>
      <c r="DR512" s="485"/>
      <c r="DS512" s="485"/>
      <c r="DT512" s="485"/>
      <c r="DU512" s="485"/>
      <c r="DV512" s="485"/>
      <c r="DW512" s="485"/>
      <c r="DX512" s="485"/>
      <c r="DY512" s="485"/>
      <c r="DZ512" s="485"/>
      <c r="EA512" s="485"/>
      <c r="EB512" s="485"/>
      <c r="EC512" s="485"/>
      <c r="ED512" s="485"/>
      <c r="EE512" s="485"/>
      <c r="EF512" s="485"/>
      <c r="EG512" s="485"/>
      <c r="EH512" s="485"/>
      <c r="EI512" s="485"/>
      <c r="EJ512" s="485"/>
      <c r="EK512" s="485"/>
      <c r="EL512" s="485"/>
      <c r="EM512" s="485"/>
      <c r="EN512" s="485"/>
      <c r="EO512" s="485"/>
      <c r="EP512" s="485"/>
    </row>
    <row r="513" spans="1:146">
      <c r="A513" s="485"/>
      <c r="B513" s="485"/>
      <c r="C513" s="485"/>
      <c r="D513" s="485"/>
      <c r="E513" s="485"/>
      <c r="F513" s="485"/>
      <c r="G513" s="485"/>
      <c r="H513" s="485"/>
      <c r="I513" s="485"/>
      <c r="J513" s="485"/>
      <c r="K513" s="485"/>
      <c r="L513" s="485"/>
      <c r="M513" s="485"/>
      <c r="P513" s="485"/>
      <c r="Q513" s="485"/>
      <c r="R513" s="485"/>
      <c r="S513" s="485"/>
      <c r="T513" s="485"/>
      <c r="U513" s="485"/>
      <c r="V513" s="485"/>
      <c r="W513" s="485"/>
      <c r="X513" s="485"/>
      <c r="Y513" s="485"/>
      <c r="Z513" s="485"/>
      <c r="AA513" s="485"/>
      <c r="AB513" s="485"/>
      <c r="AC513" s="485"/>
      <c r="AD513" s="485"/>
      <c r="AE513" s="485"/>
      <c r="AF513" s="485"/>
      <c r="AG513" s="485"/>
      <c r="AH513" s="485"/>
      <c r="AI513" s="485"/>
      <c r="AJ513" s="485"/>
      <c r="AK513" s="485"/>
      <c r="AL513" s="485"/>
      <c r="AM513" s="485"/>
      <c r="AN513" s="485"/>
      <c r="AO513" s="485"/>
      <c r="AP513" s="485"/>
      <c r="AQ513" s="485"/>
      <c r="AR513" s="485"/>
      <c r="AS513" s="485"/>
      <c r="AT513" s="485"/>
      <c r="AU513" s="485"/>
      <c r="AV513" s="485"/>
      <c r="AW513" s="485"/>
      <c r="AX513" s="485"/>
      <c r="AY513" s="485"/>
      <c r="AZ513" s="485"/>
      <c r="BA513" s="485"/>
      <c r="BB513" s="485"/>
      <c r="BC513" s="485"/>
      <c r="BD513" s="485"/>
      <c r="BE513" s="485"/>
      <c r="BF513" s="485"/>
      <c r="BG513" s="485"/>
      <c r="BH513" s="485"/>
      <c r="BI513" s="485"/>
      <c r="BJ513" s="485"/>
      <c r="BK513" s="485"/>
      <c r="BL513" s="485"/>
      <c r="BM513" s="485"/>
      <c r="BN513" s="485"/>
      <c r="BO513" s="485"/>
      <c r="BP513" s="485"/>
      <c r="BQ513" s="485"/>
      <c r="BR513" s="485"/>
      <c r="BS513" s="485"/>
      <c r="BT513" s="485"/>
      <c r="BU513" s="485"/>
      <c r="BV513" s="485"/>
      <c r="BW513" s="485"/>
      <c r="BX513" s="485"/>
      <c r="BY513" s="485"/>
      <c r="BZ513" s="485"/>
      <c r="CA513" s="485"/>
      <c r="CB513" s="485"/>
      <c r="CC513" s="485"/>
      <c r="CD513" s="485"/>
      <c r="CE513" s="485"/>
      <c r="CF513" s="485"/>
      <c r="CG513" s="485"/>
      <c r="CH513" s="485"/>
      <c r="CI513" s="485"/>
      <c r="CJ513" s="485"/>
      <c r="CK513" s="485"/>
      <c r="CL513" s="485"/>
      <c r="CM513" s="485"/>
      <c r="CN513" s="485"/>
      <c r="CO513" s="485"/>
      <c r="CP513" s="485"/>
      <c r="CQ513" s="485"/>
      <c r="CR513" s="485"/>
      <c r="CS513" s="485"/>
      <c r="CT513" s="485"/>
      <c r="CU513" s="485"/>
      <c r="CV513" s="485"/>
      <c r="CW513" s="485"/>
      <c r="CX513" s="485"/>
      <c r="CY513" s="485"/>
      <c r="CZ513" s="485"/>
      <c r="DA513" s="485"/>
      <c r="DB513" s="485"/>
      <c r="DC513" s="485"/>
      <c r="DD513" s="485"/>
      <c r="DE513" s="485"/>
      <c r="DF513" s="485"/>
      <c r="DG513" s="485"/>
      <c r="DH513" s="485"/>
      <c r="DI513" s="485"/>
      <c r="DJ513" s="485"/>
      <c r="DK513" s="485"/>
      <c r="DL513" s="485"/>
      <c r="DM513" s="485"/>
      <c r="DN513" s="485"/>
      <c r="DO513" s="485"/>
      <c r="DP513" s="485"/>
      <c r="DQ513" s="485"/>
      <c r="DR513" s="485"/>
      <c r="DS513" s="485"/>
      <c r="DT513" s="485"/>
      <c r="DU513" s="485"/>
      <c r="DV513" s="485"/>
      <c r="DW513" s="485"/>
      <c r="DX513" s="485"/>
      <c r="DY513" s="485"/>
      <c r="DZ513" s="485"/>
      <c r="EA513" s="485"/>
      <c r="EB513" s="485"/>
      <c r="EC513" s="485"/>
      <c r="ED513" s="485"/>
      <c r="EE513" s="485"/>
      <c r="EF513" s="485"/>
      <c r="EG513" s="485"/>
      <c r="EH513" s="485"/>
      <c r="EI513" s="485"/>
      <c r="EJ513" s="485"/>
      <c r="EK513" s="485"/>
      <c r="EL513" s="485"/>
      <c r="EM513" s="485"/>
      <c r="EN513" s="485"/>
      <c r="EO513" s="485"/>
      <c r="EP513" s="485"/>
    </row>
    <row r="514" spans="1:146">
      <c r="A514" s="485"/>
      <c r="B514" s="485"/>
      <c r="C514" s="485"/>
      <c r="D514" s="485"/>
      <c r="E514" s="485"/>
      <c r="F514" s="485"/>
      <c r="G514" s="485"/>
      <c r="H514" s="485"/>
      <c r="I514" s="485"/>
      <c r="J514" s="485"/>
      <c r="K514" s="485"/>
      <c r="L514" s="485"/>
      <c r="M514" s="485"/>
      <c r="P514" s="485"/>
      <c r="Q514" s="485"/>
      <c r="R514" s="485"/>
      <c r="S514" s="485"/>
      <c r="T514" s="485"/>
      <c r="U514" s="485"/>
      <c r="V514" s="485"/>
      <c r="W514" s="485"/>
      <c r="X514" s="485"/>
      <c r="Y514" s="485"/>
      <c r="Z514" s="485"/>
      <c r="AA514" s="485"/>
      <c r="AB514" s="485"/>
      <c r="AC514" s="485"/>
      <c r="AD514" s="485"/>
      <c r="AE514" s="485"/>
      <c r="AF514" s="485"/>
      <c r="AG514" s="485"/>
      <c r="AH514" s="485"/>
      <c r="AI514" s="485"/>
      <c r="AJ514" s="485"/>
      <c r="AK514" s="485"/>
      <c r="AL514" s="485"/>
      <c r="AM514" s="485"/>
      <c r="AN514" s="485"/>
      <c r="AO514" s="485"/>
      <c r="AP514" s="485"/>
      <c r="AQ514" s="485"/>
      <c r="AR514" s="485"/>
      <c r="AS514" s="485"/>
      <c r="AT514" s="485"/>
      <c r="AU514" s="485"/>
      <c r="AV514" s="485"/>
      <c r="AW514" s="485"/>
      <c r="AX514" s="485"/>
      <c r="AY514" s="485"/>
      <c r="AZ514" s="485"/>
      <c r="BA514" s="485"/>
      <c r="BB514" s="485"/>
      <c r="BC514" s="485"/>
      <c r="BD514" s="485"/>
      <c r="BE514" s="485"/>
      <c r="BF514" s="485"/>
      <c r="BG514" s="485"/>
      <c r="BH514" s="485"/>
      <c r="BI514" s="485"/>
      <c r="BJ514" s="485"/>
      <c r="BK514" s="485"/>
      <c r="BL514" s="485"/>
      <c r="BM514" s="485"/>
      <c r="BN514" s="485"/>
      <c r="BO514" s="485"/>
      <c r="BP514" s="485"/>
      <c r="BQ514" s="485"/>
      <c r="BR514" s="485"/>
      <c r="BS514" s="485"/>
      <c r="BT514" s="485"/>
      <c r="BU514" s="485"/>
      <c r="BV514" s="485"/>
      <c r="BW514" s="485"/>
      <c r="BX514" s="485"/>
      <c r="BY514" s="485"/>
      <c r="BZ514" s="485"/>
      <c r="CA514" s="485"/>
      <c r="CB514" s="485"/>
      <c r="CC514" s="485"/>
      <c r="CD514" s="485"/>
      <c r="CE514" s="485"/>
      <c r="CF514" s="485"/>
      <c r="CG514" s="485"/>
      <c r="CH514" s="485"/>
      <c r="CI514" s="485"/>
      <c r="CJ514" s="485"/>
      <c r="CK514" s="485"/>
      <c r="CL514" s="485"/>
      <c r="CM514" s="485"/>
      <c r="CN514" s="485"/>
      <c r="CO514" s="485"/>
      <c r="CP514" s="485"/>
      <c r="CQ514" s="485"/>
      <c r="CR514" s="485"/>
      <c r="CS514" s="485"/>
      <c r="CT514" s="485"/>
      <c r="CU514" s="485"/>
      <c r="CV514" s="485"/>
      <c r="CW514" s="485"/>
      <c r="CX514" s="485"/>
      <c r="CY514" s="485"/>
      <c r="CZ514" s="485"/>
      <c r="DA514" s="485"/>
      <c r="DB514" s="485"/>
      <c r="DC514" s="485"/>
      <c r="DD514" s="485"/>
      <c r="DE514" s="485"/>
      <c r="DF514" s="485"/>
      <c r="DG514" s="485"/>
      <c r="DH514" s="485"/>
      <c r="DI514" s="485"/>
      <c r="DJ514" s="485"/>
      <c r="DK514" s="485"/>
      <c r="DL514" s="485"/>
      <c r="DM514" s="485"/>
      <c r="DN514" s="485"/>
      <c r="DO514" s="485"/>
      <c r="DP514" s="485"/>
      <c r="DQ514" s="485"/>
      <c r="DR514" s="485"/>
      <c r="DS514" s="485"/>
      <c r="DT514" s="485"/>
      <c r="DU514" s="485"/>
      <c r="DV514" s="485"/>
      <c r="DW514" s="485"/>
      <c r="DX514" s="485"/>
      <c r="DY514" s="485"/>
      <c r="DZ514" s="485"/>
      <c r="EA514" s="485"/>
      <c r="EB514" s="485"/>
      <c r="EC514" s="485"/>
      <c r="ED514" s="485"/>
      <c r="EE514" s="485"/>
      <c r="EF514" s="485"/>
      <c r="EG514" s="485"/>
      <c r="EH514" s="485"/>
      <c r="EI514" s="485"/>
      <c r="EJ514" s="485"/>
      <c r="EK514" s="485"/>
      <c r="EL514" s="485"/>
      <c r="EM514" s="485"/>
      <c r="EN514" s="485"/>
      <c r="EO514" s="485"/>
      <c r="EP514" s="485"/>
    </row>
    <row r="515" spans="1:146">
      <c r="A515" s="485"/>
      <c r="B515" s="485"/>
      <c r="C515" s="485"/>
      <c r="D515" s="485"/>
      <c r="E515" s="485"/>
      <c r="F515" s="485"/>
      <c r="G515" s="485"/>
      <c r="H515" s="485"/>
      <c r="I515" s="485"/>
      <c r="J515" s="485"/>
      <c r="K515" s="485"/>
      <c r="L515" s="485"/>
      <c r="M515" s="485"/>
      <c r="P515" s="485"/>
      <c r="Q515" s="485"/>
      <c r="R515" s="485"/>
      <c r="S515" s="485"/>
      <c r="T515" s="485"/>
      <c r="U515" s="485"/>
      <c r="V515" s="485"/>
      <c r="W515" s="485"/>
      <c r="X515" s="485"/>
      <c r="Y515" s="485"/>
      <c r="Z515" s="485"/>
      <c r="AA515" s="485"/>
      <c r="AB515" s="485"/>
      <c r="AC515" s="485"/>
      <c r="AD515" s="485"/>
      <c r="AE515" s="485"/>
      <c r="AF515" s="485"/>
      <c r="AG515" s="485"/>
      <c r="AH515" s="485"/>
      <c r="AI515" s="485"/>
      <c r="AJ515" s="485"/>
      <c r="AK515" s="485"/>
      <c r="AL515" s="485"/>
      <c r="AM515" s="485"/>
      <c r="AN515" s="485"/>
      <c r="AO515" s="485"/>
      <c r="AP515" s="485"/>
      <c r="AQ515" s="485"/>
      <c r="AR515" s="485"/>
      <c r="AS515" s="485"/>
      <c r="AT515" s="485"/>
      <c r="AU515" s="485"/>
      <c r="AV515" s="485"/>
      <c r="AW515" s="485"/>
      <c r="AX515" s="485"/>
      <c r="AY515" s="485"/>
      <c r="AZ515" s="485"/>
      <c r="BA515" s="485"/>
      <c r="BB515" s="485"/>
      <c r="BC515" s="485"/>
      <c r="BD515" s="485"/>
      <c r="BE515" s="485"/>
      <c r="BF515" s="485"/>
      <c r="BG515" s="485"/>
      <c r="BH515" s="485"/>
      <c r="BI515" s="485"/>
      <c r="BJ515" s="485"/>
      <c r="BK515" s="485"/>
      <c r="BL515" s="485"/>
      <c r="BM515" s="485"/>
      <c r="BN515" s="485"/>
      <c r="BO515" s="485"/>
      <c r="BP515" s="485"/>
      <c r="BQ515" s="485"/>
      <c r="BR515" s="485"/>
      <c r="BS515" s="485"/>
      <c r="BT515" s="485"/>
      <c r="BU515" s="485"/>
      <c r="BV515" s="485"/>
      <c r="BW515" s="485"/>
      <c r="BX515" s="485"/>
      <c r="BY515" s="485"/>
      <c r="BZ515" s="485"/>
      <c r="CA515" s="485"/>
      <c r="CB515" s="485"/>
      <c r="CC515" s="485"/>
      <c r="CD515" s="485"/>
      <c r="CE515" s="485"/>
      <c r="CF515" s="485"/>
      <c r="CG515" s="485"/>
      <c r="CH515" s="485"/>
      <c r="CI515" s="485"/>
      <c r="CJ515" s="485"/>
      <c r="CK515" s="485"/>
      <c r="CL515" s="485"/>
      <c r="CM515" s="485"/>
      <c r="CN515" s="485"/>
      <c r="CO515" s="485"/>
      <c r="CP515" s="485"/>
      <c r="CQ515" s="485"/>
      <c r="CR515" s="485"/>
      <c r="CS515" s="485"/>
      <c r="CT515" s="485"/>
      <c r="CU515" s="485"/>
      <c r="CV515" s="485"/>
      <c r="CW515" s="485"/>
      <c r="CX515" s="485"/>
      <c r="CY515" s="485"/>
      <c r="CZ515" s="485"/>
      <c r="DA515" s="485"/>
      <c r="DB515" s="485"/>
      <c r="DC515" s="485"/>
      <c r="DD515" s="485"/>
      <c r="DE515" s="485"/>
      <c r="DF515" s="485"/>
      <c r="DG515" s="485"/>
      <c r="DH515" s="485"/>
      <c r="DI515" s="485"/>
      <c r="DJ515" s="485"/>
      <c r="DK515" s="485"/>
      <c r="DL515" s="485"/>
      <c r="DM515" s="485"/>
      <c r="DN515" s="485"/>
      <c r="DO515" s="485"/>
      <c r="DP515" s="485"/>
      <c r="DQ515" s="485"/>
      <c r="DR515" s="485"/>
      <c r="DS515" s="485"/>
      <c r="DT515" s="485"/>
      <c r="DU515" s="485"/>
      <c r="DV515" s="485"/>
      <c r="DW515" s="485"/>
      <c r="DX515" s="485"/>
      <c r="DY515" s="485"/>
      <c r="DZ515" s="485"/>
      <c r="EA515" s="485"/>
      <c r="EB515" s="485"/>
      <c r="EC515" s="485"/>
      <c r="ED515" s="485"/>
      <c r="EE515" s="485"/>
      <c r="EF515" s="485"/>
      <c r="EG515" s="485"/>
      <c r="EH515" s="485"/>
      <c r="EI515" s="485"/>
      <c r="EJ515" s="485"/>
      <c r="EK515" s="485"/>
      <c r="EL515" s="485"/>
      <c r="EM515" s="485"/>
      <c r="EN515" s="485"/>
      <c r="EO515" s="485"/>
      <c r="EP515" s="485"/>
    </row>
    <row r="516" spans="1:146">
      <c r="A516" s="485"/>
      <c r="B516" s="485"/>
      <c r="C516" s="485"/>
      <c r="D516" s="485"/>
      <c r="E516" s="485"/>
      <c r="F516" s="485"/>
      <c r="G516" s="485"/>
      <c r="H516" s="485"/>
      <c r="I516" s="485"/>
      <c r="J516" s="485"/>
      <c r="K516" s="485"/>
      <c r="L516" s="485"/>
      <c r="M516" s="485"/>
      <c r="P516" s="485"/>
      <c r="Q516" s="485"/>
      <c r="R516" s="485"/>
      <c r="S516" s="485"/>
      <c r="T516" s="485"/>
      <c r="U516" s="485"/>
      <c r="V516" s="485"/>
      <c r="W516" s="485"/>
      <c r="X516" s="485"/>
      <c r="Y516" s="485"/>
      <c r="Z516" s="485"/>
      <c r="AA516" s="485"/>
      <c r="AB516" s="485"/>
      <c r="AC516" s="485"/>
      <c r="AD516" s="485"/>
      <c r="AE516" s="485"/>
      <c r="AF516" s="485"/>
      <c r="AG516" s="485"/>
      <c r="AH516" s="485"/>
      <c r="AI516" s="485"/>
      <c r="AJ516" s="485"/>
      <c r="AK516" s="485"/>
      <c r="AL516" s="485"/>
      <c r="AM516" s="485"/>
      <c r="AN516" s="485"/>
      <c r="AO516" s="485"/>
      <c r="AP516" s="485"/>
      <c r="AQ516" s="485"/>
      <c r="AR516" s="485"/>
      <c r="AS516" s="485"/>
      <c r="AT516" s="485"/>
      <c r="AU516" s="485"/>
      <c r="AV516" s="485"/>
      <c r="AW516" s="485"/>
      <c r="AX516" s="485"/>
      <c r="AY516" s="485"/>
      <c r="AZ516" s="485"/>
      <c r="BA516" s="485"/>
      <c r="BB516" s="485"/>
      <c r="BC516" s="485"/>
      <c r="BD516" s="485"/>
      <c r="BE516" s="485"/>
      <c r="BF516" s="485"/>
      <c r="BG516" s="485"/>
      <c r="BH516" s="485"/>
      <c r="BI516" s="485"/>
      <c r="BJ516" s="485"/>
      <c r="BK516" s="485"/>
      <c r="BL516" s="485"/>
      <c r="BM516" s="485"/>
      <c r="BN516" s="485"/>
      <c r="BO516" s="485"/>
      <c r="BP516" s="485"/>
      <c r="BQ516" s="485"/>
      <c r="BR516" s="485"/>
      <c r="BS516" s="485"/>
      <c r="BT516" s="485"/>
      <c r="BU516" s="485"/>
      <c r="BV516" s="485"/>
      <c r="BW516" s="485"/>
      <c r="BX516" s="485"/>
      <c r="BY516" s="485"/>
      <c r="BZ516" s="485"/>
      <c r="CA516" s="485"/>
      <c r="CB516" s="485"/>
      <c r="CC516" s="485"/>
      <c r="CD516" s="485"/>
      <c r="CE516" s="485"/>
      <c r="CF516" s="485"/>
      <c r="CG516" s="485"/>
      <c r="CH516" s="485"/>
      <c r="CI516" s="485"/>
      <c r="CJ516" s="485"/>
      <c r="CK516" s="485"/>
      <c r="CL516" s="485"/>
      <c r="CM516" s="485"/>
      <c r="CN516" s="485"/>
      <c r="CO516" s="485"/>
      <c r="CP516" s="485"/>
      <c r="CQ516" s="485"/>
      <c r="CR516" s="485"/>
      <c r="CS516" s="485"/>
      <c r="CT516" s="485"/>
      <c r="CU516" s="485"/>
      <c r="CV516" s="485"/>
      <c r="CW516" s="485"/>
      <c r="CX516" s="485"/>
      <c r="CY516" s="485"/>
      <c r="CZ516" s="485"/>
      <c r="DA516" s="485"/>
      <c r="DB516" s="485"/>
      <c r="DC516" s="485"/>
      <c r="DD516" s="485"/>
      <c r="DE516" s="485"/>
      <c r="DF516" s="485"/>
      <c r="DG516" s="485"/>
      <c r="DH516" s="485"/>
      <c r="DI516" s="485"/>
      <c r="DJ516" s="485"/>
      <c r="DK516" s="485"/>
      <c r="DL516" s="485"/>
      <c r="DM516" s="485"/>
      <c r="DN516" s="485"/>
      <c r="DO516" s="485"/>
      <c r="DP516" s="485"/>
      <c r="DQ516" s="485"/>
      <c r="DR516" s="485"/>
      <c r="DS516" s="485"/>
      <c r="DT516" s="485"/>
      <c r="DU516" s="485"/>
      <c r="DV516" s="485"/>
      <c r="DW516" s="485"/>
      <c r="DX516" s="485"/>
      <c r="DY516" s="485"/>
      <c r="DZ516" s="485"/>
      <c r="EA516" s="485"/>
      <c r="EB516" s="485"/>
      <c r="EC516" s="485"/>
      <c r="ED516" s="485"/>
      <c r="EE516" s="485"/>
      <c r="EF516" s="485"/>
      <c r="EG516" s="485"/>
      <c r="EH516" s="485"/>
      <c r="EI516" s="485"/>
      <c r="EJ516" s="485"/>
      <c r="EK516" s="485"/>
      <c r="EL516" s="485"/>
      <c r="EM516" s="485"/>
      <c r="EN516" s="485"/>
      <c r="EO516" s="485"/>
      <c r="EP516" s="485"/>
    </row>
    <row r="517" spans="1:146">
      <c r="A517" s="485"/>
      <c r="B517" s="485"/>
      <c r="C517" s="485"/>
      <c r="D517" s="485"/>
      <c r="E517" s="485"/>
      <c r="F517" s="485"/>
      <c r="G517" s="485"/>
      <c r="H517" s="485"/>
      <c r="I517" s="485"/>
      <c r="J517" s="485"/>
      <c r="K517" s="485"/>
      <c r="L517" s="485"/>
      <c r="M517" s="485"/>
      <c r="P517" s="485"/>
      <c r="Q517" s="485"/>
      <c r="R517" s="485"/>
      <c r="S517" s="485"/>
      <c r="T517" s="485"/>
      <c r="U517" s="485"/>
      <c r="V517" s="485"/>
      <c r="W517" s="485"/>
      <c r="X517" s="485"/>
      <c r="Y517" s="485"/>
      <c r="Z517" s="485"/>
      <c r="AA517" s="485"/>
      <c r="AB517" s="485"/>
      <c r="AC517" s="485"/>
      <c r="AD517" s="485"/>
      <c r="AE517" s="485"/>
      <c r="AF517" s="485"/>
      <c r="AG517" s="485"/>
      <c r="AH517" s="485"/>
      <c r="AI517" s="485"/>
      <c r="AJ517" s="485"/>
      <c r="AK517" s="485"/>
      <c r="AL517" s="485"/>
      <c r="AM517" s="485"/>
      <c r="AN517" s="485"/>
      <c r="AO517" s="485"/>
      <c r="AP517" s="485"/>
      <c r="AQ517" s="485"/>
      <c r="AR517" s="485"/>
      <c r="AS517" s="485"/>
      <c r="AT517" s="485"/>
      <c r="AU517" s="485"/>
      <c r="AV517" s="485"/>
      <c r="AW517" s="485"/>
      <c r="AX517" s="485"/>
      <c r="AY517" s="485"/>
      <c r="AZ517" s="485"/>
      <c r="BA517" s="485"/>
      <c r="BB517" s="485"/>
      <c r="BC517" s="485"/>
      <c r="BD517" s="485"/>
      <c r="BE517" s="485"/>
      <c r="BF517" s="485"/>
      <c r="BG517" s="485"/>
      <c r="BH517" s="485"/>
      <c r="BI517" s="485"/>
      <c r="BJ517" s="485"/>
      <c r="BK517" s="485"/>
      <c r="BL517" s="485"/>
      <c r="BM517" s="485"/>
      <c r="BN517" s="485"/>
      <c r="BO517" s="485"/>
      <c r="BP517" s="485"/>
      <c r="BQ517" s="485"/>
      <c r="BR517" s="485"/>
      <c r="BS517" s="485"/>
      <c r="BT517" s="485"/>
      <c r="BU517" s="485"/>
      <c r="BV517" s="485"/>
      <c r="BW517" s="485"/>
      <c r="BX517" s="485"/>
      <c r="BY517" s="485"/>
      <c r="BZ517" s="485"/>
      <c r="CA517" s="485"/>
      <c r="CB517" s="485"/>
      <c r="CC517" s="485"/>
      <c r="CD517" s="485"/>
      <c r="CE517" s="485"/>
      <c r="CF517" s="485"/>
      <c r="CG517" s="485"/>
      <c r="CH517" s="485"/>
      <c r="CI517" s="485"/>
      <c r="CJ517" s="485"/>
      <c r="CK517" s="485"/>
      <c r="CL517" s="485"/>
      <c r="CM517" s="485"/>
      <c r="CN517" s="485"/>
      <c r="CO517" s="485"/>
      <c r="CP517" s="485"/>
      <c r="CQ517" s="485"/>
      <c r="CR517" s="485"/>
      <c r="CS517" s="485"/>
      <c r="CT517" s="485"/>
      <c r="CU517" s="485"/>
      <c r="CV517" s="485"/>
      <c r="CW517" s="485"/>
      <c r="CX517" s="485"/>
      <c r="CY517" s="485"/>
      <c r="CZ517" s="485"/>
      <c r="DA517" s="485"/>
      <c r="DB517" s="485"/>
      <c r="DC517" s="485"/>
      <c r="DD517" s="485"/>
      <c r="DE517" s="485"/>
      <c r="DF517" s="485"/>
      <c r="DG517" s="485"/>
      <c r="DH517" s="485"/>
      <c r="DI517" s="485"/>
      <c r="DJ517" s="485"/>
      <c r="DK517" s="485"/>
      <c r="DL517" s="485"/>
      <c r="DM517" s="485"/>
      <c r="DN517" s="485"/>
      <c r="DO517" s="485"/>
      <c r="DP517" s="485"/>
      <c r="DQ517" s="485"/>
      <c r="DR517" s="485"/>
      <c r="DS517" s="485"/>
      <c r="DT517" s="485"/>
      <c r="DU517" s="485"/>
      <c r="DV517" s="485"/>
      <c r="DW517" s="485"/>
      <c r="DX517" s="485"/>
      <c r="DY517" s="485"/>
      <c r="DZ517" s="485"/>
      <c r="EA517" s="485"/>
      <c r="EB517" s="485"/>
      <c r="EC517" s="485"/>
      <c r="ED517" s="485"/>
      <c r="EE517" s="485"/>
      <c r="EF517" s="485"/>
      <c r="EG517" s="485"/>
      <c r="EH517" s="485"/>
      <c r="EI517" s="485"/>
      <c r="EJ517" s="485"/>
      <c r="EK517" s="485"/>
      <c r="EL517" s="485"/>
      <c r="EM517" s="485"/>
      <c r="EN517" s="485"/>
      <c r="EO517" s="485"/>
      <c r="EP517" s="485"/>
    </row>
    <row r="518" spans="1:146">
      <c r="A518" s="485"/>
      <c r="B518" s="485"/>
      <c r="C518" s="485"/>
      <c r="D518" s="485"/>
      <c r="E518" s="485"/>
      <c r="F518" s="485"/>
      <c r="G518" s="485"/>
      <c r="H518" s="485"/>
      <c r="I518" s="485"/>
      <c r="J518" s="485"/>
      <c r="K518" s="485"/>
      <c r="L518" s="485"/>
      <c r="M518" s="485"/>
      <c r="P518" s="485"/>
      <c r="Q518" s="485"/>
      <c r="R518" s="485"/>
      <c r="S518" s="485"/>
      <c r="T518" s="485"/>
      <c r="U518" s="485"/>
      <c r="V518" s="485"/>
      <c r="W518" s="485"/>
      <c r="X518" s="485"/>
      <c r="Y518" s="485"/>
      <c r="Z518" s="485"/>
      <c r="AA518" s="485"/>
      <c r="AB518" s="485"/>
      <c r="AC518" s="485"/>
      <c r="AD518" s="485"/>
      <c r="AE518" s="485"/>
      <c r="AF518" s="485"/>
      <c r="AG518" s="485"/>
      <c r="AH518" s="485"/>
      <c r="AI518" s="485"/>
      <c r="AJ518" s="485"/>
      <c r="AK518" s="485"/>
      <c r="AL518" s="485"/>
      <c r="AM518" s="485"/>
      <c r="AN518" s="485"/>
      <c r="AO518" s="485"/>
      <c r="AP518" s="485"/>
      <c r="AQ518" s="485"/>
      <c r="AR518" s="485"/>
      <c r="AS518" s="485"/>
      <c r="AT518" s="485"/>
      <c r="AU518" s="485"/>
      <c r="AV518" s="485"/>
      <c r="AW518" s="485"/>
      <c r="AX518" s="485"/>
      <c r="AY518" s="485"/>
      <c r="AZ518" s="485"/>
      <c r="BA518" s="485"/>
      <c r="BB518" s="485"/>
      <c r="BC518" s="485"/>
      <c r="BD518" s="485"/>
      <c r="BE518" s="485"/>
      <c r="BF518" s="485"/>
      <c r="BG518" s="485"/>
      <c r="BH518" s="485"/>
      <c r="BI518" s="485"/>
      <c r="BJ518" s="485"/>
      <c r="BK518" s="485"/>
      <c r="BL518" s="485"/>
      <c r="BM518" s="485"/>
      <c r="BN518" s="485"/>
      <c r="BO518" s="485"/>
      <c r="BP518" s="485"/>
      <c r="BQ518" s="485"/>
      <c r="BR518" s="485"/>
      <c r="BS518" s="485"/>
      <c r="BT518" s="485"/>
      <c r="BU518" s="485"/>
      <c r="BV518" s="485"/>
      <c r="BW518" s="485"/>
      <c r="BX518" s="485"/>
      <c r="BY518" s="485"/>
      <c r="BZ518" s="485"/>
      <c r="CA518" s="485"/>
      <c r="CB518" s="485"/>
      <c r="CC518" s="485"/>
      <c r="CD518" s="485"/>
      <c r="CE518" s="485"/>
      <c r="CF518" s="485"/>
      <c r="CG518" s="485"/>
      <c r="CH518" s="485"/>
      <c r="CI518" s="485"/>
      <c r="CJ518" s="485"/>
      <c r="CK518" s="485"/>
      <c r="CL518" s="485"/>
      <c r="CM518" s="485"/>
      <c r="CN518" s="485"/>
      <c r="CO518" s="485"/>
      <c r="CP518" s="485"/>
      <c r="CQ518" s="485"/>
      <c r="CR518" s="485"/>
      <c r="CS518" s="485"/>
      <c r="CT518" s="485"/>
      <c r="CU518" s="485"/>
      <c r="CV518" s="485"/>
      <c r="CW518" s="485"/>
      <c r="CX518" s="485"/>
      <c r="CY518" s="485"/>
      <c r="CZ518" s="485"/>
      <c r="DA518" s="485"/>
      <c r="DB518" s="485"/>
      <c r="DC518" s="485"/>
      <c r="DD518" s="485"/>
      <c r="DE518" s="485"/>
      <c r="DF518" s="485"/>
      <c r="DG518" s="485"/>
      <c r="DH518" s="485"/>
      <c r="DI518" s="485"/>
      <c r="DJ518" s="485"/>
      <c r="DK518" s="485"/>
      <c r="DL518" s="485"/>
      <c r="DM518" s="485"/>
      <c r="DN518" s="485"/>
      <c r="DO518" s="485"/>
      <c r="DP518" s="485"/>
      <c r="DQ518" s="485"/>
      <c r="DR518" s="485"/>
      <c r="DS518" s="485"/>
      <c r="DT518" s="485"/>
      <c r="DU518" s="485"/>
      <c r="DV518" s="485"/>
      <c r="DW518" s="485"/>
      <c r="DX518" s="485"/>
      <c r="DY518" s="485"/>
      <c r="DZ518" s="485"/>
      <c r="EA518" s="485"/>
      <c r="EB518" s="485"/>
      <c r="EC518" s="485"/>
      <c r="ED518" s="485"/>
      <c r="EE518" s="485"/>
      <c r="EF518" s="485"/>
      <c r="EG518" s="485"/>
      <c r="EH518" s="485"/>
      <c r="EI518" s="485"/>
      <c r="EJ518" s="485"/>
      <c r="EK518" s="485"/>
      <c r="EL518" s="485"/>
      <c r="EM518" s="485"/>
      <c r="EN518" s="485"/>
      <c r="EO518" s="485"/>
      <c r="EP518" s="485"/>
    </row>
    <row r="519" spans="1:146">
      <c r="A519" s="485"/>
      <c r="B519" s="485"/>
      <c r="C519" s="485"/>
      <c r="D519" s="485"/>
      <c r="E519" s="485"/>
      <c r="F519" s="485"/>
      <c r="G519" s="485"/>
      <c r="H519" s="485"/>
      <c r="I519" s="485"/>
      <c r="J519" s="485"/>
      <c r="K519" s="485"/>
      <c r="L519" s="485"/>
      <c r="M519" s="485"/>
      <c r="P519" s="485"/>
      <c r="Q519" s="485"/>
      <c r="R519" s="485"/>
      <c r="S519" s="485"/>
      <c r="T519" s="485"/>
      <c r="U519" s="485"/>
      <c r="V519" s="485"/>
      <c r="W519" s="485"/>
      <c r="X519" s="485"/>
      <c r="Y519" s="485"/>
      <c r="Z519" s="485"/>
      <c r="AA519" s="485"/>
      <c r="AB519" s="485"/>
      <c r="AC519" s="485"/>
      <c r="AD519" s="485"/>
      <c r="AE519" s="485"/>
      <c r="AF519" s="485"/>
      <c r="AG519" s="485"/>
      <c r="AH519" s="485"/>
      <c r="AI519" s="485"/>
      <c r="AJ519" s="485"/>
      <c r="AK519" s="485"/>
      <c r="AL519" s="485"/>
      <c r="AM519" s="485"/>
      <c r="AN519" s="485"/>
      <c r="AO519" s="485"/>
      <c r="AP519" s="485"/>
      <c r="AQ519" s="485"/>
      <c r="AR519" s="485"/>
      <c r="AS519" s="485"/>
      <c r="AT519" s="485"/>
      <c r="AU519" s="485"/>
      <c r="AV519" s="485"/>
      <c r="AW519" s="485"/>
      <c r="AX519" s="485"/>
      <c r="AY519" s="485"/>
      <c r="AZ519" s="485"/>
      <c r="BA519" s="485"/>
      <c r="BB519" s="485"/>
      <c r="BC519" s="485"/>
      <c r="BD519" s="485"/>
      <c r="BE519" s="485"/>
      <c r="BF519" s="485"/>
      <c r="BG519" s="485"/>
      <c r="BH519" s="485"/>
      <c r="BI519" s="485"/>
      <c r="BJ519" s="485"/>
      <c r="BK519" s="485"/>
      <c r="BL519" s="485"/>
      <c r="BM519" s="485"/>
      <c r="BN519" s="485"/>
      <c r="BO519" s="485"/>
      <c r="BP519" s="485"/>
      <c r="BQ519" s="485"/>
      <c r="BR519" s="485"/>
      <c r="BS519" s="485"/>
      <c r="BT519" s="485"/>
      <c r="BU519" s="485"/>
      <c r="BV519" s="485"/>
      <c r="BW519" s="485"/>
      <c r="BX519" s="485"/>
      <c r="BY519" s="485"/>
      <c r="BZ519" s="485"/>
      <c r="CA519" s="485"/>
      <c r="CB519" s="485"/>
      <c r="CC519" s="485"/>
      <c r="CD519" s="485"/>
      <c r="CE519" s="485"/>
      <c r="CF519" s="485"/>
      <c r="CG519" s="485"/>
      <c r="CH519" s="485"/>
      <c r="CI519" s="485"/>
      <c r="CJ519" s="485"/>
      <c r="CK519" s="485"/>
      <c r="CL519" s="485"/>
      <c r="CM519" s="485"/>
      <c r="CN519" s="485"/>
      <c r="CO519" s="485"/>
      <c r="CP519" s="485"/>
      <c r="CQ519" s="485"/>
      <c r="CR519" s="485"/>
      <c r="CS519" s="485"/>
      <c r="CT519" s="485"/>
      <c r="CU519" s="485"/>
      <c r="CV519" s="485"/>
      <c r="CW519" s="485"/>
      <c r="CX519" s="485"/>
      <c r="CY519" s="485"/>
      <c r="CZ519" s="485"/>
      <c r="DA519" s="485"/>
      <c r="DB519" s="485"/>
      <c r="DC519" s="485"/>
      <c r="DD519" s="485"/>
      <c r="DE519" s="485"/>
      <c r="DF519" s="485"/>
      <c r="DG519" s="485"/>
      <c r="DH519" s="485"/>
      <c r="DI519" s="485"/>
      <c r="DJ519" s="485"/>
      <c r="DK519" s="485"/>
      <c r="DL519" s="485"/>
      <c r="DM519" s="485"/>
      <c r="DN519" s="485"/>
      <c r="DO519" s="485"/>
      <c r="DP519" s="485"/>
      <c r="DQ519" s="485"/>
      <c r="DR519" s="485"/>
      <c r="DS519" s="485"/>
      <c r="DT519" s="485"/>
      <c r="DU519" s="485"/>
      <c r="DV519" s="485"/>
      <c r="DW519" s="485"/>
      <c r="DX519" s="485"/>
      <c r="DY519" s="485"/>
      <c r="DZ519" s="485"/>
      <c r="EA519" s="485"/>
      <c r="EB519" s="485"/>
      <c r="EC519" s="485"/>
      <c r="ED519" s="485"/>
      <c r="EE519" s="485"/>
      <c r="EF519" s="485"/>
      <c r="EG519" s="485"/>
      <c r="EH519" s="485"/>
      <c r="EI519" s="485"/>
      <c r="EJ519" s="485"/>
      <c r="EK519" s="485"/>
      <c r="EL519" s="485"/>
      <c r="EM519" s="485"/>
      <c r="EN519" s="485"/>
      <c r="EO519" s="485"/>
      <c r="EP519" s="485"/>
    </row>
    <row r="520" spans="1:146">
      <c r="A520" s="485"/>
      <c r="B520" s="485"/>
      <c r="C520" s="485"/>
      <c r="D520" s="485"/>
      <c r="E520" s="485"/>
      <c r="F520" s="485"/>
      <c r="G520" s="485"/>
      <c r="H520" s="485"/>
      <c r="I520" s="485"/>
      <c r="J520" s="485"/>
      <c r="K520" s="485"/>
      <c r="L520" s="485"/>
      <c r="M520" s="485"/>
      <c r="P520" s="485"/>
      <c r="Q520" s="485"/>
      <c r="R520" s="485"/>
      <c r="S520" s="485"/>
      <c r="T520" s="485"/>
      <c r="U520" s="485"/>
      <c r="V520" s="485"/>
      <c r="W520" s="485"/>
      <c r="X520" s="485"/>
      <c r="Y520" s="485"/>
      <c r="Z520" s="485"/>
      <c r="AA520" s="485"/>
      <c r="AB520" s="485"/>
      <c r="AC520" s="485"/>
      <c r="AD520" s="485"/>
      <c r="AE520" s="485"/>
      <c r="AF520" s="485"/>
      <c r="AG520" s="485"/>
      <c r="AH520" s="485"/>
      <c r="AI520" s="485"/>
      <c r="AJ520" s="485"/>
      <c r="AK520" s="485"/>
      <c r="AL520" s="485"/>
      <c r="AM520" s="485"/>
      <c r="AN520" s="485"/>
      <c r="AO520" s="485"/>
      <c r="AP520" s="485"/>
      <c r="AQ520" s="485"/>
      <c r="AR520" s="485"/>
      <c r="AS520" s="485"/>
      <c r="AT520" s="485"/>
      <c r="AU520" s="485"/>
      <c r="AV520" s="485"/>
      <c r="AW520" s="485"/>
      <c r="AX520" s="485"/>
      <c r="AY520" s="485"/>
      <c r="AZ520" s="485"/>
      <c r="BA520" s="485"/>
      <c r="BB520" s="485"/>
      <c r="BC520" s="485"/>
      <c r="BD520" s="485"/>
      <c r="BE520" s="485"/>
      <c r="BF520" s="485"/>
      <c r="BG520" s="485"/>
      <c r="BH520" s="485"/>
      <c r="BI520" s="485"/>
      <c r="BJ520" s="485"/>
      <c r="BK520" s="485"/>
      <c r="BL520" s="485"/>
      <c r="BM520" s="485"/>
      <c r="BN520" s="485"/>
      <c r="BO520" s="485"/>
      <c r="BP520" s="485"/>
      <c r="BQ520" s="485"/>
      <c r="BR520" s="485"/>
      <c r="BS520" s="485"/>
      <c r="BT520" s="485"/>
      <c r="BU520" s="485"/>
      <c r="BV520" s="485"/>
      <c r="BW520" s="485"/>
      <c r="BX520" s="485"/>
      <c r="BY520" s="485"/>
      <c r="BZ520" s="485"/>
      <c r="CA520" s="485"/>
      <c r="CB520" s="485"/>
      <c r="CC520" s="485"/>
      <c r="CD520" s="485"/>
      <c r="CE520" s="485"/>
      <c r="CF520" s="485"/>
      <c r="CG520" s="485"/>
      <c r="CH520" s="485"/>
      <c r="CI520" s="485"/>
      <c r="CJ520" s="485"/>
      <c r="CK520" s="485"/>
      <c r="CL520" s="485"/>
      <c r="CM520" s="485"/>
      <c r="CN520" s="485"/>
      <c r="CO520" s="485"/>
      <c r="CP520" s="485"/>
      <c r="CQ520" s="485"/>
      <c r="CR520" s="485"/>
      <c r="CS520" s="485"/>
      <c r="CT520" s="485"/>
      <c r="CU520" s="485"/>
      <c r="CV520" s="485"/>
      <c r="CW520" s="485"/>
      <c r="CX520" s="485"/>
      <c r="CY520" s="485"/>
      <c r="CZ520" s="485"/>
      <c r="DA520" s="485"/>
      <c r="DB520" s="485"/>
      <c r="DC520" s="485"/>
      <c r="DD520" s="485"/>
      <c r="DE520" s="485"/>
      <c r="DF520" s="485"/>
      <c r="DG520" s="485"/>
      <c r="DH520" s="485"/>
      <c r="DI520" s="485"/>
      <c r="DJ520" s="485"/>
      <c r="DK520" s="485"/>
      <c r="DL520" s="485"/>
      <c r="DM520" s="485"/>
      <c r="DN520" s="485"/>
      <c r="DO520" s="485"/>
      <c r="DP520" s="485"/>
      <c r="DQ520" s="485"/>
      <c r="DR520" s="485"/>
      <c r="DS520" s="485"/>
      <c r="DT520" s="485"/>
      <c r="DU520" s="485"/>
      <c r="DV520" s="485"/>
      <c r="DW520" s="485"/>
      <c r="DX520" s="485"/>
      <c r="DY520" s="485"/>
      <c r="DZ520" s="485"/>
      <c r="EA520" s="485"/>
      <c r="EB520" s="485"/>
      <c r="EC520" s="485"/>
      <c r="ED520" s="485"/>
      <c r="EE520" s="485"/>
      <c r="EF520" s="485"/>
      <c r="EG520" s="485"/>
      <c r="EH520" s="485"/>
      <c r="EI520" s="485"/>
      <c r="EJ520" s="485"/>
      <c r="EK520" s="485"/>
      <c r="EL520" s="485"/>
      <c r="EM520" s="485"/>
      <c r="EN520" s="485"/>
      <c r="EO520" s="485"/>
      <c r="EP520" s="485"/>
    </row>
    <row r="521" spans="1:146">
      <c r="A521" s="485"/>
      <c r="B521" s="485"/>
      <c r="C521" s="485"/>
      <c r="D521" s="485"/>
      <c r="E521" s="485"/>
      <c r="F521" s="485"/>
      <c r="G521" s="485"/>
      <c r="H521" s="485"/>
      <c r="I521" s="485"/>
      <c r="J521" s="485"/>
      <c r="K521" s="485"/>
      <c r="L521" s="485"/>
      <c r="M521" s="485"/>
      <c r="P521" s="485"/>
      <c r="Q521" s="485"/>
      <c r="R521" s="485"/>
      <c r="S521" s="485"/>
      <c r="T521" s="485"/>
      <c r="U521" s="485"/>
      <c r="V521" s="485"/>
      <c r="W521" s="485"/>
      <c r="X521" s="485"/>
      <c r="Y521" s="485"/>
      <c r="Z521" s="485"/>
      <c r="AA521" s="485"/>
      <c r="AB521" s="485"/>
      <c r="AC521" s="485"/>
      <c r="AD521" s="485"/>
      <c r="AE521" s="485"/>
      <c r="AF521" s="485"/>
      <c r="AG521" s="485"/>
      <c r="AH521" s="485"/>
      <c r="AI521" s="485"/>
      <c r="AJ521" s="485"/>
      <c r="AK521" s="485"/>
      <c r="AL521" s="485"/>
      <c r="AM521" s="485"/>
      <c r="AN521" s="485"/>
      <c r="AO521" s="485"/>
      <c r="AP521" s="485"/>
      <c r="AQ521" s="485"/>
      <c r="AR521" s="485"/>
      <c r="AS521" s="485"/>
      <c r="AT521" s="485"/>
      <c r="AU521" s="485"/>
      <c r="AV521" s="485"/>
      <c r="AW521" s="485"/>
      <c r="AX521" s="485"/>
      <c r="AY521" s="485"/>
      <c r="AZ521" s="485"/>
      <c r="BA521" s="485"/>
      <c r="BB521" s="485"/>
      <c r="BC521" s="485"/>
      <c r="BD521" s="485"/>
      <c r="BE521" s="485"/>
      <c r="BF521" s="485"/>
      <c r="BG521" s="485"/>
      <c r="BH521" s="485"/>
      <c r="BI521" s="485"/>
      <c r="BJ521" s="485"/>
      <c r="BK521" s="485"/>
      <c r="BL521" s="485"/>
      <c r="BM521" s="485"/>
      <c r="BN521" s="485"/>
      <c r="BO521" s="485"/>
      <c r="BP521" s="485"/>
      <c r="BQ521" s="485"/>
      <c r="BR521" s="485"/>
      <c r="BS521" s="485"/>
      <c r="BT521" s="485"/>
      <c r="BU521" s="485"/>
      <c r="BV521" s="485"/>
      <c r="BW521" s="485"/>
      <c r="BX521" s="485"/>
      <c r="BY521" s="485"/>
      <c r="BZ521" s="485"/>
      <c r="CA521" s="485"/>
      <c r="CB521" s="485"/>
      <c r="CC521" s="485"/>
      <c r="CD521" s="485"/>
      <c r="CE521" s="485"/>
      <c r="CF521" s="485"/>
      <c r="CG521" s="485"/>
      <c r="CH521" s="485"/>
      <c r="CI521" s="485"/>
      <c r="CJ521" s="485"/>
      <c r="CK521" s="485"/>
      <c r="CL521" s="485"/>
      <c r="CM521" s="485"/>
      <c r="CN521" s="485"/>
      <c r="CO521" s="485"/>
      <c r="CP521" s="485"/>
      <c r="CQ521" s="485"/>
      <c r="CR521" s="485"/>
      <c r="CS521" s="485"/>
      <c r="CT521" s="485"/>
      <c r="CU521" s="485"/>
      <c r="CV521" s="485"/>
      <c r="CW521" s="485"/>
      <c r="CX521" s="485"/>
      <c r="CY521" s="485"/>
      <c r="CZ521" s="485"/>
      <c r="DA521" s="485"/>
      <c r="DB521" s="485"/>
      <c r="DC521" s="485"/>
      <c r="DD521" s="485"/>
      <c r="DE521" s="485"/>
      <c r="DF521" s="485"/>
      <c r="DG521" s="485"/>
      <c r="DH521" s="485"/>
      <c r="DI521" s="485"/>
      <c r="DJ521" s="485"/>
      <c r="DK521" s="485"/>
      <c r="DL521" s="485"/>
      <c r="DM521" s="485"/>
      <c r="DN521" s="485"/>
      <c r="DO521" s="485"/>
      <c r="DP521" s="485"/>
      <c r="DQ521" s="485"/>
      <c r="DR521" s="485"/>
      <c r="DS521" s="485"/>
      <c r="DT521" s="485"/>
      <c r="DU521" s="485"/>
      <c r="DV521" s="485"/>
      <c r="DW521" s="485"/>
      <c r="DX521" s="485"/>
      <c r="DY521" s="485"/>
      <c r="DZ521" s="485"/>
      <c r="EA521" s="485"/>
      <c r="EB521" s="485"/>
      <c r="EC521" s="485"/>
      <c r="ED521" s="485"/>
      <c r="EE521" s="485"/>
      <c r="EF521" s="485"/>
      <c r="EG521" s="485"/>
      <c r="EH521" s="485"/>
      <c r="EI521" s="485"/>
      <c r="EJ521" s="485"/>
      <c r="EK521" s="485"/>
      <c r="EL521" s="485"/>
      <c r="EM521" s="485"/>
      <c r="EN521" s="485"/>
      <c r="EO521" s="485"/>
      <c r="EP521" s="485"/>
    </row>
    <row r="522" spans="1:146">
      <c r="A522" s="485"/>
      <c r="B522" s="485"/>
      <c r="C522" s="485"/>
      <c r="D522" s="485"/>
      <c r="E522" s="485"/>
      <c r="F522" s="485"/>
      <c r="G522" s="485"/>
      <c r="H522" s="485"/>
      <c r="I522" s="485"/>
      <c r="J522" s="485"/>
      <c r="K522" s="485"/>
      <c r="L522" s="485"/>
      <c r="M522" s="485"/>
      <c r="P522" s="485"/>
      <c r="Q522" s="485"/>
      <c r="R522" s="485"/>
      <c r="S522" s="485"/>
      <c r="T522" s="485"/>
      <c r="U522" s="485"/>
      <c r="V522" s="485"/>
      <c r="W522" s="485"/>
      <c r="X522" s="485"/>
      <c r="Y522" s="485"/>
      <c r="Z522" s="485"/>
      <c r="AA522" s="485"/>
      <c r="AB522" s="485"/>
      <c r="AC522" s="485"/>
      <c r="AD522" s="485"/>
      <c r="AE522" s="485"/>
      <c r="AF522" s="485"/>
      <c r="AG522" s="485"/>
      <c r="AH522" s="485"/>
      <c r="AI522" s="485"/>
      <c r="AJ522" s="485"/>
      <c r="AK522" s="485"/>
      <c r="AL522" s="485"/>
      <c r="AM522" s="485"/>
      <c r="AN522" s="485"/>
      <c r="AO522" s="485"/>
      <c r="AP522" s="485"/>
      <c r="AQ522" s="485"/>
      <c r="AR522" s="485"/>
      <c r="AS522" s="485"/>
      <c r="AT522" s="485"/>
      <c r="AU522" s="485"/>
      <c r="AV522" s="485"/>
      <c r="AW522" s="485"/>
      <c r="AX522" s="485"/>
      <c r="AY522" s="485"/>
      <c r="AZ522" s="485"/>
      <c r="BA522" s="485"/>
      <c r="BB522" s="485"/>
      <c r="BC522" s="485"/>
      <c r="BD522" s="485"/>
      <c r="BE522" s="485"/>
      <c r="BF522" s="485"/>
      <c r="BG522" s="485"/>
      <c r="BH522" s="485"/>
      <c r="BI522" s="485"/>
      <c r="BJ522" s="485"/>
      <c r="BK522" s="485"/>
      <c r="BL522" s="485"/>
      <c r="BM522" s="485"/>
      <c r="BN522" s="485"/>
      <c r="BO522" s="485"/>
      <c r="BP522" s="485"/>
      <c r="BQ522" s="485"/>
      <c r="BR522" s="485"/>
      <c r="BS522" s="485"/>
      <c r="BT522" s="485"/>
      <c r="BU522" s="485"/>
      <c r="BV522" s="485"/>
      <c r="BW522" s="485"/>
      <c r="BX522" s="485"/>
      <c r="BY522" s="485"/>
      <c r="BZ522" s="485"/>
      <c r="CA522" s="485"/>
      <c r="CB522" s="485"/>
      <c r="CC522" s="485"/>
      <c r="CD522" s="485"/>
      <c r="CE522" s="485"/>
      <c r="CF522" s="485"/>
      <c r="CG522" s="485"/>
      <c r="CH522" s="485"/>
      <c r="CI522" s="485"/>
      <c r="CJ522" s="485"/>
      <c r="CK522" s="485"/>
      <c r="CL522" s="485"/>
      <c r="CM522" s="485"/>
      <c r="CN522" s="485"/>
      <c r="CO522" s="485"/>
      <c r="CP522" s="485"/>
      <c r="CQ522" s="485"/>
      <c r="CR522" s="485"/>
      <c r="CS522" s="485"/>
      <c r="CT522" s="485"/>
      <c r="CU522" s="485"/>
      <c r="CV522" s="485"/>
      <c r="CW522" s="485"/>
      <c r="CX522" s="485"/>
      <c r="CY522" s="485"/>
      <c r="CZ522" s="485"/>
      <c r="DA522" s="485"/>
      <c r="DB522" s="485"/>
      <c r="DC522" s="485"/>
      <c r="DD522" s="485"/>
      <c r="DE522" s="485"/>
      <c r="DF522" s="485"/>
      <c r="DG522" s="485"/>
      <c r="DH522" s="485"/>
      <c r="DI522" s="485"/>
      <c r="DJ522" s="485"/>
      <c r="DK522" s="485"/>
      <c r="DL522" s="485"/>
      <c r="DM522" s="485"/>
      <c r="DN522" s="485"/>
      <c r="DO522" s="485"/>
      <c r="DP522" s="485"/>
      <c r="DQ522" s="485"/>
      <c r="DR522" s="485"/>
      <c r="DS522" s="485"/>
      <c r="DT522" s="485"/>
      <c r="DU522" s="485"/>
      <c r="DV522" s="485"/>
      <c r="DW522" s="485"/>
      <c r="DX522" s="485"/>
      <c r="DY522" s="485"/>
      <c r="DZ522" s="485"/>
      <c r="EA522" s="485"/>
      <c r="EB522" s="485"/>
      <c r="EC522" s="485"/>
      <c r="ED522" s="485"/>
      <c r="EE522" s="485"/>
      <c r="EF522" s="485"/>
      <c r="EG522" s="485"/>
      <c r="EH522" s="485"/>
      <c r="EI522" s="485"/>
      <c r="EJ522" s="485"/>
      <c r="EK522" s="485"/>
      <c r="EL522" s="485"/>
      <c r="EM522" s="485"/>
      <c r="EN522" s="485"/>
      <c r="EO522" s="485"/>
      <c r="EP522" s="485"/>
    </row>
    <row r="523" spans="1:146">
      <c r="A523" s="485"/>
      <c r="B523" s="485"/>
      <c r="C523" s="485"/>
      <c r="D523" s="485"/>
      <c r="E523" s="485"/>
      <c r="F523" s="485"/>
      <c r="G523" s="485"/>
      <c r="H523" s="485"/>
      <c r="I523" s="485"/>
      <c r="J523" s="485"/>
      <c r="K523" s="485"/>
      <c r="L523" s="485"/>
      <c r="M523" s="485"/>
      <c r="P523" s="485"/>
      <c r="Q523" s="485"/>
      <c r="R523" s="485"/>
      <c r="S523" s="485"/>
      <c r="T523" s="485"/>
      <c r="U523" s="485"/>
      <c r="V523" s="485"/>
      <c r="W523" s="485"/>
      <c r="X523" s="485"/>
      <c r="Y523" s="485"/>
      <c r="Z523" s="485"/>
      <c r="AA523" s="485"/>
      <c r="AB523" s="485"/>
      <c r="AC523" s="485"/>
      <c r="AD523" s="485"/>
      <c r="AE523" s="485"/>
      <c r="AF523" s="485"/>
      <c r="AG523" s="485"/>
      <c r="AH523" s="485"/>
      <c r="AI523" s="485"/>
      <c r="AJ523" s="485"/>
      <c r="AK523" s="485"/>
      <c r="AL523" s="485"/>
      <c r="AM523" s="485"/>
      <c r="AN523" s="485"/>
      <c r="AO523" s="485"/>
      <c r="AP523" s="485"/>
      <c r="AQ523" s="485"/>
      <c r="AR523" s="485"/>
      <c r="AS523" s="485"/>
      <c r="AT523" s="485"/>
      <c r="AU523" s="485"/>
      <c r="AV523" s="485"/>
      <c r="AW523" s="485"/>
      <c r="AX523" s="485"/>
      <c r="AY523" s="485"/>
      <c r="AZ523" s="485"/>
      <c r="BA523" s="485"/>
      <c r="BB523" s="485"/>
      <c r="BC523" s="485"/>
      <c r="BD523" s="485"/>
      <c r="BE523" s="485"/>
      <c r="BF523" s="485"/>
      <c r="BG523" s="485"/>
      <c r="BH523" s="485"/>
      <c r="BI523" s="485"/>
      <c r="BJ523" s="485"/>
      <c r="BK523" s="485"/>
      <c r="BL523" s="485"/>
      <c r="BM523" s="485"/>
      <c r="BN523" s="485"/>
      <c r="BO523" s="485"/>
      <c r="BP523" s="485"/>
      <c r="BQ523" s="485"/>
      <c r="BR523" s="485"/>
      <c r="BS523" s="485"/>
      <c r="BT523" s="485"/>
      <c r="BU523" s="485"/>
      <c r="BV523" s="485"/>
      <c r="BW523" s="485"/>
      <c r="BX523" s="485"/>
      <c r="BY523" s="485"/>
      <c r="BZ523" s="485"/>
      <c r="CA523" s="485"/>
      <c r="CB523" s="485"/>
      <c r="CC523" s="485"/>
      <c r="CD523" s="485"/>
      <c r="CE523" s="485"/>
      <c r="CF523" s="485"/>
      <c r="CG523" s="485"/>
      <c r="CH523" s="485"/>
      <c r="CI523" s="485"/>
      <c r="CJ523" s="485"/>
      <c r="CK523" s="485"/>
      <c r="CL523" s="485"/>
      <c r="CM523" s="485"/>
      <c r="CN523" s="485"/>
      <c r="CO523" s="485"/>
      <c r="CP523" s="485"/>
      <c r="CQ523" s="485"/>
      <c r="CR523" s="485"/>
      <c r="CS523" s="485"/>
      <c r="CT523" s="485"/>
      <c r="CU523" s="485"/>
      <c r="CV523" s="485"/>
      <c r="CW523" s="485"/>
      <c r="CX523" s="485"/>
      <c r="CY523" s="485"/>
      <c r="CZ523" s="485"/>
      <c r="DA523" s="485"/>
      <c r="DB523" s="485"/>
      <c r="DC523" s="485"/>
      <c r="DD523" s="485"/>
      <c r="DE523" s="485"/>
      <c r="DF523" s="485"/>
      <c r="DG523" s="485"/>
      <c r="DH523" s="485"/>
      <c r="DI523" s="485"/>
      <c r="DJ523" s="485"/>
      <c r="DK523" s="485"/>
      <c r="DL523" s="485"/>
      <c r="DM523" s="485"/>
      <c r="DN523" s="485"/>
      <c r="DO523" s="485"/>
      <c r="DP523" s="485"/>
      <c r="DQ523" s="485"/>
      <c r="DR523" s="485"/>
      <c r="DS523" s="485"/>
      <c r="DT523" s="485"/>
      <c r="DU523" s="485"/>
      <c r="DV523" s="485"/>
      <c r="DW523" s="485"/>
      <c r="DX523" s="485"/>
      <c r="DY523" s="485"/>
      <c r="DZ523" s="485"/>
      <c r="EA523" s="485"/>
      <c r="EB523" s="485"/>
      <c r="EC523" s="485"/>
      <c r="ED523" s="485"/>
      <c r="EE523" s="485"/>
      <c r="EF523" s="485"/>
      <c r="EG523" s="485"/>
      <c r="EH523" s="485"/>
      <c r="EI523" s="485"/>
      <c r="EJ523" s="485"/>
      <c r="EK523" s="485"/>
      <c r="EL523" s="485"/>
      <c r="EM523" s="485"/>
      <c r="EN523" s="485"/>
      <c r="EO523" s="485"/>
      <c r="EP523" s="485"/>
    </row>
    <row r="524" spans="1:146">
      <c r="A524" s="485"/>
      <c r="B524" s="485"/>
      <c r="C524" s="485"/>
      <c r="D524" s="485"/>
      <c r="E524" s="485"/>
      <c r="F524" s="485"/>
      <c r="G524" s="485"/>
      <c r="H524" s="485"/>
      <c r="I524" s="485"/>
      <c r="J524" s="485"/>
      <c r="K524" s="485"/>
      <c r="L524" s="485"/>
      <c r="M524" s="485"/>
      <c r="P524" s="485"/>
      <c r="Q524" s="485"/>
      <c r="R524" s="485"/>
      <c r="S524" s="485"/>
      <c r="T524" s="485"/>
      <c r="U524" s="485"/>
      <c r="V524" s="485"/>
      <c r="W524" s="485"/>
      <c r="X524" s="485"/>
      <c r="Y524" s="485"/>
      <c r="Z524" s="485"/>
      <c r="AA524" s="485"/>
      <c r="AB524" s="485"/>
      <c r="AC524" s="485"/>
      <c r="AD524" s="485"/>
      <c r="AE524" s="485"/>
      <c r="AF524" s="485"/>
      <c r="AG524" s="485"/>
      <c r="AH524" s="485"/>
      <c r="AI524" s="485"/>
      <c r="AJ524" s="485"/>
      <c r="AK524" s="485"/>
      <c r="AL524" s="485"/>
      <c r="AM524" s="485"/>
      <c r="AN524" s="485"/>
      <c r="AO524" s="485"/>
      <c r="AP524" s="485"/>
      <c r="AQ524" s="485"/>
      <c r="AR524" s="485"/>
      <c r="AS524" s="485"/>
      <c r="AT524" s="485"/>
      <c r="AU524" s="485"/>
      <c r="AV524" s="485"/>
      <c r="AW524" s="485"/>
      <c r="AX524" s="485"/>
      <c r="AY524" s="485"/>
      <c r="AZ524" s="485"/>
      <c r="BA524" s="485"/>
      <c r="BB524" s="485"/>
      <c r="BC524" s="485"/>
      <c r="BD524" s="485"/>
      <c r="BE524" s="485"/>
      <c r="BF524" s="485"/>
      <c r="BG524" s="485"/>
      <c r="BH524" s="485"/>
      <c r="BI524" s="485"/>
      <c r="BJ524" s="485"/>
      <c r="BK524" s="485"/>
      <c r="BL524" s="485"/>
      <c r="BM524" s="485"/>
      <c r="BN524" s="485"/>
      <c r="BO524" s="485"/>
      <c r="BP524" s="485"/>
      <c r="BQ524" s="485"/>
      <c r="BR524" s="485"/>
      <c r="BS524" s="485"/>
      <c r="BT524" s="485"/>
      <c r="BU524" s="485"/>
      <c r="BV524" s="485"/>
      <c r="BW524" s="485"/>
      <c r="BX524" s="485"/>
      <c r="BY524" s="485"/>
      <c r="BZ524" s="485"/>
      <c r="CA524" s="485"/>
      <c r="CB524" s="485"/>
      <c r="CC524" s="485"/>
      <c r="CD524" s="485"/>
      <c r="CE524" s="485"/>
      <c r="CF524" s="485"/>
      <c r="CG524" s="485"/>
      <c r="CH524" s="485"/>
      <c r="CI524" s="485"/>
      <c r="CJ524" s="485"/>
      <c r="CK524" s="485"/>
      <c r="CL524" s="485"/>
      <c r="CM524" s="485"/>
      <c r="CN524" s="485"/>
      <c r="CO524" s="485"/>
      <c r="CP524" s="485"/>
      <c r="CQ524" s="485"/>
      <c r="CR524" s="485"/>
      <c r="CS524" s="485"/>
      <c r="CT524" s="485"/>
      <c r="CU524" s="485"/>
      <c r="CV524" s="485"/>
      <c r="CW524" s="485"/>
      <c r="CX524" s="485"/>
      <c r="CY524" s="485"/>
      <c r="CZ524" s="485"/>
      <c r="DA524" s="485"/>
      <c r="DB524" s="485"/>
      <c r="DC524" s="485"/>
      <c r="DD524" s="485"/>
      <c r="DE524" s="485"/>
      <c r="DF524" s="485"/>
      <c r="DG524" s="485"/>
      <c r="DH524" s="485"/>
      <c r="DI524" s="485"/>
      <c r="DJ524" s="485"/>
      <c r="DK524" s="485"/>
      <c r="DL524" s="485"/>
      <c r="DM524" s="485"/>
      <c r="DN524" s="485"/>
      <c r="DO524" s="485"/>
      <c r="DP524" s="485"/>
      <c r="DQ524" s="485"/>
      <c r="DR524" s="485"/>
      <c r="DS524" s="485"/>
      <c r="DT524" s="485"/>
      <c r="DU524" s="485"/>
      <c r="DV524" s="485"/>
      <c r="DW524" s="485"/>
      <c r="DX524" s="485"/>
      <c r="DY524" s="485"/>
      <c r="DZ524" s="485"/>
      <c r="EA524" s="485"/>
      <c r="EB524" s="485"/>
      <c r="EC524" s="485"/>
      <c r="ED524" s="485"/>
      <c r="EE524" s="485"/>
      <c r="EF524" s="485"/>
      <c r="EG524" s="485"/>
      <c r="EH524" s="485"/>
      <c r="EI524" s="485"/>
      <c r="EJ524" s="485"/>
      <c r="EK524" s="485"/>
      <c r="EL524" s="485"/>
      <c r="EM524" s="485"/>
      <c r="EN524" s="485"/>
      <c r="EO524" s="485"/>
      <c r="EP524" s="485"/>
    </row>
    <row r="525" spans="1:146">
      <c r="A525" s="485"/>
      <c r="B525" s="485"/>
      <c r="C525" s="485"/>
      <c r="D525" s="485"/>
      <c r="E525" s="485"/>
      <c r="F525" s="485"/>
      <c r="G525" s="485"/>
      <c r="H525" s="485"/>
      <c r="I525" s="485"/>
      <c r="J525" s="485"/>
      <c r="K525" s="485"/>
      <c r="L525" s="485"/>
      <c r="M525" s="485"/>
      <c r="P525" s="485"/>
      <c r="Q525" s="485"/>
      <c r="R525" s="485"/>
      <c r="S525" s="485"/>
      <c r="T525" s="485"/>
      <c r="U525" s="485"/>
      <c r="V525" s="485"/>
      <c r="W525" s="485"/>
      <c r="X525" s="485"/>
      <c r="Y525" s="485"/>
      <c r="Z525" s="485"/>
      <c r="AA525" s="485"/>
      <c r="AB525" s="485"/>
      <c r="AC525" s="485"/>
      <c r="AD525" s="485"/>
      <c r="AE525" s="485"/>
      <c r="AF525" s="485"/>
      <c r="AG525" s="485"/>
      <c r="AH525" s="485"/>
      <c r="AI525" s="485"/>
      <c r="AJ525" s="485"/>
      <c r="AK525" s="485"/>
      <c r="AL525" s="485"/>
      <c r="AM525" s="485"/>
      <c r="AN525" s="485"/>
      <c r="AO525" s="485"/>
      <c r="AP525" s="485"/>
      <c r="AQ525" s="485"/>
      <c r="AR525" s="485"/>
      <c r="AS525" s="485"/>
      <c r="AT525" s="485"/>
      <c r="AU525" s="485"/>
      <c r="AV525" s="485"/>
      <c r="AW525" s="485"/>
      <c r="AX525" s="485"/>
      <c r="AY525" s="485"/>
      <c r="AZ525" s="485"/>
      <c r="BA525" s="485"/>
      <c r="BB525" s="485"/>
      <c r="BC525" s="485"/>
      <c r="BD525" s="485"/>
      <c r="BE525" s="485"/>
      <c r="BF525" s="485"/>
      <c r="BG525" s="485"/>
      <c r="BH525" s="485"/>
      <c r="BI525" s="485"/>
      <c r="BJ525" s="485"/>
      <c r="BK525" s="485"/>
      <c r="BL525" s="485"/>
      <c r="BM525" s="485"/>
      <c r="BN525" s="485"/>
      <c r="BO525" s="485"/>
      <c r="BP525" s="485"/>
      <c r="BQ525" s="485"/>
      <c r="BR525" s="485"/>
      <c r="BS525" s="485"/>
      <c r="BT525" s="485"/>
      <c r="BU525" s="485"/>
      <c r="BV525" s="485"/>
      <c r="BW525" s="485"/>
      <c r="BX525" s="485"/>
      <c r="BY525" s="485"/>
      <c r="BZ525" s="485"/>
      <c r="CA525" s="485"/>
      <c r="CB525" s="485"/>
      <c r="CC525" s="485"/>
      <c r="CD525" s="485"/>
      <c r="CE525" s="485"/>
      <c r="CF525" s="485"/>
      <c r="CG525" s="485"/>
      <c r="CH525" s="485"/>
      <c r="CI525" s="485"/>
      <c r="CJ525" s="485"/>
      <c r="CK525" s="485"/>
      <c r="CL525" s="485"/>
      <c r="CM525" s="485"/>
      <c r="CN525" s="485"/>
      <c r="CO525" s="485"/>
      <c r="CP525" s="485"/>
      <c r="CQ525" s="485"/>
      <c r="CR525" s="485"/>
      <c r="CS525" s="485"/>
      <c r="CT525" s="485"/>
      <c r="CU525" s="485"/>
      <c r="CV525" s="485"/>
      <c r="CW525" s="485"/>
      <c r="CX525" s="485"/>
      <c r="CY525" s="485"/>
      <c r="CZ525" s="485"/>
      <c r="DA525" s="485"/>
      <c r="DB525" s="485"/>
      <c r="DC525" s="485"/>
      <c r="DD525" s="485"/>
      <c r="DE525" s="485"/>
      <c r="DF525" s="485"/>
      <c r="DG525" s="485"/>
      <c r="DH525" s="485"/>
      <c r="DI525" s="485"/>
      <c r="DJ525" s="485"/>
      <c r="DK525" s="485"/>
      <c r="DL525" s="485"/>
      <c r="DM525" s="485"/>
      <c r="DN525" s="485"/>
      <c r="DO525" s="485"/>
      <c r="DP525" s="485"/>
      <c r="DQ525" s="485"/>
      <c r="DR525" s="485"/>
      <c r="DS525" s="485"/>
      <c r="DT525" s="485"/>
      <c r="DU525" s="485"/>
      <c r="DV525" s="485"/>
      <c r="DW525" s="485"/>
      <c r="DX525" s="485"/>
      <c r="DY525" s="485"/>
      <c r="DZ525" s="485"/>
      <c r="EA525" s="485"/>
      <c r="EB525" s="485"/>
      <c r="EC525" s="485"/>
      <c r="ED525" s="485"/>
      <c r="EE525" s="485"/>
      <c r="EF525" s="485"/>
      <c r="EG525" s="485"/>
      <c r="EH525" s="485"/>
      <c r="EI525" s="485"/>
      <c r="EJ525" s="485"/>
      <c r="EK525" s="485"/>
      <c r="EL525" s="485"/>
      <c r="EM525" s="485"/>
      <c r="EN525" s="485"/>
      <c r="EO525" s="485"/>
      <c r="EP525" s="485"/>
    </row>
    <row r="526" spans="1:146">
      <c r="A526" s="485"/>
      <c r="B526" s="485"/>
      <c r="C526" s="485"/>
      <c r="D526" s="485"/>
      <c r="E526" s="485"/>
      <c r="F526" s="485"/>
      <c r="G526" s="485"/>
      <c r="H526" s="485"/>
      <c r="I526" s="485"/>
      <c r="J526" s="485"/>
      <c r="K526" s="485"/>
      <c r="L526" s="485"/>
      <c r="M526" s="485"/>
      <c r="P526" s="485"/>
      <c r="Q526" s="485"/>
      <c r="R526" s="485"/>
      <c r="S526" s="485"/>
      <c r="T526" s="485"/>
      <c r="U526" s="485"/>
      <c r="V526" s="485"/>
      <c r="W526" s="485"/>
      <c r="X526" s="485"/>
      <c r="Y526" s="485"/>
      <c r="Z526" s="485"/>
      <c r="AA526" s="485"/>
      <c r="AB526" s="485"/>
      <c r="AC526" s="485"/>
      <c r="AD526" s="485"/>
      <c r="AE526" s="485"/>
      <c r="AF526" s="485"/>
      <c r="AG526" s="485"/>
      <c r="AH526" s="485"/>
      <c r="AI526" s="485"/>
      <c r="AJ526" s="485"/>
      <c r="AK526" s="485"/>
      <c r="AL526" s="485"/>
      <c r="AM526" s="485"/>
      <c r="AN526" s="485"/>
      <c r="AO526" s="485"/>
      <c r="AP526" s="485"/>
      <c r="AQ526" s="485"/>
      <c r="AR526" s="485"/>
      <c r="AS526" s="485"/>
      <c r="AT526" s="485"/>
      <c r="AU526" s="485"/>
      <c r="AV526" s="485"/>
      <c r="AW526" s="485"/>
      <c r="AX526" s="485"/>
      <c r="AY526" s="485"/>
      <c r="AZ526" s="485"/>
      <c r="BA526" s="485"/>
      <c r="BB526" s="485"/>
      <c r="BC526" s="485"/>
      <c r="BD526" s="485"/>
      <c r="BE526" s="485"/>
      <c r="BF526" s="485"/>
      <c r="BG526" s="485"/>
      <c r="BH526" s="485"/>
      <c r="BI526" s="485"/>
      <c r="BJ526" s="485"/>
      <c r="BK526" s="485"/>
      <c r="BL526" s="485"/>
      <c r="BM526" s="485"/>
      <c r="BN526" s="485"/>
      <c r="BO526" s="485"/>
      <c r="BP526" s="485"/>
      <c r="BQ526" s="485"/>
      <c r="BR526" s="485"/>
      <c r="BS526" s="485"/>
      <c r="BT526" s="485"/>
      <c r="BU526" s="485"/>
      <c r="BV526" s="485"/>
      <c r="BW526" s="485"/>
      <c r="BX526" s="485"/>
      <c r="BY526" s="485"/>
      <c r="BZ526" s="485"/>
      <c r="CA526" s="485"/>
      <c r="CB526" s="485"/>
      <c r="CC526" s="485"/>
      <c r="CD526" s="485"/>
      <c r="CE526" s="485"/>
      <c r="CF526" s="485"/>
      <c r="CG526" s="485"/>
      <c r="CH526" s="485"/>
      <c r="CI526" s="485"/>
      <c r="CJ526" s="485"/>
      <c r="CK526" s="485"/>
      <c r="CL526" s="485"/>
      <c r="CM526" s="485"/>
      <c r="CN526" s="485"/>
      <c r="CO526" s="485"/>
      <c r="CP526" s="485"/>
      <c r="CQ526" s="485"/>
      <c r="CR526" s="485"/>
      <c r="CS526" s="485"/>
      <c r="CT526" s="485"/>
      <c r="CU526" s="485"/>
      <c r="CV526" s="485"/>
      <c r="CW526" s="485"/>
      <c r="CX526" s="485"/>
      <c r="CY526" s="485"/>
      <c r="CZ526" s="485"/>
      <c r="DA526" s="485"/>
      <c r="DB526" s="485"/>
      <c r="DC526" s="485"/>
      <c r="DD526" s="485"/>
      <c r="DE526" s="485"/>
      <c r="DF526" s="485"/>
      <c r="DG526" s="485"/>
      <c r="DH526" s="485"/>
      <c r="DI526" s="485"/>
      <c r="DJ526" s="485"/>
      <c r="DK526" s="485"/>
      <c r="DL526" s="485"/>
      <c r="DM526" s="485"/>
      <c r="DN526" s="485"/>
      <c r="DO526" s="485"/>
      <c r="DP526" s="485"/>
      <c r="DQ526" s="485"/>
      <c r="DR526" s="485"/>
      <c r="DS526" s="485"/>
      <c r="DT526" s="485"/>
      <c r="DU526" s="485"/>
      <c r="DV526" s="485"/>
      <c r="DW526" s="485"/>
      <c r="DX526" s="485"/>
      <c r="DY526" s="485"/>
      <c r="DZ526" s="485"/>
      <c r="EA526" s="485"/>
      <c r="EB526" s="485"/>
      <c r="EC526" s="485"/>
      <c r="ED526" s="485"/>
      <c r="EE526" s="485"/>
      <c r="EF526" s="485"/>
      <c r="EG526" s="485"/>
      <c r="EH526" s="485"/>
      <c r="EI526" s="485"/>
      <c r="EJ526" s="485"/>
      <c r="EK526" s="485"/>
      <c r="EL526" s="485"/>
      <c r="EM526" s="485"/>
      <c r="EN526" s="485"/>
      <c r="EO526" s="485"/>
      <c r="EP526" s="485"/>
    </row>
    <row r="527" spans="1:146">
      <c r="A527" s="485"/>
      <c r="B527" s="485"/>
      <c r="C527" s="485"/>
      <c r="D527" s="485"/>
      <c r="E527" s="485"/>
      <c r="F527" s="485"/>
      <c r="G527" s="485"/>
      <c r="H527" s="485"/>
      <c r="I527" s="485"/>
      <c r="J527" s="485"/>
      <c r="K527" s="485"/>
      <c r="L527" s="485"/>
      <c r="M527" s="485"/>
      <c r="P527" s="485"/>
      <c r="Q527" s="485"/>
      <c r="R527" s="485"/>
      <c r="S527" s="485"/>
      <c r="T527" s="485"/>
      <c r="U527" s="485"/>
      <c r="V527" s="485"/>
      <c r="W527" s="485"/>
      <c r="X527" s="485"/>
      <c r="Y527" s="485"/>
      <c r="Z527" s="485"/>
      <c r="AA527" s="485"/>
      <c r="AB527" s="485"/>
      <c r="AC527" s="485"/>
      <c r="AD527" s="485"/>
      <c r="AE527" s="485"/>
      <c r="AF527" s="485"/>
      <c r="AG527" s="485"/>
      <c r="AH527" s="485"/>
      <c r="AI527" s="485"/>
      <c r="AJ527" s="485"/>
      <c r="AK527" s="485"/>
      <c r="AL527" s="485"/>
      <c r="AM527" s="485"/>
      <c r="AN527" s="485"/>
      <c r="AO527" s="485"/>
      <c r="AP527" s="485"/>
      <c r="AQ527" s="485"/>
      <c r="AR527" s="485"/>
      <c r="AS527" s="485"/>
      <c r="AT527" s="485"/>
      <c r="AU527" s="485"/>
      <c r="AV527" s="485"/>
      <c r="AW527" s="485"/>
      <c r="AX527" s="485"/>
      <c r="AY527" s="485"/>
      <c r="AZ527" s="485"/>
      <c r="BA527" s="485"/>
      <c r="BB527" s="485"/>
      <c r="BC527" s="485"/>
      <c r="BD527" s="485"/>
      <c r="BE527" s="485"/>
      <c r="BF527" s="485"/>
      <c r="BG527" s="485"/>
      <c r="BH527" s="485"/>
      <c r="BI527" s="485"/>
      <c r="BJ527" s="485"/>
      <c r="BK527" s="485"/>
      <c r="BL527" s="485"/>
      <c r="BM527" s="485"/>
      <c r="BN527" s="485"/>
      <c r="BO527" s="485"/>
      <c r="BP527" s="485"/>
      <c r="BQ527" s="485"/>
      <c r="BR527" s="485"/>
      <c r="BS527" s="485"/>
      <c r="BT527" s="485"/>
      <c r="BU527" s="485"/>
      <c r="BV527" s="485"/>
      <c r="BW527" s="485"/>
      <c r="BX527" s="485"/>
      <c r="BY527" s="485"/>
      <c r="BZ527" s="485"/>
      <c r="CA527" s="485"/>
      <c r="CB527" s="485"/>
      <c r="CC527" s="485"/>
      <c r="CD527" s="485"/>
      <c r="CE527" s="485"/>
      <c r="CF527" s="485"/>
      <c r="CG527" s="485"/>
      <c r="CH527" s="485"/>
      <c r="CI527" s="485"/>
      <c r="CJ527" s="485"/>
      <c r="CK527" s="485"/>
      <c r="CL527" s="485"/>
      <c r="CM527" s="485"/>
      <c r="CN527" s="485"/>
      <c r="CO527" s="485"/>
      <c r="CP527" s="485"/>
      <c r="CQ527" s="485"/>
      <c r="CR527" s="485"/>
      <c r="CS527" s="485"/>
      <c r="CT527" s="485"/>
      <c r="CU527" s="485"/>
      <c r="CV527" s="485"/>
      <c r="CW527" s="485"/>
      <c r="CX527" s="485"/>
      <c r="CY527" s="485"/>
      <c r="CZ527" s="485"/>
      <c r="DA527" s="485"/>
      <c r="DB527" s="485"/>
      <c r="DC527" s="485"/>
      <c r="DD527" s="485"/>
      <c r="DE527" s="485"/>
      <c r="DF527" s="485"/>
      <c r="DG527" s="485"/>
      <c r="DH527" s="485"/>
      <c r="DI527" s="485"/>
      <c r="DJ527" s="485"/>
      <c r="DK527" s="485"/>
      <c r="DL527" s="485"/>
      <c r="DM527" s="485"/>
      <c r="DN527" s="485"/>
      <c r="DO527" s="485"/>
      <c r="DP527" s="485"/>
      <c r="DQ527" s="485"/>
      <c r="DR527" s="485"/>
      <c r="DS527" s="485"/>
      <c r="DT527" s="485"/>
      <c r="DU527" s="485"/>
      <c r="DV527" s="485"/>
      <c r="DW527" s="485"/>
      <c r="DX527" s="485"/>
      <c r="DY527" s="485"/>
      <c r="DZ527" s="485"/>
      <c r="EA527" s="485"/>
      <c r="EB527" s="485"/>
      <c r="EC527" s="485"/>
      <c r="ED527" s="485"/>
      <c r="EE527" s="485"/>
      <c r="EF527" s="485"/>
      <c r="EG527" s="485"/>
      <c r="EH527" s="485"/>
      <c r="EI527" s="485"/>
      <c r="EJ527" s="485"/>
      <c r="EK527" s="485"/>
      <c r="EL527" s="485"/>
      <c r="EM527" s="485"/>
      <c r="EN527" s="485"/>
      <c r="EO527" s="485"/>
      <c r="EP527" s="485"/>
    </row>
    <row r="528" spans="1:146">
      <c r="A528" s="485"/>
      <c r="B528" s="485"/>
      <c r="C528" s="485"/>
      <c r="D528" s="485"/>
      <c r="E528" s="485"/>
      <c r="F528" s="485"/>
      <c r="G528" s="485"/>
      <c r="H528" s="485"/>
      <c r="I528" s="485"/>
      <c r="J528" s="485"/>
      <c r="K528" s="485"/>
      <c r="L528" s="485"/>
      <c r="M528" s="485"/>
      <c r="P528" s="485"/>
      <c r="Q528" s="485"/>
      <c r="R528" s="485"/>
      <c r="S528" s="485"/>
      <c r="T528" s="485"/>
      <c r="U528" s="485"/>
      <c r="V528" s="485"/>
      <c r="W528" s="485"/>
      <c r="X528" s="485"/>
      <c r="Y528" s="485"/>
      <c r="Z528" s="485"/>
      <c r="AA528" s="485"/>
      <c r="AB528" s="485"/>
      <c r="AC528" s="485"/>
      <c r="AD528" s="485"/>
      <c r="AE528" s="485"/>
      <c r="AF528" s="485"/>
      <c r="AG528" s="485"/>
      <c r="AH528" s="485"/>
      <c r="AI528" s="485"/>
      <c r="AJ528" s="485"/>
      <c r="AK528" s="485"/>
      <c r="AL528" s="485"/>
      <c r="AM528" s="485"/>
      <c r="AN528" s="485"/>
      <c r="AO528" s="485"/>
      <c r="AP528" s="485"/>
      <c r="AQ528" s="485"/>
      <c r="AR528" s="485"/>
      <c r="AS528" s="485"/>
      <c r="AT528" s="485"/>
      <c r="AU528" s="485"/>
      <c r="AV528" s="485"/>
      <c r="AW528" s="485"/>
      <c r="AX528" s="485"/>
      <c r="AY528" s="485"/>
      <c r="AZ528" s="485"/>
      <c r="BA528" s="485"/>
      <c r="BB528" s="485"/>
      <c r="BC528" s="485"/>
      <c r="BD528" s="485"/>
      <c r="BE528" s="485"/>
      <c r="BF528" s="485"/>
      <c r="BG528" s="485"/>
      <c r="BH528" s="485"/>
      <c r="BI528" s="485"/>
      <c r="BJ528" s="485"/>
      <c r="BK528" s="485"/>
      <c r="BL528" s="485"/>
      <c r="BM528" s="485"/>
      <c r="BN528" s="485"/>
      <c r="BO528" s="485"/>
      <c r="BP528" s="485"/>
      <c r="BQ528" s="485"/>
      <c r="BR528" s="485"/>
      <c r="BS528" s="485"/>
      <c r="BT528" s="485"/>
      <c r="BU528" s="485"/>
      <c r="BV528" s="485"/>
      <c r="BW528" s="485"/>
      <c r="BX528" s="485"/>
      <c r="BY528" s="485"/>
      <c r="BZ528" s="485"/>
      <c r="CA528" s="485"/>
      <c r="CB528" s="485"/>
      <c r="CC528" s="485"/>
      <c r="CD528" s="485"/>
      <c r="CE528" s="485"/>
      <c r="CF528" s="485"/>
      <c r="CG528" s="485"/>
      <c r="CH528" s="485"/>
      <c r="CI528" s="485"/>
      <c r="CJ528" s="485"/>
      <c r="CK528" s="485"/>
      <c r="CL528" s="485"/>
      <c r="CM528" s="485"/>
      <c r="CN528" s="485"/>
      <c r="CO528" s="485"/>
      <c r="CP528" s="485"/>
      <c r="CQ528" s="485"/>
      <c r="CR528" s="485"/>
      <c r="CS528" s="485"/>
      <c r="CT528" s="485"/>
      <c r="CU528" s="485"/>
      <c r="CV528" s="485"/>
      <c r="CW528" s="485"/>
      <c r="CX528" s="485"/>
      <c r="CY528" s="485"/>
      <c r="CZ528" s="485"/>
      <c r="DA528" s="485"/>
      <c r="DB528" s="485"/>
      <c r="DC528" s="485"/>
      <c r="DD528" s="485"/>
      <c r="DE528" s="485"/>
      <c r="DF528" s="485"/>
      <c r="DG528" s="485"/>
      <c r="DH528" s="485"/>
      <c r="DI528" s="485"/>
      <c r="DJ528" s="485"/>
      <c r="DK528" s="485"/>
      <c r="DL528" s="485"/>
      <c r="DM528" s="485"/>
      <c r="DN528" s="485"/>
      <c r="DO528" s="485"/>
      <c r="DP528" s="485"/>
      <c r="DQ528" s="485"/>
      <c r="DR528" s="485"/>
      <c r="DS528" s="485"/>
      <c r="DT528" s="485"/>
      <c r="DU528" s="485"/>
      <c r="DV528" s="485"/>
      <c r="DW528" s="485"/>
      <c r="DX528" s="485"/>
      <c r="DY528" s="485"/>
      <c r="DZ528" s="485"/>
      <c r="EA528" s="485"/>
      <c r="EB528" s="485"/>
      <c r="EC528" s="485"/>
      <c r="ED528" s="485"/>
      <c r="EE528" s="485"/>
      <c r="EF528" s="485"/>
      <c r="EG528" s="485"/>
      <c r="EH528" s="485"/>
      <c r="EI528" s="485"/>
      <c r="EJ528" s="485"/>
      <c r="EK528" s="485"/>
      <c r="EL528" s="485"/>
      <c r="EM528" s="485"/>
      <c r="EN528" s="485"/>
      <c r="EO528" s="485"/>
      <c r="EP528" s="485"/>
    </row>
    <row r="529" spans="1:146">
      <c r="A529" s="485"/>
      <c r="B529" s="485"/>
      <c r="C529" s="485"/>
      <c r="D529" s="485"/>
      <c r="E529" s="485"/>
      <c r="F529" s="485"/>
      <c r="G529" s="485"/>
      <c r="H529" s="485"/>
      <c r="I529" s="485"/>
      <c r="J529" s="485"/>
      <c r="K529" s="485"/>
      <c r="L529" s="485"/>
      <c r="M529" s="485"/>
      <c r="P529" s="485"/>
      <c r="Q529" s="485"/>
      <c r="R529" s="485"/>
      <c r="S529" s="485"/>
      <c r="T529" s="485"/>
      <c r="U529" s="485"/>
      <c r="V529" s="485"/>
      <c r="W529" s="485"/>
      <c r="X529" s="485"/>
      <c r="Y529" s="485"/>
      <c r="Z529" s="485"/>
      <c r="AA529" s="485"/>
      <c r="AB529" s="485"/>
      <c r="AC529" s="485"/>
      <c r="AD529" s="485"/>
      <c r="AE529" s="485"/>
      <c r="AF529" s="485"/>
      <c r="AG529" s="485"/>
      <c r="AH529" s="485"/>
      <c r="AI529" s="485"/>
      <c r="AJ529" s="485"/>
      <c r="AK529" s="485"/>
      <c r="AL529" s="485"/>
      <c r="AM529" s="485"/>
      <c r="AN529" s="485"/>
      <c r="AO529" s="485"/>
      <c r="AP529" s="485"/>
      <c r="AQ529" s="485"/>
      <c r="AR529" s="485"/>
      <c r="AS529" s="485"/>
      <c r="AT529" s="485"/>
      <c r="AU529" s="485"/>
      <c r="AV529" s="485"/>
      <c r="AW529" s="485"/>
      <c r="AX529" s="485"/>
      <c r="AY529" s="485"/>
      <c r="AZ529" s="485"/>
      <c r="BA529" s="485"/>
      <c r="BB529" s="485"/>
      <c r="BC529" s="485"/>
      <c r="BD529" s="485"/>
      <c r="BE529" s="485"/>
      <c r="BF529" s="485"/>
      <c r="BG529" s="485"/>
      <c r="BH529" s="485"/>
      <c r="BI529" s="485"/>
      <c r="BJ529" s="485"/>
      <c r="BK529" s="485"/>
      <c r="BL529" s="485"/>
      <c r="BM529" s="485"/>
      <c r="BN529" s="485"/>
      <c r="BO529" s="485"/>
      <c r="BP529" s="485"/>
      <c r="BQ529" s="485"/>
      <c r="BR529" s="485"/>
      <c r="BS529" s="485"/>
      <c r="BT529" s="485"/>
      <c r="BU529" s="485"/>
      <c r="BV529" s="485"/>
      <c r="BW529" s="485"/>
      <c r="BX529" s="485"/>
      <c r="BY529" s="485"/>
      <c r="BZ529" s="485"/>
      <c r="CA529" s="485"/>
      <c r="CB529" s="485"/>
      <c r="CC529" s="485"/>
      <c r="CD529" s="485"/>
      <c r="CE529" s="485"/>
      <c r="CF529" s="485"/>
      <c r="CG529" s="485"/>
      <c r="CH529" s="485"/>
      <c r="CI529" s="485"/>
      <c r="CJ529" s="485"/>
      <c r="CK529" s="485"/>
      <c r="CL529" s="485"/>
      <c r="CM529" s="485"/>
      <c r="CN529" s="485"/>
      <c r="CO529" s="485"/>
      <c r="CP529" s="485"/>
      <c r="CQ529" s="485"/>
      <c r="CR529" s="485"/>
      <c r="CS529" s="485"/>
      <c r="CT529" s="485"/>
      <c r="CU529" s="485"/>
      <c r="CV529" s="485"/>
      <c r="CW529" s="485"/>
      <c r="CX529" s="485"/>
      <c r="CY529" s="485"/>
      <c r="CZ529" s="485"/>
      <c r="DA529" s="485"/>
      <c r="DB529" s="485"/>
      <c r="DC529" s="485"/>
      <c r="DD529" s="485"/>
      <c r="DE529" s="485"/>
      <c r="DF529" s="485"/>
      <c r="DG529" s="485"/>
      <c r="DH529" s="485"/>
      <c r="DI529" s="485"/>
      <c r="DJ529" s="485"/>
      <c r="DK529" s="485"/>
      <c r="DL529" s="485"/>
      <c r="DM529" s="485"/>
      <c r="DN529" s="485"/>
      <c r="DO529" s="485"/>
      <c r="DP529" s="485"/>
      <c r="DQ529" s="485"/>
      <c r="DR529" s="485"/>
      <c r="DS529" s="485"/>
      <c r="DT529" s="485"/>
      <c r="DU529" s="485"/>
      <c r="DV529" s="485"/>
      <c r="DW529" s="485"/>
      <c r="DX529" s="485"/>
      <c r="DY529" s="485"/>
      <c r="DZ529" s="485"/>
      <c r="EA529" s="485"/>
      <c r="EB529" s="485"/>
      <c r="EC529" s="485"/>
      <c r="ED529" s="485"/>
      <c r="EE529" s="485"/>
      <c r="EF529" s="485"/>
      <c r="EG529" s="485"/>
      <c r="EH529" s="485"/>
      <c r="EI529" s="485"/>
      <c r="EJ529" s="485"/>
      <c r="EK529" s="485"/>
      <c r="EL529" s="485"/>
      <c r="EM529" s="485"/>
      <c r="EN529" s="485"/>
      <c r="EO529" s="485"/>
      <c r="EP529" s="485"/>
    </row>
    <row r="530" spans="1:146">
      <c r="A530" s="485"/>
      <c r="B530" s="485"/>
      <c r="C530" s="485"/>
      <c r="D530" s="485"/>
      <c r="E530" s="485"/>
      <c r="F530" s="485"/>
      <c r="G530" s="485"/>
      <c r="H530" s="485"/>
      <c r="I530" s="485"/>
      <c r="J530" s="485"/>
      <c r="K530" s="485"/>
      <c r="L530" s="485"/>
      <c r="M530" s="485"/>
      <c r="P530" s="485"/>
      <c r="Q530" s="485"/>
      <c r="R530" s="485"/>
      <c r="S530" s="485"/>
      <c r="T530" s="485"/>
      <c r="U530" s="485"/>
      <c r="V530" s="485"/>
      <c r="W530" s="485"/>
      <c r="X530" s="485"/>
      <c r="Y530" s="485"/>
      <c r="Z530" s="485"/>
      <c r="AA530" s="485"/>
      <c r="AB530" s="485"/>
      <c r="AC530" s="485"/>
      <c r="AD530" s="485"/>
      <c r="AE530" s="485"/>
      <c r="AF530" s="485"/>
      <c r="AG530" s="485"/>
      <c r="AH530" s="485"/>
      <c r="AI530" s="485"/>
      <c r="AJ530" s="485"/>
      <c r="AK530" s="485"/>
      <c r="AL530" s="485"/>
      <c r="AM530" s="485"/>
      <c r="AN530" s="485"/>
      <c r="AO530" s="485"/>
      <c r="AP530" s="485"/>
      <c r="AQ530" s="485"/>
      <c r="AR530" s="485"/>
      <c r="AS530" s="485"/>
      <c r="AT530" s="485"/>
      <c r="AU530" s="485"/>
      <c r="AV530" s="485"/>
      <c r="AW530" s="485"/>
      <c r="AX530" s="485"/>
      <c r="AY530" s="485"/>
      <c r="AZ530" s="485"/>
      <c r="BA530" s="485"/>
      <c r="BB530" s="485"/>
      <c r="BC530" s="485"/>
      <c r="BD530" s="485"/>
      <c r="BE530" s="485"/>
      <c r="BF530" s="485"/>
      <c r="BG530" s="485"/>
      <c r="BH530" s="485"/>
      <c r="BI530" s="485"/>
      <c r="BJ530" s="485"/>
      <c r="BK530" s="485"/>
      <c r="BL530" s="485"/>
      <c r="BM530" s="485"/>
      <c r="BN530" s="485"/>
      <c r="BO530" s="485"/>
      <c r="BP530" s="485"/>
      <c r="BQ530" s="485"/>
      <c r="BR530" s="485"/>
      <c r="BS530" s="485"/>
      <c r="BT530" s="485"/>
      <c r="BU530" s="485"/>
      <c r="BV530" s="485"/>
      <c r="BW530" s="485"/>
      <c r="BX530" s="485"/>
      <c r="BY530" s="485"/>
      <c r="BZ530" s="485"/>
      <c r="CA530" s="485"/>
      <c r="CB530" s="485"/>
      <c r="CC530" s="485"/>
      <c r="CD530" s="485"/>
      <c r="CE530" s="485"/>
      <c r="CF530" s="485"/>
      <c r="CG530" s="485"/>
      <c r="CH530" s="485"/>
      <c r="CI530" s="485"/>
      <c r="CJ530" s="485"/>
      <c r="CK530" s="485"/>
      <c r="CL530" s="485"/>
      <c r="CM530" s="485"/>
      <c r="CN530" s="485"/>
      <c r="CO530" s="485"/>
      <c r="CP530" s="485"/>
      <c r="CQ530" s="485"/>
      <c r="CR530" s="485"/>
      <c r="CS530" s="485"/>
      <c r="CT530" s="485"/>
      <c r="CU530" s="485"/>
      <c r="CV530" s="485"/>
      <c r="CW530" s="485"/>
      <c r="CX530" s="485"/>
      <c r="CY530" s="485"/>
      <c r="CZ530" s="485"/>
      <c r="DA530" s="485"/>
      <c r="DB530" s="485"/>
      <c r="DC530" s="485"/>
      <c r="DD530" s="485"/>
      <c r="DE530" s="485"/>
      <c r="DF530" s="485"/>
      <c r="DG530" s="485"/>
      <c r="DH530" s="485"/>
      <c r="DI530" s="485"/>
      <c r="DJ530" s="485"/>
      <c r="DK530" s="485"/>
      <c r="DL530" s="485"/>
      <c r="DM530" s="485"/>
      <c r="DN530" s="485"/>
      <c r="DO530" s="485"/>
      <c r="DP530" s="485"/>
      <c r="DQ530" s="485"/>
      <c r="DR530" s="485"/>
      <c r="DS530" s="485"/>
      <c r="DT530" s="485"/>
      <c r="DU530" s="485"/>
      <c r="DV530" s="485"/>
      <c r="DW530" s="485"/>
      <c r="DX530" s="485"/>
      <c r="DY530" s="485"/>
      <c r="DZ530" s="485"/>
      <c r="EA530" s="485"/>
      <c r="EB530" s="485"/>
      <c r="EC530" s="485"/>
      <c r="ED530" s="485"/>
      <c r="EE530" s="485"/>
      <c r="EF530" s="485"/>
      <c r="EG530" s="485"/>
      <c r="EH530" s="485"/>
      <c r="EI530" s="485"/>
      <c r="EJ530" s="485"/>
      <c r="EK530" s="485"/>
      <c r="EL530" s="485"/>
      <c r="EM530" s="485"/>
      <c r="EN530" s="485"/>
      <c r="EO530" s="485"/>
      <c r="EP530" s="485"/>
    </row>
    <row r="531" spans="1:146">
      <c r="A531" s="485"/>
      <c r="B531" s="485"/>
      <c r="C531" s="485"/>
      <c r="D531" s="485"/>
      <c r="E531" s="485"/>
      <c r="F531" s="485"/>
      <c r="G531" s="485"/>
      <c r="H531" s="485"/>
      <c r="I531" s="485"/>
      <c r="J531" s="485"/>
      <c r="K531" s="485"/>
      <c r="L531" s="485"/>
      <c r="M531" s="485"/>
      <c r="P531" s="485"/>
      <c r="Q531" s="485"/>
      <c r="R531" s="485"/>
      <c r="S531" s="485"/>
      <c r="T531" s="485"/>
      <c r="U531" s="485"/>
      <c r="V531" s="485"/>
      <c r="W531" s="485"/>
      <c r="X531" s="485"/>
      <c r="Y531" s="485"/>
      <c r="Z531" s="485"/>
      <c r="AA531" s="485"/>
      <c r="AB531" s="485"/>
      <c r="AC531" s="485"/>
      <c r="AD531" s="485"/>
      <c r="AE531" s="485"/>
      <c r="AF531" s="485"/>
      <c r="AG531" s="485"/>
      <c r="AH531" s="485"/>
      <c r="AI531" s="485"/>
      <c r="AJ531" s="485"/>
      <c r="AK531" s="485"/>
      <c r="AL531" s="485"/>
      <c r="AM531" s="485"/>
      <c r="AN531" s="485"/>
      <c r="AO531" s="485"/>
      <c r="AP531" s="485"/>
      <c r="AQ531" s="485"/>
      <c r="AR531" s="485"/>
      <c r="AS531" s="485"/>
      <c r="AT531" s="485"/>
      <c r="AU531" s="485"/>
      <c r="AV531" s="485"/>
      <c r="AW531" s="485"/>
      <c r="AX531" s="485"/>
      <c r="AY531" s="485"/>
      <c r="AZ531" s="485"/>
      <c r="BA531" s="485"/>
      <c r="BB531" s="485"/>
      <c r="BC531" s="485"/>
      <c r="BD531" s="485"/>
      <c r="BE531" s="485"/>
      <c r="BF531" s="485"/>
      <c r="BG531" s="485"/>
      <c r="BH531" s="485"/>
      <c r="BI531" s="485"/>
      <c r="BJ531" s="485"/>
      <c r="BK531" s="485"/>
      <c r="BL531" s="485"/>
      <c r="BM531" s="485"/>
      <c r="BN531" s="485"/>
      <c r="BO531" s="485"/>
      <c r="BP531" s="485"/>
      <c r="BQ531" s="485"/>
      <c r="BR531" s="485"/>
      <c r="BS531" s="485"/>
      <c r="BT531" s="485"/>
      <c r="BU531" s="485"/>
      <c r="BV531" s="485"/>
      <c r="BW531" s="485"/>
      <c r="BX531" s="485"/>
      <c r="BY531" s="485"/>
      <c r="BZ531" s="485"/>
      <c r="CA531" s="485"/>
      <c r="CB531" s="485"/>
      <c r="CC531" s="485"/>
      <c r="CD531" s="485"/>
      <c r="CE531" s="485"/>
      <c r="CF531" s="485"/>
      <c r="CG531" s="485"/>
      <c r="CH531" s="485"/>
      <c r="CI531" s="485"/>
      <c r="CJ531" s="485"/>
      <c r="CK531" s="485"/>
      <c r="CL531" s="485"/>
      <c r="CM531" s="485"/>
      <c r="CN531" s="485"/>
      <c r="CO531" s="485"/>
      <c r="CP531" s="485"/>
      <c r="CQ531" s="485"/>
      <c r="CR531" s="485"/>
      <c r="CS531" s="485"/>
      <c r="CT531" s="485"/>
      <c r="CU531" s="485"/>
      <c r="CV531" s="485"/>
      <c r="CW531" s="485"/>
      <c r="CX531" s="485"/>
      <c r="CY531" s="485"/>
      <c r="CZ531" s="485"/>
      <c r="DA531" s="485"/>
      <c r="DB531" s="485"/>
      <c r="DC531" s="485"/>
      <c r="DD531" s="485"/>
      <c r="DE531" s="485"/>
      <c r="DF531" s="485"/>
      <c r="DG531" s="485"/>
      <c r="DH531" s="485"/>
      <c r="DI531" s="485"/>
      <c r="DJ531" s="485"/>
      <c r="DK531" s="485"/>
      <c r="DL531" s="485"/>
      <c r="DM531" s="485"/>
      <c r="DN531" s="485"/>
      <c r="DO531" s="485"/>
      <c r="DP531" s="485"/>
      <c r="DQ531" s="485"/>
      <c r="DR531" s="485"/>
      <c r="DS531" s="485"/>
      <c r="DT531" s="485"/>
      <c r="DU531" s="485"/>
      <c r="DV531" s="485"/>
      <c r="DW531" s="485"/>
      <c r="DX531" s="485"/>
      <c r="DY531" s="485"/>
      <c r="DZ531" s="485"/>
      <c r="EA531" s="485"/>
      <c r="EB531" s="485"/>
      <c r="EC531" s="485"/>
      <c r="ED531" s="485"/>
      <c r="EE531" s="485"/>
      <c r="EF531" s="485"/>
      <c r="EG531" s="485"/>
      <c r="EH531" s="485"/>
      <c r="EI531" s="485"/>
      <c r="EJ531" s="485"/>
      <c r="EK531" s="485"/>
      <c r="EL531" s="485"/>
      <c r="EM531" s="485"/>
      <c r="EN531" s="485"/>
      <c r="EO531" s="485"/>
      <c r="EP531" s="485"/>
    </row>
    <row r="532" spans="1:146">
      <c r="A532" s="485"/>
      <c r="B532" s="485"/>
      <c r="C532" s="485"/>
      <c r="D532" s="485"/>
      <c r="E532" s="485"/>
      <c r="F532" s="485"/>
      <c r="G532" s="485"/>
      <c r="H532" s="485"/>
      <c r="I532" s="485"/>
      <c r="J532" s="485"/>
      <c r="K532" s="485"/>
      <c r="L532" s="485"/>
      <c r="M532" s="485"/>
      <c r="P532" s="485"/>
      <c r="Q532" s="485"/>
      <c r="R532" s="485"/>
      <c r="S532" s="485"/>
      <c r="T532" s="485"/>
      <c r="U532" s="485"/>
      <c r="V532" s="485"/>
      <c r="W532" s="485"/>
      <c r="X532" s="485"/>
      <c r="Y532" s="485"/>
      <c r="Z532" s="485"/>
      <c r="AA532" s="485"/>
      <c r="AB532" s="485"/>
      <c r="AC532" s="485"/>
      <c r="AD532" s="485"/>
      <c r="AE532" s="485"/>
      <c r="AF532" s="485"/>
      <c r="AG532" s="485"/>
      <c r="AH532" s="485"/>
      <c r="AI532" s="485"/>
      <c r="AJ532" s="485"/>
      <c r="AK532" s="485"/>
      <c r="AL532" s="485"/>
      <c r="AM532" s="485"/>
      <c r="AN532" s="485"/>
      <c r="AO532" s="485"/>
      <c r="AP532" s="485"/>
      <c r="AQ532" s="485"/>
      <c r="AR532" s="485"/>
      <c r="AS532" s="485"/>
      <c r="AT532" s="485"/>
      <c r="AU532" s="485"/>
      <c r="AV532" s="485"/>
      <c r="AW532" s="485"/>
      <c r="AX532" s="485"/>
      <c r="AY532" s="485"/>
      <c r="AZ532" s="485"/>
      <c r="BA532" s="485"/>
      <c r="BB532" s="485"/>
      <c r="BC532" s="485"/>
      <c r="BD532" s="485"/>
      <c r="BE532" s="485"/>
      <c r="BF532" s="485"/>
      <c r="BG532" s="485"/>
      <c r="BH532" s="485"/>
      <c r="BI532" s="485"/>
      <c r="BJ532" s="485"/>
      <c r="BK532" s="485"/>
      <c r="BL532" s="485"/>
      <c r="BM532" s="485"/>
      <c r="BN532" s="485"/>
      <c r="BO532" s="485"/>
      <c r="BP532" s="485"/>
      <c r="BQ532" s="485"/>
      <c r="BR532" s="485"/>
      <c r="BS532" s="485"/>
      <c r="BT532" s="485"/>
      <c r="BU532" s="485"/>
      <c r="BV532" s="485"/>
      <c r="BW532" s="485"/>
      <c r="BX532" s="485"/>
      <c r="BY532" s="485"/>
      <c r="BZ532" s="485"/>
      <c r="CA532" s="485"/>
      <c r="CB532" s="485"/>
      <c r="CC532" s="485"/>
      <c r="CD532" s="485"/>
      <c r="CE532" s="485"/>
      <c r="CF532" s="485"/>
      <c r="CG532" s="485"/>
      <c r="CH532" s="485"/>
      <c r="CI532" s="485"/>
      <c r="CJ532" s="485"/>
      <c r="CK532" s="485"/>
      <c r="CL532" s="485"/>
      <c r="CM532" s="485"/>
      <c r="CN532" s="485"/>
      <c r="CO532" s="485"/>
      <c r="CP532" s="485"/>
      <c r="CQ532" s="485"/>
      <c r="CR532" s="485"/>
      <c r="CS532" s="485"/>
      <c r="CT532" s="485"/>
      <c r="CU532" s="485"/>
      <c r="CV532" s="485"/>
      <c r="CW532" s="485"/>
      <c r="CX532" s="485"/>
      <c r="CY532" s="485"/>
      <c r="CZ532" s="485"/>
      <c r="DA532" s="485"/>
      <c r="DB532" s="485"/>
      <c r="DC532" s="485"/>
      <c r="DD532" s="485"/>
      <c r="DE532" s="485"/>
      <c r="DF532" s="485"/>
      <c r="DG532" s="485"/>
      <c r="DH532" s="485"/>
      <c r="DI532" s="485"/>
      <c r="DJ532" s="485"/>
      <c r="DK532" s="485"/>
      <c r="DL532" s="485"/>
      <c r="DM532" s="485"/>
      <c r="DN532" s="485"/>
      <c r="DO532" s="485"/>
      <c r="DP532" s="485"/>
      <c r="DQ532" s="485"/>
      <c r="DR532" s="485"/>
      <c r="DS532" s="485"/>
      <c r="DT532" s="485"/>
      <c r="DU532" s="485"/>
      <c r="DV532" s="485"/>
      <c r="DW532" s="485"/>
      <c r="DX532" s="485"/>
      <c r="DY532" s="485"/>
      <c r="DZ532" s="485"/>
      <c r="EA532" s="485"/>
      <c r="EB532" s="485"/>
      <c r="EC532" s="485"/>
      <c r="ED532" s="485"/>
      <c r="EE532" s="485"/>
      <c r="EF532" s="485"/>
      <c r="EG532" s="485"/>
      <c r="EH532" s="485"/>
      <c r="EI532" s="485"/>
      <c r="EJ532" s="485"/>
      <c r="EK532" s="485"/>
      <c r="EL532" s="485"/>
      <c r="EM532" s="485"/>
      <c r="EN532" s="485"/>
      <c r="EO532" s="485"/>
      <c r="EP532" s="485"/>
    </row>
    <row r="533" spans="1:146">
      <c r="A533" s="485"/>
      <c r="B533" s="485"/>
      <c r="C533" s="485"/>
      <c r="D533" s="485"/>
      <c r="E533" s="485"/>
      <c r="F533" s="485"/>
      <c r="G533" s="485"/>
      <c r="H533" s="485"/>
      <c r="I533" s="485"/>
      <c r="J533" s="485"/>
      <c r="K533" s="485"/>
      <c r="L533" s="485"/>
      <c r="M533" s="485"/>
      <c r="P533" s="485"/>
      <c r="Q533" s="485"/>
      <c r="R533" s="485"/>
      <c r="S533" s="485"/>
      <c r="T533" s="485"/>
      <c r="U533" s="485"/>
      <c r="V533" s="485"/>
      <c r="W533" s="485"/>
      <c r="X533" s="485"/>
      <c r="Y533" s="485"/>
      <c r="Z533" s="485"/>
      <c r="AA533" s="485"/>
      <c r="AB533" s="485"/>
      <c r="AC533" s="485"/>
      <c r="AD533" s="485"/>
      <c r="AE533" s="485"/>
      <c r="AF533" s="485"/>
      <c r="AG533" s="485"/>
      <c r="AH533" s="485"/>
      <c r="AI533" s="485"/>
      <c r="AJ533" s="485"/>
      <c r="AK533" s="485"/>
      <c r="AL533" s="485"/>
      <c r="AM533" s="485"/>
      <c r="AN533" s="485"/>
      <c r="AO533" s="485"/>
      <c r="AP533" s="485"/>
      <c r="AQ533" s="485"/>
      <c r="AR533" s="485"/>
      <c r="AS533" s="485"/>
      <c r="AT533" s="485"/>
      <c r="AU533" s="485"/>
      <c r="AV533" s="485"/>
      <c r="AW533" s="485"/>
      <c r="AX533" s="485"/>
      <c r="AY533" s="485"/>
      <c r="AZ533" s="485"/>
      <c r="BA533" s="485"/>
      <c r="BB533" s="485"/>
      <c r="BC533" s="485"/>
      <c r="BD533" s="485"/>
      <c r="BE533" s="485"/>
      <c r="BF533" s="485"/>
      <c r="BG533" s="485"/>
      <c r="BH533" s="485"/>
      <c r="BI533" s="485"/>
      <c r="BJ533" s="485"/>
      <c r="BK533" s="485"/>
      <c r="BL533" s="485"/>
      <c r="BM533" s="485"/>
      <c r="BN533" s="485"/>
      <c r="BO533" s="485"/>
      <c r="BP533" s="485"/>
      <c r="BQ533" s="485"/>
      <c r="BR533" s="485"/>
      <c r="BS533" s="485"/>
      <c r="BT533" s="485"/>
      <c r="BU533" s="485"/>
      <c r="BV533" s="485"/>
      <c r="BW533" s="485"/>
      <c r="BX533" s="485"/>
      <c r="BY533" s="485"/>
      <c r="BZ533" s="485"/>
      <c r="CA533" s="485"/>
      <c r="CB533" s="485"/>
      <c r="CC533" s="485"/>
      <c r="CD533" s="485"/>
      <c r="CE533" s="485"/>
      <c r="CF533" s="485"/>
      <c r="CG533" s="485"/>
      <c r="CH533" s="485"/>
      <c r="CI533" s="485"/>
      <c r="CJ533" s="485"/>
      <c r="CK533" s="485"/>
      <c r="CL533" s="485"/>
      <c r="CM533" s="485"/>
      <c r="CN533" s="485"/>
      <c r="CO533" s="485"/>
      <c r="CP533" s="485"/>
      <c r="CQ533" s="485"/>
      <c r="CR533" s="485"/>
      <c r="CS533" s="485"/>
      <c r="CT533" s="485"/>
      <c r="CU533" s="485"/>
      <c r="CV533" s="485"/>
      <c r="CW533" s="485"/>
      <c r="CX533" s="485"/>
      <c r="CY533" s="485"/>
      <c r="CZ533" s="485"/>
      <c r="DA533" s="485"/>
      <c r="DB533" s="485"/>
      <c r="DC533" s="485"/>
      <c r="DD533" s="485"/>
      <c r="DE533" s="485"/>
      <c r="DF533" s="485"/>
      <c r="DG533" s="485"/>
      <c r="DH533" s="485"/>
      <c r="DI533" s="485"/>
      <c r="DJ533" s="485"/>
      <c r="DK533" s="485"/>
      <c r="DL533" s="485"/>
      <c r="DM533" s="485"/>
      <c r="DN533" s="485"/>
      <c r="DO533" s="485"/>
      <c r="DP533" s="485"/>
      <c r="DQ533" s="485"/>
      <c r="DR533" s="485"/>
      <c r="DS533" s="485"/>
      <c r="DT533" s="485"/>
      <c r="DU533" s="485"/>
      <c r="DV533" s="485"/>
      <c r="DW533" s="485"/>
      <c r="DX533" s="485"/>
      <c r="DY533" s="485"/>
      <c r="DZ533" s="485"/>
      <c r="EA533" s="485"/>
      <c r="EB533" s="485"/>
      <c r="EC533" s="485"/>
      <c r="ED533" s="485"/>
      <c r="EE533" s="485"/>
      <c r="EF533" s="485"/>
      <c r="EG533" s="485"/>
      <c r="EH533" s="485"/>
      <c r="EI533" s="485"/>
      <c r="EJ533" s="485"/>
      <c r="EK533" s="485"/>
      <c r="EL533" s="485"/>
      <c r="EM533" s="485"/>
      <c r="EN533" s="485"/>
      <c r="EO533" s="485"/>
      <c r="EP533" s="485"/>
    </row>
    <row r="534" spans="1:146">
      <c r="A534" s="485"/>
      <c r="B534" s="485"/>
      <c r="C534" s="485"/>
      <c r="D534" s="485"/>
      <c r="E534" s="485"/>
      <c r="F534" s="485"/>
      <c r="G534" s="485"/>
      <c r="H534" s="485"/>
      <c r="I534" s="485"/>
      <c r="J534" s="485"/>
      <c r="K534" s="485"/>
      <c r="L534" s="485"/>
      <c r="M534" s="485"/>
      <c r="P534" s="485"/>
      <c r="Q534" s="485"/>
      <c r="R534" s="485"/>
      <c r="S534" s="485"/>
      <c r="T534" s="485"/>
      <c r="U534" s="485"/>
      <c r="V534" s="485"/>
      <c r="W534" s="485"/>
      <c r="X534" s="485"/>
      <c r="Y534" s="485"/>
      <c r="Z534" s="485"/>
      <c r="AA534" s="485"/>
      <c r="AB534" s="485"/>
      <c r="AC534" s="485"/>
      <c r="AD534" s="485"/>
      <c r="AE534" s="485"/>
      <c r="AF534" s="485"/>
      <c r="AG534" s="485"/>
      <c r="AH534" s="485"/>
      <c r="AI534" s="485"/>
      <c r="AJ534" s="485"/>
      <c r="AK534" s="485"/>
      <c r="AL534" s="485"/>
      <c r="AM534" s="485"/>
      <c r="AN534" s="485"/>
      <c r="AO534" s="485"/>
      <c r="AP534" s="485"/>
      <c r="AQ534" s="485"/>
      <c r="AR534" s="485"/>
      <c r="AS534" s="485"/>
      <c r="AT534" s="485"/>
      <c r="AU534" s="485"/>
      <c r="AV534" s="485"/>
      <c r="AW534" s="485"/>
      <c r="AX534" s="485"/>
      <c r="AY534" s="485"/>
      <c r="AZ534" s="485"/>
      <c r="BA534" s="485"/>
      <c r="BB534" s="485"/>
      <c r="BC534" s="485"/>
      <c r="BD534" s="485"/>
      <c r="BE534" s="485"/>
      <c r="BF534" s="485"/>
      <c r="BG534" s="485"/>
      <c r="BH534" s="485"/>
      <c r="BI534" s="485"/>
      <c r="BJ534" s="485"/>
      <c r="BK534" s="485"/>
      <c r="BL534" s="485"/>
      <c r="BM534" s="485"/>
      <c r="BN534" s="485"/>
      <c r="BO534" s="485"/>
      <c r="BP534" s="485"/>
      <c r="BQ534" s="485"/>
      <c r="BR534" s="485"/>
      <c r="BS534" s="485"/>
      <c r="BT534" s="485"/>
      <c r="BU534" s="485"/>
      <c r="BV534" s="485"/>
      <c r="BW534" s="485"/>
      <c r="BX534" s="485"/>
      <c r="BY534" s="485"/>
      <c r="BZ534" s="485"/>
      <c r="CA534" s="485"/>
      <c r="CB534" s="485"/>
      <c r="CC534" s="485"/>
      <c r="CD534" s="485"/>
      <c r="CE534" s="485"/>
      <c r="CF534" s="485"/>
      <c r="CG534" s="485"/>
      <c r="CH534" s="485"/>
      <c r="CI534" s="485"/>
      <c r="CJ534" s="485"/>
      <c r="CK534" s="485"/>
      <c r="CL534" s="485"/>
      <c r="CM534" s="485"/>
      <c r="CN534" s="485"/>
      <c r="CO534" s="485"/>
      <c r="CP534" s="485"/>
      <c r="CQ534" s="485"/>
      <c r="CR534" s="485"/>
      <c r="CS534" s="485"/>
      <c r="CT534" s="485"/>
      <c r="CU534" s="485"/>
      <c r="CV534" s="485"/>
      <c r="CW534" s="485"/>
      <c r="CX534" s="485"/>
      <c r="CY534" s="485"/>
      <c r="CZ534" s="485"/>
      <c r="DA534" s="485"/>
      <c r="DB534" s="485"/>
      <c r="DC534" s="485"/>
      <c r="DD534" s="485"/>
      <c r="DE534" s="485"/>
      <c r="DF534" s="485"/>
      <c r="DG534" s="485"/>
      <c r="DH534" s="485"/>
      <c r="DI534" s="485"/>
      <c r="DJ534" s="485"/>
      <c r="DK534" s="485"/>
      <c r="DL534" s="485"/>
      <c r="DM534" s="485"/>
      <c r="DN534" s="485"/>
      <c r="DO534" s="485"/>
      <c r="DP534" s="485"/>
      <c r="DQ534" s="485"/>
      <c r="DR534" s="485"/>
      <c r="DS534" s="485"/>
      <c r="DT534" s="485"/>
      <c r="DU534" s="485"/>
      <c r="DV534" s="485"/>
      <c r="DW534" s="485"/>
      <c r="DX534" s="485"/>
      <c r="DY534" s="485"/>
      <c r="DZ534" s="485"/>
      <c r="EA534" s="485"/>
      <c r="EB534" s="485"/>
      <c r="EC534" s="485"/>
      <c r="ED534" s="485"/>
      <c r="EE534" s="485"/>
      <c r="EF534" s="485"/>
      <c r="EG534" s="485"/>
      <c r="EH534" s="485"/>
      <c r="EI534" s="485"/>
      <c r="EJ534" s="485"/>
      <c r="EK534" s="485"/>
      <c r="EL534" s="485"/>
      <c r="EM534" s="485"/>
      <c r="EN534" s="485"/>
      <c r="EO534" s="485"/>
      <c r="EP534" s="485"/>
    </row>
    <row r="535" spans="1:146">
      <c r="A535" s="485"/>
      <c r="B535" s="485"/>
      <c r="C535" s="485"/>
      <c r="D535" s="485"/>
      <c r="E535" s="485"/>
      <c r="F535" s="485"/>
      <c r="G535" s="485"/>
      <c r="H535" s="485"/>
      <c r="I535" s="485"/>
      <c r="J535" s="485"/>
      <c r="K535" s="485"/>
      <c r="L535" s="485"/>
      <c r="M535" s="485"/>
      <c r="P535" s="485"/>
      <c r="Q535" s="485"/>
      <c r="R535" s="485"/>
      <c r="S535" s="485"/>
      <c r="T535" s="485"/>
      <c r="U535" s="485"/>
      <c r="V535" s="485"/>
      <c r="W535" s="485"/>
      <c r="X535" s="485"/>
      <c r="Y535" s="485"/>
      <c r="Z535" s="485"/>
      <c r="AA535" s="485"/>
      <c r="AB535" s="485"/>
      <c r="AC535" s="485"/>
      <c r="AD535" s="485"/>
      <c r="AE535" s="485"/>
      <c r="AF535" s="485"/>
      <c r="AG535" s="485"/>
      <c r="AH535" s="485"/>
      <c r="AI535" s="485"/>
      <c r="AJ535" s="485"/>
      <c r="AK535" s="485"/>
      <c r="AL535" s="485"/>
      <c r="AM535" s="485"/>
      <c r="AN535" s="485"/>
      <c r="AO535" s="485"/>
      <c r="AP535" s="485"/>
      <c r="AQ535" s="485"/>
      <c r="AR535" s="485"/>
      <c r="AS535" s="485"/>
      <c r="AT535" s="485"/>
      <c r="AU535" s="485"/>
      <c r="AV535" s="485"/>
      <c r="AW535" s="485"/>
      <c r="AX535" s="485"/>
      <c r="AY535" s="485"/>
      <c r="AZ535" s="485"/>
      <c r="BA535" s="485"/>
      <c r="BB535" s="485"/>
      <c r="BC535" s="485"/>
      <c r="BD535" s="485"/>
      <c r="BE535" s="485"/>
      <c r="BF535" s="485"/>
      <c r="BG535" s="485"/>
      <c r="BH535" s="485"/>
      <c r="BI535" s="485"/>
      <c r="BJ535" s="485"/>
      <c r="BK535" s="485"/>
      <c r="BL535" s="485"/>
      <c r="BM535" s="485"/>
      <c r="BN535" s="485"/>
      <c r="BO535" s="485"/>
      <c r="BP535" s="485"/>
      <c r="BQ535" s="485"/>
      <c r="BR535" s="485"/>
      <c r="BS535" s="485"/>
      <c r="BT535" s="485"/>
      <c r="BU535" s="485"/>
      <c r="BV535" s="485"/>
      <c r="BW535" s="485"/>
      <c r="BX535" s="485"/>
      <c r="BY535" s="485"/>
      <c r="BZ535" s="485"/>
      <c r="CA535" s="485"/>
      <c r="CB535" s="485"/>
      <c r="CC535" s="485"/>
      <c r="CD535" s="485"/>
      <c r="CE535" s="485"/>
      <c r="CF535" s="485"/>
      <c r="CG535" s="485"/>
      <c r="CH535" s="485"/>
      <c r="CI535" s="485"/>
      <c r="CJ535" s="485"/>
      <c r="CK535" s="485"/>
      <c r="CL535" s="485"/>
      <c r="CM535" s="485"/>
      <c r="CN535" s="485"/>
      <c r="CO535" s="485"/>
      <c r="CP535" s="485"/>
      <c r="CQ535" s="485"/>
      <c r="CR535" s="485"/>
      <c r="CS535" s="485"/>
      <c r="CT535" s="485"/>
      <c r="CU535" s="485"/>
      <c r="CV535" s="485"/>
      <c r="CW535" s="485"/>
      <c r="CX535" s="485"/>
      <c r="CY535" s="485"/>
      <c r="CZ535" s="485"/>
      <c r="DA535" s="485"/>
      <c r="DB535" s="485"/>
      <c r="DC535" s="485"/>
      <c r="DD535" s="485"/>
      <c r="DE535" s="485"/>
      <c r="DF535" s="485"/>
      <c r="DG535" s="485"/>
      <c r="DH535" s="485"/>
      <c r="DI535" s="485"/>
      <c r="DJ535" s="485"/>
      <c r="DK535" s="485"/>
      <c r="DL535" s="485"/>
      <c r="DM535" s="485"/>
      <c r="DN535" s="485"/>
      <c r="DO535" s="485"/>
      <c r="DP535" s="485"/>
      <c r="DQ535" s="485"/>
      <c r="DR535" s="485"/>
      <c r="DS535" s="485"/>
      <c r="DT535" s="485"/>
      <c r="DU535" s="485"/>
      <c r="DV535" s="485"/>
      <c r="DW535" s="485"/>
      <c r="DX535" s="485"/>
      <c r="DY535" s="485"/>
      <c r="DZ535" s="485"/>
      <c r="EA535" s="485"/>
      <c r="EB535" s="485"/>
      <c r="EC535" s="485"/>
      <c r="ED535" s="485"/>
      <c r="EE535" s="485"/>
      <c r="EF535" s="485"/>
      <c r="EG535" s="485"/>
      <c r="EH535" s="485"/>
      <c r="EI535" s="485"/>
      <c r="EJ535" s="485"/>
      <c r="EK535" s="485"/>
      <c r="EL535" s="485"/>
      <c r="EM535" s="485"/>
      <c r="EN535" s="485"/>
      <c r="EO535" s="485"/>
      <c r="EP535" s="485"/>
    </row>
    <row r="536" spans="1:146">
      <c r="A536" s="485"/>
      <c r="B536" s="485"/>
      <c r="C536" s="485"/>
      <c r="D536" s="485"/>
      <c r="E536" s="485"/>
      <c r="F536" s="485"/>
      <c r="G536" s="485"/>
      <c r="H536" s="485"/>
      <c r="I536" s="485"/>
      <c r="J536" s="485"/>
      <c r="K536" s="485"/>
      <c r="L536" s="485"/>
      <c r="M536" s="485"/>
      <c r="P536" s="485"/>
      <c r="Q536" s="485"/>
      <c r="R536" s="485"/>
      <c r="S536" s="485"/>
      <c r="T536" s="485"/>
      <c r="U536" s="485"/>
      <c r="V536" s="485"/>
      <c r="W536" s="485"/>
      <c r="X536" s="485"/>
      <c r="Y536" s="485"/>
      <c r="Z536" s="485"/>
      <c r="AA536" s="485"/>
      <c r="AB536" s="485"/>
      <c r="AC536" s="485"/>
      <c r="AD536" s="485"/>
      <c r="AE536" s="485"/>
      <c r="AF536" s="485"/>
      <c r="AG536" s="485"/>
      <c r="AH536" s="485"/>
      <c r="AI536" s="485"/>
      <c r="AJ536" s="485"/>
      <c r="AK536" s="485"/>
      <c r="AL536" s="485"/>
      <c r="AM536" s="485"/>
      <c r="AN536" s="485"/>
      <c r="AO536" s="485"/>
      <c r="AP536" s="485"/>
      <c r="AQ536" s="485"/>
      <c r="AR536" s="485"/>
      <c r="AS536" s="485"/>
      <c r="AT536" s="485"/>
      <c r="AU536" s="485"/>
      <c r="AV536" s="485"/>
      <c r="AW536" s="485"/>
      <c r="AX536" s="485"/>
      <c r="AY536" s="485"/>
      <c r="AZ536" s="485"/>
      <c r="BA536" s="485"/>
      <c r="BB536" s="485"/>
      <c r="BC536" s="485"/>
      <c r="BD536" s="485"/>
      <c r="BE536" s="485"/>
      <c r="BF536" s="485"/>
      <c r="BG536" s="485"/>
      <c r="BH536" s="485"/>
      <c r="BI536" s="485"/>
      <c r="BJ536" s="485"/>
      <c r="BK536" s="485"/>
      <c r="BL536" s="485"/>
      <c r="BM536" s="485"/>
      <c r="BN536" s="485"/>
      <c r="BO536" s="485"/>
      <c r="BP536" s="485"/>
      <c r="BQ536" s="485"/>
      <c r="BR536" s="485"/>
      <c r="BS536" s="485"/>
      <c r="BT536" s="485"/>
      <c r="BU536" s="485"/>
      <c r="BV536" s="485"/>
      <c r="BW536" s="485"/>
      <c r="BX536" s="485"/>
      <c r="BY536" s="485"/>
      <c r="BZ536" s="485"/>
      <c r="CA536" s="485"/>
      <c r="CB536" s="485"/>
      <c r="CC536" s="485"/>
      <c r="CD536" s="485"/>
      <c r="CE536" s="485"/>
      <c r="CF536" s="485"/>
      <c r="CG536" s="485"/>
      <c r="CH536" s="485"/>
      <c r="CI536" s="485"/>
      <c r="CJ536" s="485"/>
      <c r="CK536" s="485"/>
      <c r="CL536" s="485"/>
      <c r="CM536" s="485"/>
      <c r="CN536" s="485"/>
      <c r="CO536" s="485"/>
      <c r="CP536" s="485"/>
      <c r="CQ536" s="485"/>
      <c r="CR536" s="485"/>
      <c r="CS536" s="485"/>
      <c r="CT536" s="485"/>
      <c r="CU536" s="485"/>
      <c r="CV536" s="485"/>
      <c r="CW536" s="485"/>
      <c r="CX536" s="485"/>
      <c r="CY536" s="485"/>
      <c r="CZ536" s="485"/>
      <c r="DA536" s="485"/>
      <c r="DB536" s="485"/>
      <c r="DC536" s="485"/>
      <c r="DD536" s="485"/>
      <c r="DE536" s="485"/>
      <c r="DF536" s="485"/>
      <c r="DG536" s="485"/>
      <c r="DH536" s="485"/>
      <c r="DI536" s="485"/>
      <c r="DJ536" s="485"/>
      <c r="DK536" s="485"/>
      <c r="DL536" s="485"/>
      <c r="DM536" s="485"/>
      <c r="DN536" s="485"/>
      <c r="DO536" s="485"/>
      <c r="DP536" s="485"/>
      <c r="DQ536" s="485"/>
      <c r="DR536" s="485"/>
      <c r="DS536" s="485"/>
      <c r="DT536" s="485"/>
      <c r="DU536" s="485"/>
      <c r="DV536" s="485"/>
      <c r="DW536" s="485"/>
      <c r="DX536" s="485"/>
      <c r="DY536" s="485"/>
      <c r="DZ536" s="485"/>
      <c r="EA536" s="485"/>
      <c r="EB536" s="485"/>
      <c r="EC536" s="485"/>
      <c r="ED536" s="485"/>
      <c r="EE536" s="485"/>
      <c r="EF536" s="485"/>
      <c r="EG536" s="485"/>
      <c r="EH536" s="485"/>
      <c r="EI536" s="485"/>
      <c r="EJ536" s="485"/>
      <c r="EK536" s="485"/>
      <c r="EL536" s="485"/>
      <c r="EM536" s="485"/>
      <c r="EN536" s="485"/>
      <c r="EO536" s="485"/>
      <c r="EP536" s="485"/>
    </row>
    <row r="537" spans="1:146">
      <c r="A537" s="485"/>
      <c r="B537" s="485"/>
      <c r="C537" s="485"/>
      <c r="D537" s="485"/>
      <c r="E537" s="485"/>
      <c r="F537" s="485"/>
      <c r="G537" s="485"/>
      <c r="H537" s="485"/>
      <c r="I537" s="485"/>
      <c r="J537" s="485"/>
      <c r="K537" s="485"/>
      <c r="L537" s="485"/>
      <c r="M537" s="485"/>
      <c r="P537" s="485"/>
      <c r="Q537" s="485"/>
      <c r="R537" s="485"/>
      <c r="S537" s="485"/>
      <c r="T537" s="485"/>
      <c r="U537" s="485"/>
      <c r="V537" s="485"/>
      <c r="W537" s="485"/>
      <c r="X537" s="485"/>
      <c r="Y537" s="485"/>
      <c r="Z537" s="485"/>
      <c r="AA537" s="485"/>
      <c r="AB537" s="485"/>
      <c r="AC537" s="485"/>
      <c r="AD537" s="485"/>
      <c r="AE537" s="485"/>
      <c r="AF537" s="485"/>
      <c r="AG537" s="485"/>
      <c r="AH537" s="485"/>
      <c r="AI537" s="485"/>
      <c r="AJ537" s="485"/>
      <c r="AK537" s="485"/>
      <c r="AL537" s="485"/>
      <c r="AM537" s="485"/>
      <c r="AN537" s="485"/>
      <c r="AO537" s="485"/>
      <c r="AP537" s="485"/>
      <c r="AQ537" s="485"/>
      <c r="AR537" s="485"/>
      <c r="AS537" s="485"/>
      <c r="AT537" s="485"/>
      <c r="AU537" s="485"/>
      <c r="AV537" s="485"/>
      <c r="AW537" s="485"/>
      <c r="AX537" s="485"/>
      <c r="AY537" s="485"/>
      <c r="AZ537" s="485"/>
      <c r="BA537" s="485"/>
      <c r="BB537" s="485"/>
      <c r="BC537" s="485"/>
      <c r="BD537" s="485"/>
      <c r="BE537" s="485"/>
      <c r="BF537" s="485"/>
      <c r="BG537" s="485"/>
      <c r="BH537" s="485"/>
      <c r="BI537" s="485"/>
      <c r="BJ537" s="485"/>
      <c r="BK537" s="485"/>
      <c r="BL537" s="485"/>
      <c r="BM537" s="485"/>
      <c r="BN537" s="485"/>
      <c r="BO537" s="485"/>
      <c r="BP537" s="485"/>
      <c r="BQ537" s="485"/>
      <c r="BR537" s="485"/>
      <c r="BS537" s="485"/>
      <c r="BT537" s="485"/>
      <c r="BU537" s="485"/>
      <c r="BV537" s="485"/>
      <c r="BW537" s="485"/>
      <c r="BX537" s="485"/>
      <c r="BY537" s="485"/>
      <c r="BZ537" s="485"/>
      <c r="CA537" s="485"/>
      <c r="CB537" s="485"/>
      <c r="CC537" s="485"/>
      <c r="CD537" s="485"/>
      <c r="CE537" s="485"/>
      <c r="CF537" s="485"/>
      <c r="CG537" s="485"/>
      <c r="CH537" s="485"/>
      <c r="CI537" s="485"/>
      <c r="CJ537" s="485"/>
      <c r="CK537" s="485"/>
      <c r="CL537" s="485"/>
      <c r="CM537" s="485"/>
      <c r="CN537" s="485"/>
      <c r="CO537" s="485"/>
      <c r="CP537" s="485"/>
      <c r="CQ537" s="485"/>
      <c r="CR537" s="485"/>
      <c r="CS537" s="485"/>
      <c r="CT537" s="485"/>
      <c r="CU537" s="485"/>
      <c r="CV537" s="485"/>
      <c r="CW537" s="485"/>
      <c r="CX537" s="485"/>
      <c r="CY537" s="485"/>
      <c r="CZ537" s="485"/>
      <c r="DA537" s="485"/>
      <c r="DB537" s="485"/>
      <c r="DC537" s="485"/>
      <c r="DD537" s="485"/>
      <c r="DE537" s="485"/>
      <c r="DF537" s="485"/>
      <c r="DG537" s="485"/>
      <c r="DH537" s="485"/>
      <c r="DI537" s="485"/>
      <c r="DJ537" s="485"/>
      <c r="DK537" s="485"/>
      <c r="DL537" s="485"/>
      <c r="DM537" s="485"/>
      <c r="DN537" s="485"/>
      <c r="DO537" s="485"/>
      <c r="DP537" s="485"/>
      <c r="DQ537" s="485"/>
      <c r="DR537" s="485"/>
      <c r="DS537" s="485"/>
      <c r="DT537" s="485"/>
      <c r="DU537" s="485"/>
      <c r="DV537" s="485"/>
      <c r="DW537" s="485"/>
      <c r="DX537" s="485"/>
      <c r="DY537" s="485"/>
      <c r="DZ537" s="485"/>
      <c r="EA537" s="485"/>
      <c r="EB537" s="485"/>
      <c r="EC537" s="485"/>
      <c r="ED537" s="485"/>
      <c r="EE537" s="485"/>
      <c r="EF537" s="485"/>
      <c r="EG537" s="485"/>
      <c r="EH537" s="485"/>
      <c r="EI537" s="485"/>
      <c r="EJ537" s="485"/>
      <c r="EK537" s="485"/>
      <c r="EL537" s="485"/>
      <c r="EM537" s="485"/>
      <c r="EN537" s="485"/>
      <c r="EO537" s="485"/>
      <c r="EP537" s="485"/>
    </row>
    <row r="538" spans="1:146">
      <c r="A538" s="485"/>
      <c r="B538" s="485"/>
      <c r="C538" s="485"/>
      <c r="D538" s="485"/>
      <c r="E538" s="485"/>
      <c r="F538" s="485"/>
      <c r="G538" s="485"/>
      <c r="H538" s="485"/>
      <c r="I538" s="485"/>
      <c r="J538" s="485"/>
      <c r="K538" s="485"/>
      <c r="L538" s="485"/>
      <c r="M538" s="485"/>
      <c r="P538" s="485"/>
      <c r="Q538" s="485"/>
      <c r="R538" s="485"/>
      <c r="S538" s="485"/>
      <c r="T538" s="485"/>
      <c r="U538" s="485"/>
      <c r="V538" s="485"/>
      <c r="W538" s="485"/>
      <c r="X538" s="485"/>
      <c r="Y538" s="485"/>
      <c r="Z538" s="485"/>
      <c r="AA538" s="485"/>
      <c r="AB538" s="485"/>
      <c r="AC538" s="485"/>
      <c r="AD538" s="485"/>
      <c r="AE538" s="485"/>
      <c r="AF538" s="485"/>
      <c r="AG538" s="485"/>
      <c r="AH538" s="485"/>
      <c r="AI538" s="485"/>
      <c r="AJ538" s="485"/>
      <c r="AK538" s="485"/>
      <c r="AL538" s="485"/>
      <c r="AM538" s="485"/>
      <c r="AN538" s="485"/>
      <c r="AO538" s="485"/>
      <c r="AP538" s="485"/>
      <c r="AQ538" s="485"/>
      <c r="AR538" s="485"/>
      <c r="AS538" s="485"/>
      <c r="AT538" s="485"/>
      <c r="AU538" s="485"/>
      <c r="AV538" s="485"/>
      <c r="AW538" s="485"/>
      <c r="AX538" s="485"/>
      <c r="AY538" s="485"/>
      <c r="AZ538" s="485"/>
      <c r="BA538" s="485"/>
      <c r="BB538" s="485"/>
      <c r="BC538" s="485"/>
      <c r="BD538" s="485"/>
      <c r="BE538" s="485"/>
      <c r="BF538" s="485"/>
      <c r="BG538" s="485"/>
      <c r="BH538" s="485"/>
      <c r="BI538" s="485"/>
      <c r="BJ538" s="485"/>
      <c r="BK538" s="485"/>
      <c r="BL538" s="485"/>
      <c r="BM538" s="485"/>
      <c r="BN538" s="485"/>
      <c r="BO538" s="485"/>
      <c r="BP538" s="485"/>
      <c r="BQ538" s="485"/>
      <c r="BR538" s="485"/>
      <c r="BS538" s="485"/>
      <c r="BT538" s="485"/>
      <c r="BU538" s="485"/>
      <c r="BV538" s="485"/>
      <c r="BW538" s="485"/>
      <c r="BX538" s="485"/>
      <c r="BY538" s="485"/>
      <c r="BZ538" s="485"/>
      <c r="CA538" s="485"/>
      <c r="CB538" s="485"/>
      <c r="CC538" s="485"/>
      <c r="CD538" s="485"/>
      <c r="CE538" s="485"/>
      <c r="CF538" s="485"/>
      <c r="CG538" s="485"/>
      <c r="CH538" s="485"/>
      <c r="CI538" s="485"/>
      <c r="CJ538" s="485"/>
      <c r="CK538" s="485"/>
      <c r="CL538" s="485"/>
      <c r="CM538" s="485"/>
      <c r="CN538" s="485"/>
      <c r="CO538" s="485"/>
      <c r="CP538" s="485"/>
      <c r="CQ538" s="485"/>
      <c r="CR538" s="485"/>
      <c r="CS538" s="485"/>
      <c r="CT538" s="485"/>
      <c r="CU538" s="485"/>
      <c r="CV538" s="485"/>
      <c r="CW538" s="485"/>
      <c r="CX538" s="485"/>
      <c r="CY538" s="485"/>
      <c r="CZ538" s="485"/>
      <c r="DA538" s="485"/>
      <c r="DB538" s="485"/>
      <c r="DC538" s="485"/>
      <c r="DD538" s="485"/>
      <c r="DE538" s="485"/>
      <c r="DF538" s="485"/>
      <c r="DG538" s="485"/>
      <c r="DH538" s="485"/>
      <c r="DI538" s="485"/>
      <c r="DJ538" s="485"/>
      <c r="DK538" s="485"/>
      <c r="DL538" s="485"/>
      <c r="DM538" s="485"/>
      <c r="DN538" s="485"/>
      <c r="DO538" s="485"/>
      <c r="DP538" s="485"/>
      <c r="DQ538" s="485"/>
      <c r="DR538" s="485"/>
      <c r="DS538" s="485"/>
      <c r="DT538" s="485"/>
      <c r="DU538" s="485"/>
      <c r="DV538" s="485"/>
      <c r="DW538" s="485"/>
      <c r="DX538" s="485"/>
      <c r="DY538" s="485"/>
      <c r="DZ538" s="485"/>
      <c r="EA538" s="485"/>
      <c r="EB538" s="485"/>
      <c r="EC538" s="485"/>
      <c r="ED538" s="485"/>
      <c r="EE538" s="485"/>
      <c r="EF538" s="485"/>
      <c r="EG538" s="485"/>
      <c r="EH538" s="485"/>
      <c r="EI538" s="485"/>
      <c r="EJ538" s="485"/>
      <c r="EK538" s="485"/>
      <c r="EL538" s="485"/>
      <c r="EM538" s="485"/>
      <c r="EN538" s="485"/>
      <c r="EO538" s="485"/>
      <c r="EP538" s="485"/>
    </row>
    <row r="539" spans="1:146">
      <c r="A539" s="485"/>
      <c r="B539" s="485"/>
      <c r="C539" s="485"/>
      <c r="D539" s="485"/>
      <c r="E539" s="485"/>
      <c r="F539" s="485"/>
      <c r="G539" s="485"/>
      <c r="H539" s="485"/>
      <c r="I539" s="485"/>
      <c r="J539" s="485"/>
      <c r="K539" s="485"/>
      <c r="L539" s="485"/>
      <c r="M539" s="485"/>
      <c r="P539" s="485"/>
      <c r="Q539" s="485"/>
      <c r="R539" s="485"/>
      <c r="S539" s="485"/>
      <c r="T539" s="485"/>
      <c r="U539" s="485"/>
      <c r="V539" s="485"/>
      <c r="W539" s="485"/>
      <c r="X539" s="485"/>
      <c r="Y539" s="485"/>
      <c r="Z539" s="485"/>
      <c r="AA539" s="485"/>
      <c r="AB539" s="485"/>
      <c r="AC539" s="485"/>
      <c r="AD539" s="485"/>
      <c r="AE539" s="485"/>
      <c r="AF539" s="485"/>
      <c r="AG539" s="485"/>
      <c r="AH539" s="485"/>
      <c r="AI539" s="485"/>
      <c r="AJ539" s="485"/>
      <c r="AK539" s="485"/>
      <c r="AL539" s="485"/>
      <c r="AM539" s="485"/>
      <c r="AN539" s="485"/>
      <c r="AO539" s="485"/>
      <c r="AP539" s="485"/>
      <c r="AQ539" s="485"/>
      <c r="AR539" s="485"/>
      <c r="AS539" s="485"/>
      <c r="AT539" s="485"/>
      <c r="AU539" s="485"/>
      <c r="AV539" s="485"/>
      <c r="AW539" s="485"/>
      <c r="AX539" s="485"/>
      <c r="AY539" s="485"/>
      <c r="AZ539" s="485"/>
      <c r="BA539" s="485"/>
      <c r="BB539" s="485"/>
      <c r="BC539" s="485"/>
      <c r="BD539" s="485"/>
      <c r="BE539" s="485"/>
      <c r="BF539" s="485"/>
      <c r="BG539" s="485"/>
      <c r="BH539" s="485"/>
      <c r="BI539" s="485"/>
      <c r="BJ539" s="485"/>
      <c r="BK539" s="485"/>
      <c r="BL539" s="485"/>
      <c r="BM539" s="485"/>
      <c r="BN539" s="485"/>
      <c r="BO539" s="485"/>
      <c r="BP539" s="485"/>
      <c r="BQ539" s="485"/>
      <c r="BR539" s="485"/>
      <c r="BS539" s="485"/>
      <c r="BT539" s="485"/>
      <c r="BU539" s="485"/>
      <c r="BV539" s="485"/>
      <c r="BW539" s="485"/>
      <c r="BX539" s="485"/>
      <c r="BY539" s="485"/>
      <c r="BZ539" s="485"/>
      <c r="CA539" s="485"/>
      <c r="CB539" s="485"/>
      <c r="CC539" s="485"/>
      <c r="CD539" s="485"/>
      <c r="CE539" s="485"/>
      <c r="CF539" s="485"/>
      <c r="CG539" s="485"/>
      <c r="CH539" s="485"/>
      <c r="CI539" s="485"/>
      <c r="CJ539" s="485"/>
      <c r="CK539" s="485"/>
      <c r="CL539" s="485"/>
      <c r="CM539" s="485"/>
      <c r="CN539" s="485"/>
      <c r="CO539" s="485"/>
      <c r="CP539" s="485"/>
      <c r="CQ539" s="485"/>
      <c r="CR539" s="485"/>
      <c r="CS539" s="485"/>
      <c r="CT539" s="485"/>
      <c r="CU539" s="485"/>
      <c r="CV539" s="485"/>
      <c r="CW539" s="485"/>
      <c r="CX539" s="485"/>
      <c r="CY539" s="485"/>
      <c r="CZ539" s="485"/>
      <c r="DA539" s="485"/>
      <c r="DB539" s="485"/>
      <c r="DC539" s="485"/>
      <c r="DD539" s="485"/>
      <c r="DE539" s="485"/>
      <c r="DF539" s="485"/>
      <c r="DG539" s="485"/>
      <c r="DH539" s="485"/>
      <c r="DI539" s="485"/>
      <c r="DJ539" s="485"/>
      <c r="DK539" s="485"/>
      <c r="DL539" s="485"/>
      <c r="DM539" s="485"/>
      <c r="DN539" s="485"/>
      <c r="DO539" s="485"/>
      <c r="DP539" s="485"/>
      <c r="DQ539" s="485"/>
      <c r="DR539" s="485"/>
      <c r="DS539" s="485"/>
      <c r="DT539" s="485"/>
      <c r="DU539" s="485"/>
      <c r="DV539" s="485"/>
      <c r="DW539" s="485"/>
      <c r="DX539" s="485"/>
      <c r="DY539" s="485"/>
      <c r="DZ539" s="485"/>
      <c r="EA539" s="485"/>
      <c r="EB539" s="485"/>
      <c r="EC539" s="485"/>
      <c r="ED539" s="485"/>
      <c r="EE539" s="485"/>
      <c r="EF539" s="485"/>
      <c r="EG539" s="485"/>
      <c r="EH539" s="485"/>
      <c r="EI539" s="485"/>
      <c r="EJ539" s="485"/>
      <c r="EK539" s="485"/>
      <c r="EL539" s="485"/>
      <c r="EM539" s="485"/>
      <c r="EN539" s="485"/>
      <c r="EO539" s="485"/>
      <c r="EP539" s="485"/>
    </row>
    <row r="540" spans="1:146">
      <c r="A540" s="485"/>
      <c r="B540" s="485"/>
      <c r="C540" s="485"/>
      <c r="D540" s="485"/>
      <c r="E540" s="485"/>
      <c r="F540" s="485"/>
      <c r="G540" s="485"/>
      <c r="H540" s="485"/>
      <c r="I540" s="485"/>
      <c r="J540" s="485"/>
      <c r="K540" s="485"/>
      <c r="L540" s="485"/>
      <c r="M540" s="485"/>
      <c r="P540" s="485"/>
      <c r="Q540" s="485"/>
      <c r="R540" s="485"/>
      <c r="S540" s="485"/>
      <c r="T540" s="485"/>
      <c r="U540" s="485"/>
      <c r="V540" s="485"/>
      <c r="W540" s="485"/>
      <c r="X540" s="485"/>
      <c r="Y540" s="485"/>
      <c r="Z540" s="485"/>
      <c r="AA540" s="485"/>
      <c r="AB540" s="485"/>
      <c r="AC540" s="485"/>
      <c r="AD540" s="485"/>
      <c r="AE540" s="485"/>
      <c r="AF540" s="485"/>
      <c r="AG540" s="485"/>
      <c r="AH540" s="485"/>
      <c r="AI540" s="485"/>
      <c r="AJ540" s="485"/>
      <c r="AK540" s="485"/>
      <c r="AL540" s="485"/>
      <c r="AM540" s="485"/>
      <c r="AN540" s="485"/>
      <c r="AO540" s="485"/>
      <c r="AP540" s="485"/>
      <c r="AQ540" s="485"/>
      <c r="AR540" s="485"/>
      <c r="AS540" s="485"/>
      <c r="AT540" s="485"/>
      <c r="AU540" s="485"/>
      <c r="AV540" s="485"/>
      <c r="AW540" s="485"/>
      <c r="AX540" s="485"/>
      <c r="AY540" s="485"/>
      <c r="AZ540" s="485"/>
      <c r="BA540" s="485"/>
      <c r="BB540" s="485"/>
      <c r="BC540" s="485"/>
      <c r="BD540" s="485"/>
      <c r="BE540" s="485"/>
      <c r="BF540" s="485"/>
      <c r="BG540" s="485"/>
      <c r="BH540" s="485"/>
      <c r="BI540" s="485"/>
      <c r="BJ540" s="485"/>
      <c r="BK540" s="485"/>
      <c r="BL540" s="485"/>
      <c r="BM540" s="485"/>
      <c r="BN540" s="485"/>
      <c r="BO540" s="485"/>
      <c r="BP540" s="485"/>
      <c r="BQ540" s="485"/>
      <c r="BR540" s="485"/>
      <c r="BS540" s="485"/>
      <c r="BT540" s="485"/>
      <c r="BU540" s="485"/>
      <c r="BV540" s="485"/>
      <c r="BW540" s="485"/>
      <c r="BX540" s="485"/>
      <c r="BY540" s="485"/>
      <c r="BZ540" s="485"/>
      <c r="CA540" s="485"/>
      <c r="CB540" s="485"/>
      <c r="CC540" s="485"/>
      <c r="CD540" s="485"/>
      <c r="CE540" s="485"/>
      <c r="CF540" s="485"/>
      <c r="CG540" s="485"/>
      <c r="CH540" s="485"/>
      <c r="CI540" s="485"/>
      <c r="CJ540" s="485"/>
      <c r="CK540" s="485"/>
      <c r="CL540" s="485"/>
      <c r="CM540" s="485"/>
      <c r="CN540" s="485"/>
      <c r="CO540" s="485"/>
      <c r="CP540" s="485"/>
      <c r="CQ540" s="485"/>
      <c r="CR540" s="485"/>
      <c r="CS540" s="485"/>
      <c r="CT540" s="485"/>
      <c r="CU540" s="485"/>
      <c r="CV540" s="485"/>
      <c r="CW540" s="485"/>
      <c r="CX540" s="485"/>
      <c r="CY540" s="485"/>
      <c r="CZ540" s="485"/>
      <c r="DA540" s="485"/>
      <c r="DB540" s="485"/>
      <c r="DC540" s="485"/>
      <c r="DD540" s="485"/>
      <c r="DE540" s="485"/>
      <c r="DF540" s="485"/>
      <c r="DG540" s="485"/>
      <c r="DH540" s="485"/>
      <c r="DI540" s="485"/>
      <c r="DJ540" s="485"/>
      <c r="DK540" s="485"/>
      <c r="DL540" s="485"/>
      <c r="DM540" s="485"/>
      <c r="DN540" s="485"/>
      <c r="DO540" s="485"/>
      <c r="DP540" s="485"/>
      <c r="DQ540" s="485"/>
      <c r="DR540" s="485"/>
      <c r="DS540" s="485"/>
      <c r="DT540" s="485"/>
      <c r="DU540" s="485"/>
      <c r="DV540" s="485"/>
      <c r="DW540" s="485"/>
      <c r="DX540" s="485"/>
      <c r="DY540" s="485"/>
      <c r="DZ540" s="485"/>
      <c r="EA540" s="485"/>
      <c r="EB540" s="485"/>
      <c r="EC540" s="485"/>
      <c r="ED540" s="485"/>
      <c r="EE540" s="485"/>
      <c r="EF540" s="485"/>
      <c r="EG540" s="485"/>
      <c r="EH540" s="485"/>
      <c r="EI540" s="485"/>
      <c r="EJ540" s="485"/>
      <c r="EK540" s="485"/>
      <c r="EL540" s="485"/>
      <c r="EM540" s="485"/>
      <c r="EN540" s="485"/>
      <c r="EO540" s="485"/>
      <c r="EP540" s="485"/>
    </row>
    <row r="541" spans="1:146">
      <c r="A541" s="485"/>
      <c r="B541" s="485"/>
      <c r="C541" s="485"/>
      <c r="D541" s="485"/>
      <c r="E541" s="485"/>
      <c r="F541" s="485"/>
      <c r="G541" s="485"/>
      <c r="H541" s="485"/>
      <c r="I541" s="485"/>
      <c r="J541" s="485"/>
      <c r="K541" s="485"/>
      <c r="L541" s="485"/>
      <c r="M541" s="485"/>
      <c r="P541" s="485"/>
      <c r="Q541" s="485"/>
      <c r="R541" s="485"/>
      <c r="S541" s="485"/>
      <c r="T541" s="485"/>
      <c r="U541" s="485"/>
      <c r="V541" s="485"/>
      <c r="W541" s="485"/>
      <c r="X541" s="485"/>
      <c r="Y541" s="485"/>
      <c r="Z541" s="485"/>
      <c r="AA541" s="485"/>
      <c r="AB541" s="485"/>
      <c r="AC541" s="485"/>
      <c r="AD541" s="485"/>
      <c r="AE541" s="485"/>
      <c r="AF541" s="485"/>
      <c r="AG541" s="485"/>
      <c r="AH541" s="485"/>
      <c r="AI541" s="485"/>
      <c r="AJ541" s="485"/>
      <c r="AK541" s="485"/>
      <c r="AL541" s="485"/>
      <c r="AM541" s="485"/>
      <c r="AN541" s="485"/>
      <c r="AO541" s="485"/>
      <c r="AP541" s="485"/>
      <c r="AQ541" s="485"/>
      <c r="AR541" s="485"/>
      <c r="AS541" s="485"/>
      <c r="AT541" s="485"/>
      <c r="AU541" s="485"/>
      <c r="AV541" s="485"/>
      <c r="AW541" s="485"/>
      <c r="AX541" s="485"/>
      <c r="AY541" s="485"/>
      <c r="AZ541" s="485"/>
      <c r="BA541" s="485"/>
      <c r="BB541" s="485"/>
      <c r="BC541" s="485"/>
      <c r="BD541" s="485"/>
      <c r="BE541" s="485"/>
      <c r="BF541" s="485"/>
      <c r="BG541" s="485"/>
      <c r="BH541" s="485"/>
      <c r="BI541" s="485"/>
      <c r="BJ541" s="485"/>
      <c r="BK541" s="485"/>
      <c r="BL541" s="485"/>
      <c r="BM541" s="485"/>
      <c r="BN541" s="485"/>
      <c r="BO541" s="485"/>
      <c r="BP541" s="485"/>
      <c r="BQ541" s="485"/>
      <c r="BR541" s="485"/>
      <c r="BS541" s="485"/>
      <c r="BT541" s="485"/>
      <c r="BU541" s="485"/>
      <c r="BV541" s="485"/>
      <c r="BW541" s="485"/>
      <c r="BX541" s="485"/>
      <c r="BY541" s="485"/>
      <c r="BZ541" s="485"/>
      <c r="CA541" s="485"/>
      <c r="CB541" s="485"/>
      <c r="CC541" s="485"/>
      <c r="CD541" s="485"/>
      <c r="CE541" s="485"/>
      <c r="CF541" s="485"/>
      <c r="CG541" s="485"/>
      <c r="CH541" s="485"/>
      <c r="CI541" s="485"/>
      <c r="CJ541" s="485"/>
      <c r="CK541" s="485"/>
      <c r="CL541" s="485"/>
      <c r="CM541" s="485"/>
      <c r="CN541" s="485"/>
      <c r="CO541" s="485"/>
      <c r="CP541" s="485"/>
      <c r="CQ541" s="485"/>
      <c r="CR541" s="485"/>
      <c r="CS541" s="485"/>
      <c r="CT541" s="485"/>
      <c r="CU541" s="485"/>
      <c r="CV541" s="485"/>
      <c r="CW541" s="485"/>
      <c r="CX541" s="485"/>
      <c r="CY541" s="485"/>
      <c r="CZ541" s="485"/>
      <c r="DA541" s="485"/>
      <c r="DB541" s="485"/>
      <c r="DC541" s="485"/>
      <c r="DD541" s="485"/>
      <c r="DE541" s="485"/>
      <c r="DF541" s="485"/>
      <c r="DG541" s="485"/>
      <c r="DH541" s="485"/>
      <c r="DI541" s="485"/>
      <c r="DJ541" s="485"/>
      <c r="DK541" s="485"/>
      <c r="DL541" s="485"/>
      <c r="DM541" s="485"/>
      <c r="DN541" s="485"/>
      <c r="DO541" s="485"/>
      <c r="DP541" s="485"/>
      <c r="DQ541" s="485"/>
      <c r="DR541" s="485"/>
      <c r="DS541" s="485"/>
      <c r="DT541" s="485"/>
      <c r="DU541" s="485"/>
      <c r="DV541" s="485"/>
      <c r="DW541" s="485"/>
      <c r="DX541" s="485"/>
      <c r="DY541" s="485"/>
      <c r="DZ541" s="485"/>
      <c r="EA541" s="485"/>
      <c r="EB541" s="485"/>
      <c r="EC541" s="485"/>
      <c r="ED541" s="485"/>
      <c r="EE541" s="485"/>
      <c r="EF541" s="485"/>
      <c r="EG541" s="485"/>
      <c r="EH541" s="485"/>
      <c r="EI541" s="485"/>
      <c r="EJ541" s="485"/>
      <c r="EK541" s="485"/>
      <c r="EL541" s="485"/>
      <c r="EM541" s="485"/>
      <c r="EN541" s="485"/>
      <c r="EO541" s="485"/>
      <c r="EP541" s="485"/>
    </row>
    <row r="542" spans="1:146">
      <c r="A542" s="485"/>
      <c r="B542" s="485"/>
      <c r="C542" s="485"/>
      <c r="D542" s="485"/>
      <c r="E542" s="485"/>
      <c r="F542" s="485"/>
      <c r="G542" s="485"/>
      <c r="H542" s="485"/>
      <c r="I542" s="485"/>
      <c r="J542" s="485"/>
      <c r="K542" s="485"/>
      <c r="L542" s="485"/>
      <c r="M542" s="485"/>
      <c r="P542" s="485"/>
      <c r="Q542" s="485"/>
      <c r="R542" s="485"/>
      <c r="S542" s="485"/>
      <c r="T542" s="485"/>
      <c r="U542" s="485"/>
      <c r="V542" s="485"/>
      <c r="W542" s="485"/>
      <c r="X542" s="485"/>
      <c r="Y542" s="485"/>
      <c r="Z542" s="485"/>
      <c r="AA542" s="485"/>
      <c r="AB542" s="485"/>
      <c r="AC542" s="485"/>
      <c r="AD542" s="485"/>
      <c r="AE542" s="485"/>
      <c r="AF542" s="485"/>
      <c r="AG542" s="485"/>
      <c r="AH542" s="485"/>
      <c r="AI542" s="485"/>
      <c r="AJ542" s="485"/>
      <c r="AK542" s="485"/>
      <c r="AL542" s="485"/>
      <c r="AM542" s="485"/>
      <c r="AN542" s="485"/>
      <c r="AO542" s="485"/>
      <c r="AP542" s="485"/>
      <c r="AQ542" s="485"/>
      <c r="AR542" s="485"/>
      <c r="AS542" s="485"/>
      <c r="AT542" s="485"/>
      <c r="AU542" s="485"/>
      <c r="AV542" s="485"/>
      <c r="AW542" s="485"/>
      <c r="AX542" s="485"/>
      <c r="AY542" s="485"/>
      <c r="AZ542" s="485"/>
      <c r="BA542" s="485"/>
      <c r="BB542" s="485"/>
      <c r="BC542" s="485"/>
      <c r="BD542" s="485"/>
      <c r="BE542" s="485"/>
      <c r="BF542" s="485"/>
      <c r="BG542" s="485"/>
      <c r="BH542" s="485"/>
      <c r="BI542" s="485"/>
      <c r="BJ542" s="485"/>
      <c r="BK542" s="485"/>
      <c r="BL542" s="485"/>
      <c r="BM542" s="485"/>
      <c r="BN542" s="485"/>
      <c r="BO542" s="485"/>
      <c r="BP542" s="485"/>
      <c r="BQ542" s="485"/>
      <c r="BR542" s="485"/>
      <c r="BS542" s="485"/>
      <c r="BT542" s="485"/>
      <c r="BU542" s="485"/>
      <c r="BV542" s="485"/>
      <c r="BW542" s="485"/>
      <c r="BX542" s="485"/>
      <c r="BY542" s="485"/>
      <c r="BZ542" s="485"/>
      <c r="CA542" s="485"/>
      <c r="CB542" s="485"/>
      <c r="CC542" s="485"/>
      <c r="CD542" s="485"/>
      <c r="CE542" s="485"/>
      <c r="CF542" s="485"/>
      <c r="CG542" s="485"/>
      <c r="CH542" s="485"/>
      <c r="CI542" s="485"/>
      <c r="CJ542" s="485"/>
      <c r="CK542" s="485"/>
      <c r="CL542" s="485"/>
      <c r="CM542" s="485"/>
      <c r="CN542" s="485"/>
      <c r="CO542" s="485"/>
      <c r="CP542" s="485"/>
      <c r="CQ542" s="485"/>
      <c r="CR542" s="485"/>
      <c r="CS542" s="485"/>
      <c r="CT542" s="485"/>
      <c r="CU542" s="485"/>
      <c r="CV542" s="485"/>
      <c r="CW542" s="485"/>
      <c r="CX542" s="485"/>
      <c r="CY542" s="485"/>
      <c r="CZ542" s="485"/>
      <c r="DA542" s="485"/>
      <c r="DB542" s="485"/>
      <c r="DC542" s="485"/>
      <c r="DD542" s="485"/>
      <c r="DE542" s="485"/>
      <c r="DF542" s="485"/>
      <c r="DG542" s="485"/>
      <c r="DH542" s="485"/>
      <c r="DI542" s="485"/>
      <c r="DJ542" s="485"/>
      <c r="DK542" s="485"/>
      <c r="DL542" s="485"/>
      <c r="DM542" s="485"/>
      <c r="DN542" s="485"/>
      <c r="DO542" s="485"/>
      <c r="DP542" s="485"/>
      <c r="DQ542" s="485"/>
      <c r="DR542" s="485"/>
      <c r="DS542" s="485"/>
      <c r="DT542" s="485"/>
      <c r="DU542" s="485"/>
      <c r="DV542" s="485"/>
      <c r="DW542" s="485"/>
      <c r="DX542" s="485"/>
      <c r="DY542" s="485"/>
      <c r="DZ542" s="485"/>
      <c r="EA542" s="485"/>
      <c r="EB542" s="485"/>
      <c r="EC542" s="485"/>
      <c r="ED542" s="485"/>
      <c r="EE542" s="485"/>
      <c r="EF542" s="485"/>
      <c r="EG542" s="485"/>
      <c r="EH542" s="485"/>
      <c r="EI542" s="485"/>
      <c r="EJ542" s="485"/>
      <c r="EK542" s="485"/>
      <c r="EL542" s="485"/>
      <c r="EM542" s="485"/>
      <c r="EN542" s="485"/>
      <c r="EO542" s="485"/>
      <c r="EP542" s="485"/>
    </row>
    <row r="543" spans="1:146">
      <c r="A543" s="485"/>
      <c r="B543" s="485"/>
      <c r="C543" s="485"/>
      <c r="D543" s="485"/>
      <c r="E543" s="485"/>
      <c r="F543" s="485"/>
      <c r="G543" s="485"/>
      <c r="H543" s="485"/>
      <c r="I543" s="485"/>
      <c r="J543" s="485"/>
      <c r="K543" s="485"/>
      <c r="L543" s="485"/>
      <c r="M543" s="485"/>
      <c r="P543" s="485"/>
      <c r="Q543" s="485"/>
      <c r="R543" s="485"/>
      <c r="S543" s="485"/>
      <c r="T543" s="485"/>
      <c r="U543" s="485"/>
      <c r="V543" s="485"/>
      <c r="W543" s="485"/>
      <c r="X543" s="485"/>
      <c r="Y543" s="485"/>
      <c r="Z543" s="485"/>
      <c r="AA543" s="485"/>
      <c r="AB543" s="485"/>
      <c r="AC543" s="485"/>
      <c r="AD543" s="485"/>
      <c r="AE543" s="485"/>
      <c r="AF543" s="485"/>
      <c r="AG543" s="485"/>
      <c r="AH543" s="485"/>
      <c r="AI543" s="485"/>
      <c r="AJ543" s="485"/>
      <c r="AK543" s="485"/>
      <c r="AL543" s="485"/>
      <c r="AM543" s="485"/>
      <c r="AN543" s="485"/>
      <c r="AO543" s="485"/>
      <c r="AP543" s="485"/>
      <c r="AQ543" s="485"/>
      <c r="AR543" s="485"/>
      <c r="AS543" s="485"/>
      <c r="AT543" s="485"/>
      <c r="AU543" s="485"/>
      <c r="AV543" s="485"/>
      <c r="AW543" s="485"/>
      <c r="AX543" s="485"/>
      <c r="AY543" s="485"/>
      <c r="AZ543" s="485"/>
      <c r="BA543" s="485"/>
      <c r="BB543" s="485"/>
      <c r="BC543" s="485"/>
      <c r="BD543" s="485"/>
      <c r="BE543" s="485"/>
      <c r="BF543" s="485"/>
      <c r="BG543" s="485"/>
      <c r="BH543" s="485"/>
      <c r="BI543" s="485"/>
      <c r="BJ543" s="485"/>
      <c r="BK543" s="485"/>
      <c r="BL543" s="485"/>
      <c r="BM543" s="485"/>
      <c r="BN543" s="485"/>
      <c r="BO543" s="485"/>
      <c r="BP543" s="485"/>
      <c r="BQ543" s="485"/>
      <c r="BR543" s="485"/>
      <c r="BS543" s="485"/>
      <c r="BT543" s="485"/>
      <c r="BU543" s="485"/>
      <c r="BV543" s="485"/>
      <c r="BW543" s="485"/>
      <c r="BX543" s="485"/>
      <c r="BY543" s="485"/>
      <c r="BZ543" s="485"/>
      <c r="CA543" s="485"/>
      <c r="CB543" s="485"/>
      <c r="CC543" s="485"/>
      <c r="CD543" s="485"/>
      <c r="CE543" s="485"/>
      <c r="CF543" s="485"/>
      <c r="CG543" s="485"/>
      <c r="CH543" s="485"/>
      <c r="CI543" s="485"/>
      <c r="CJ543" s="485"/>
      <c r="CK543" s="485"/>
      <c r="CL543" s="485"/>
      <c r="CM543" s="485"/>
      <c r="CN543" s="485"/>
      <c r="CO543" s="485"/>
      <c r="CP543" s="485"/>
      <c r="CQ543" s="485"/>
      <c r="CR543" s="485"/>
      <c r="CS543" s="485"/>
      <c r="CT543" s="485"/>
      <c r="CU543" s="485"/>
      <c r="CV543" s="485"/>
      <c r="CW543" s="485"/>
      <c r="CX543" s="485"/>
      <c r="CY543" s="485"/>
      <c r="CZ543" s="485"/>
      <c r="DA543" s="485"/>
      <c r="DB543" s="485"/>
      <c r="DC543" s="485"/>
      <c r="DD543" s="485"/>
      <c r="DE543" s="485"/>
      <c r="DF543" s="485"/>
      <c r="DG543" s="485"/>
      <c r="DH543" s="485"/>
      <c r="DI543" s="485"/>
      <c r="DJ543" s="485"/>
      <c r="DK543" s="485"/>
      <c r="DL543" s="485"/>
      <c r="DM543" s="485"/>
      <c r="DN543" s="485"/>
      <c r="DO543" s="485"/>
      <c r="DP543" s="485"/>
      <c r="DQ543" s="485"/>
      <c r="DR543" s="485"/>
      <c r="DS543" s="485"/>
      <c r="DT543" s="485"/>
      <c r="DU543" s="485"/>
      <c r="DV543" s="485"/>
      <c r="DW543" s="485"/>
      <c r="DX543" s="485"/>
      <c r="DY543" s="485"/>
      <c r="DZ543" s="485"/>
      <c r="EA543" s="485"/>
      <c r="EB543" s="485"/>
      <c r="EC543" s="485"/>
      <c r="ED543" s="485"/>
      <c r="EE543" s="485"/>
      <c r="EF543" s="485"/>
      <c r="EG543" s="485"/>
      <c r="EH543" s="485"/>
      <c r="EI543" s="485"/>
      <c r="EJ543" s="485"/>
      <c r="EK543" s="485"/>
      <c r="EL543" s="485"/>
      <c r="EM543" s="485"/>
      <c r="EN543" s="485"/>
      <c r="EO543" s="485"/>
      <c r="EP543" s="485"/>
    </row>
    <row r="544" spans="1:146">
      <c r="A544" s="485"/>
      <c r="B544" s="485"/>
      <c r="C544" s="485"/>
      <c r="D544" s="485"/>
      <c r="E544" s="485"/>
      <c r="F544" s="485"/>
      <c r="G544" s="485"/>
      <c r="H544" s="485"/>
      <c r="I544" s="485"/>
      <c r="J544" s="485"/>
      <c r="K544" s="485"/>
      <c r="L544" s="485"/>
      <c r="M544" s="485"/>
      <c r="P544" s="485"/>
      <c r="Q544" s="485"/>
      <c r="R544" s="485"/>
      <c r="S544" s="485"/>
      <c r="T544" s="485"/>
      <c r="U544" s="485"/>
      <c r="V544" s="485"/>
      <c r="W544" s="485"/>
      <c r="X544" s="485"/>
      <c r="Y544" s="485"/>
      <c r="Z544" s="485"/>
      <c r="AA544" s="485"/>
      <c r="AB544" s="485"/>
      <c r="AC544" s="485"/>
      <c r="AD544" s="485"/>
      <c r="AE544" s="485"/>
      <c r="AF544" s="485"/>
      <c r="AG544" s="485"/>
      <c r="AH544" s="485"/>
      <c r="AI544" s="485"/>
      <c r="AJ544" s="485"/>
      <c r="AK544" s="485"/>
      <c r="AL544" s="485"/>
      <c r="AM544" s="485"/>
      <c r="AN544" s="485"/>
      <c r="AO544" s="485"/>
      <c r="AP544" s="485"/>
      <c r="AQ544" s="485"/>
      <c r="AR544" s="485"/>
      <c r="AS544" s="485"/>
      <c r="AT544" s="485"/>
      <c r="AU544" s="485"/>
      <c r="AV544" s="485"/>
      <c r="AW544" s="485"/>
      <c r="AX544" s="485"/>
      <c r="AY544" s="485"/>
      <c r="AZ544" s="485"/>
      <c r="BA544" s="485"/>
      <c r="BB544" s="485"/>
      <c r="BC544" s="485"/>
      <c r="BD544" s="485"/>
      <c r="BE544" s="485"/>
      <c r="BF544" s="485"/>
      <c r="BG544" s="485"/>
      <c r="BH544" s="485"/>
      <c r="BI544" s="485"/>
      <c r="BJ544" s="485"/>
      <c r="BK544" s="485"/>
      <c r="BL544" s="485"/>
      <c r="BM544" s="485"/>
      <c r="BN544" s="485"/>
      <c r="BO544" s="485"/>
      <c r="BP544" s="485"/>
      <c r="BQ544" s="485"/>
      <c r="BR544" s="485"/>
      <c r="BS544" s="485"/>
      <c r="BT544" s="485"/>
      <c r="BU544" s="485"/>
      <c r="BV544" s="485"/>
      <c r="BW544" s="485"/>
      <c r="BX544" s="485"/>
      <c r="BY544" s="485"/>
      <c r="BZ544" s="485"/>
      <c r="CA544" s="485"/>
      <c r="CB544" s="485"/>
      <c r="CC544" s="485"/>
      <c r="CD544" s="485"/>
      <c r="CE544" s="485"/>
      <c r="CF544" s="485"/>
      <c r="CG544" s="485"/>
      <c r="CH544" s="485"/>
      <c r="CI544" s="485"/>
      <c r="CJ544" s="485"/>
      <c r="CK544" s="485"/>
      <c r="CL544" s="485"/>
      <c r="CM544" s="485"/>
      <c r="CN544" s="485"/>
      <c r="CO544" s="485"/>
      <c r="CP544" s="485"/>
      <c r="CQ544" s="485"/>
      <c r="CR544" s="485"/>
      <c r="CS544" s="485"/>
      <c r="CT544" s="485"/>
      <c r="CU544" s="485"/>
      <c r="CV544" s="485"/>
      <c r="CW544" s="485"/>
      <c r="CX544" s="485"/>
      <c r="CY544" s="485"/>
      <c r="CZ544" s="485"/>
      <c r="DA544" s="485"/>
      <c r="DB544" s="485"/>
      <c r="DC544" s="485"/>
      <c r="DD544" s="485"/>
      <c r="DE544" s="485"/>
      <c r="DF544" s="485"/>
      <c r="DG544" s="485"/>
      <c r="DH544" s="485"/>
      <c r="DI544" s="485"/>
      <c r="DJ544" s="485"/>
      <c r="DK544" s="485"/>
      <c r="DL544" s="485"/>
      <c r="DM544" s="485"/>
      <c r="DN544" s="485"/>
      <c r="DO544" s="485"/>
      <c r="DP544" s="485"/>
      <c r="DQ544" s="485"/>
      <c r="DR544" s="485"/>
      <c r="DS544" s="485"/>
      <c r="DT544" s="485"/>
      <c r="DU544" s="485"/>
      <c r="DV544" s="485"/>
      <c r="DW544" s="485"/>
      <c r="DX544" s="485"/>
      <c r="DY544" s="485"/>
      <c r="DZ544" s="485"/>
      <c r="EA544" s="485"/>
      <c r="EB544" s="485"/>
      <c r="EC544" s="485"/>
      <c r="ED544" s="485"/>
      <c r="EE544" s="485"/>
      <c r="EF544" s="485"/>
      <c r="EG544" s="485"/>
      <c r="EH544" s="485"/>
      <c r="EI544" s="485"/>
      <c r="EJ544" s="485"/>
      <c r="EK544" s="485"/>
      <c r="EL544" s="485"/>
      <c r="EM544" s="485"/>
      <c r="EN544" s="485"/>
      <c r="EO544" s="485"/>
      <c r="EP544" s="485"/>
    </row>
    <row r="545" spans="1:146">
      <c r="A545" s="485"/>
      <c r="B545" s="485"/>
      <c r="C545" s="485"/>
      <c r="D545" s="485"/>
      <c r="E545" s="485"/>
      <c r="F545" s="485"/>
      <c r="G545" s="485"/>
      <c r="H545" s="485"/>
      <c r="I545" s="485"/>
      <c r="J545" s="485"/>
      <c r="K545" s="485"/>
      <c r="L545" s="485"/>
      <c r="M545" s="485"/>
      <c r="P545" s="485"/>
      <c r="Q545" s="485"/>
      <c r="R545" s="485"/>
      <c r="S545" s="485"/>
      <c r="T545" s="485"/>
      <c r="U545" s="485"/>
      <c r="V545" s="485"/>
      <c r="W545" s="485"/>
      <c r="X545" s="485"/>
      <c r="Y545" s="485"/>
      <c r="Z545" s="485"/>
      <c r="AA545" s="485"/>
      <c r="AB545" s="485"/>
      <c r="AC545" s="485"/>
      <c r="AD545" s="485"/>
      <c r="AE545" s="485"/>
      <c r="AF545" s="485"/>
      <c r="AG545" s="485"/>
      <c r="AH545" s="485"/>
      <c r="AI545" s="485"/>
      <c r="AJ545" s="485"/>
      <c r="AK545" s="485"/>
      <c r="AL545" s="485"/>
      <c r="AM545" s="485"/>
      <c r="AN545" s="485"/>
      <c r="AO545" s="485"/>
      <c r="AP545" s="485"/>
      <c r="AQ545" s="485"/>
      <c r="AR545" s="485"/>
      <c r="AS545" s="485"/>
      <c r="AT545" s="485"/>
      <c r="AU545" s="485"/>
      <c r="AV545" s="485"/>
      <c r="AW545" s="485"/>
      <c r="AX545" s="485"/>
      <c r="AY545" s="485"/>
      <c r="AZ545" s="485"/>
      <c r="BA545" s="485"/>
      <c r="BB545" s="485"/>
      <c r="BC545" s="485"/>
      <c r="BD545" s="485"/>
      <c r="BE545" s="485"/>
      <c r="BF545" s="485"/>
      <c r="BG545" s="485"/>
      <c r="BH545" s="485"/>
      <c r="BI545" s="485"/>
      <c r="BJ545" s="485"/>
      <c r="BK545" s="485"/>
      <c r="BL545" s="485"/>
      <c r="BM545" s="485"/>
      <c r="BN545" s="485"/>
      <c r="BO545" s="485"/>
      <c r="BP545" s="485"/>
      <c r="BQ545" s="485"/>
      <c r="BR545" s="485"/>
      <c r="BS545" s="485"/>
      <c r="BT545" s="485"/>
      <c r="BU545" s="485"/>
      <c r="BV545" s="485"/>
      <c r="BW545" s="485"/>
      <c r="BX545" s="485"/>
      <c r="BY545" s="485"/>
      <c r="BZ545" s="485"/>
      <c r="CA545" s="485"/>
      <c r="CB545" s="485"/>
      <c r="CC545" s="485"/>
      <c r="CD545" s="485"/>
      <c r="CE545" s="485"/>
      <c r="CF545" s="485"/>
      <c r="CG545" s="485"/>
      <c r="CH545" s="485"/>
      <c r="CI545" s="485"/>
      <c r="CJ545" s="485"/>
      <c r="CK545" s="485"/>
      <c r="CL545" s="485"/>
      <c r="CM545" s="485"/>
      <c r="CN545" s="485"/>
      <c r="CO545" s="485"/>
      <c r="CP545" s="485"/>
      <c r="CQ545" s="485"/>
      <c r="CR545" s="485"/>
      <c r="CS545" s="485"/>
      <c r="CT545" s="485"/>
      <c r="CU545" s="485"/>
      <c r="CV545" s="485"/>
      <c r="CW545" s="485"/>
      <c r="CX545" s="485"/>
      <c r="CY545" s="485"/>
      <c r="CZ545" s="485"/>
      <c r="DA545" s="485"/>
      <c r="DB545" s="485"/>
      <c r="DC545" s="485"/>
      <c r="DD545" s="485"/>
      <c r="DE545" s="485"/>
      <c r="DF545" s="485"/>
      <c r="DG545" s="485"/>
      <c r="DH545" s="485"/>
      <c r="DI545" s="485"/>
      <c r="DJ545" s="485"/>
      <c r="DK545" s="485"/>
      <c r="DL545" s="485"/>
      <c r="DM545" s="485"/>
      <c r="DN545" s="485"/>
      <c r="DO545" s="485"/>
      <c r="DP545" s="485"/>
      <c r="DQ545" s="485"/>
      <c r="DR545" s="485"/>
      <c r="DS545" s="485"/>
      <c r="DT545" s="485"/>
      <c r="DU545" s="485"/>
      <c r="DV545" s="485"/>
      <c r="DW545" s="485"/>
      <c r="DX545" s="485"/>
      <c r="DY545" s="485"/>
      <c r="DZ545" s="485"/>
      <c r="EA545" s="485"/>
      <c r="EB545" s="485"/>
      <c r="EC545" s="485"/>
      <c r="ED545" s="485"/>
      <c r="EE545" s="485"/>
      <c r="EF545" s="485"/>
      <c r="EG545" s="485"/>
      <c r="EH545" s="485"/>
      <c r="EI545" s="485"/>
      <c r="EJ545" s="485"/>
      <c r="EK545" s="485"/>
      <c r="EL545" s="485"/>
      <c r="EM545" s="485"/>
      <c r="EN545" s="485"/>
      <c r="EO545" s="485"/>
      <c r="EP545" s="485"/>
    </row>
    <row r="546" spans="1:146">
      <c r="A546" s="485"/>
      <c r="B546" s="485"/>
      <c r="C546" s="485"/>
      <c r="D546" s="485"/>
      <c r="E546" s="485"/>
      <c r="F546" s="485"/>
      <c r="G546" s="485"/>
      <c r="H546" s="485"/>
      <c r="I546" s="485"/>
      <c r="J546" s="485"/>
      <c r="K546" s="485"/>
      <c r="L546" s="485"/>
      <c r="M546" s="485"/>
      <c r="P546" s="485"/>
      <c r="Q546" s="485"/>
      <c r="R546" s="485"/>
      <c r="S546" s="485"/>
      <c r="T546" s="485"/>
      <c r="U546" s="485"/>
      <c r="V546" s="485"/>
      <c r="W546" s="485"/>
      <c r="X546" s="485"/>
      <c r="Y546" s="485"/>
      <c r="Z546" s="485"/>
      <c r="AA546" s="485"/>
      <c r="AB546" s="485"/>
      <c r="AC546" s="485"/>
      <c r="AD546" s="485"/>
      <c r="AE546" s="485"/>
      <c r="AF546" s="485"/>
      <c r="AG546" s="485"/>
      <c r="AH546" s="485"/>
      <c r="AI546" s="485"/>
      <c r="AJ546" s="485"/>
      <c r="AK546" s="485"/>
      <c r="AL546" s="485"/>
      <c r="AM546" s="485"/>
      <c r="AN546" s="485"/>
      <c r="AO546" s="485"/>
      <c r="AP546" s="485"/>
      <c r="AQ546" s="485"/>
      <c r="AR546" s="485"/>
      <c r="AS546" s="485"/>
      <c r="AT546" s="485"/>
      <c r="AU546" s="485"/>
      <c r="AV546" s="485"/>
      <c r="AW546" s="485"/>
      <c r="AX546" s="485"/>
      <c r="AY546" s="485"/>
      <c r="AZ546" s="485"/>
      <c r="BA546" s="485"/>
      <c r="BB546" s="485"/>
      <c r="BC546" s="485"/>
      <c r="BD546" s="485"/>
      <c r="BE546" s="485"/>
      <c r="BF546" s="485"/>
      <c r="BG546" s="485"/>
      <c r="BH546" s="485"/>
      <c r="BI546" s="485"/>
      <c r="BJ546" s="485"/>
      <c r="BK546" s="485"/>
      <c r="BL546" s="485"/>
      <c r="BM546" s="485"/>
      <c r="BN546" s="485"/>
      <c r="BO546" s="485"/>
      <c r="BP546" s="485"/>
      <c r="BQ546" s="485"/>
      <c r="BR546" s="485"/>
      <c r="BS546" s="485"/>
      <c r="BT546" s="485"/>
      <c r="BU546" s="485"/>
      <c r="BV546" s="485"/>
      <c r="BW546" s="485"/>
      <c r="BX546" s="485"/>
      <c r="BY546" s="485"/>
      <c r="BZ546" s="485"/>
      <c r="CA546" s="485"/>
      <c r="CB546" s="485"/>
      <c r="CC546" s="485"/>
      <c r="CD546" s="485"/>
      <c r="CE546" s="485"/>
      <c r="CF546" s="485"/>
      <c r="CG546" s="485"/>
      <c r="CH546" s="485"/>
      <c r="CI546" s="485"/>
      <c r="CJ546" s="485"/>
      <c r="CK546" s="485"/>
      <c r="CL546" s="485"/>
      <c r="CM546" s="485"/>
      <c r="CN546" s="485"/>
      <c r="CO546" s="485"/>
      <c r="CP546" s="485"/>
      <c r="CQ546" s="485"/>
      <c r="CR546" s="485"/>
      <c r="CS546" s="485"/>
      <c r="CT546" s="485"/>
      <c r="CU546" s="485"/>
      <c r="CV546" s="485"/>
      <c r="CW546" s="485"/>
      <c r="CX546" s="485"/>
      <c r="CY546" s="485"/>
      <c r="CZ546" s="485"/>
      <c r="DA546" s="485"/>
      <c r="DB546" s="485"/>
      <c r="DC546" s="485"/>
      <c r="DD546" s="485"/>
      <c r="DE546" s="485"/>
      <c r="DF546" s="485"/>
      <c r="DG546" s="485"/>
      <c r="DH546" s="485"/>
      <c r="DI546" s="485"/>
      <c r="DJ546" s="485"/>
      <c r="DK546" s="485"/>
      <c r="DL546" s="485"/>
      <c r="DM546" s="485"/>
      <c r="DN546" s="485"/>
      <c r="DO546" s="485"/>
      <c r="DP546" s="485"/>
      <c r="DQ546" s="485"/>
      <c r="DR546" s="485"/>
      <c r="DS546" s="485"/>
      <c r="DT546" s="485"/>
      <c r="DU546" s="485"/>
      <c r="DV546" s="485"/>
      <c r="DW546" s="485"/>
      <c r="DX546" s="485"/>
      <c r="DY546" s="485"/>
      <c r="DZ546" s="485"/>
      <c r="EA546" s="485"/>
      <c r="EB546" s="485"/>
      <c r="EC546" s="485"/>
      <c r="ED546" s="485"/>
      <c r="EE546" s="485"/>
      <c r="EF546" s="485"/>
      <c r="EG546" s="485"/>
      <c r="EH546" s="485"/>
      <c r="EI546" s="485"/>
      <c r="EJ546" s="485"/>
      <c r="EK546" s="485"/>
      <c r="EL546" s="485"/>
      <c r="EM546" s="485"/>
      <c r="EN546" s="485"/>
      <c r="EO546" s="485"/>
      <c r="EP546" s="485"/>
    </row>
    <row r="547" spans="1:146">
      <c r="A547" s="485"/>
      <c r="B547" s="485"/>
      <c r="C547" s="485"/>
      <c r="D547" s="485"/>
      <c r="E547" s="485"/>
      <c r="F547" s="485"/>
      <c r="G547" s="485"/>
      <c r="H547" s="485"/>
      <c r="I547" s="485"/>
      <c r="J547" s="485"/>
      <c r="K547" s="485"/>
      <c r="L547" s="485"/>
      <c r="M547" s="485"/>
      <c r="P547" s="485"/>
      <c r="Q547" s="485"/>
      <c r="R547" s="485"/>
      <c r="S547" s="485"/>
      <c r="T547" s="485"/>
      <c r="U547" s="485"/>
      <c r="V547" s="485"/>
      <c r="W547" s="485"/>
      <c r="X547" s="485"/>
      <c r="Y547" s="485"/>
      <c r="Z547" s="485"/>
      <c r="AA547" s="485"/>
      <c r="AB547" s="485"/>
      <c r="AC547" s="485"/>
      <c r="AD547" s="485"/>
      <c r="AE547" s="485"/>
      <c r="AF547" s="485"/>
      <c r="AG547" s="485"/>
      <c r="AH547" s="485"/>
      <c r="AI547" s="485"/>
      <c r="AJ547" s="485"/>
      <c r="AK547" s="485"/>
      <c r="AL547" s="485"/>
      <c r="AM547" s="485"/>
      <c r="AN547" s="485"/>
      <c r="AO547" s="485"/>
      <c r="AP547" s="485"/>
      <c r="AQ547" s="485"/>
      <c r="AR547" s="485"/>
      <c r="AS547" s="485"/>
      <c r="AT547" s="485"/>
      <c r="AU547" s="485"/>
      <c r="AV547" s="485"/>
      <c r="AW547" s="485"/>
      <c r="AX547" s="485"/>
      <c r="AY547" s="485"/>
      <c r="AZ547" s="485"/>
      <c r="BA547" s="485"/>
      <c r="BB547" s="485"/>
      <c r="BC547" s="485"/>
      <c r="BD547" s="485"/>
      <c r="BE547" s="485"/>
      <c r="BF547" s="485"/>
      <c r="BG547" s="485"/>
      <c r="BH547" s="485"/>
      <c r="BI547" s="485"/>
      <c r="BJ547" s="485"/>
      <c r="BK547" s="485"/>
      <c r="BL547" s="485"/>
      <c r="BM547" s="485"/>
      <c r="BN547" s="485"/>
      <c r="BO547" s="485"/>
      <c r="BP547" s="485"/>
      <c r="BQ547" s="485"/>
      <c r="BR547" s="485"/>
      <c r="BS547" s="485"/>
      <c r="BT547" s="485"/>
      <c r="BU547" s="485"/>
      <c r="BV547" s="485"/>
      <c r="BW547" s="485"/>
      <c r="BX547" s="485"/>
      <c r="BY547" s="485"/>
      <c r="BZ547" s="485"/>
      <c r="CA547" s="485"/>
      <c r="CB547" s="485"/>
      <c r="CC547" s="485"/>
      <c r="CD547" s="485"/>
      <c r="CE547" s="485"/>
      <c r="CF547" s="485"/>
      <c r="CG547" s="485"/>
      <c r="CH547" s="485"/>
      <c r="CI547" s="485"/>
      <c r="CJ547" s="485"/>
      <c r="CK547" s="485"/>
      <c r="CL547" s="485"/>
      <c r="CM547" s="485"/>
      <c r="CN547" s="485"/>
      <c r="CO547" s="485"/>
      <c r="CP547" s="485"/>
      <c r="CQ547" s="485"/>
      <c r="CR547" s="485"/>
      <c r="CS547" s="485"/>
      <c r="CT547" s="485"/>
      <c r="CU547" s="485"/>
      <c r="CV547" s="485"/>
      <c r="CW547" s="485"/>
      <c r="CX547" s="485"/>
      <c r="CY547" s="485"/>
      <c r="CZ547" s="485"/>
      <c r="DA547" s="485"/>
      <c r="DB547" s="485"/>
      <c r="DC547" s="485"/>
      <c r="DD547" s="485"/>
      <c r="DE547" s="485"/>
      <c r="DF547" s="485"/>
      <c r="DG547" s="485"/>
      <c r="DH547" s="485"/>
      <c r="DI547" s="485"/>
      <c r="DJ547" s="485"/>
      <c r="DK547" s="485"/>
      <c r="DL547" s="485"/>
      <c r="DM547" s="485"/>
      <c r="DN547" s="485"/>
      <c r="DO547" s="485"/>
      <c r="DP547" s="485"/>
      <c r="DQ547" s="485"/>
      <c r="DR547" s="485"/>
      <c r="DS547" s="485"/>
      <c r="DT547" s="485"/>
      <c r="DU547" s="485"/>
      <c r="DV547" s="485"/>
      <c r="DW547" s="485"/>
      <c r="DX547" s="485"/>
      <c r="DY547" s="485"/>
      <c r="DZ547" s="485"/>
      <c r="EA547" s="485"/>
      <c r="EB547" s="485"/>
      <c r="EC547" s="485"/>
      <c r="ED547" s="485"/>
      <c r="EE547" s="485"/>
      <c r="EF547" s="485"/>
      <c r="EG547" s="485"/>
      <c r="EH547" s="485"/>
      <c r="EI547" s="485"/>
      <c r="EJ547" s="485"/>
      <c r="EK547" s="485"/>
      <c r="EL547" s="485"/>
      <c r="EM547" s="485"/>
      <c r="EN547" s="485"/>
      <c r="EO547" s="485"/>
      <c r="EP547" s="485"/>
    </row>
    <row r="548" spans="1:146">
      <c r="A548" s="485"/>
      <c r="B548" s="485"/>
      <c r="C548" s="485"/>
      <c r="D548" s="485"/>
      <c r="E548" s="485"/>
      <c r="F548" s="485"/>
      <c r="G548" s="485"/>
      <c r="H548" s="485"/>
      <c r="I548" s="485"/>
      <c r="J548" s="485"/>
      <c r="K548" s="485"/>
      <c r="L548" s="485"/>
      <c r="M548" s="485"/>
      <c r="P548" s="485"/>
      <c r="Q548" s="485"/>
      <c r="R548" s="485"/>
      <c r="S548" s="485"/>
      <c r="T548" s="485"/>
      <c r="U548" s="485"/>
      <c r="V548" s="485"/>
      <c r="W548" s="485"/>
      <c r="X548" s="485"/>
      <c r="Y548" s="485"/>
      <c r="Z548" s="485"/>
      <c r="AA548" s="485"/>
      <c r="AB548" s="485"/>
      <c r="AC548" s="485"/>
      <c r="AD548" s="485"/>
      <c r="AE548" s="485"/>
      <c r="AF548" s="485"/>
      <c r="AG548" s="485"/>
      <c r="AH548" s="485"/>
      <c r="AI548" s="485"/>
      <c r="AJ548" s="485"/>
      <c r="AK548" s="485"/>
      <c r="AL548" s="485"/>
      <c r="AM548" s="485"/>
      <c r="AN548" s="485"/>
      <c r="AO548" s="485"/>
      <c r="AP548" s="485"/>
      <c r="AQ548" s="485"/>
      <c r="AR548" s="485"/>
      <c r="AS548" s="485"/>
      <c r="AT548" s="485"/>
      <c r="AU548" s="485"/>
      <c r="AV548" s="485"/>
      <c r="AW548" s="485"/>
      <c r="AX548" s="485"/>
      <c r="AY548" s="485"/>
      <c r="AZ548" s="485"/>
      <c r="BA548" s="485"/>
      <c r="BB548" s="485"/>
      <c r="BC548" s="485"/>
      <c r="BD548" s="485"/>
      <c r="BE548" s="485"/>
      <c r="BF548" s="485"/>
      <c r="BG548" s="485"/>
      <c r="BH548" s="485"/>
      <c r="BI548" s="485"/>
      <c r="BJ548" s="485"/>
      <c r="BK548" s="485"/>
      <c r="BL548" s="485"/>
      <c r="BM548" s="485"/>
      <c r="BN548" s="485"/>
      <c r="BO548" s="485"/>
      <c r="BP548" s="485"/>
      <c r="BQ548" s="485"/>
      <c r="BR548" s="485"/>
      <c r="BS548" s="485"/>
      <c r="BT548" s="485"/>
      <c r="BU548" s="485"/>
      <c r="BV548" s="485"/>
      <c r="BW548" s="485"/>
      <c r="BX548" s="485"/>
      <c r="BY548" s="485"/>
      <c r="BZ548" s="485"/>
      <c r="CA548" s="485"/>
      <c r="CB548" s="485"/>
      <c r="CC548" s="485"/>
      <c r="CD548" s="485"/>
      <c r="CE548" s="485"/>
      <c r="CF548" s="485"/>
      <c r="CG548" s="485"/>
      <c r="CH548" s="485"/>
      <c r="CI548" s="485"/>
      <c r="CJ548" s="485"/>
      <c r="CK548" s="485"/>
      <c r="CL548" s="485"/>
      <c r="CM548" s="485"/>
      <c r="CN548" s="485"/>
      <c r="CO548" s="485"/>
      <c r="CP548" s="485"/>
      <c r="CQ548" s="485"/>
      <c r="CR548" s="485"/>
      <c r="CS548" s="485"/>
      <c r="CT548" s="485"/>
      <c r="CU548" s="485"/>
      <c r="CV548" s="485"/>
      <c r="CW548" s="485"/>
      <c r="CX548" s="485"/>
      <c r="CY548" s="485"/>
      <c r="CZ548" s="485"/>
      <c r="DA548" s="485"/>
      <c r="DB548" s="485"/>
      <c r="DC548" s="485"/>
      <c r="DD548" s="485"/>
      <c r="DE548" s="485"/>
      <c r="DF548" s="485"/>
      <c r="DG548" s="485"/>
      <c r="DH548" s="485"/>
      <c r="DI548" s="485"/>
      <c r="DJ548" s="485"/>
      <c r="DK548" s="485"/>
      <c r="DL548" s="485"/>
      <c r="DM548" s="485"/>
      <c r="DN548" s="485"/>
      <c r="DO548" s="485"/>
      <c r="DP548" s="485"/>
      <c r="DQ548" s="485"/>
      <c r="DR548" s="485"/>
      <c r="DS548" s="485"/>
      <c r="DT548" s="485"/>
      <c r="DU548" s="485"/>
      <c r="DV548" s="485"/>
      <c r="DW548" s="485"/>
      <c r="DX548" s="485"/>
      <c r="DY548" s="485"/>
      <c r="DZ548" s="485"/>
      <c r="EA548" s="485"/>
      <c r="EB548" s="485"/>
      <c r="EC548" s="485"/>
      <c r="ED548" s="485"/>
      <c r="EE548" s="485"/>
      <c r="EF548" s="485"/>
      <c r="EG548" s="485"/>
      <c r="EH548" s="485"/>
      <c r="EI548" s="485"/>
      <c r="EJ548" s="485"/>
      <c r="EK548" s="485"/>
      <c r="EL548" s="485"/>
      <c r="EM548" s="485"/>
      <c r="EN548" s="485"/>
      <c r="EO548" s="485"/>
      <c r="EP548" s="485"/>
    </row>
    <row r="549" spans="1:146">
      <c r="A549" s="485"/>
      <c r="B549" s="485"/>
      <c r="C549" s="485"/>
      <c r="D549" s="485"/>
      <c r="E549" s="485"/>
      <c r="F549" s="485"/>
      <c r="G549" s="485"/>
      <c r="H549" s="485"/>
      <c r="I549" s="485"/>
      <c r="J549" s="485"/>
      <c r="K549" s="485"/>
      <c r="L549" s="485"/>
      <c r="M549" s="485"/>
      <c r="P549" s="485"/>
      <c r="Q549" s="485"/>
      <c r="R549" s="485"/>
      <c r="S549" s="485"/>
      <c r="T549" s="485"/>
      <c r="U549" s="485"/>
      <c r="V549" s="485"/>
      <c r="W549" s="485"/>
      <c r="X549" s="485"/>
      <c r="Y549" s="485"/>
      <c r="Z549" s="485"/>
      <c r="AA549" s="485"/>
      <c r="AB549" s="485"/>
      <c r="AC549" s="485"/>
      <c r="AD549" s="485"/>
      <c r="AE549" s="485"/>
      <c r="AF549" s="485"/>
      <c r="AG549" s="485"/>
      <c r="AH549" s="485"/>
      <c r="AI549" s="485"/>
      <c r="AJ549" s="485"/>
      <c r="AK549" s="485"/>
      <c r="AL549" s="485"/>
      <c r="AM549" s="485"/>
      <c r="AN549" s="485"/>
      <c r="AO549" s="485"/>
      <c r="AP549" s="485"/>
      <c r="AQ549" s="485"/>
      <c r="AR549" s="485"/>
      <c r="AS549" s="485"/>
      <c r="AT549" s="485"/>
      <c r="AU549" s="485"/>
      <c r="AV549" s="485"/>
      <c r="AW549" s="485"/>
      <c r="AX549" s="485"/>
      <c r="AY549" s="485"/>
      <c r="AZ549" s="485"/>
      <c r="BA549" s="485"/>
      <c r="BB549" s="485"/>
      <c r="BC549" s="485"/>
      <c r="BD549" s="485"/>
      <c r="BE549" s="485"/>
      <c r="BF549" s="485"/>
      <c r="BG549" s="485"/>
      <c r="BH549" s="485"/>
      <c r="BI549" s="485"/>
      <c r="BJ549" s="485"/>
      <c r="BK549" s="485"/>
      <c r="BL549" s="485"/>
      <c r="BM549" s="485"/>
      <c r="BN549" s="485"/>
      <c r="BO549" s="485"/>
      <c r="BP549" s="485"/>
      <c r="BQ549" s="485"/>
      <c r="BR549" s="485"/>
      <c r="BS549" s="485"/>
      <c r="BT549" s="485"/>
      <c r="BU549" s="485"/>
      <c r="BV549" s="485"/>
      <c r="BW549" s="485"/>
      <c r="BX549" s="485"/>
      <c r="BY549" s="485"/>
      <c r="BZ549" s="485"/>
      <c r="CA549" s="485"/>
      <c r="CB549" s="485"/>
      <c r="CC549" s="485"/>
      <c r="CD549" s="485"/>
      <c r="CE549" s="485"/>
      <c r="CF549" s="485"/>
      <c r="CG549" s="485"/>
      <c r="CH549" s="485"/>
      <c r="CI549" s="485"/>
      <c r="CJ549" s="485"/>
      <c r="CK549" s="485"/>
      <c r="CL549" s="485"/>
      <c r="CM549" s="485"/>
      <c r="CN549" s="485"/>
      <c r="CO549" s="485"/>
      <c r="CP549" s="485"/>
      <c r="CQ549" s="485"/>
      <c r="CR549" s="485"/>
      <c r="CS549" s="485"/>
      <c r="CT549" s="485"/>
      <c r="CU549" s="485"/>
      <c r="CV549" s="485"/>
      <c r="CW549" s="485"/>
      <c r="CX549" s="485"/>
      <c r="CY549" s="485"/>
      <c r="CZ549" s="485"/>
      <c r="DA549" s="485"/>
      <c r="DB549" s="485"/>
      <c r="DC549" s="485"/>
      <c r="DD549" s="485"/>
      <c r="DE549" s="485"/>
      <c r="DF549" s="485"/>
      <c r="DG549" s="485"/>
      <c r="DH549" s="485"/>
      <c r="DI549" s="485"/>
      <c r="DJ549" s="485"/>
      <c r="DK549" s="485"/>
      <c r="DL549" s="485"/>
      <c r="DM549" s="485"/>
      <c r="DN549" s="485"/>
      <c r="DO549" s="485"/>
      <c r="DP549" s="485"/>
      <c r="DQ549" s="485"/>
      <c r="DR549" s="485"/>
      <c r="DS549" s="485"/>
      <c r="DT549" s="485"/>
      <c r="DU549" s="485"/>
      <c r="DV549" s="485"/>
      <c r="DW549" s="485"/>
      <c r="DX549" s="485"/>
      <c r="DY549" s="485"/>
      <c r="DZ549" s="485"/>
      <c r="EA549" s="485"/>
      <c r="EB549" s="485"/>
      <c r="EC549" s="485"/>
      <c r="ED549" s="485"/>
      <c r="EE549" s="485"/>
      <c r="EF549" s="485"/>
      <c r="EG549" s="485"/>
      <c r="EH549" s="485"/>
      <c r="EI549" s="485"/>
      <c r="EJ549" s="485"/>
      <c r="EK549" s="485"/>
      <c r="EL549" s="485"/>
      <c r="EM549" s="485"/>
      <c r="EN549" s="485"/>
      <c r="EO549" s="485"/>
      <c r="EP549" s="485"/>
    </row>
    <row r="550" spans="1:146">
      <c r="A550" s="485"/>
      <c r="B550" s="485"/>
      <c r="C550" s="485"/>
      <c r="D550" s="485"/>
      <c r="E550" s="485"/>
      <c r="F550" s="485"/>
      <c r="G550" s="485"/>
      <c r="H550" s="485"/>
      <c r="I550" s="485"/>
      <c r="J550" s="485"/>
      <c r="K550" s="485"/>
      <c r="L550" s="485"/>
      <c r="M550" s="485"/>
      <c r="P550" s="485"/>
      <c r="Q550" s="485"/>
      <c r="R550" s="485"/>
      <c r="S550" s="485"/>
      <c r="T550" s="485"/>
      <c r="U550" s="485"/>
      <c r="V550" s="485"/>
      <c r="W550" s="485"/>
      <c r="X550" s="485"/>
      <c r="Y550" s="485"/>
      <c r="Z550" s="485"/>
      <c r="AA550" s="485"/>
      <c r="AB550" s="485"/>
      <c r="AC550" s="485"/>
      <c r="AD550" s="485"/>
      <c r="AE550" s="485"/>
      <c r="AF550" s="485"/>
      <c r="AG550" s="485"/>
      <c r="AH550" s="485"/>
      <c r="AI550" s="485"/>
      <c r="AJ550" s="485"/>
      <c r="AK550" s="485"/>
      <c r="AL550" s="485"/>
      <c r="AM550" s="485"/>
      <c r="AN550" s="485"/>
      <c r="AO550" s="485"/>
      <c r="AP550" s="485"/>
      <c r="AQ550" s="485"/>
      <c r="AR550" s="485"/>
      <c r="AS550" s="485"/>
      <c r="AT550" s="485"/>
      <c r="AU550" s="485"/>
      <c r="AV550" s="485"/>
      <c r="AW550" s="485"/>
      <c r="AX550" s="485"/>
      <c r="AY550" s="485"/>
      <c r="AZ550" s="485"/>
      <c r="BA550" s="485"/>
      <c r="BB550" s="485"/>
      <c r="BC550" s="485"/>
      <c r="BD550" s="485"/>
      <c r="BE550" s="485"/>
      <c r="BF550" s="485"/>
      <c r="BG550" s="485"/>
      <c r="BH550" s="485"/>
      <c r="BI550" s="485"/>
      <c r="BJ550" s="485"/>
      <c r="BK550" s="485"/>
      <c r="BL550" s="485"/>
      <c r="BM550" s="485"/>
      <c r="BN550" s="485"/>
      <c r="BO550" s="485"/>
      <c r="BP550" s="485"/>
      <c r="BQ550" s="485"/>
      <c r="BR550" s="485"/>
      <c r="BS550" s="485"/>
      <c r="BT550" s="485"/>
      <c r="BU550" s="485"/>
      <c r="BV550" s="485"/>
      <c r="BW550" s="485"/>
      <c r="BX550" s="485"/>
      <c r="BY550" s="485"/>
      <c r="BZ550" s="485"/>
      <c r="CA550" s="485"/>
      <c r="CB550" s="485"/>
      <c r="CC550" s="485"/>
      <c r="CD550" s="485"/>
      <c r="CE550" s="485"/>
      <c r="CF550" s="485"/>
      <c r="CG550" s="485"/>
      <c r="CH550" s="485"/>
      <c r="CI550" s="485"/>
      <c r="CJ550" s="485"/>
      <c r="CK550" s="485"/>
      <c r="CL550" s="485"/>
      <c r="CM550" s="485"/>
      <c r="CN550" s="485"/>
      <c r="CO550" s="485"/>
      <c r="CP550" s="485"/>
      <c r="CQ550" s="485"/>
      <c r="CR550" s="485"/>
      <c r="CS550" s="485"/>
      <c r="CT550" s="485"/>
      <c r="CU550" s="485"/>
      <c r="CV550" s="485"/>
      <c r="CW550" s="485"/>
      <c r="CX550" s="485"/>
      <c r="CY550" s="485"/>
      <c r="CZ550" s="485"/>
      <c r="DA550" s="485"/>
      <c r="DB550" s="485"/>
      <c r="DC550" s="485"/>
      <c r="DD550" s="485"/>
      <c r="DE550" s="485"/>
      <c r="DF550" s="485"/>
      <c r="DG550" s="485"/>
      <c r="DH550" s="485"/>
      <c r="DI550" s="485"/>
      <c r="DJ550" s="485"/>
      <c r="DK550" s="485"/>
      <c r="DL550" s="485"/>
      <c r="DM550" s="485"/>
      <c r="DN550" s="485"/>
      <c r="DO550" s="485"/>
      <c r="DP550" s="485"/>
      <c r="DQ550" s="485"/>
      <c r="DR550" s="485"/>
      <c r="DS550" s="485"/>
      <c r="DT550" s="485"/>
      <c r="DU550" s="485"/>
      <c r="DV550" s="485"/>
      <c r="DW550" s="485"/>
      <c r="DX550" s="485"/>
      <c r="DY550" s="485"/>
      <c r="DZ550" s="485"/>
      <c r="EA550" s="485"/>
      <c r="EB550" s="485"/>
      <c r="EC550" s="485"/>
      <c r="ED550" s="485"/>
      <c r="EE550" s="485"/>
      <c r="EF550" s="485"/>
      <c r="EG550" s="485"/>
      <c r="EH550" s="485"/>
      <c r="EI550" s="485"/>
      <c r="EJ550" s="485"/>
      <c r="EK550" s="485"/>
      <c r="EL550" s="485"/>
      <c r="EM550" s="485"/>
      <c r="EN550" s="485"/>
      <c r="EO550" s="485"/>
      <c r="EP550" s="485"/>
    </row>
    <row r="551" spans="1:146">
      <c r="A551" s="485"/>
      <c r="B551" s="485"/>
      <c r="C551" s="485"/>
      <c r="D551" s="485"/>
      <c r="E551" s="485"/>
      <c r="F551" s="485"/>
      <c r="G551" s="485"/>
      <c r="H551" s="485"/>
      <c r="I551" s="485"/>
      <c r="J551" s="485"/>
      <c r="K551" s="485"/>
      <c r="L551" s="485"/>
      <c r="M551" s="485"/>
      <c r="P551" s="485"/>
      <c r="Q551" s="485"/>
      <c r="R551" s="485"/>
      <c r="S551" s="485"/>
      <c r="T551" s="485"/>
      <c r="U551" s="485"/>
      <c r="V551" s="485"/>
      <c r="W551" s="485"/>
      <c r="X551" s="485"/>
      <c r="Y551" s="485"/>
      <c r="Z551" s="485"/>
      <c r="AA551" s="485"/>
      <c r="AB551" s="485"/>
      <c r="AC551" s="485"/>
      <c r="AD551" s="485"/>
      <c r="AE551" s="485"/>
      <c r="AF551" s="485"/>
      <c r="AG551" s="485"/>
      <c r="AH551" s="485"/>
      <c r="AI551" s="485"/>
      <c r="AJ551" s="485"/>
      <c r="AK551" s="485"/>
      <c r="AL551" s="485"/>
      <c r="AM551" s="485"/>
      <c r="AN551" s="485"/>
      <c r="AO551" s="485"/>
      <c r="AP551" s="485"/>
      <c r="AQ551" s="485"/>
      <c r="AR551" s="485"/>
      <c r="AS551" s="485"/>
      <c r="AT551" s="485"/>
      <c r="AU551" s="485"/>
      <c r="AV551" s="485"/>
      <c r="AW551" s="485"/>
      <c r="AX551" s="485"/>
      <c r="AY551" s="485"/>
      <c r="AZ551" s="485"/>
      <c r="BA551" s="485"/>
      <c r="BB551" s="485"/>
      <c r="BC551" s="485"/>
      <c r="BD551" s="485"/>
      <c r="BE551" s="485"/>
      <c r="BF551" s="485"/>
      <c r="BG551" s="485"/>
      <c r="BH551" s="485"/>
      <c r="BI551" s="485"/>
      <c r="BJ551" s="485"/>
      <c r="BK551" s="485"/>
      <c r="BL551" s="485"/>
      <c r="BM551" s="485"/>
      <c r="BN551" s="485"/>
      <c r="BO551" s="485"/>
      <c r="BP551" s="485"/>
      <c r="BQ551" s="485"/>
      <c r="BR551" s="485"/>
      <c r="BS551" s="485"/>
      <c r="BT551" s="485"/>
      <c r="BU551" s="485"/>
      <c r="BV551" s="485"/>
      <c r="BW551" s="485"/>
      <c r="BX551" s="485"/>
      <c r="BY551" s="485"/>
      <c r="BZ551" s="485"/>
      <c r="CA551" s="485"/>
      <c r="CB551" s="485"/>
      <c r="CC551" s="485"/>
      <c r="CD551" s="485"/>
      <c r="CE551" s="485"/>
      <c r="CF551" s="485"/>
      <c r="CG551" s="485"/>
      <c r="CH551" s="485"/>
      <c r="CI551" s="485"/>
      <c r="CJ551" s="485"/>
      <c r="CK551" s="485"/>
      <c r="CL551" s="485"/>
      <c r="CM551" s="485"/>
      <c r="CN551" s="485"/>
      <c r="CO551" s="485"/>
      <c r="CP551" s="485"/>
      <c r="CQ551" s="485"/>
      <c r="CR551" s="485"/>
      <c r="CS551" s="485"/>
      <c r="CT551" s="485"/>
      <c r="CU551" s="485"/>
      <c r="CV551" s="485"/>
      <c r="CW551" s="485"/>
      <c r="CX551" s="485"/>
      <c r="CY551" s="485"/>
      <c r="CZ551" s="485"/>
      <c r="DA551" s="485"/>
      <c r="DB551" s="485"/>
      <c r="DC551" s="485"/>
      <c r="DD551" s="485"/>
      <c r="DE551" s="485"/>
      <c r="DF551" s="485"/>
      <c r="DG551" s="485"/>
      <c r="DH551" s="485"/>
      <c r="DI551" s="485"/>
      <c r="DJ551" s="485"/>
      <c r="DK551" s="485"/>
      <c r="DL551" s="485"/>
      <c r="DM551" s="485"/>
      <c r="DN551" s="485"/>
      <c r="DO551" s="485"/>
      <c r="DP551" s="485"/>
      <c r="DQ551" s="485"/>
      <c r="DR551" s="485"/>
      <c r="DS551" s="485"/>
      <c r="DT551" s="485"/>
      <c r="DU551" s="485"/>
      <c r="DV551" s="485"/>
      <c r="DW551" s="485"/>
      <c r="DX551" s="485"/>
      <c r="DY551" s="485"/>
      <c r="DZ551" s="485"/>
      <c r="EA551" s="485"/>
      <c r="EB551" s="485"/>
      <c r="EC551" s="485"/>
      <c r="ED551" s="485"/>
      <c r="EE551" s="485"/>
      <c r="EF551" s="485"/>
      <c r="EG551" s="485"/>
      <c r="EH551" s="485"/>
      <c r="EI551" s="485"/>
      <c r="EJ551" s="485"/>
      <c r="EK551" s="485"/>
      <c r="EL551" s="485"/>
      <c r="EM551" s="485"/>
      <c r="EN551" s="485"/>
      <c r="EO551" s="485"/>
      <c r="EP551" s="485"/>
    </row>
    <row r="552" spans="1:146">
      <c r="A552" s="485"/>
      <c r="B552" s="485"/>
      <c r="C552" s="485"/>
      <c r="D552" s="485"/>
      <c r="E552" s="485"/>
      <c r="F552" s="485"/>
      <c r="G552" s="485"/>
      <c r="H552" s="485"/>
      <c r="I552" s="485"/>
      <c r="J552" s="485"/>
      <c r="K552" s="485"/>
      <c r="L552" s="485"/>
      <c r="M552" s="485"/>
      <c r="P552" s="485"/>
      <c r="Q552" s="485"/>
      <c r="R552" s="485"/>
      <c r="S552" s="485"/>
      <c r="T552" s="485"/>
      <c r="U552" s="485"/>
      <c r="V552" s="485"/>
      <c r="W552" s="485"/>
      <c r="X552" s="485"/>
      <c r="Y552" s="485"/>
      <c r="Z552" s="485"/>
      <c r="AA552" s="485"/>
      <c r="AB552" s="485"/>
      <c r="AC552" s="485"/>
      <c r="AD552" s="485"/>
      <c r="AE552" s="485"/>
      <c r="AF552" s="485"/>
      <c r="AG552" s="485"/>
      <c r="AH552" s="485"/>
      <c r="AI552" s="485"/>
      <c r="AJ552" s="485"/>
      <c r="AK552" s="485"/>
      <c r="AL552" s="485"/>
      <c r="AM552" s="485"/>
      <c r="AN552" s="485"/>
      <c r="AO552" s="485"/>
      <c r="AP552" s="485"/>
      <c r="AQ552" s="485"/>
      <c r="AR552" s="485"/>
      <c r="AS552" s="485"/>
      <c r="AT552" s="485"/>
      <c r="AU552" s="485"/>
      <c r="AV552" s="485"/>
      <c r="AW552" s="485"/>
      <c r="AX552" s="485"/>
      <c r="AY552" s="485"/>
      <c r="AZ552" s="485"/>
      <c r="BA552" s="485"/>
      <c r="BB552" s="485"/>
      <c r="BC552" s="485"/>
      <c r="BD552" s="485"/>
      <c r="BE552" s="485"/>
      <c r="BF552" s="485"/>
      <c r="BG552" s="485"/>
      <c r="BH552" s="485"/>
      <c r="BI552" s="485"/>
      <c r="BJ552" s="485"/>
      <c r="BK552" s="485"/>
      <c r="BL552" s="485"/>
      <c r="BM552" s="485"/>
      <c r="BN552" s="485"/>
      <c r="BO552" s="485"/>
      <c r="BP552" s="485"/>
      <c r="BQ552" s="485"/>
      <c r="BR552" s="485"/>
      <c r="BS552" s="485"/>
      <c r="BT552" s="485"/>
      <c r="BU552" s="485"/>
      <c r="BV552" s="485"/>
      <c r="BW552" s="485"/>
      <c r="BX552" s="485"/>
      <c r="BY552" s="485"/>
      <c r="BZ552" s="485"/>
      <c r="CA552" s="485"/>
      <c r="CB552" s="485"/>
      <c r="CC552" s="485"/>
      <c r="CD552" s="485"/>
      <c r="CE552" s="485"/>
      <c r="CF552" s="485"/>
      <c r="CG552" s="485"/>
      <c r="CH552" s="485"/>
      <c r="CI552" s="485"/>
      <c r="CJ552" s="485"/>
      <c r="CK552" s="485"/>
      <c r="CL552" s="485"/>
      <c r="CM552" s="485"/>
      <c r="CN552" s="485"/>
      <c r="CO552" s="485"/>
      <c r="CP552" s="485"/>
      <c r="CQ552" s="485"/>
      <c r="CR552" s="485"/>
      <c r="CS552" s="485"/>
      <c r="CT552" s="485"/>
      <c r="CU552" s="485"/>
      <c r="CV552" s="485"/>
      <c r="CW552" s="485"/>
      <c r="CX552" s="485"/>
      <c r="CY552" s="485"/>
      <c r="CZ552" s="485"/>
      <c r="DA552" s="485"/>
      <c r="DB552" s="485"/>
      <c r="DC552" s="485"/>
      <c r="DD552" s="485"/>
      <c r="DE552" s="485"/>
      <c r="DF552" s="485"/>
      <c r="DG552" s="485"/>
      <c r="DH552" s="485"/>
      <c r="DI552" s="485"/>
      <c r="DJ552" s="485"/>
      <c r="DK552" s="485"/>
      <c r="DL552" s="485"/>
      <c r="DM552" s="485"/>
      <c r="DN552" s="485"/>
      <c r="DO552" s="485"/>
      <c r="DP552" s="485"/>
      <c r="DQ552" s="485"/>
      <c r="DR552" s="485"/>
      <c r="DS552" s="485"/>
      <c r="DT552" s="485"/>
      <c r="DU552" s="485"/>
      <c r="DV552" s="485"/>
      <c r="DW552" s="485"/>
      <c r="DX552" s="485"/>
      <c r="DY552" s="485"/>
      <c r="DZ552" s="485"/>
      <c r="EA552" s="485"/>
      <c r="EB552" s="485"/>
      <c r="EC552" s="485"/>
      <c r="ED552" s="485"/>
      <c r="EE552" s="485"/>
      <c r="EF552" s="485"/>
      <c r="EG552" s="485"/>
      <c r="EH552" s="485"/>
      <c r="EI552" s="485"/>
      <c r="EJ552" s="485"/>
      <c r="EK552" s="485"/>
      <c r="EL552" s="485"/>
      <c r="EM552" s="485"/>
      <c r="EN552" s="485"/>
      <c r="EO552" s="485"/>
      <c r="EP552" s="485"/>
    </row>
    <row r="553" spans="1:146">
      <c r="A553" s="485"/>
      <c r="B553" s="485"/>
      <c r="C553" s="485"/>
      <c r="D553" s="485"/>
      <c r="E553" s="485"/>
      <c r="F553" s="485"/>
      <c r="G553" s="485"/>
      <c r="H553" s="485"/>
      <c r="I553" s="485"/>
      <c r="J553" s="485"/>
      <c r="K553" s="485"/>
      <c r="L553" s="485"/>
      <c r="M553" s="485"/>
      <c r="P553" s="485"/>
      <c r="Q553" s="485"/>
      <c r="R553" s="485"/>
      <c r="S553" s="485"/>
      <c r="T553" s="485"/>
      <c r="U553" s="485"/>
      <c r="V553" s="485"/>
      <c r="W553" s="485"/>
      <c r="X553" s="485"/>
      <c r="Y553" s="485"/>
      <c r="Z553" s="485"/>
      <c r="AA553" s="485"/>
      <c r="AB553" s="485"/>
      <c r="AC553" s="485"/>
      <c r="AD553" s="485"/>
      <c r="AE553" s="485"/>
      <c r="AF553" s="485"/>
      <c r="AG553" s="485"/>
      <c r="AH553" s="485"/>
      <c r="AI553" s="485"/>
      <c r="AJ553" s="485"/>
      <c r="AK553" s="485"/>
      <c r="AL553" s="485"/>
      <c r="AM553" s="485"/>
      <c r="AN553" s="485"/>
      <c r="AO553" s="485"/>
      <c r="AP553" s="485"/>
      <c r="AQ553" s="485"/>
      <c r="AR553" s="485"/>
      <c r="AS553" s="485"/>
      <c r="AT553" s="485"/>
      <c r="AU553" s="485"/>
      <c r="AV553" s="485"/>
      <c r="AW553" s="485"/>
      <c r="AX553" s="485"/>
      <c r="AY553" s="485"/>
      <c r="AZ553" s="485"/>
      <c r="BA553" s="485"/>
      <c r="BB553" s="485"/>
      <c r="BC553" s="485"/>
      <c r="BD553" s="485"/>
      <c r="BE553" s="485"/>
      <c r="BF553" s="485"/>
      <c r="BG553" s="485"/>
      <c r="BH553" s="485"/>
      <c r="BI553" s="485"/>
      <c r="BJ553" s="485"/>
      <c r="BK553" s="485"/>
      <c r="BL553" s="485"/>
      <c r="BM553" s="485"/>
      <c r="BN553" s="485"/>
      <c r="BO553" s="485"/>
      <c r="BP553" s="485"/>
      <c r="BQ553" s="485"/>
      <c r="BR553" s="485"/>
      <c r="BS553" s="485"/>
      <c r="BT553" s="485"/>
      <c r="BU553" s="485"/>
      <c r="BV553" s="485"/>
      <c r="BW553" s="485"/>
      <c r="BX553" s="485"/>
      <c r="BY553" s="485"/>
      <c r="BZ553" s="485"/>
      <c r="CA553" s="485"/>
      <c r="CB553" s="485"/>
      <c r="CC553" s="485"/>
      <c r="CD553" s="485"/>
      <c r="CE553" s="485"/>
      <c r="CF553" s="485"/>
      <c r="CG553" s="485"/>
      <c r="CH553" s="485"/>
      <c r="CI553" s="485"/>
      <c r="CJ553" s="485"/>
      <c r="CK553" s="485"/>
      <c r="CL553" s="485"/>
      <c r="CM553" s="485"/>
      <c r="CN553" s="485"/>
      <c r="CO553" s="485"/>
      <c r="CP553" s="485"/>
      <c r="CQ553" s="485"/>
      <c r="CR553" s="485"/>
      <c r="CS553" s="485"/>
      <c r="CT553" s="485"/>
      <c r="CU553" s="485"/>
      <c r="CV553" s="485"/>
      <c r="CW553" s="485"/>
      <c r="CX553" s="485"/>
      <c r="CY553" s="485"/>
      <c r="CZ553" s="485"/>
      <c r="DA553" s="485"/>
      <c r="DB553" s="485"/>
      <c r="DC553" s="485"/>
      <c r="DD553" s="485"/>
      <c r="DE553" s="485"/>
      <c r="DF553" s="485"/>
      <c r="DG553" s="485"/>
      <c r="DH553" s="485"/>
      <c r="DI553" s="485"/>
      <c r="DJ553" s="485"/>
      <c r="DK553" s="485"/>
      <c r="DL553" s="485"/>
      <c r="DM553" s="485"/>
      <c r="DN553" s="485"/>
      <c r="DO553" s="485"/>
      <c r="DP553" s="485"/>
      <c r="DQ553" s="485"/>
      <c r="DR553" s="485"/>
      <c r="DS553" s="485"/>
      <c r="DT553" s="485"/>
      <c r="DU553" s="485"/>
      <c r="DV553" s="485"/>
      <c r="DW553" s="485"/>
      <c r="DX553" s="485"/>
      <c r="DY553" s="485"/>
      <c r="DZ553" s="485"/>
      <c r="EA553" s="485"/>
      <c r="EB553" s="485"/>
      <c r="EC553" s="485"/>
      <c r="ED553" s="485"/>
      <c r="EE553" s="485"/>
      <c r="EF553" s="485"/>
      <c r="EG553" s="485"/>
      <c r="EH553" s="485"/>
      <c r="EI553" s="485"/>
      <c r="EJ553" s="485"/>
      <c r="EK553" s="485"/>
      <c r="EL553" s="485"/>
      <c r="EM553" s="485"/>
      <c r="EN553" s="485"/>
      <c r="EO553" s="485"/>
      <c r="EP553" s="485"/>
    </row>
    <row r="554" spans="1:146">
      <c r="A554" s="485"/>
      <c r="B554" s="485"/>
      <c r="C554" s="485"/>
      <c r="D554" s="485"/>
      <c r="E554" s="485"/>
      <c r="F554" s="485"/>
      <c r="G554" s="485"/>
      <c r="H554" s="485"/>
      <c r="I554" s="485"/>
      <c r="J554" s="485"/>
      <c r="K554" s="485"/>
      <c r="L554" s="485"/>
      <c r="M554" s="485"/>
      <c r="P554" s="485"/>
      <c r="Q554" s="485"/>
      <c r="R554" s="485"/>
      <c r="S554" s="485"/>
      <c r="T554" s="485"/>
      <c r="U554" s="485"/>
      <c r="V554" s="485"/>
      <c r="W554" s="485"/>
      <c r="X554" s="485"/>
      <c r="Y554" s="485"/>
      <c r="Z554" s="485"/>
      <c r="AA554" s="485"/>
      <c r="AB554" s="485"/>
      <c r="AC554" s="485"/>
      <c r="AD554" s="485"/>
      <c r="AE554" s="485"/>
      <c r="AF554" s="485"/>
      <c r="AG554" s="485"/>
      <c r="AH554" s="485"/>
      <c r="AI554" s="485"/>
      <c r="AJ554" s="485"/>
      <c r="AK554" s="485"/>
      <c r="AL554" s="485"/>
      <c r="AM554" s="485"/>
      <c r="AN554" s="485"/>
      <c r="AO554" s="485"/>
      <c r="AP554" s="485"/>
      <c r="AQ554" s="485"/>
      <c r="AR554" s="485"/>
      <c r="AS554" s="485"/>
      <c r="AT554" s="485"/>
      <c r="AU554" s="485"/>
      <c r="AV554" s="485"/>
      <c r="AW554" s="485"/>
      <c r="AX554" s="485"/>
      <c r="AY554" s="485"/>
      <c r="AZ554" s="485"/>
      <c r="BA554" s="485"/>
      <c r="BB554" s="485"/>
      <c r="BC554" s="485"/>
      <c r="BD554" s="485"/>
      <c r="BE554" s="485"/>
      <c r="BF554" s="485"/>
      <c r="BG554" s="485"/>
      <c r="BH554" s="485"/>
      <c r="BI554" s="485"/>
      <c r="BJ554" s="485"/>
      <c r="BK554" s="485"/>
      <c r="BL554" s="485"/>
      <c r="BM554" s="485"/>
      <c r="BN554" s="485"/>
      <c r="BO554" s="485"/>
      <c r="BP554" s="485"/>
      <c r="BQ554" s="485"/>
      <c r="BR554" s="485"/>
      <c r="BS554" s="485"/>
      <c r="BT554" s="485"/>
      <c r="BU554" s="485"/>
      <c r="BV554" s="485"/>
      <c r="BW554" s="485"/>
      <c r="BX554" s="485"/>
      <c r="BY554" s="485"/>
      <c r="BZ554" s="485"/>
      <c r="CA554" s="485"/>
      <c r="CB554" s="485"/>
      <c r="CC554" s="485"/>
      <c r="CD554" s="485"/>
      <c r="CE554" s="485"/>
      <c r="CF554" s="485"/>
      <c r="CG554" s="485"/>
      <c r="CH554" s="485"/>
      <c r="CI554" s="485"/>
      <c r="CJ554" s="485"/>
      <c r="CK554" s="485"/>
      <c r="CL554" s="485"/>
      <c r="CM554" s="485"/>
      <c r="CN554" s="485"/>
      <c r="CO554" s="485"/>
      <c r="CP554" s="485"/>
      <c r="CQ554" s="485"/>
      <c r="CR554" s="485"/>
      <c r="CS554" s="485"/>
      <c r="CT554" s="485"/>
      <c r="CU554" s="485"/>
      <c r="CV554" s="485"/>
      <c r="CW554" s="485"/>
      <c r="CX554" s="485"/>
      <c r="CY554" s="485"/>
      <c r="CZ554" s="485"/>
      <c r="DA554" s="485"/>
      <c r="DB554" s="485"/>
      <c r="DC554" s="485"/>
      <c r="DD554" s="485"/>
      <c r="DE554" s="485"/>
      <c r="DF554" s="485"/>
      <c r="DG554" s="485"/>
      <c r="DH554" s="485"/>
      <c r="DI554" s="485"/>
      <c r="DJ554" s="485"/>
      <c r="DK554" s="485"/>
      <c r="DL554" s="485"/>
      <c r="DM554" s="485"/>
      <c r="DN554" s="485"/>
      <c r="DO554" s="485"/>
      <c r="DP554" s="485"/>
      <c r="DQ554" s="485"/>
      <c r="DR554" s="485"/>
      <c r="DS554" s="485"/>
      <c r="DT554" s="485"/>
      <c r="DU554" s="485"/>
      <c r="DV554" s="485"/>
      <c r="DW554" s="485"/>
      <c r="DX554" s="485"/>
      <c r="DY554" s="485"/>
      <c r="DZ554" s="485"/>
      <c r="EA554" s="485"/>
      <c r="EB554" s="485"/>
      <c r="EC554" s="485"/>
      <c r="ED554" s="485"/>
      <c r="EE554" s="485"/>
      <c r="EF554" s="485"/>
      <c r="EG554" s="485"/>
      <c r="EH554" s="485"/>
      <c r="EI554" s="485"/>
      <c r="EJ554" s="485"/>
      <c r="EK554" s="485"/>
      <c r="EL554" s="485"/>
      <c r="EM554" s="485"/>
      <c r="EN554" s="485"/>
      <c r="EO554" s="485"/>
      <c r="EP554" s="485"/>
    </row>
    <row r="555" spans="1:146">
      <c r="A555" s="485"/>
      <c r="B555" s="485"/>
      <c r="C555" s="485"/>
      <c r="D555" s="485"/>
      <c r="E555" s="485"/>
      <c r="F555" s="485"/>
      <c r="G555" s="485"/>
      <c r="H555" s="485"/>
      <c r="I555" s="485"/>
      <c r="J555" s="485"/>
      <c r="K555" s="485"/>
      <c r="L555" s="485"/>
      <c r="M555" s="485"/>
      <c r="P555" s="485"/>
      <c r="Q555" s="485"/>
      <c r="R555" s="485"/>
      <c r="S555" s="485"/>
      <c r="T555" s="485"/>
      <c r="U555" s="485"/>
      <c r="V555" s="485"/>
      <c r="W555" s="485"/>
      <c r="X555" s="485"/>
      <c r="Y555" s="485"/>
      <c r="Z555" s="485"/>
      <c r="AA555" s="485"/>
      <c r="AB555" s="485"/>
      <c r="AC555" s="485"/>
      <c r="AD555" s="485"/>
      <c r="AE555" s="485"/>
      <c r="AF555" s="485"/>
      <c r="AG555" s="485"/>
      <c r="AH555" s="485"/>
      <c r="AI555" s="485"/>
      <c r="AJ555" s="485"/>
      <c r="AK555" s="485"/>
      <c r="AL555" s="485"/>
      <c r="AM555" s="485"/>
      <c r="AN555" s="485"/>
      <c r="AO555" s="485"/>
      <c r="AP555" s="485"/>
      <c r="AQ555" s="485"/>
      <c r="AR555" s="485"/>
      <c r="AS555" s="485"/>
      <c r="AT555" s="485"/>
      <c r="AU555" s="485"/>
      <c r="AV555" s="485"/>
      <c r="AW555" s="485"/>
      <c r="AX555" s="485"/>
      <c r="AY555" s="485"/>
      <c r="AZ555" s="485"/>
      <c r="BA555" s="485"/>
      <c r="BB555" s="485"/>
      <c r="BC555" s="485"/>
      <c r="BD555" s="485"/>
      <c r="BE555" s="485"/>
      <c r="BF555" s="485"/>
      <c r="BG555" s="485"/>
      <c r="BH555" s="485"/>
      <c r="BI555" s="485"/>
      <c r="BJ555" s="485"/>
      <c r="BK555" s="485"/>
      <c r="BL555" s="485"/>
      <c r="BM555" s="485"/>
      <c r="BN555" s="485"/>
      <c r="BO555" s="485"/>
      <c r="BP555" s="485"/>
      <c r="BQ555" s="485"/>
      <c r="BR555" s="485"/>
      <c r="BS555" s="485"/>
      <c r="BT555" s="485"/>
      <c r="BU555" s="485"/>
      <c r="BV555" s="485"/>
      <c r="BW555" s="485"/>
      <c r="BX555" s="485"/>
      <c r="BY555" s="485"/>
      <c r="BZ555" s="485"/>
      <c r="CA555" s="485"/>
      <c r="CB555" s="485"/>
      <c r="CC555" s="485"/>
      <c r="CD555" s="485"/>
      <c r="CE555" s="485"/>
      <c r="CF555" s="485"/>
      <c r="CG555" s="485"/>
      <c r="CH555" s="485"/>
      <c r="CI555" s="485"/>
      <c r="CJ555" s="485"/>
      <c r="CK555" s="485"/>
      <c r="CL555" s="485"/>
      <c r="CM555" s="485"/>
      <c r="CN555" s="485"/>
      <c r="CO555" s="485"/>
      <c r="CP555" s="485"/>
      <c r="CQ555" s="485"/>
      <c r="CR555" s="485"/>
      <c r="CS555" s="485"/>
      <c r="CT555" s="485"/>
      <c r="CU555" s="485"/>
      <c r="CV555" s="485"/>
      <c r="CW555" s="485"/>
      <c r="CX555" s="485"/>
      <c r="CY555" s="485"/>
      <c r="CZ555" s="485"/>
      <c r="DA555" s="485"/>
      <c r="DB555" s="485"/>
      <c r="DC555" s="485"/>
      <c r="DD555" s="485"/>
      <c r="DE555" s="485"/>
      <c r="DF555" s="485"/>
      <c r="DG555" s="485"/>
      <c r="DH555" s="485"/>
      <c r="DI555" s="485"/>
      <c r="DJ555" s="485"/>
      <c r="DK555" s="485"/>
      <c r="DL555" s="485"/>
      <c r="DM555" s="485"/>
      <c r="DN555" s="485"/>
      <c r="DO555" s="485"/>
      <c r="DP555" s="485"/>
      <c r="DQ555" s="485"/>
      <c r="DR555" s="485"/>
      <c r="DS555" s="485"/>
      <c r="DT555" s="485"/>
      <c r="DU555" s="485"/>
      <c r="DV555" s="485"/>
      <c r="DW555" s="485"/>
      <c r="DX555" s="485"/>
      <c r="DY555" s="485"/>
      <c r="DZ555" s="485"/>
      <c r="EA555" s="485"/>
      <c r="EB555" s="485"/>
      <c r="EC555" s="485"/>
      <c r="ED555" s="485"/>
      <c r="EE555" s="485"/>
      <c r="EF555" s="485"/>
      <c r="EG555" s="485"/>
      <c r="EH555" s="485"/>
      <c r="EI555" s="485"/>
      <c r="EJ555" s="485"/>
      <c r="EK555" s="485"/>
      <c r="EL555" s="485"/>
      <c r="EM555" s="485"/>
      <c r="EN555" s="485"/>
      <c r="EO555" s="485"/>
      <c r="EP555" s="485"/>
    </row>
    <row r="556" spans="1:146">
      <c r="A556" s="485"/>
      <c r="B556" s="485"/>
      <c r="C556" s="485"/>
      <c r="D556" s="485"/>
      <c r="E556" s="485"/>
      <c r="F556" s="485"/>
      <c r="G556" s="485"/>
      <c r="H556" s="485"/>
      <c r="I556" s="485"/>
      <c r="J556" s="485"/>
      <c r="K556" s="485"/>
      <c r="L556" s="485"/>
      <c r="M556" s="485"/>
      <c r="P556" s="485"/>
      <c r="Q556" s="485"/>
      <c r="R556" s="485"/>
      <c r="S556" s="485"/>
      <c r="T556" s="485"/>
      <c r="U556" s="485"/>
      <c r="V556" s="485"/>
      <c r="W556" s="485"/>
      <c r="X556" s="485"/>
      <c r="Y556" s="485"/>
      <c r="Z556" s="485"/>
      <c r="AA556" s="485"/>
      <c r="AB556" s="485"/>
      <c r="AC556" s="485"/>
      <c r="AD556" s="485"/>
      <c r="AE556" s="485"/>
      <c r="AF556" s="485"/>
      <c r="AG556" s="485"/>
      <c r="AH556" s="485"/>
      <c r="AI556" s="485"/>
      <c r="AJ556" s="485"/>
      <c r="AK556" s="485"/>
      <c r="AL556" s="485"/>
      <c r="AM556" s="485"/>
      <c r="AN556" s="485"/>
      <c r="AO556" s="485"/>
      <c r="AP556" s="485"/>
      <c r="AQ556" s="485"/>
      <c r="AR556" s="485"/>
      <c r="AS556" s="485"/>
      <c r="AT556" s="485"/>
      <c r="AU556" s="485"/>
      <c r="AV556" s="485"/>
      <c r="AW556" s="485"/>
      <c r="AX556" s="485"/>
      <c r="AY556" s="485"/>
      <c r="AZ556" s="485"/>
      <c r="BA556" s="485"/>
      <c r="BB556" s="485"/>
      <c r="BC556" s="485"/>
      <c r="BD556" s="485"/>
      <c r="BE556" s="485"/>
      <c r="BF556" s="485"/>
      <c r="BG556" s="485"/>
      <c r="BH556" s="485"/>
      <c r="BI556" s="485"/>
      <c r="BJ556" s="485"/>
      <c r="BK556" s="485"/>
      <c r="BL556" s="485"/>
      <c r="BM556" s="485"/>
      <c r="BN556" s="485"/>
      <c r="BO556" s="485"/>
      <c r="BP556" s="485"/>
      <c r="BQ556" s="485"/>
      <c r="BR556" s="485"/>
      <c r="BS556" s="485"/>
      <c r="BT556" s="485"/>
      <c r="BU556" s="485"/>
      <c r="BV556" s="485"/>
      <c r="BW556" s="485"/>
      <c r="BX556" s="485"/>
      <c r="BY556" s="485"/>
      <c r="BZ556" s="485"/>
      <c r="CA556" s="485"/>
      <c r="CB556" s="485"/>
      <c r="CC556" s="485"/>
      <c r="CD556" s="485"/>
      <c r="CE556" s="485"/>
      <c r="CF556" s="485"/>
      <c r="CG556" s="485"/>
      <c r="CH556" s="485"/>
      <c r="CI556" s="485"/>
      <c r="CJ556" s="485"/>
      <c r="CK556" s="485"/>
      <c r="CL556" s="485"/>
      <c r="CM556" s="485"/>
      <c r="CN556" s="485"/>
      <c r="CO556" s="485"/>
      <c r="CP556" s="485"/>
      <c r="CQ556" s="485"/>
      <c r="CR556" s="485"/>
      <c r="CS556" s="485"/>
      <c r="CT556" s="485"/>
      <c r="CU556" s="485"/>
      <c r="CV556" s="485"/>
      <c r="CW556" s="485"/>
      <c r="CX556" s="485"/>
      <c r="CY556" s="485"/>
      <c r="CZ556" s="485"/>
      <c r="DA556" s="485"/>
      <c r="DB556" s="485"/>
      <c r="DC556" s="485"/>
      <c r="DD556" s="485"/>
      <c r="DE556" s="485"/>
      <c r="DF556" s="485"/>
      <c r="DG556" s="485"/>
      <c r="DH556" s="485"/>
      <c r="DI556" s="485"/>
      <c r="DJ556" s="485"/>
      <c r="DK556" s="485"/>
      <c r="DL556" s="485"/>
      <c r="DM556" s="485"/>
      <c r="DN556" s="485"/>
      <c r="DO556" s="485"/>
      <c r="DP556" s="485"/>
      <c r="DQ556" s="485"/>
      <c r="DR556" s="485"/>
      <c r="DS556" s="485"/>
      <c r="DT556" s="485"/>
      <c r="DU556" s="485"/>
      <c r="DV556" s="485"/>
      <c r="DW556" s="485"/>
      <c r="DX556" s="485"/>
      <c r="DY556" s="485"/>
      <c r="DZ556" s="485"/>
      <c r="EA556" s="485"/>
      <c r="EB556" s="485"/>
      <c r="EC556" s="485"/>
      <c r="ED556" s="485"/>
      <c r="EE556" s="485"/>
      <c r="EF556" s="485"/>
      <c r="EG556" s="485"/>
      <c r="EH556" s="485"/>
      <c r="EI556" s="485"/>
      <c r="EJ556" s="485"/>
      <c r="EK556" s="485"/>
      <c r="EL556" s="485"/>
      <c r="EM556" s="485"/>
      <c r="EN556" s="485"/>
      <c r="EO556" s="485"/>
      <c r="EP556" s="485"/>
    </row>
    <row r="557" spans="1:146">
      <c r="A557" s="485"/>
      <c r="B557" s="485"/>
      <c r="C557" s="485"/>
      <c r="D557" s="485"/>
      <c r="E557" s="485"/>
      <c r="F557" s="485"/>
      <c r="G557" s="485"/>
      <c r="H557" s="485"/>
      <c r="I557" s="485"/>
      <c r="J557" s="485"/>
      <c r="K557" s="485"/>
      <c r="L557" s="485"/>
      <c r="M557" s="485"/>
      <c r="P557" s="485"/>
      <c r="Q557" s="485"/>
      <c r="R557" s="485"/>
      <c r="S557" s="485"/>
      <c r="T557" s="485"/>
      <c r="U557" s="485"/>
      <c r="V557" s="485"/>
      <c r="W557" s="485"/>
      <c r="X557" s="485"/>
      <c r="Y557" s="485"/>
      <c r="Z557" s="485"/>
      <c r="AA557" s="485"/>
      <c r="AB557" s="485"/>
      <c r="AC557" s="485"/>
      <c r="AD557" s="485"/>
      <c r="AE557" s="485"/>
      <c r="AF557" s="485"/>
      <c r="AG557" s="485"/>
      <c r="AH557" s="485"/>
      <c r="AI557" s="485"/>
      <c r="AJ557" s="485"/>
      <c r="AK557" s="485"/>
      <c r="AL557" s="485"/>
      <c r="AM557" s="485"/>
      <c r="AN557" s="485"/>
      <c r="AO557" s="485"/>
      <c r="AP557" s="485"/>
      <c r="AQ557" s="485"/>
      <c r="AR557" s="485"/>
      <c r="AS557" s="485"/>
      <c r="AT557" s="485"/>
      <c r="AU557" s="485"/>
      <c r="AV557" s="485"/>
      <c r="AW557" s="485"/>
      <c r="AX557" s="485"/>
      <c r="AY557" s="485"/>
      <c r="AZ557" s="485"/>
      <c r="BA557" s="485"/>
      <c r="BB557" s="485"/>
      <c r="BC557" s="485"/>
      <c r="BD557" s="485"/>
      <c r="BE557" s="485"/>
      <c r="BF557" s="485"/>
      <c r="BG557" s="485"/>
      <c r="BH557" s="485"/>
      <c r="BI557" s="485"/>
      <c r="BJ557" s="485"/>
      <c r="BK557" s="485"/>
      <c r="BL557" s="485"/>
      <c r="BM557" s="485"/>
      <c r="BN557" s="485"/>
      <c r="BO557" s="485"/>
      <c r="BP557" s="485"/>
      <c r="BQ557" s="485"/>
      <c r="BR557" s="485"/>
      <c r="BS557" s="485"/>
      <c r="BT557" s="485"/>
      <c r="BU557" s="485"/>
      <c r="BV557" s="485"/>
      <c r="BW557" s="485"/>
      <c r="BX557" s="485"/>
      <c r="BY557" s="485"/>
      <c r="BZ557" s="485"/>
      <c r="CA557" s="485"/>
      <c r="CB557" s="485"/>
      <c r="CC557" s="485"/>
      <c r="CD557" s="485"/>
      <c r="CE557" s="485"/>
      <c r="CF557" s="485"/>
      <c r="CG557" s="485"/>
      <c r="CH557" s="485"/>
      <c r="CI557" s="485"/>
      <c r="CJ557" s="485"/>
      <c r="CK557" s="485"/>
      <c r="CL557" s="485"/>
      <c r="CM557" s="485"/>
      <c r="CN557" s="485"/>
      <c r="CO557" s="485"/>
      <c r="CP557" s="485"/>
      <c r="CQ557" s="485"/>
      <c r="CR557" s="485"/>
      <c r="CS557" s="485"/>
      <c r="CT557" s="485"/>
      <c r="CU557" s="485"/>
      <c r="CV557" s="485"/>
      <c r="CW557" s="485"/>
      <c r="CX557" s="485"/>
      <c r="CY557" s="485"/>
      <c r="CZ557" s="485"/>
      <c r="DA557" s="485"/>
      <c r="DB557" s="485"/>
      <c r="DC557" s="485"/>
      <c r="DD557" s="485"/>
      <c r="DE557" s="485"/>
      <c r="DF557" s="485"/>
      <c r="DG557" s="485"/>
      <c r="DH557" s="485"/>
      <c r="DI557" s="485"/>
      <c r="DJ557" s="485"/>
      <c r="DK557" s="485"/>
      <c r="DL557" s="485"/>
      <c r="DM557" s="485"/>
      <c r="DN557" s="485"/>
      <c r="DO557" s="485"/>
      <c r="DP557" s="485"/>
      <c r="DQ557" s="485"/>
      <c r="DR557" s="485"/>
      <c r="DS557" s="485"/>
      <c r="DT557" s="485"/>
      <c r="DU557" s="485"/>
      <c r="DV557" s="485"/>
      <c r="DW557" s="485"/>
      <c r="DX557" s="485"/>
      <c r="DY557" s="485"/>
      <c r="DZ557" s="485"/>
      <c r="EA557" s="485"/>
      <c r="EB557" s="485"/>
      <c r="EC557" s="485"/>
      <c r="ED557" s="485"/>
      <c r="EE557" s="485"/>
      <c r="EF557" s="485"/>
      <c r="EG557" s="485"/>
      <c r="EH557" s="485"/>
      <c r="EI557" s="485"/>
      <c r="EJ557" s="485"/>
      <c r="EK557" s="485"/>
      <c r="EL557" s="485"/>
      <c r="EM557" s="485"/>
      <c r="EN557" s="485"/>
      <c r="EO557" s="485"/>
      <c r="EP557" s="485"/>
    </row>
    <row r="558" spans="1:146">
      <c r="A558" s="485"/>
      <c r="B558" s="485"/>
      <c r="C558" s="485"/>
      <c r="D558" s="485"/>
      <c r="E558" s="485"/>
      <c r="F558" s="485"/>
      <c r="G558" s="485"/>
      <c r="H558" s="485"/>
      <c r="I558" s="485"/>
      <c r="J558" s="485"/>
      <c r="K558" s="485"/>
      <c r="L558" s="485"/>
      <c r="M558" s="485"/>
      <c r="P558" s="485"/>
      <c r="Q558" s="485"/>
      <c r="R558" s="485"/>
      <c r="S558" s="485"/>
      <c r="T558" s="485"/>
      <c r="U558" s="485"/>
      <c r="V558" s="485"/>
      <c r="W558" s="485"/>
      <c r="X558" s="485"/>
      <c r="Y558" s="485"/>
      <c r="Z558" s="485"/>
      <c r="AA558" s="485"/>
      <c r="AB558" s="485"/>
      <c r="AC558" s="485"/>
      <c r="AD558" s="485"/>
      <c r="AE558" s="485"/>
      <c r="AF558" s="485"/>
      <c r="AG558" s="485"/>
      <c r="AH558" s="485"/>
      <c r="AI558" s="485"/>
      <c r="AJ558" s="485"/>
      <c r="AK558" s="485"/>
      <c r="AL558" s="485"/>
      <c r="AM558" s="485"/>
      <c r="AN558" s="485"/>
      <c r="AO558" s="485"/>
      <c r="AP558" s="485"/>
      <c r="AQ558" s="485"/>
      <c r="AR558" s="485"/>
      <c r="AS558" s="485"/>
      <c r="AT558" s="485"/>
      <c r="AU558" s="485"/>
      <c r="AV558" s="485"/>
      <c r="AW558" s="485"/>
      <c r="AX558" s="485"/>
      <c r="AY558" s="485"/>
      <c r="AZ558" s="485"/>
      <c r="BA558" s="485"/>
      <c r="BB558" s="485"/>
      <c r="BC558" s="485"/>
      <c r="BD558" s="485"/>
      <c r="BE558" s="485"/>
      <c r="BF558" s="485"/>
      <c r="BG558" s="485"/>
      <c r="BH558" s="485"/>
      <c r="BI558" s="485"/>
      <c r="BJ558" s="485"/>
      <c r="BK558" s="485"/>
      <c r="BL558" s="485"/>
      <c r="BM558" s="485"/>
      <c r="BN558" s="485"/>
      <c r="BO558" s="485"/>
      <c r="BP558" s="485"/>
      <c r="BQ558" s="485"/>
      <c r="BR558" s="485"/>
      <c r="BS558" s="485"/>
      <c r="BT558" s="485"/>
      <c r="BU558" s="485"/>
      <c r="BV558" s="485"/>
      <c r="BW558" s="485"/>
      <c r="BX558" s="485"/>
      <c r="BY558" s="485"/>
      <c r="BZ558" s="485"/>
      <c r="CA558" s="485"/>
      <c r="CB558" s="485"/>
      <c r="CC558" s="485"/>
      <c r="CD558" s="485"/>
      <c r="CE558" s="485"/>
      <c r="CF558" s="485"/>
      <c r="CG558" s="485"/>
      <c r="CH558" s="485"/>
      <c r="CI558" s="485"/>
      <c r="CJ558" s="485"/>
      <c r="CK558" s="485"/>
      <c r="CL558" s="485"/>
      <c r="CM558" s="485"/>
      <c r="CN558" s="485"/>
      <c r="CO558" s="485"/>
      <c r="CP558" s="485"/>
      <c r="CQ558" s="485"/>
      <c r="CR558" s="485"/>
      <c r="CS558" s="485"/>
      <c r="CT558" s="485"/>
      <c r="CU558" s="485"/>
      <c r="CV558" s="485"/>
      <c r="CW558" s="485"/>
      <c r="CX558" s="485"/>
      <c r="CY558" s="485"/>
      <c r="CZ558" s="485"/>
      <c r="DA558" s="485"/>
      <c r="DB558" s="485"/>
      <c r="DC558" s="485"/>
      <c r="DD558" s="485"/>
      <c r="DE558" s="485"/>
      <c r="DF558" s="485"/>
      <c r="DG558" s="485"/>
      <c r="DH558" s="485"/>
      <c r="DI558" s="485"/>
      <c r="DJ558" s="485"/>
      <c r="DK558" s="485"/>
      <c r="DL558" s="485"/>
      <c r="DM558" s="485"/>
      <c r="DN558" s="485"/>
      <c r="DO558" s="485"/>
      <c r="DP558" s="485"/>
      <c r="DQ558" s="485"/>
      <c r="DR558" s="485"/>
      <c r="DS558" s="485"/>
      <c r="DT558" s="485"/>
      <c r="DU558" s="485"/>
      <c r="DV558" s="485"/>
      <c r="DW558" s="485"/>
      <c r="DX558" s="485"/>
      <c r="DY558" s="485"/>
      <c r="DZ558" s="485"/>
      <c r="EA558" s="485"/>
      <c r="EB558" s="485"/>
      <c r="EC558" s="485"/>
      <c r="ED558" s="485"/>
      <c r="EE558" s="485"/>
      <c r="EF558" s="485"/>
      <c r="EG558" s="485"/>
      <c r="EH558" s="485"/>
      <c r="EI558" s="485"/>
      <c r="EJ558" s="485"/>
      <c r="EK558" s="485"/>
      <c r="EL558" s="485"/>
      <c r="EM558" s="485"/>
      <c r="EN558" s="485"/>
      <c r="EO558" s="485"/>
      <c r="EP558" s="485"/>
    </row>
    <row r="559" spans="1:146">
      <c r="A559" s="485"/>
      <c r="B559" s="485"/>
      <c r="C559" s="485"/>
      <c r="D559" s="485"/>
      <c r="E559" s="485"/>
      <c r="F559" s="485"/>
      <c r="G559" s="485"/>
      <c r="H559" s="485"/>
      <c r="I559" s="485"/>
      <c r="J559" s="485"/>
      <c r="K559" s="485"/>
      <c r="L559" s="485"/>
      <c r="M559" s="485"/>
      <c r="P559" s="485"/>
      <c r="Q559" s="485"/>
      <c r="R559" s="485"/>
      <c r="S559" s="485"/>
      <c r="T559" s="485"/>
      <c r="U559" s="485"/>
      <c r="V559" s="485"/>
      <c r="W559" s="485"/>
      <c r="X559" s="485"/>
      <c r="Y559" s="485"/>
      <c r="Z559" s="485"/>
      <c r="AA559" s="485"/>
      <c r="AB559" s="485"/>
      <c r="AC559" s="485"/>
      <c r="AD559" s="485"/>
      <c r="AE559" s="485"/>
      <c r="AF559" s="485"/>
      <c r="AG559" s="485"/>
      <c r="AH559" s="485"/>
      <c r="AI559" s="485"/>
      <c r="AJ559" s="485"/>
      <c r="AK559" s="485"/>
      <c r="AL559" s="485"/>
      <c r="AM559" s="485"/>
      <c r="AN559" s="485"/>
      <c r="AO559" s="485"/>
      <c r="AP559" s="485"/>
      <c r="AQ559" s="485"/>
      <c r="AR559" s="485"/>
      <c r="AS559" s="485"/>
      <c r="AT559" s="485"/>
      <c r="AU559" s="485"/>
      <c r="AV559" s="485"/>
      <c r="AW559" s="485"/>
      <c r="AX559" s="485"/>
      <c r="AY559" s="485"/>
      <c r="AZ559" s="485"/>
      <c r="BA559" s="485"/>
      <c r="BB559" s="485"/>
      <c r="BC559" s="485"/>
      <c r="BD559" s="485"/>
      <c r="BE559" s="485"/>
      <c r="BF559" s="485"/>
      <c r="BG559" s="485"/>
      <c r="BH559" s="485"/>
      <c r="BI559" s="485"/>
      <c r="BJ559" s="485"/>
      <c r="BK559" s="485"/>
      <c r="BL559" s="485"/>
      <c r="BM559" s="485"/>
      <c r="BN559" s="485"/>
      <c r="BO559" s="485"/>
      <c r="BP559" s="485"/>
      <c r="BQ559" s="485"/>
      <c r="BR559" s="485"/>
      <c r="BS559" s="485"/>
      <c r="BT559" s="485"/>
      <c r="BU559" s="485"/>
      <c r="BV559" s="485"/>
      <c r="BW559" s="485"/>
      <c r="BX559" s="485"/>
      <c r="BY559" s="485"/>
      <c r="BZ559" s="485"/>
      <c r="CA559" s="485"/>
      <c r="CB559" s="485"/>
      <c r="CC559" s="485"/>
      <c r="CD559" s="485"/>
      <c r="CE559" s="485"/>
      <c r="CF559" s="485"/>
      <c r="CG559" s="485"/>
      <c r="CH559" s="485"/>
      <c r="CI559" s="485"/>
      <c r="CJ559" s="485"/>
      <c r="CK559" s="485"/>
      <c r="CL559" s="485"/>
      <c r="CM559" s="485"/>
      <c r="CN559" s="485"/>
      <c r="CO559" s="485"/>
      <c r="CP559" s="485"/>
      <c r="CQ559" s="485"/>
      <c r="CR559" s="485"/>
      <c r="CS559" s="485"/>
      <c r="CT559" s="485"/>
      <c r="CU559" s="485"/>
      <c r="CV559" s="485"/>
      <c r="CW559" s="485"/>
      <c r="CX559" s="485"/>
      <c r="CY559" s="485"/>
      <c r="CZ559" s="485"/>
      <c r="DA559" s="485"/>
      <c r="DB559" s="485"/>
      <c r="DC559" s="485"/>
      <c r="DD559" s="485"/>
      <c r="DE559" s="485"/>
      <c r="DF559" s="485"/>
      <c r="DG559" s="485"/>
      <c r="DH559" s="485"/>
      <c r="DI559" s="485"/>
      <c r="DJ559" s="485"/>
      <c r="DK559" s="485"/>
      <c r="DL559" s="485"/>
      <c r="DM559" s="485"/>
      <c r="DN559" s="485"/>
      <c r="DO559" s="485"/>
      <c r="DP559" s="485"/>
      <c r="DQ559" s="485"/>
      <c r="DR559" s="485"/>
      <c r="DS559" s="485"/>
      <c r="DT559" s="485"/>
      <c r="DU559" s="485"/>
      <c r="DV559" s="485"/>
      <c r="DW559" s="485"/>
      <c r="DX559" s="485"/>
      <c r="DY559" s="485"/>
      <c r="DZ559" s="485"/>
      <c r="EA559" s="485"/>
      <c r="EB559" s="485"/>
      <c r="EC559" s="485"/>
      <c r="ED559" s="485"/>
      <c r="EE559" s="485"/>
      <c r="EF559" s="485"/>
      <c r="EG559" s="485"/>
      <c r="EH559" s="485"/>
      <c r="EI559" s="485"/>
      <c r="EJ559" s="485"/>
      <c r="EK559" s="485"/>
      <c r="EL559" s="485"/>
      <c r="EM559" s="485"/>
      <c r="EN559" s="485"/>
      <c r="EO559" s="485"/>
      <c r="EP559" s="485"/>
    </row>
    <row r="560" spans="1:146">
      <c r="A560" s="485"/>
      <c r="B560" s="485"/>
      <c r="C560" s="485"/>
      <c r="D560" s="485"/>
      <c r="E560" s="485"/>
      <c r="F560" s="485"/>
      <c r="G560" s="485"/>
      <c r="H560" s="485"/>
      <c r="I560" s="485"/>
      <c r="J560" s="485"/>
      <c r="K560" s="485"/>
      <c r="L560" s="485"/>
      <c r="M560" s="485"/>
      <c r="P560" s="485"/>
      <c r="Q560" s="485"/>
      <c r="R560" s="485"/>
      <c r="S560" s="485"/>
      <c r="T560" s="485"/>
      <c r="U560" s="485"/>
      <c r="V560" s="485"/>
      <c r="W560" s="485"/>
      <c r="X560" s="485"/>
      <c r="Y560" s="485"/>
      <c r="Z560" s="485"/>
      <c r="AA560" s="485"/>
      <c r="AB560" s="485"/>
      <c r="AC560" s="485"/>
      <c r="AD560" s="485"/>
      <c r="AE560" s="485"/>
      <c r="AF560" s="485"/>
      <c r="AG560" s="485"/>
      <c r="AH560" s="485"/>
      <c r="AI560" s="485"/>
      <c r="AJ560" s="485"/>
      <c r="AK560" s="485"/>
      <c r="AL560" s="485"/>
      <c r="AM560" s="485"/>
      <c r="AN560" s="485"/>
      <c r="AO560" s="485"/>
      <c r="AP560" s="485"/>
      <c r="AQ560" s="485"/>
      <c r="AR560" s="485"/>
      <c r="AS560" s="485"/>
      <c r="AT560" s="485"/>
      <c r="AU560" s="485"/>
      <c r="AV560" s="485"/>
      <c r="AW560" s="485"/>
      <c r="AX560" s="485"/>
      <c r="AY560" s="485"/>
      <c r="AZ560" s="485"/>
      <c r="BA560" s="485"/>
      <c r="BB560" s="485"/>
      <c r="BC560" s="485"/>
      <c r="BD560" s="485"/>
      <c r="BE560" s="485"/>
      <c r="BF560" s="485"/>
      <c r="BG560" s="485"/>
      <c r="BH560" s="485"/>
      <c r="BI560" s="485"/>
      <c r="BJ560" s="485"/>
      <c r="BK560" s="485"/>
      <c r="BL560" s="485"/>
      <c r="BM560" s="485"/>
      <c r="BN560" s="485"/>
      <c r="BO560" s="485"/>
      <c r="BP560" s="485"/>
      <c r="BQ560" s="485"/>
      <c r="BR560" s="485"/>
      <c r="BS560" s="485"/>
      <c r="BT560" s="485"/>
      <c r="BU560" s="485"/>
      <c r="BV560" s="485"/>
      <c r="BW560" s="485"/>
      <c r="BX560" s="485"/>
      <c r="BY560" s="485"/>
      <c r="BZ560" s="485"/>
      <c r="CA560" s="485"/>
      <c r="CB560" s="485"/>
      <c r="CC560" s="485"/>
      <c r="CD560" s="485"/>
      <c r="CE560" s="485"/>
      <c r="CF560" s="485"/>
      <c r="CG560" s="485"/>
      <c r="CH560" s="485"/>
      <c r="CI560" s="485"/>
      <c r="CJ560" s="485"/>
      <c r="CK560" s="485"/>
      <c r="CL560" s="485"/>
      <c r="CM560" s="485"/>
      <c r="CN560" s="485"/>
      <c r="CO560" s="485"/>
      <c r="CP560" s="485"/>
      <c r="CQ560" s="485"/>
      <c r="CR560" s="485"/>
      <c r="CS560" s="485"/>
      <c r="CT560" s="485"/>
      <c r="CU560" s="485"/>
      <c r="CV560" s="485"/>
      <c r="CW560" s="485"/>
      <c r="CX560" s="485"/>
      <c r="CY560" s="485"/>
      <c r="CZ560" s="485"/>
      <c r="DA560" s="485"/>
      <c r="DB560" s="485"/>
      <c r="DC560" s="485"/>
      <c r="DD560" s="485"/>
      <c r="DE560" s="485"/>
      <c r="DF560" s="485"/>
      <c r="DG560" s="485"/>
      <c r="DH560" s="485"/>
      <c r="DI560" s="485"/>
      <c r="DJ560" s="485"/>
      <c r="DK560" s="485"/>
      <c r="DL560" s="485"/>
      <c r="DM560" s="485"/>
      <c r="DN560" s="485"/>
      <c r="DO560" s="485"/>
      <c r="DP560" s="485"/>
      <c r="DQ560" s="485"/>
      <c r="DR560" s="485"/>
      <c r="DS560" s="485"/>
      <c r="DT560" s="485"/>
      <c r="DU560" s="485"/>
      <c r="DV560" s="485"/>
      <c r="DW560" s="485"/>
      <c r="DX560" s="485"/>
      <c r="DY560" s="485"/>
      <c r="DZ560" s="485"/>
      <c r="EA560" s="485"/>
      <c r="EB560" s="485"/>
      <c r="EC560" s="485"/>
      <c r="ED560" s="485"/>
      <c r="EE560" s="485"/>
      <c r="EF560" s="485"/>
      <c r="EG560" s="485"/>
      <c r="EH560" s="485"/>
      <c r="EI560" s="485"/>
      <c r="EJ560" s="485"/>
      <c r="EK560" s="485"/>
      <c r="EL560" s="485"/>
      <c r="EM560" s="485"/>
      <c r="EN560" s="485"/>
      <c r="EO560" s="485"/>
      <c r="EP560" s="485"/>
    </row>
    <row r="561" spans="1:146">
      <c r="A561" s="485"/>
      <c r="B561" s="485"/>
      <c r="C561" s="485"/>
      <c r="D561" s="485"/>
      <c r="E561" s="485"/>
      <c r="F561" s="485"/>
      <c r="G561" s="485"/>
      <c r="H561" s="485"/>
      <c r="I561" s="485"/>
      <c r="J561" s="485"/>
      <c r="K561" s="485"/>
      <c r="L561" s="485"/>
      <c r="M561" s="485"/>
      <c r="P561" s="485"/>
      <c r="Q561" s="485"/>
      <c r="R561" s="485"/>
      <c r="S561" s="485"/>
      <c r="T561" s="485"/>
      <c r="U561" s="485"/>
      <c r="V561" s="485"/>
      <c r="W561" s="485"/>
      <c r="X561" s="485"/>
      <c r="Y561" s="485"/>
      <c r="Z561" s="485"/>
      <c r="AA561" s="485"/>
      <c r="AB561" s="485"/>
      <c r="AC561" s="485"/>
      <c r="AD561" s="485"/>
      <c r="AE561" s="485"/>
      <c r="AF561" s="485"/>
      <c r="AG561" s="485"/>
      <c r="AH561" s="485"/>
      <c r="AI561" s="485"/>
      <c r="AJ561" s="485"/>
      <c r="AK561" s="485"/>
      <c r="AL561" s="485"/>
      <c r="AM561" s="485"/>
      <c r="AN561" s="485"/>
      <c r="AO561" s="485"/>
      <c r="AP561" s="485"/>
      <c r="AQ561" s="485"/>
      <c r="AR561" s="485"/>
      <c r="AS561" s="485"/>
      <c r="AT561" s="485"/>
      <c r="AU561" s="485"/>
      <c r="AV561" s="485"/>
      <c r="AW561" s="485"/>
      <c r="AX561" s="485"/>
      <c r="AY561" s="485"/>
      <c r="AZ561" s="485"/>
      <c r="BA561" s="485"/>
      <c r="BB561" s="485"/>
      <c r="BC561" s="485"/>
      <c r="BD561" s="485"/>
      <c r="BE561" s="485"/>
      <c r="BF561" s="485"/>
      <c r="BG561" s="485"/>
      <c r="BH561" s="485"/>
      <c r="BI561" s="485"/>
      <c r="BJ561" s="485"/>
      <c r="BK561" s="485"/>
      <c r="BL561" s="485"/>
      <c r="BM561" s="485"/>
      <c r="BN561" s="485"/>
      <c r="BO561" s="485"/>
      <c r="BP561" s="485"/>
      <c r="BQ561" s="485"/>
      <c r="BR561" s="485"/>
      <c r="BS561" s="485"/>
      <c r="BT561" s="485"/>
      <c r="BU561" s="485"/>
      <c r="BV561" s="485"/>
      <c r="BW561" s="485"/>
      <c r="BX561" s="485"/>
      <c r="BY561" s="485"/>
      <c r="BZ561" s="485"/>
      <c r="CA561" s="485"/>
      <c r="CB561" s="485"/>
      <c r="CC561" s="485"/>
      <c r="CD561" s="485"/>
      <c r="CE561" s="485"/>
      <c r="CF561" s="485"/>
      <c r="CG561" s="485"/>
      <c r="CH561" s="485"/>
      <c r="CI561" s="485"/>
      <c r="CJ561" s="485"/>
      <c r="CK561" s="485"/>
      <c r="CL561" s="485"/>
      <c r="CM561" s="485"/>
      <c r="CN561" s="485"/>
      <c r="CO561" s="485"/>
      <c r="CP561" s="485"/>
      <c r="CQ561" s="485"/>
      <c r="CR561" s="485"/>
      <c r="CS561" s="485"/>
      <c r="CT561" s="485"/>
      <c r="CU561" s="485"/>
      <c r="CV561" s="485"/>
      <c r="CW561" s="485"/>
      <c r="CX561" s="485"/>
      <c r="CY561" s="485"/>
      <c r="CZ561" s="485"/>
      <c r="DA561" s="485"/>
      <c r="DB561" s="485"/>
      <c r="DC561" s="485"/>
      <c r="DD561" s="485"/>
      <c r="DE561" s="485"/>
      <c r="DF561" s="485"/>
      <c r="DG561" s="485"/>
      <c r="DH561" s="485"/>
      <c r="DI561" s="485"/>
      <c r="DJ561" s="485"/>
      <c r="DK561" s="485"/>
      <c r="DL561" s="485"/>
      <c r="DM561" s="485"/>
      <c r="DN561" s="485"/>
      <c r="DO561" s="485"/>
      <c r="DP561" s="485"/>
      <c r="DQ561" s="485"/>
      <c r="DR561" s="485"/>
      <c r="DS561" s="485"/>
      <c r="DT561" s="485"/>
      <c r="DU561" s="485"/>
      <c r="DV561" s="485"/>
      <c r="DW561" s="485"/>
      <c r="DX561" s="485"/>
      <c r="DY561" s="485"/>
      <c r="DZ561" s="485"/>
      <c r="EA561" s="485"/>
      <c r="EB561" s="485"/>
      <c r="EC561" s="485"/>
      <c r="ED561" s="485"/>
      <c r="EE561" s="485"/>
      <c r="EF561" s="485"/>
      <c r="EG561" s="485"/>
      <c r="EH561" s="485"/>
      <c r="EI561" s="485"/>
      <c r="EJ561" s="485"/>
      <c r="EK561" s="485"/>
      <c r="EL561" s="485"/>
      <c r="EM561" s="485"/>
      <c r="EN561" s="485"/>
      <c r="EO561" s="485"/>
      <c r="EP561" s="485"/>
    </row>
    <row r="562" spans="1:146">
      <c r="A562" s="485"/>
      <c r="B562" s="485"/>
      <c r="C562" s="485"/>
      <c r="D562" s="485"/>
      <c r="E562" s="485"/>
      <c r="F562" s="485"/>
      <c r="G562" s="485"/>
      <c r="H562" s="485"/>
      <c r="I562" s="485"/>
      <c r="J562" s="485"/>
      <c r="K562" s="485"/>
      <c r="L562" s="485"/>
      <c r="M562" s="485"/>
      <c r="P562" s="485"/>
      <c r="Q562" s="485"/>
      <c r="R562" s="485"/>
      <c r="S562" s="485"/>
      <c r="T562" s="485"/>
      <c r="U562" s="485"/>
      <c r="V562" s="485"/>
      <c r="W562" s="485"/>
      <c r="X562" s="485"/>
      <c r="Y562" s="485"/>
      <c r="Z562" s="485"/>
      <c r="AA562" s="485"/>
      <c r="AB562" s="485"/>
      <c r="AC562" s="485"/>
      <c r="AD562" s="485"/>
      <c r="AE562" s="485"/>
      <c r="AF562" s="485"/>
      <c r="AG562" s="485"/>
      <c r="AH562" s="485"/>
      <c r="AI562" s="485"/>
      <c r="AJ562" s="485"/>
      <c r="AK562" s="485"/>
      <c r="AL562" s="485"/>
      <c r="AM562" s="485"/>
      <c r="AN562" s="485"/>
      <c r="AO562" s="485"/>
      <c r="AP562" s="485"/>
      <c r="AQ562" s="485"/>
      <c r="AR562" s="485"/>
      <c r="AS562" s="485"/>
      <c r="AT562" s="485"/>
      <c r="AU562" s="485"/>
      <c r="AV562" s="485"/>
      <c r="AW562" s="485"/>
      <c r="AX562" s="485"/>
      <c r="AY562" s="485"/>
      <c r="AZ562" s="485"/>
      <c r="BA562" s="485"/>
      <c r="BB562" s="485"/>
      <c r="BC562" s="485"/>
      <c r="BD562" s="485"/>
      <c r="BE562" s="485"/>
      <c r="BF562" s="485"/>
      <c r="BG562" s="485"/>
      <c r="BH562" s="485"/>
      <c r="BI562" s="485"/>
      <c r="BJ562" s="485"/>
      <c r="BK562" s="485"/>
      <c r="BL562" s="485"/>
      <c r="BM562" s="485"/>
      <c r="BN562" s="485"/>
      <c r="BO562" s="485"/>
      <c r="BP562" s="485"/>
      <c r="BQ562" s="485"/>
      <c r="BR562" s="485"/>
      <c r="BS562" s="485"/>
      <c r="BT562" s="485"/>
      <c r="BU562" s="485"/>
      <c r="BV562" s="485"/>
      <c r="BW562" s="485"/>
      <c r="BX562" s="485"/>
      <c r="BY562" s="485"/>
      <c r="BZ562" s="485"/>
      <c r="CA562" s="485"/>
      <c r="CB562" s="485"/>
      <c r="CC562" s="485"/>
      <c r="CD562" s="485"/>
      <c r="CE562" s="485"/>
      <c r="CF562" s="485"/>
      <c r="CG562" s="485"/>
      <c r="CH562" s="485"/>
      <c r="CI562" s="485"/>
      <c r="CJ562" s="485"/>
      <c r="CK562" s="485"/>
      <c r="CL562" s="485"/>
      <c r="CM562" s="485"/>
      <c r="CN562" s="485"/>
      <c r="CO562" s="485"/>
      <c r="CP562" s="485"/>
      <c r="CQ562" s="485"/>
      <c r="CR562" s="485"/>
      <c r="CS562" s="485"/>
      <c r="CT562" s="485"/>
      <c r="CU562" s="485"/>
      <c r="CV562" s="485"/>
      <c r="CW562" s="485"/>
      <c r="CX562" s="485"/>
      <c r="CY562" s="485"/>
      <c r="CZ562" s="485"/>
      <c r="DA562" s="485"/>
      <c r="DB562" s="485"/>
      <c r="DC562" s="485"/>
      <c r="DD562" s="485"/>
      <c r="DE562" s="485"/>
      <c r="DF562" s="485"/>
      <c r="DG562" s="485"/>
      <c r="DH562" s="485"/>
      <c r="DI562" s="485"/>
      <c r="DJ562" s="485"/>
      <c r="DK562" s="485"/>
      <c r="DL562" s="485"/>
      <c r="DM562" s="485"/>
      <c r="DN562" s="485"/>
      <c r="DO562" s="485"/>
      <c r="DP562" s="485"/>
      <c r="DQ562" s="485"/>
      <c r="DR562" s="485"/>
      <c r="DS562" s="485"/>
      <c r="DT562" s="485"/>
      <c r="DU562" s="485"/>
      <c r="DV562" s="485"/>
      <c r="DW562" s="485"/>
      <c r="DX562" s="485"/>
      <c r="DY562" s="485"/>
      <c r="DZ562" s="485"/>
      <c r="EA562" s="485"/>
      <c r="EB562" s="485"/>
      <c r="EC562" s="485"/>
      <c r="ED562" s="485"/>
      <c r="EE562" s="485"/>
      <c r="EF562" s="485"/>
      <c r="EG562" s="485"/>
      <c r="EH562" s="485"/>
      <c r="EI562" s="485"/>
      <c r="EJ562" s="485"/>
      <c r="EK562" s="485"/>
      <c r="EL562" s="485"/>
      <c r="EM562" s="485"/>
      <c r="EN562" s="485"/>
      <c r="EO562" s="485"/>
      <c r="EP562" s="485"/>
    </row>
    <row r="563" spans="1:146">
      <c r="A563" s="485"/>
      <c r="B563" s="485"/>
      <c r="C563" s="485"/>
      <c r="D563" s="485"/>
      <c r="E563" s="485"/>
      <c r="F563" s="485"/>
      <c r="G563" s="485"/>
      <c r="H563" s="485"/>
      <c r="I563" s="485"/>
      <c r="J563" s="485"/>
      <c r="K563" s="485"/>
      <c r="L563" s="485"/>
      <c r="M563" s="485"/>
      <c r="P563" s="485"/>
      <c r="Q563" s="485"/>
      <c r="R563" s="485"/>
      <c r="S563" s="485"/>
      <c r="T563" s="485"/>
      <c r="U563" s="485"/>
      <c r="V563" s="485"/>
      <c r="W563" s="485"/>
      <c r="X563" s="485"/>
      <c r="Y563" s="485"/>
      <c r="Z563" s="485"/>
      <c r="AA563" s="485"/>
      <c r="AB563" s="485"/>
      <c r="AC563" s="485"/>
      <c r="AD563" s="485"/>
      <c r="AE563" s="485"/>
      <c r="AF563" s="485"/>
      <c r="AG563" s="485"/>
      <c r="AH563" s="485"/>
      <c r="AI563" s="485"/>
      <c r="AJ563" s="485"/>
      <c r="AK563" s="485"/>
      <c r="AL563" s="485"/>
      <c r="AM563" s="485"/>
      <c r="AN563" s="485"/>
      <c r="AO563" s="485"/>
      <c r="AP563" s="485"/>
      <c r="AQ563" s="485"/>
      <c r="AR563" s="485"/>
      <c r="AS563" s="485"/>
      <c r="AT563" s="485"/>
      <c r="AU563" s="485"/>
      <c r="AV563" s="485"/>
      <c r="AW563" s="485"/>
      <c r="AX563" s="485"/>
      <c r="AY563" s="485"/>
      <c r="AZ563" s="485"/>
      <c r="BA563" s="485"/>
      <c r="BB563" s="485"/>
      <c r="BC563" s="485"/>
      <c r="BD563" s="485"/>
      <c r="BE563" s="485"/>
      <c r="BF563" s="485"/>
      <c r="BG563" s="485"/>
      <c r="BH563" s="485"/>
      <c r="BI563" s="485"/>
      <c r="BJ563" s="485"/>
      <c r="BK563" s="485"/>
      <c r="BL563" s="485"/>
      <c r="BM563" s="485"/>
      <c r="BN563" s="485"/>
      <c r="BO563" s="485"/>
      <c r="BP563" s="485"/>
      <c r="BQ563" s="485"/>
      <c r="BR563" s="485"/>
      <c r="BS563" s="485"/>
      <c r="BT563" s="485"/>
      <c r="BU563" s="485"/>
      <c r="BV563" s="485"/>
      <c r="BW563" s="485"/>
      <c r="BX563" s="485"/>
      <c r="BY563" s="485"/>
      <c r="BZ563" s="485"/>
      <c r="CA563" s="485"/>
      <c r="CB563" s="485"/>
      <c r="CC563" s="485"/>
      <c r="CD563" s="485"/>
      <c r="CE563" s="485"/>
      <c r="CF563" s="485"/>
      <c r="CG563" s="485"/>
      <c r="CH563" s="485"/>
      <c r="CI563" s="485"/>
      <c r="CJ563" s="485"/>
      <c r="CK563" s="485"/>
      <c r="CL563" s="485"/>
      <c r="CM563" s="485"/>
      <c r="CN563" s="485"/>
      <c r="CO563" s="485"/>
      <c r="CP563" s="485"/>
      <c r="CQ563" s="485"/>
      <c r="CR563" s="485"/>
      <c r="CS563" s="485"/>
      <c r="CT563" s="485"/>
      <c r="CU563" s="485"/>
      <c r="CV563" s="485"/>
      <c r="CW563" s="485"/>
      <c r="CX563" s="485"/>
      <c r="CY563" s="485"/>
      <c r="CZ563" s="485"/>
      <c r="DA563" s="485"/>
      <c r="DB563" s="485"/>
      <c r="DC563" s="485"/>
      <c r="DD563" s="485"/>
      <c r="DE563" s="485"/>
      <c r="DF563" s="485"/>
      <c r="DG563" s="485"/>
      <c r="DH563" s="485"/>
      <c r="DI563" s="485"/>
      <c r="DJ563" s="485"/>
      <c r="DK563" s="485"/>
      <c r="DL563" s="485"/>
      <c r="DM563" s="485"/>
      <c r="DN563" s="485"/>
      <c r="DO563" s="485"/>
      <c r="DP563" s="485"/>
      <c r="DQ563" s="485"/>
      <c r="DR563" s="485"/>
      <c r="DS563" s="485"/>
      <c r="DT563" s="485"/>
      <c r="DU563" s="485"/>
      <c r="DV563" s="485"/>
      <c r="DW563" s="485"/>
      <c r="DX563" s="485"/>
      <c r="DY563" s="485"/>
      <c r="DZ563" s="485"/>
      <c r="EA563" s="485"/>
      <c r="EB563" s="485"/>
      <c r="EC563" s="485"/>
      <c r="ED563" s="485"/>
      <c r="EE563" s="485"/>
      <c r="EF563" s="485"/>
      <c r="EG563" s="485"/>
      <c r="EH563" s="485"/>
      <c r="EI563" s="485"/>
      <c r="EJ563" s="485"/>
      <c r="EK563" s="485"/>
      <c r="EL563" s="485"/>
      <c r="EM563" s="485"/>
      <c r="EN563" s="485"/>
      <c r="EO563" s="485"/>
      <c r="EP563" s="485"/>
    </row>
    <row r="564" spans="1:146">
      <c r="A564" s="485"/>
      <c r="B564" s="485"/>
      <c r="C564" s="485"/>
      <c r="D564" s="485"/>
      <c r="E564" s="485"/>
      <c r="F564" s="485"/>
      <c r="G564" s="485"/>
      <c r="H564" s="485"/>
      <c r="I564" s="485"/>
      <c r="J564" s="485"/>
      <c r="K564" s="485"/>
      <c r="L564" s="485"/>
      <c r="M564" s="485"/>
      <c r="P564" s="485"/>
      <c r="Q564" s="485"/>
      <c r="R564" s="485"/>
      <c r="S564" s="485"/>
      <c r="T564" s="485"/>
      <c r="U564" s="485"/>
      <c r="V564" s="485"/>
      <c r="W564" s="485"/>
      <c r="X564" s="485"/>
      <c r="Y564" s="485"/>
      <c r="Z564" s="485"/>
      <c r="AA564" s="485"/>
      <c r="AB564" s="485"/>
      <c r="AC564" s="485"/>
      <c r="AD564" s="485"/>
      <c r="AE564" s="485"/>
      <c r="AF564" s="485"/>
      <c r="AG564" s="485"/>
      <c r="AH564" s="485"/>
      <c r="AI564" s="485"/>
      <c r="AJ564" s="485"/>
      <c r="AK564" s="485"/>
      <c r="AL564" s="485"/>
      <c r="AM564" s="485"/>
      <c r="AN564" s="485"/>
      <c r="AO564" s="485"/>
      <c r="AP564" s="485"/>
      <c r="AQ564" s="485"/>
      <c r="AR564" s="485"/>
      <c r="AS564" s="485"/>
      <c r="AT564" s="485"/>
      <c r="AU564" s="485"/>
      <c r="AV564" s="485"/>
      <c r="AW564" s="485"/>
      <c r="AX564" s="485"/>
      <c r="AY564" s="485"/>
      <c r="AZ564" s="485"/>
      <c r="BA564" s="485"/>
      <c r="BB564" s="485"/>
      <c r="BC564" s="485"/>
      <c r="BD564" s="485"/>
      <c r="BE564" s="485"/>
      <c r="BF564" s="485"/>
      <c r="BG564" s="485"/>
      <c r="BH564" s="485"/>
      <c r="BI564" s="485"/>
      <c r="BJ564" s="485"/>
      <c r="BK564" s="485"/>
      <c r="BL564" s="485"/>
      <c r="BM564" s="485"/>
      <c r="BN564" s="485"/>
      <c r="BO564" s="485"/>
      <c r="BP564" s="485"/>
      <c r="BQ564" s="485"/>
      <c r="BR564" s="485"/>
      <c r="BS564" s="485"/>
      <c r="BT564" s="485"/>
      <c r="BU564" s="485"/>
      <c r="BV564" s="485"/>
      <c r="BW564" s="485"/>
      <c r="BX564" s="485"/>
      <c r="BY564" s="485"/>
      <c r="BZ564" s="485"/>
      <c r="CA564" s="485"/>
      <c r="CB564" s="485"/>
      <c r="CC564" s="485"/>
      <c r="CD564" s="485"/>
      <c r="CE564" s="485"/>
      <c r="CF564" s="485"/>
      <c r="CG564" s="485"/>
      <c r="CH564" s="485"/>
      <c r="CI564" s="485"/>
      <c r="CJ564" s="485"/>
      <c r="CK564" s="485"/>
      <c r="CL564" s="485"/>
      <c r="CM564" s="485"/>
      <c r="CN564" s="485"/>
      <c r="CO564" s="485"/>
      <c r="CP564" s="485"/>
      <c r="CQ564" s="485"/>
      <c r="CR564" s="485"/>
      <c r="CS564" s="485"/>
      <c r="CT564" s="485"/>
      <c r="CU564" s="485"/>
      <c r="CV564" s="485"/>
      <c r="CW564" s="485"/>
      <c r="CX564" s="485"/>
      <c r="CY564" s="485"/>
      <c r="CZ564" s="485"/>
      <c r="DA564" s="485"/>
      <c r="DB564" s="485"/>
      <c r="DC564" s="485"/>
      <c r="DD564" s="485"/>
      <c r="DE564" s="485"/>
      <c r="DF564" s="485"/>
      <c r="DG564" s="485"/>
      <c r="DH564" s="485"/>
      <c r="DI564" s="485"/>
      <c r="DJ564" s="485"/>
      <c r="DK564" s="485"/>
      <c r="DL564" s="485"/>
      <c r="DM564" s="485"/>
      <c r="DN564" s="485"/>
      <c r="DO564" s="485"/>
      <c r="DP564" s="485"/>
      <c r="DQ564" s="485"/>
      <c r="DR564" s="485"/>
      <c r="DS564" s="485"/>
      <c r="DT564" s="485"/>
      <c r="DU564" s="485"/>
      <c r="DV564" s="485"/>
      <c r="DW564" s="485"/>
      <c r="DX564" s="485"/>
      <c r="DY564" s="485"/>
      <c r="DZ564" s="485"/>
      <c r="EA564" s="485"/>
      <c r="EB564" s="485"/>
      <c r="EC564" s="485"/>
      <c r="ED564" s="485"/>
      <c r="EE564" s="485"/>
      <c r="EF564" s="485"/>
      <c r="EG564" s="485"/>
      <c r="EH564" s="485"/>
      <c r="EI564" s="485"/>
      <c r="EJ564" s="485"/>
      <c r="EK564" s="485"/>
      <c r="EL564" s="485"/>
      <c r="EM564" s="485"/>
      <c r="EN564" s="485"/>
      <c r="EO564" s="485"/>
      <c r="EP564" s="485"/>
    </row>
    <row r="565" spans="1:146">
      <c r="A565" s="485"/>
      <c r="B565" s="485"/>
      <c r="C565" s="485"/>
      <c r="D565" s="485"/>
      <c r="E565" s="485"/>
      <c r="F565" s="485"/>
      <c r="G565" s="485"/>
      <c r="H565" s="485"/>
      <c r="I565" s="485"/>
      <c r="J565" s="485"/>
      <c r="K565" s="485"/>
      <c r="L565" s="485"/>
      <c r="M565" s="485"/>
      <c r="P565" s="485"/>
      <c r="Q565" s="485"/>
      <c r="R565" s="485"/>
      <c r="S565" s="485"/>
      <c r="T565" s="485"/>
      <c r="U565" s="485"/>
      <c r="V565" s="485"/>
      <c r="W565" s="485"/>
      <c r="X565" s="485"/>
      <c r="Y565" s="485"/>
      <c r="Z565" s="485"/>
      <c r="AA565" s="485"/>
      <c r="AB565" s="485"/>
      <c r="AC565" s="485"/>
      <c r="AD565" s="485"/>
      <c r="AE565" s="485"/>
      <c r="AF565" s="485"/>
      <c r="AG565" s="485"/>
      <c r="AH565" s="485"/>
      <c r="AI565" s="485"/>
      <c r="AJ565" s="485"/>
      <c r="AK565" s="485"/>
      <c r="AL565" s="485"/>
      <c r="AM565" s="485"/>
      <c r="AN565" s="485"/>
      <c r="AO565" s="485"/>
      <c r="AP565" s="485"/>
      <c r="AQ565" s="485"/>
      <c r="AR565" s="485"/>
      <c r="AS565" s="485"/>
      <c r="AT565" s="485"/>
      <c r="AU565" s="485"/>
      <c r="AV565" s="485"/>
      <c r="AW565" s="485"/>
      <c r="AX565" s="485"/>
      <c r="AY565" s="485"/>
      <c r="AZ565" s="485"/>
      <c r="BA565" s="485"/>
      <c r="BB565" s="485"/>
      <c r="BC565" s="485"/>
      <c r="BD565" s="485"/>
      <c r="BE565" s="485"/>
      <c r="BF565" s="485"/>
      <c r="BG565" s="485"/>
      <c r="BH565" s="485"/>
      <c r="BI565" s="485"/>
      <c r="BJ565" s="485"/>
      <c r="BK565" s="485"/>
      <c r="BL565" s="485"/>
      <c r="BM565" s="485"/>
      <c r="BN565" s="485"/>
      <c r="BO565" s="485"/>
      <c r="BP565" s="485"/>
      <c r="BQ565" s="485"/>
      <c r="BR565" s="485"/>
      <c r="BS565" s="485"/>
      <c r="BT565" s="485"/>
      <c r="BU565" s="485"/>
      <c r="BV565" s="485"/>
      <c r="BW565" s="485"/>
      <c r="BX565" s="485"/>
      <c r="BY565" s="485"/>
      <c r="BZ565" s="485"/>
      <c r="CA565" s="485"/>
      <c r="CB565" s="485"/>
      <c r="CC565" s="485"/>
      <c r="CD565" s="485"/>
      <c r="CE565" s="485"/>
      <c r="CF565" s="485"/>
      <c r="CG565" s="485"/>
      <c r="CH565" s="485"/>
      <c r="CI565" s="485"/>
      <c r="CJ565" s="485"/>
      <c r="CK565" s="485"/>
      <c r="CL565" s="485"/>
      <c r="CM565" s="485"/>
      <c r="CN565" s="485"/>
      <c r="CO565" s="485"/>
      <c r="CP565" s="485"/>
      <c r="CQ565" s="485"/>
      <c r="CR565" s="485"/>
      <c r="CS565" s="485"/>
      <c r="CT565" s="485"/>
      <c r="CU565" s="485"/>
      <c r="CV565" s="485"/>
      <c r="CW565" s="485"/>
      <c r="CX565" s="485"/>
      <c r="CY565" s="485"/>
      <c r="CZ565" s="485"/>
      <c r="DA565" s="485"/>
      <c r="DB565" s="485"/>
      <c r="DC565" s="485"/>
      <c r="DD565" s="485"/>
      <c r="DE565" s="485"/>
      <c r="DF565" s="485"/>
      <c r="DG565" s="485"/>
      <c r="DH565" s="485"/>
      <c r="DI565" s="485"/>
      <c r="DJ565" s="485"/>
      <c r="DK565" s="485"/>
      <c r="DL565" s="485"/>
      <c r="DM565" s="485"/>
      <c r="DN565" s="485"/>
      <c r="DO565" s="485"/>
      <c r="DP565" s="485"/>
      <c r="DQ565" s="485"/>
      <c r="DR565" s="485"/>
      <c r="DS565" s="485"/>
      <c r="DT565" s="485"/>
      <c r="DU565" s="485"/>
      <c r="DV565" s="485"/>
      <c r="DW565" s="485"/>
      <c r="DX565" s="485"/>
      <c r="DY565" s="485"/>
      <c r="DZ565" s="485"/>
      <c r="EA565" s="485"/>
      <c r="EB565" s="485"/>
      <c r="EC565" s="485"/>
      <c r="ED565" s="485"/>
      <c r="EE565" s="485"/>
      <c r="EF565" s="485"/>
      <c r="EG565" s="485"/>
      <c r="EH565" s="485"/>
      <c r="EI565" s="485"/>
      <c r="EJ565" s="485"/>
      <c r="EK565" s="485"/>
      <c r="EL565" s="485"/>
      <c r="EM565" s="485"/>
      <c r="EN565" s="485"/>
      <c r="EO565" s="485"/>
      <c r="EP565" s="485"/>
    </row>
    <row r="566" spans="1:146">
      <c r="A566" s="485"/>
      <c r="B566" s="485"/>
      <c r="C566" s="485"/>
      <c r="D566" s="485"/>
      <c r="E566" s="485"/>
      <c r="F566" s="485"/>
      <c r="G566" s="485"/>
      <c r="H566" s="485"/>
      <c r="I566" s="485"/>
      <c r="J566" s="485"/>
      <c r="K566" s="485"/>
      <c r="L566" s="485"/>
      <c r="M566" s="485"/>
      <c r="P566" s="485"/>
      <c r="Q566" s="485"/>
      <c r="R566" s="485"/>
      <c r="S566" s="485"/>
      <c r="T566" s="485"/>
      <c r="U566" s="485"/>
      <c r="V566" s="485"/>
      <c r="W566" s="485"/>
      <c r="X566" s="485"/>
      <c r="Y566" s="485"/>
      <c r="Z566" s="485"/>
      <c r="AA566" s="485"/>
      <c r="AB566" s="485"/>
      <c r="AC566" s="485"/>
      <c r="AD566" s="485"/>
      <c r="AE566" s="485"/>
      <c r="AF566" s="485"/>
      <c r="AG566" s="485"/>
      <c r="AH566" s="485"/>
      <c r="AI566" s="485"/>
      <c r="AJ566" s="485"/>
      <c r="AK566" s="485"/>
      <c r="AL566" s="485"/>
      <c r="AM566" s="485"/>
      <c r="AN566" s="485"/>
      <c r="AO566" s="485"/>
      <c r="AP566" s="485"/>
      <c r="AQ566" s="485"/>
      <c r="AR566" s="485"/>
      <c r="AS566" s="485"/>
      <c r="AT566" s="485"/>
      <c r="AU566" s="485"/>
      <c r="AV566" s="485"/>
      <c r="AW566" s="485"/>
      <c r="AX566" s="485"/>
      <c r="AY566" s="485"/>
      <c r="AZ566" s="485"/>
      <c r="BA566" s="485"/>
      <c r="BB566" s="485"/>
      <c r="BC566" s="485"/>
      <c r="BD566" s="485"/>
      <c r="BE566" s="485"/>
      <c r="BF566" s="485"/>
      <c r="BG566" s="485"/>
      <c r="BH566" s="485"/>
      <c r="BI566" s="485"/>
      <c r="BJ566" s="485"/>
      <c r="BK566" s="485"/>
      <c r="BL566" s="485"/>
      <c r="BM566" s="485"/>
      <c r="BN566" s="485"/>
      <c r="BO566" s="485"/>
      <c r="BP566" s="485"/>
      <c r="BQ566" s="485"/>
      <c r="BR566" s="485"/>
      <c r="BS566" s="485"/>
      <c r="BT566" s="485"/>
      <c r="BU566" s="485"/>
      <c r="BV566" s="485"/>
      <c r="BW566" s="485"/>
      <c r="BX566" s="485"/>
      <c r="BY566" s="485"/>
      <c r="BZ566" s="485"/>
      <c r="CA566" s="485"/>
      <c r="CB566" s="485"/>
      <c r="CC566" s="485"/>
      <c r="CD566" s="485"/>
      <c r="CE566" s="485"/>
      <c r="CF566" s="485"/>
      <c r="CG566" s="485"/>
      <c r="CH566" s="485"/>
      <c r="CI566" s="485"/>
      <c r="CJ566" s="485"/>
      <c r="CK566" s="485"/>
      <c r="CL566" s="485"/>
      <c r="CM566" s="485"/>
      <c r="CN566" s="485"/>
      <c r="CO566" s="485"/>
      <c r="CP566" s="485"/>
      <c r="CQ566" s="485"/>
      <c r="CR566" s="485"/>
      <c r="CS566" s="485"/>
      <c r="CT566" s="485"/>
      <c r="CU566" s="485"/>
      <c r="CV566" s="485"/>
      <c r="CW566" s="485"/>
      <c r="CX566" s="485"/>
      <c r="CY566" s="485"/>
      <c r="CZ566" s="485"/>
      <c r="DA566" s="485"/>
      <c r="DB566" s="485"/>
      <c r="DC566" s="485"/>
      <c r="DD566" s="485"/>
      <c r="DE566" s="485"/>
      <c r="DF566" s="485"/>
      <c r="DG566" s="485"/>
      <c r="DH566" s="485"/>
      <c r="DI566" s="485"/>
      <c r="DJ566" s="485"/>
      <c r="DK566" s="485"/>
      <c r="DL566" s="485"/>
      <c r="DM566" s="485"/>
      <c r="DN566" s="485"/>
      <c r="DO566" s="485"/>
      <c r="DP566" s="485"/>
      <c r="DQ566" s="485"/>
      <c r="DR566" s="485"/>
      <c r="DS566" s="485"/>
      <c r="DT566" s="485"/>
      <c r="DU566" s="485"/>
      <c r="DV566" s="485"/>
      <c r="DW566" s="485"/>
      <c r="DX566" s="485"/>
      <c r="DY566" s="485"/>
      <c r="DZ566" s="485"/>
      <c r="EA566" s="485"/>
      <c r="EB566" s="485"/>
      <c r="EC566" s="485"/>
      <c r="ED566" s="485"/>
      <c r="EE566" s="485"/>
      <c r="EF566" s="485"/>
      <c r="EG566" s="485"/>
      <c r="EH566" s="485"/>
      <c r="EI566" s="485"/>
      <c r="EJ566" s="485"/>
      <c r="EK566" s="485"/>
      <c r="EL566" s="485"/>
      <c r="EM566" s="485"/>
      <c r="EN566" s="485"/>
      <c r="EO566" s="485"/>
      <c r="EP566" s="485"/>
    </row>
    <row r="567" spans="1:146">
      <c r="A567" s="485"/>
      <c r="B567" s="485"/>
      <c r="C567" s="485"/>
      <c r="D567" s="485"/>
      <c r="E567" s="485"/>
      <c r="F567" s="485"/>
      <c r="G567" s="485"/>
      <c r="H567" s="485"/>
      <c r="I567" s="485"/>
      <c r="J567" s="485"/>
      <c r="K567" s="485"/>
      <c r="L567" s="485"/>
      <c r="M567" s="485"/>
      <c r="P567" s="485"/>
      <c r="Q567" s="485"/>
      <c r="R567" s="485"/>
      <c r="S567" s="485"/>
      <c r="T567" s="485"/>
      <c r="U567" s="485"/>
      <c r="V567" s="485"/>
      <c r="W567" s="485"/>
      <c r="X567" s="485"/>
      <c r="Y567" s="485"/>
      <c r="Z567" s="485"/>
      <c r="AA567" s="485"/>
      <c r="AB567" s="485"/>
      <c r="AC567" s="485"/>
      <c r="AD567" s="485"/>
      <c r="AE567" s="485"/>
      <c r="AF567" s="485"/>
      <c r="AG567" s="485"/>
      <c r="AH567" s="485"/>
      <c r="AI567" s="485"/>
      <c r="AJ567" s="485"/>
      <c r="AK567" s="485"/>
      <c r="AL567" s="485"/>
      <c r="AM567" s="485"/>
      <c r="AN567" s="485"/>
      <c r="AO567" s="485"/>
      <c r="AP567" s="485"/>
      <c r="AQ567" s="485"/>
      <c r="AR567" s="485"/>
      <c r="AS567" s="485"/>
      <c r="AT567" s="485"/>
      <c r="AU567" s="485"/>
      <c r="AV567" s="485"/>
      <c r="AW567" s="485"/>
      <c r="AX567" s="485"/>
      <c r="AY567" s="485"/>
      <c r="AZ567" s="485"/>
      <c r="BA567" s="485"/>
      <c r="BB567" s="485"/>
      <c r="BC567" s="485"/>
      <c r="BD567" s="485"/>
      <c r="BE567" s="485"/>
      <c r="BF567" s="485"/>
      <c r="BG567" s="485"/>
      <c r="BH567" s="485"/>
      <c r="BI567" s="485"/>
      <c r="BJ567" s="485"/>
      <c r="BK567" s="485"/>
      <c r="BL567" s="485"/>
      <c r="BM567" s="485"/>
      <c r="BN567" s="485"/>
      <c r="BO567" s="485"/>
      <c r="BP567" s="485"/>
      <c r="BQ567" s="485"/>
      <c r="BR567" s="485"/>
      <c r="BS567" s="485"/>
      <c r="BT567" s="485"/>
      <c r="BU567" s="485"/>
      <c r="BV567" s="485"/>
      <c r="BW567" s="485"/>
      <c r="BX567" s="485"/>
      <c r="BY567" s="485"/>
      <c r="BZ567" s="485"/>
      <c r="CA567" s="485"/>
      <c r="CB567" s="485"/>
      <c r="CC567" s="485"/>
      <c r="CD567" s="485"/>
      <c r="CE567" s="485"/>
      <c r="CF567" s="485"/>
      <c r="CG567" s="485"/>
      <c r="CH567" s="485"/>
      <c r="CI567" s="485"/>
      <c r="CJ567" s="485"/>
      <c r="CK567" s="485"/>
      <c r="CL567" s="485"/>
      <c r="CM567" s="485"/>
      <c r="CN567" s="485"/>
      <c r="CO567" s="485"/>
      <c r="CP567" s="485"/>
      <c r="CQ567" s="485"/>
      <c r="CR567" s="485"/>
      <c r="CS567" s="485"/>
      <c r="CT567" s="485"/>
      <c r="CU567" s="485"/>
      <c r="CV567" s="485"/>
      <c r="CW567" s="485"/>
      <c r="CX567" s="485"/>
      <c r="CY567" s="485"/>
      <c r="CZ567" s="485"/>
      <c r="DA567" s="485"/>
      <c r="DB567" s="485"/>
      <c r="DC567" s="485"/>
      <c r="DD567" s="485"/>
      <c r="DE567" s="485"/>
      <c r="DF567" s="485"/>
      <c r="DG567" s="485"/>
      <c r="DH567" s="485"/>
      <c r="DI567" s="485"/>
      <c r="DJ567" s="485"/>
      <c r="DK567" s="485"/>
      <c r="DL567" s="485"/>
      <c r="DM567" s="485"/>
      <c r="DN567" s="485"/>
      <c r="DO567" s="485"/>
      <c r="DP567" s="485"/>
      <c r="DQ567" s="485"/>
      <c r="DR567" s="485"/>
      <c r="DS567" s="485"/>
      <c r="DT567" s="485"/>
      <c r="DU567" s="485"/>
      <c r="DV567" s="485"/>
      <c r="DW567" s="485"/>
      <c r="DX567" s="485"/>
      <c r="DY567" s="485"/>
      <c r="DZ567" s="485"/>
      <c r="EA567" s="485"/>
      <c r="EB567" s="485"/>
      <c r="EC567" s="485"/>
      <c r="ED567" s="485"/>
      <c r="EE567" s="485"/>
      <c r="EF567" s="485"/>
      <c r="EG567" s="485"/>
      <c r="EH567" s="485"/>
      <c r="EI567" s="485"/>
      <c r="EJ567" s="485"/>
      <c r="EK567" s="485"/>
      <c r="EL567" s="485"/>
      <c r="EM567" s="485"/>
      <c r="EN567" s="485"/>
      <c r="EO567" s="485"/>
      <c r="EP567" s="485"/>
    </row>
    <row r="568" spans="1:146">
      <c r="A568" s="485"/>
      <c r="B568" s="485"/>
      <c r="C568" s="485"/>
      <c r="D568" s="485"/>
      <c r="E568" s="485"/>
      <c r="F568" s="485"/>
      <c r="G568" s="485"/>
      <c r="H568" s="485"/>
      <c r="I568" s="485"/>
      <c r="J568" s="485"/>
      <c r="K568" s="485"/>
      <c r="L568" s="485"/>
      <c r="M568" s="485"/>
      <c r="P568" s="485"/>
      <c r="Q568" s="485"/>
      <c r="R568" s="485"/>
      <c r="S568" s="485"/>
      <c r="T568" s="485"/>
      <c r="U568" s="485"/>
      <c r="V568" s="485"/>
      <c r="W568" s="485"/>
      <c r="X568" s="485"/>
      <c r="Y568" s="485"/>
      <c r="Z568" s="485"/>
      <c r="AA568" s="485"/>
      <c r="AB568" s="485"/>
      <c r="AC568" s="485"/>
      <c r="AD568" s="485"/>
      <c r="AE568" s="485"/>
      <c r="AF568" s="485"/>
      <c r="AG568" s="485"/>
      <c r="AH568" s="485"/>
      <c r="AI568" s="485"/>
      <c r="AJ568" s="485"/>
      <c r="AK568" s="485"/>
      <c r="AL568" s="485"/>
      <c r="AM568" s="485"/>
      <c r="AN568" s="485"/>
      <c r="AO568" s="485"/>
      <c r="AP568" s="485"/>
      <c r="AQ568" s="485"/>
      <c r="AR568" s="485"/>
      <c r="AS568" s="485"/>
      <c r="AT568" s="485"/>
      <c r="AU568" s="485"/>
      <c r="AV568" s="485"/>
      <c r="AW568" s="485"/>
      <c r="AX568" s="485"/>
      <c r="AY568" s="485"/>
      <c r="AZ568" s="485"/>
      <c r="BA568" s="485"/>
      <c r="BB568" s="485"/>
      <c r="BC568" s="485"/>
      <c r="BD568" s="485"/>
      <c r="BE568" s="485"/>
      <c r="BF568" s="485"/>
      <c r="BG568" s="485"/>
      <c r="BH568" s="485"/>
      <c r="BI568" s="485"/>
      <c r="BJ568" s="485"/>
      <c r="BK568" s="485"/>
      <c r="BL568" s="485"/>
      <c r="BM568" s="485"/>
      <c r="BN568" s="485"/>
      <c r="BO568" s="485"/>
      <c r="BP568" s="485"/>
      <c r="BQ568" s="485"/>
      <c r="BR568" s="485"/>
      <c r="BS568" s="485"/>
      <c r="BT568" s="485"/>
      <c r="BU568" s="485"/>
      <c r="BV568" s="485"/>
      <c r="BW568" s="485"/>
      <c r="BX568" s="485"/>
      <c r="BY568" s="485"/>
      <c r="BZ568" s="485"/>
      <c r="CA568" s="485"/>
      <c r="CB568" s="485"/>
      <c r="CC568" s="485"/>
      <c r="CD568" s="485"/>
      <c r="CE568" s="485"/>
      <c r="CF568" s="485"/>
      <c r="CG568" s="485"/>
      <c r="CH568" s="485"/>
      <c r="CI568" s="485"/>
      <c r="CJ568" s="485"/>
      <c r="CK568" s="485"/>
      <c r="CL568" s="485"/>
      <c r="CM568" s="485"/>
      <c r="CN568" s="485"/>
      <c r="CO568" s="485"/>
      <c r="CP568" s="485"/>
      <c r="CQ568" s="485"/>
      <c r="CR568" s="485"/>
      <c r="CS568" s="485"/>
      <c r="CT568" s="485"/>
      <c r="CU568" s="485"/>
      <c r="CV568" s="485"/>
      <c r="CW568" s="485"/>
      <c r="CX568" s="485"/>
      <c r="CY568" s="485"/>
      <c r="CZ568" s="485"/>
      <c r="DA568" s="485"/>
      <c r="DB568" s="485"/>
      <c r="DC568" s="485"/>
      <c r="DD568" s="485"/>
      <c r="DE568" s="485"/>
      <c r="DF568" s="485"/>
      <c r="DG568" s="485"/>
      <c r="DH568" s="485"/>
      <c r="DI568" s="485"/>
      <c r="DJ568" s="485"/>
      <c r="DK568" s="485"/>
      <c r="DL568" s="485"/>
      <c r="DM568" s="485"/>
      <c r="DN568" s="485"/>
      <c r="DO568" s="485"/>
      <c r="DP568" s="485"/>
      <c r="DQ568" s="485"/>
      <c r="DR568" s="485"/>
      <c r="DS568" s="485"/>
      <c r="DT568" s="485"/>
      <c r="DU568" s="485"/>
      <c r="DV568" s="485"/>
      <c r="DW568" s="485"/>
      <c r="DX568" s="485"/>
      <c r="DY568" s="485"/>
      <c r="DZ568" s="485"/>
      <c r="EA568" s="485"/>
      <c r="EB568" s="485"/>
      <c r="EC568" s="485"/>
      <c r="ED568" s="485"/>
      <c r="EE568" s="485"/>
      <c r="EF568" s="485"/>
      <c r="EG568" s="485"/>
      <c r="EH568" s="485"/>
      <c r="EI568" s="485"/>
      <c r="EJ568" s="485"/>
      <c r="EK568" s="485"/>
      <c r="EL568" s="485"/>
      <c r="EM568" s="485"/>
      <c r="EN568" s="485"/>
      <c r="EO568" s="485"/>
      <c r="EP568" s="485"/>
    </row>
    <row r="569" spans="1:146">
      <c r="A569" s="485"/>
      <c r="B569" s="485"/>
      <c r="C569" s="485"/>
      <c r="D569" s="485"/>
      <c r="E569" s="485"/>
      <c r="F569" s="485"/>
      <c r="G569" s="485"/>
      <c r="H569" s="485"/>
      <c r="I569" s="485"/>
      <c r="J569" s="485"/>
      <c r="K569" s="485"/>
      <c r="L569" s="485"/>
      <c r="M569" s="485"/>
      <c r="P569" s="485"/>
      <c r="Q569" s="485"/>
      <c r="R569" s="485"/>
      <c r="S569" s="485"/>
      <c r="T569" s="485"/>
      <c r="U569" s="485"/>
      <c r="V569" s="485"/>
      <c r="W569" s="485"/>
      <c r="X569" s="485"/>
      <c r="Y569" s="485"/>
      <c r="Z569" s="485"/>
      <c r="AA569" s="485"/>
      <c r="AB569" s="485"/>
      <c r="AC569" s="485"/>
      <c r="AD569" s="485"/>
      <c r="AE569" s="485"/>
      <c r="AF569" s="485"/>
      <c r="AG569" s="485"/>
      <c r="AH569" s="485"/>
      <c r="AI569" s="485"/>
      <c r="AJ569" s="485"/>
      <c r="AK569" s="485"/>
      <c r="AL569" s="485"/>
      <c r="AM569" s="485"/>
      <c r="AN569" s="485"/>
      <c r="AO569" s="485"/>
      <c r="AP569" s="485"/>
      <c r="AQ569" s="485"/>
      <c r="AR569" s="485"/>
      <c r="AS569" s="485"/>
      <c r="AT569" s="485"/>
      <c r="AU569" s="485"/>
      <c r="AV569" s="485"/>
      <c r="AW569" s="485"/>
      <c r="AX569" s="485"/>
      <c r="AY569" s="485"/>
      <c r="AZ569" s="485"/>
      <c r="BA569" s="485"/>
      <c r="BB569" s="485"/>
      <c r="BC569" s="485"/>
      <c r="BD569" s="485"/>
      <c r="BE569" s="485"/>
      <c r="BF569" s="485"/>
      <c r="BG569" s="485"/>
      <c r="BH569" s="485"/>
      <c r="BI569" s="485"/>
      <c r="BJ569" s="485"/>
      <c r="BK569" s="485"/>
      <c r="BL569" s="485"/>
      <c r="BM569" s="485"/>
      <c r="BN569" s="485"/>
      <c r="BO569" s="485"/>
      <c r="BP569" s="485"/>
      <c r="BQ569" s="485"/>
      <c r="BR569" s="485"/>
      <c r="BS569" s="485"/>
      <c r="BT569" s="485"/>
      <c r="BU569" s="485"/>
      <c r="BV569" s="485"/>
      <c r="BW569" s="485"/>
      <c r="BX569" s="485"/>
      <c r="BY569" s="485"/>
      <c r="BZ569" s="485"/>
      <c r="CA569" s="485"/>
      <c r="CB569" s="485"/>
      <c r="CC569" s="485"/>
      <c r="CD569" s="485"/>
      <c r="CE569" s="485"/>
      <c r="CF569" s="485"/>
      <c r="CG569" s="485"/>
      <c r="CH569" s="485"/>
      <c r="CI569" s="485"/>
      <c r="CJ569" s="485"/>
      <c r="CK569" s="485"/>
      <c r="CL569" s="485"/>
      <c r="CM569" s="485"/>
      <c r="CN569" s="485"/>
      <c r="CO569" s="485"/>
      <c r="CP569" s="485"/>
      <c r="CQ569" s="485"/>
      <c r="CR569" s="485"/>
      <c r="CS569" s="485"/>
      <c r="CT569" s="485"/>
      <c r="CU569" s="485"/>
      <c r="CV569" s="485"/>
      <c r="CW569" s="485"/>
      <c r="CX569" s="485"/>
      <c r="CY569" s="485"/>
      <c r="CZ569" s="485"/>
      <c r="DA569" s="485"/>
      <c r="DB569" s="485"/>
      <c r="DC569" s="485"/>
      <c r="DD569" s="485"/>
      <c r="DE569" s="485"/>
      <c r="DF569" s="485"/>
      <c r="DG569" s="485"/>
      <c r="DH569" s="485"/>
      <c r="DI569" s="485"/>
      <c r="DJ569" s="485"/>
      <c r="DK569" s="485"/>
      <c r="DL569" s="485"/>
      <c r="DM569" s="485"/>
      <c r="DN569" s="485"/>
      <c r="DO569" s="485"/>
      <c r="DP569" s="485"/>
      <c r="DQ569" s="485"/>
      <c r="DR569" s="485"/>
      <c r="DS569" s="485"/>
      <c r="DT569" s="485"/>
      <c r="DU569" s="485"/>
      <c r="DV569" s="485"/>
      <c r="DW569" s="485"/>
      <c r="DX569" s="485"/>
      <c r="DY569" s="485"/>
      <c r="DZ569" s="485"/>
      <c r="EA569" s="485"/>
      <c r="EB569" s="485"/>
      <c r="EC569" s="485"/>
      <c r="ED569" s="485"/>
      <c r="EE569" s="485"/>
      <c r="EF569" s="485"/>
      <c r="EG569" s="485"/>
      <c r="EH569" s="485"/>
      <c r="EI569" s="485"/>
      <c r="EJ569" s="485"/>
      <c r="EK569" s="485"/>
      <c r="EL569" s="485"/>
      <c r="EM569" s="485"/>
      <c r="EN569" s="485"/>
      <c r="EO569" s="485"/>
      <c r="EP569" s="485"/>
    </row>
    <row r="570" spans="1:146">
      <c r="A570" s="485"/>
      <c r="B570" s="485"/>
      <c r="C570" s="485"/>
      <c r="D570" s="485"/>
      <c r="E570" s="485"/>
      <c r="F570" s="485"/>
      <c r="G570" s="485"/>
      <c r="H570" s="485"/>
      <c r="I570" s="485"/>
      <c r="J570" s="485"/>
      <c r="K570" s="485"/>
      <c r="L570" s="485"/>
      <c r="M570" s="485"/>
      <c r="P570" s="485"/>
      <c r="Q570" s="485"/>
      <c r="R570" s="485"/>
      <c r="S570" s="485"/>
      <c r="T570" s="485"/>
      <c r="U570" s="485"/>
      <c r="V570" s="485"/>
      <c r="W570" s="485"/>
      <c r="X570" s="485"/>
      <c r="Y570" s="485"/>
      <c r="Z570" s="485"/>
      <c r="AA570" s="485"/>
      <c r="AB570" s="485"/>
      <c r="AC570" s="485"/>
      <c r="AD570" s="485"/>
      <c r="AE570" s="485"/>
      <c r="AF570" s="485"/>
      <c r="AG570" s="485"/>
      <c r="AH570" s="485"/>
      <c r="AI570" s="485"/>
      <c r="AJ570" s="485"/>
      <c r="AK570" s="485"/>
      <c r="AL570" s="485"/>
      <c r="AM570" s="485"/>
      <c r="AN570" s="485"/>
      <c r="AO570" s="485"/>
      <c r="AP570" s="485"/>
      <c r="AQ570" s="485"/>
      <c r="AR570" s="485"/>
      <c r="AS570" s="485"/>
      <c r="AT570" s="485"/>
      <c r="AU570" s="485"/>
      <c r="AV570" s="485"/>
      <c r="AW570" s="485"/>
      <c r="AX570" s="485"/>
      <c r="AY570" s="485"/>
      <c r="AZ570" s="485"/>
      <c r="BA570" s="485"/>
      <c r="BB570" s="485"/>
      <c r="BC570" s="485"/>
      <c r="BD570" s="485"/>
      <c r="BE570" s="485"/>
      <c r="BF570" s="485"/>
      <c r="BG570" s="485"/>
      <c r="BH570" s="485"/>
      <c r="BI570" s="485"/>
      <c r="BJ570" s="485"/>
      <c r="BK570" s="485"/>
      <c r="BL570" s="485"/>
      <c r="BM570" s="485"/>
      <c r="BN570" s="485"/>
      <c r="BO570" s="485"/>
      <c r="BP570" s="485"/>
      <c r="BQ570" s="485"/>
      <c r="BR570" s="485"/>
      <c r="BS570" s="485"/>
      <c r="BT570" s="485"/>
      <c r="BU570" s="485"/>
      <c r="BV570" s="485"/>
      <c r="BW570" s="485"/>
      <c r="BX570" s="485"/>
      <c r="BY570" s="485"/>
      <c r="BZ570" s="485"/>
      <c r="CA570" s="485"/>
      <c r="CB570" s="485"/>
      <c r="CC570" s="485"/>
      <c r="CD570" s="485"/>
      <c r="CE570" s="485"/>
      <c r="CF570" s="485"/>
      <c r="CG570" s="485"/>
      <c r="CH570" s="485"/>
      <c r="CI570" s="485"/>
      <c r="CJ570" s="485"/>
      <c r="CK570" s="485"/>
      <c r="CL570" s="485"/>
      <c r="CM570" s="485"/>
      <c r="CN570" s="485"/>
      <c r="CO570" s="485"/>
      <c r="CP570" s="485"/>
      <c r="CQ570" s="485"/>
      <c r="CR570" s="485"/>
      <c r="CS570" s="485"/>
      <c r="CT570" s="485"/>
      <c r="CU570" s="485"/>
      <c r="CV570" s="485"/>
      <c r="CW570" s="485"/>
      <c r="CX570" s="485"/>
      <c r="CY570" s="485"/>
      <c r="CZ570" s="485"/>
      <c r="DA570" s="485"/>
      <c r="DB570" s="485"/>
      <c r="DC570" s="485"/>
      <c r="DD570" s="485"/>
      <c r="DE570" s="485"/>
      <c r="DF570" s="485"/>
      <c r="DG570" s="485"/>
      <c r="DH570" s="485"/>
      <c r="DI570" s="485"/>
      <c r="DJ570" s="485"/>
      <c r="DK570" s="485"/>
      <c r="DL570" s="485"/>
      <c r="DM570" s="485"/>
      <c r="DN570" s="485"/>
      <c r="DO570" s="485"/>
      <c r="DP570" s="485"/>
      <c r="DQ570" s="485"/>
      <c r="DR570" s="485"/>
      <c r="DS570" s="485"/>
      <c r="DT570" s="485"/>
      <c r="DU570" s="485"/>
      <c r="DV570" s="485"/>
      <c r="DW570" s="485"/>
      <c r="DX570" s="485"/>
      <c r="DY570" s="485"/>
      <c r="DZ570" s="485"/>
      <c r="EA570" s="485"/>
      <c r="EB570" s="485"/>
      <c r="EC570" s="485"/>
      <c r="ED570" s="485"/>
      <c r="EE570" s="485"/>
      <c r="EF570" s="485"/>
      <c r="EG570" s="485"/>
      <c r="EH570" s="485"/>
      <c r="EI570" s="485"/>
      <c r="EJ570" s="485"/>
      <c r="EK570" s="485"/>
      <c r="EL570" s="485"/>
      <c r="EM570" s="485"/>
      <c r="EN570" s="485"/>
      <c r="EO570" s="485"/>
      <c r="EP570" s="485"/>
    </row>
    <row r="571" spans="1:146">
      <c r="A571" s="485"/>
      <c r="B571" s="485"/>
      <c r="C571" s="485"/>
      <c r="D571" s="485"/>
      <c r="E571" s="485"/>
      <c r="F571" s="485"/>
      <c r="G571" s="485"/>
      <c r="H571" s="485"/>
      <c r="I571" s="485"/>
      <c r="J571" s="485"/>
      <c r="K571" s="485"/>
      <c r="L571" s="485"/>
      <c r="M571" s="485"/>
      <c r="P571" s="485"/>
      <c r="Q571" s="485"/>
      <c r="R571" s="485"/>
      <c r="S571" s="485"/>
      <c r="T571" s="485"/>
      <c r="U571" s="485"/>
      <c r="V571" s="485"/>
      <c r="W571" s="485"/>
      <c r="X571" s="485"/>
      <c r="Y571" s="485"/>
      <c r="Z571" s="485"/>
      <c r="AA571" s="485"/>
      <c r="AB571" s="485"/>
      <c r="AC571" s="485"/>
      <c r="AD571" s="485"/>
      <c r="AE571" s="485"/>
      <c r="AF571" s="485"/>
      <c r="AG571" s="485"/>
      <c r="AH571" s="485"/>
      <c r="AI571" s="485"/>
      <c r="AJ571" s="485"/>
      <c r="AK571" s="485"/>
      <c r="AL571" s="485"/>
      <c r="AM571" s="485"/>
      <c r="AN571" s="485"/>
      <c r="AO571" s="485"/>
      <c r="AP571" s="485"/>
      <c r="AQ571" s="485"/>
      <c r="AR571" s="485"/>
      <c r="AS571" s="485"/>
      <c r="AT571" s="485"/>
      <c r="AU571" s="485"/>
      <c r="AV571" s="485"/>
      <c r="AW571" s="485"/>
      <c r="AX571" s="485"/>
      <c r="AY571" s="485"/>
      <c r="AZ571" s="485"/>
      <c r="BA571" s="485"/>
      <c r="BB571" s="485"/>
      <c r="BC571" s="485"/>
      <c r="BD571" s="485"/>
      <c r="BE571" s="485"/>
      <c r="BF571" s="485"/>
      <c r="BG571" s="485"/>
      <c r="BH571" s="485"/>
      <c r="BI571" s="485"/>
      <c r="BJ571" s="485"/>
      <c r="BK571" s="485"/>
      <c r="BL571" s="485"/>
      <c r="BM571" s="485"/>
      <c r="BN571" s="485"/>
      <c r="BO571" s="485"/>
      <c r="BP571" s="485"/>
      <c r="BQ571" s="485"/>
      <c r="BR571" s="485"/>
      <c r="BS571" s="485"/>
      <c r="BT571" s="485"/>
      <c r="BU571" s="485"/>
      <c r="BV571" s="485"/>
      <c r="BW571" s="485"/>
      <c r="BX571" s="485"/>
      <c r="BY571" s="485"/>
      <c r="BZ571" s="485"/>
      <c r="CA571" s="485"/>
      <c r="CB571" s="485"/>
      <c r="CC571" s="485"/>
      <c r="CD571" s="485"/>
      <c r="CE571" s="485"/>
      <c r="CF571" s="485"/>
      <c r="CG571" s="485"/>
      <c r="CH571" s="485"/>
      <c r="CI571" s="485"/>
      <c r="CJ571" s="485"/>
      <c r="CK571" s="485"/>
      <c r="CL571" s="485"/>
      <c r="CM571" s="485"/>
      <c r="CN571" s="485"/>
      <c r="CO571" s="485"/>
      <c r="CP571" s="485"/>
      <c r="CQ571" s="485"/>
      <c r="CR571" s="485"/>
      <c r="CS571" s="485"/>
      <c r="CT571" s="485"/>
      <c r="CU571" s="485"/>
      <c r="CV571" s="485"/>
      <c r="CW571" s="485"/>
      <c r="CX571" s="485"/>
      <c r="CY571" s="485"/>
      <c r="CZ571" s="485"/>
      <c r="DA571" s="485"/>
      <c r="DB571" s="485"/>
      <c r="DC571" s="485"/>
      <c r="DD571" s="485"/>
      <c r="DE571" s="485"/>
      <c r="DF571" s="485"/>
      <c r="DG571" s="485"/>
      <c r="DH571" s="485"/>
      <c r="DI571" s="485"/>
      <c r="DJ571" s="485"/>
      <c r="DK571" s="485"/>
      <c r="DL571" s="485"/>
      <c r="DM571" s="485"/>
      <c r="DN571" s="485"/>
      <c r="DO571" s="485"/>
      <c r="DP571" s="485"/>
      <c r="DQ571" s="485"/>
      <c r="DR571" s="485"/>
      <c r="DS571" s="485"/>
      <c r="DT571" s="485"/>
      <c r="DU571" s="485"/>
      <c r="DV571" s="485"/>
      <c r="DW571" s="485"/>
      <c r="DX571" s="485"/>
      <c r="DY571" s="485"/>
      <c r="DZ571" s="485"/>
      <c r="EA571" s="485"/>
      <c r="EB571" s="485"/>
      <c r="EC571" s="485"/>
      <c r="ED571" s="485"/>
      <c r="EE571" s="485"/>
      <c r="EF571" s="485"/>
      <c r="EG571" s="485"/>
      <c r="EH571" s="485"/>
      <c r="EI571" s="485"/>
      <c r="EJ571" s="485"/>
      <c r="EK571" s="485"/>
      <c r="EL571" s="485"/>
      <c r="EM571" s="485"/>
      <c r="EN571" s="485"/>
      <c r="EO571" s="485"/>
      <c r="EP571" s="485"/>
    </row>
    <row r="572" spans="1:146">
      <c r="A572" s="485"/>
      <c r="B572" s="485"/>
      <c r="C572" s="485"/>
      <c r="D572" s="485"/>
      <c r="E572" s="485"/>
      <c r="F572" s="485"/>
      <c r="G572" s="485"/>
      <c r="H572" s="485"/>
      <c r="I572" s="485"/>
      <c r="J572" s="485"/>
      <c r="K572" s="485"/>
      <c r="L572" s="485"/>
      <c r="M572" s="485"/>
      <c r="P572" s="485"/>
      <c r="Q572" s="485"/>
      <c r="R572" s="485"/>
      <c r="S572" s="485"/>
      <c r="T572" s="485"/>
      <c r="U572" s="485"/>
      <c r="V572" s="485"/>
      <c r="W572" s="485"/>
      <c r="X572" s="485"/>
      <c r="Y572" s="485"/>
      <c r="Z572" s="485"/>
      <c r="AA572" s="485"/>
      <c r="AB572" s="485"/>
      <c r="AC572" s="485"/>
      <c r="AD572" s="485"/>
      <c r="AE572" s="485"/>
      <c r="AF572" s="485"/>
      <c r="AG572" s="485"/>
      <c r="AH572" s="485"/>
      <c r="AI572" s="485"/>
      <c r="AJ572" s="485"/>
      <c r="AK572" s="485"/>
      <c r="AL572" s="485"/>
      <c r="AM572" s="485"/>
      <c r="AN572" s="485"/>
      <c r="AO572" s="485"/>
      <c r="AP572" s="485"/>
      <c r="AQ572" s="485"/>
      <c r="AR572" s="485"/>
      <c r="AS572" s="485"/>
      <c r="AT572" s="485"/>
      <c r="AU572" s="485"/>
      <c r="AV572" s="485"/>
      <c r="AW572" s="485"/>
      <c r="AX572" s="485"/>
      <c r="AY572" s="485"/>
      <c r="AZ572" s="485"/>
      <c r="BA572" s="485"/>
      <c r="BB572" s="485"/>
      <c r="BC572" s="485"/>
      <c r="BD572" s="485"/>
      <c r="BE572" s="485"/>
      <c r="BF572" s="485"/>
      <c r="BG572" s="485"/>
      <c r="BH572" s="485"/>
      <c r="BI572" s="485"/>
      <c r="BJ572" s="485"/>
      <c r="BK572" s="485"/>
      <c r="BL572" s="485"/>
      <c r="BM572" s="485"/>
      <c r="BN572" s="485"/>
      <c r="BO572" s="485"/>
      <c r="BP572" s="485"/>
      <c r="BQ572" s="485"/>
      <c r="BR572" s="485"/>
      <c r="BS572" s="485"/>
      <c r="BT572" s="485"/>
      <c r="BU572" s="485"/>
      <c r="BV572" s="485"/>
      <c r="BW572" s="485"/>
      <c r="BX572" s="485"/>
      <c r="BY572" s="485"/>
      <c r="BZ572" s="485"/>
      <c r="CA572" s="485"/>
      <c r="CB572" s="485"/>
      <c r="CC572" s="485"/>
      <c r="CD572" s="485"/>
      <c r="CE572" s="485"/>
      <c r="CF572" s="485"/>
      <c r="CG572" s="485"/>
      <c r="CH572" s="485"/>
      <c r="CI572" s="485"/>
      <c r="CJ572" s="485"/>
      <c r="CK572" s="485"/>
      <c r="CL572" s="485"/>
      <c r="CM572" s="485"/>
      <c r="CN572" s="485"/>
      <c r="CO572" s="485"/>
      <c r="CP572" s="485"/>
      <c r="CQ572" s="485"/>
      <c r="CR572" s="485"/>
      <c r="CS572" s="485"/>
      <c r="CT572" s="485"/>
      <c r="CU572" s="485"/>
      <c r="CV572" s="485"/>
      <c r="CW572" s="485"/>
      <c r="CX572" s="485"/>
      <c r="CY572" s="485"/>
      <c r="CZ572" s="485"/>
      <c r="DA572" s="485"/>
      <c r="DB572" s="485"/>
      <c r="DC572" s="485"/>
      <c r="DD572" s="485"/>
      <c r="DE572" s="485"/>
      <c r="DF572" s="485"/>
      <c r="DG572" s="485"/>
      <c r="DH572" s="485"/>
      <c r="DI572" s="485"/>
      <c r="DJ572" s="485"/>
      <c r="DK572" s="485"/>
      <c r="DL572" s="485"/>
      <c r="DM572" s="485"/>
      <c r="DN572" s="485"/>
      <c r="DO572" s="485"/>
      <c r="DP572" s="485"/>
      <c r="DQ572" s="485"/>
      <c r="DR572" s="485"/>
      <c r="DS572" s="485"/>
      <c r="DT572" s="485"/>
      <c r="DU572" s="485"/>
      <c r="DV572" s="485"/>
      <c r="DW572" s="485"/>
      <c r="DX572" s="485"/>
      <c r="DY572" s="485"/>
      <c r="DZ572" s="485"/>
      <c r="EA572" s="485"/>
      <c r="EB572" s="485"/>
      <c r="EC572" s="485"/>
      <c r="ED572" s="485"/>
      <c r="EE572" s="485"/>
      <c r="EF572" s="485"/>
      <c r="EG572" s="485"/>
      <c r="EH572" s="485"/>
      <c r="EI572" s="485"/>
      <c r="EJ572" s="485"/>
      <c r="EK572" s="485"/>
      <c r="EL572" s="485"/>
      <c r="EM572" s="485"/>
      <c r="EN572" s="485"/>
      <c r="EO572" s="485"/>
      <c r="EP572" s="485"/>
    </row>
    <row r="573" spans="1:146">
      <c r="A573" s="485"/>
      <c r="B573" s="485"/>
      <c r="C573" s="485"/>
      <c r="D573" s="485"/>
      <c r="E573" s="485"/>
      <c r="F573" s="485"/>
      <c r="G573" s="485"/>
      <c r="H573" s="485"/>
      <c r="I573" s="485"/>
      <c r="J573" s="485"/>
      <c r="K573" s="485"/>
      <c r="L573" s="485"/>
      <c r="M573" s="485"/>
      <c r="P573" s="485"/>
      <c r="Q573" s="485"/>
      <c r="R573" s="485"/>
      <c r="S573" s="485"/>
      <c r="T573" s="485"/>
      <c r="U573" s="485"/>
      <c r="V573" s="485"/>
      <c r="W573" s="485"/>
      <c r="X573" s="485"/>
      <c r="Y573" s="485"/>
      <c r="Z573" s="485"/>
      <c r="AA573" s="485"/>
      <c r="AB573" s="485"/>
      <c r="AC573" s="485"/>
      <c r="AD573" s="485"/>
      <c r="AE573" s="485"/>
      <c r="AF573" s="485"/>
      <c r="AG573" s="485"/>
      <c r="AH573" s="485"/>
      <c r="AI573" s="485"/>
      <c r="AJ573" s="485"/>
      <c r="AK573" s="485"/>
      <c r="AL573" s="485"/>
      <c r="AM573" s="485"/>
      <c r="AN573" s="485"/>
      <c r="AO573" s="485"/>
      <c r="AP573" s="485"/>
      <c r="AQ573" s="485"/>
      <c r="AR573" s="485"/>
      <c r="AS573" s="485"/>
      <c r="AT573" s="485"/>
      <c r="AU573" s="485"/>
      <c r="AV573" s="485"/>
      <c r="AW573" s="485"/>
      <c r="AX573" s="485"/>
      <c r="AY573" s="485"/>
      <c r="AZ573" s="485"/>
      <c r="BA573" s="485"/>
      <c r="BB573" s="485"/>
      <c r="BC573" s="485"/>
      <c r="BD573" s="485"/>
      <c r="BE573" s="485"/>
      <c r="BF573" s="485"/>
      <c r="BG573" s="485"/>
      <c r="BH573" s="485"/>
      <c r="BI573" s="485"/>
      <c r="BJ573" s="485"/>
      <c r="BK573" s="485"/>
      <c r="BL573" s="485"/>
      <c r="BM573" s="485"/>
      <c r="BN573" s="485"/>
      <c r="BO573" s="485"/>
      <c r="BP573" s="485"/>
      <c r="BQ573" s="485"/>
      <c r="BR573" s="485"/>
      <c r="BS573" s="485"/>
      <c r="BT573" s="485"/>
      <c r="BU573" s="485"/>
      <c r="BV573" s="485"/>
      <c r="BW573" s="485"/>
      <c r="BX573" s="485"/>
      <c r="BY573" s="485"/>
      <c r="BZ573" s="485"/>
      <c r="CA573" s="485"/>
      <c r="CB573" s="485"/>
      <c r="CC573" s="485"/>
      <c r="CD573" s="485"/>
      <c r="CE573" s="485"/>
      <c r="CF573" s="485"/>
      <c r="CG573" s="485"/>
      <c r="CH573" s="485"/>
      <c r="CI573" s="485"/>
      <c r="CJ573" s="485"/>
      <c r="CK573" s="485"/>
      <c r="CL573" s="485"/>
      <c r="CM573" s="485"/>
      <c r="CN573" s="485"/>
      <c r="CO573" s="485"/>
      <c r="CP573" s="485"/>
      <c r="CQ573" s="485"/>
      <c r="CR573" s="485"/>
      <c r="CS573" s="485"/>
      <c r="CT573" s="485"/>
      <c r="CU573" s="485"/>
      <c r="CV573" s="485"/>
      <c r="CW573" s="485"/>
      <c r="CX573" s="485"/>
      <c r="CY573" s="485"/>
      <c r="CZ573" s="485"/>
      <c r="DA573" s="485"/>
      <c r="DB573" s="485"/>
      <c r="DC573" s="485"/>
      <c r="DD573" s="485"/>
      <c r="DE573" s="485"/>
      <c r="DF573" s="485"/>
      <c r="DG573" s="485"/>
      <c r="DH573" s="485"/>
      <c r="DI573" s="485"/>
      <c r="DJ573" s="485"/>
      <c r="DK573" s="485"/>
      <c r="DL573" s="485"/>
      <c r="DM573" s="485"/>
      <c r="DN573" s="485"/>
      <c r="DO573" s="485"/>
      <c r="DP573" s="485"/>
      <c r="DQ573" s="485"/>
      <c r="DR573" s="485"/>
      <c r="DS573" s="485"/>
      <c r="DT573" s="485"/>
      <c r="DU573" s="485"/>
      <c r="DV573" s="485"/>
      <c r="DW573" s="485"/>
      <c r="DX573" s="485"/>
      <c r="DY573" s="485"/>
      <c r="DZ573" s="485"/>
      <c r="EA573" s="485"/>
      <c r="EB573" s="485"/>
      <c r="EC573" s="485"/>
      <c r="ED573" s="485"/>
      <c r="EE573" s="485"/>
      <c r="EF573" s="485"/>
      <c r="EG573" s="485"/>
      <c r="EH573" s="485"/>
      <c r="EI573" s="485"/>
      <c r="EJ573" s="485"/>
      <c r="EK573" s="485"/>
      <c r="EL573" s="485"/>
      <c r="EM573" s="485"/>
      <c r="EN573" s="485"/>
      <c r="EO573" s="485"/>
      <c r="EP573" s="485"/>
    </row>
    <row r="574" spans="1:146">
      <c r="A574" s="485"/>
      <c r="B574" s="485"/>
      <c r="C574" s="485"/>
      <c r="D574" s="485"/>
      <c r="E574" s="485"/>
      <c r="F574" s="485"/>
      <c r="G574" s="485"/>
      <c r="H574" s="485"/>
      <c r="I574" s="485"/>
      <c r="J574" s="485"/>
      <c r="K574" s="485"/>
      <c r="L574" s="485"/>
      <c r="M574" s="485"/>
      <c r="P574" s="485"/>
      <c r="Q574" s="485"/>
      <c r="R574" s="485"/>
      <c r="S574" s="485"/>
      <c r="T574" s="485"/>
      <c r="U574" s="485"/>
      <c r="V574" s="485"/>
      <c r="W574" s="485"/>
      <c r="X574" s="485"/>
      <c r="Y574" s="485"/>
      <c r="Z574" s="485"/>
      <c r="AA574" s="485"/>
      <c r="AB574" s="485"/>
      <c r="AC574" s="485"/>
      <c r="AD574" s="485"/>
      <c r="AE574" s="485"/>
      <c r="AF574" s="485"/>
      <c r="AG574" s="485"/>
      <c r="AH574" s="485"/>
      <c r="AI574" s="485"/>
      <c r="AJ574" s="485"/>
      <c r="AK574" s="485"/>
      <c r="AL574" s="485"/>
      <c r="AM574" s="485"/>
      <c r="AN574" s="485"/>
      <c r="AO574" s="485"/>
      <c r="AP574" s="485"/>
      <c r="AQ574" s="485"/>
      <c r="AR574" s="485"/>
      <c r="AS574" s="485"/>
      <c r="AT574" s="485"/>
      <c r="AU574" s="485"/>
      <c r="AV574" s="485"/>
      <c r="AW574" s="485"/>
      <c r="AX574" s="485"/>
      <c r="AY574" s="485"/>
      <c r="AZ574" s="485"/>
      <c r="BA574" s="485"/>
      <c r="BB574" s="485"/>
      <c r="BC574" s="485"/>
      <c r="BD574" s="485"/>
      <c r="BE574" s="485"/>
      <c r="BF574" s="485"/>
      <c r="BG574" s="485"/>
      <c r="BH574" s="485"/>
      <c r="BI574" s="485"/>
      <c r="BJ574" s="485"/>
      <c r="BK574" s="485"/>
      <c r="BL574" s="485"/>
      <c r="BM574" s="485"/>
      <c r="BN574" s="485"/>
      <c r="BO574" s="485"/>
      <c r="BP574" s="485"/>
      <c r="BQ574" s="485"/>
      <c r="BR574" s="485"/>
      <c r="BS574" s="485"/>
      <c r="BT574" s="485"/>
      <c r="BU574" s="485"/>
      <c r="BV574" s="485"/>
      <c r="BW574" s="485"/>
      <c r="BX574" s="485"/>
      <c r="BY574" s="485"/>
      <c r="BZ574" s="485"/>
      <c r="CA574" s="485"/>
      <c r="CB574" s="485"/>
      <c r="CC574" s="485"/>
      <c r="CD574" s="485"/>
      <c r="CE574" s="485"/>
      <c r="CF574" s="485"/>
      <c r="CG574" s="485"/>
      <c r="CH574" s="485"/>
      <c r="CI574" s="485"/>
      <c r="CJ574" s="485"/>
      <c r="CK574" s="485"/>
      <c r="CL574" s="485"/>
      <c r="CM574" s="485"/>
      <c r="CN574" s="485"/>
      <c r="CO574" s="485"/>
      <c r="CP574" s="485"/>
      <c r="CQ574" s="485"/>
      <c r="CR574" s="485"/>
      <c r="CS574" s="485"/>
      <c r="CT574" s="485"/>
      <c r="CU574" s="485"/>
      <c r="CV574" s="485"/>
      <c r="CW574" s="485"/>
      <c r="CX574" s="485"/>
      <c r="CY574" s="485"/>
      <c r="CZ574" s="485"/>
      <c r="DA574" s="485"/>
      <c r="DB574" s="485"/>
      <c r="DC574" s="485"/>
      <c r="DD574" s="485"/>
      <c r="DE574" s="485"/>
      <c r="DF574" s="485"/>
      <c r="DG574" s="485"/>
      <c r="DH574" s="485"/>
      <c r="DI574" s="485"/>
      <c r="DJ574" s="485"/>
      <c r="DK574" s="485"/>
      <c r="DL574" s="485"/>
      <c r="DM574" s="485"/>
      <c r="DN574" s="485"/>
      <c r="DO574" s="485"/>
      <c r="DP574" s="485"/>
      <c r="DQ574" s="485"/>
      <c r="DR574" s="485"/>
      <c r="DS574" s="485"/>
      <c r="DT574" s="485"/>
      <c r="DU574" s="485"/>
      <c r="DV574" s="485"/>
      <c r="DW574" s="485"/>
      <c r="DX574" s="485"/>
      <c r="DY574" s="485"/>
      <c r="DZ574" s="485"/>
      <c r="EA574" s="485"/>
      <c r="EB574" s="485"/>
      <c r="EC574" s="485"/>
      <c r="ED574" s="485"/>
      <c r="EE574" s="485"/>
      <c r="EF574" s="485"/>
      <c r="EG574" s="485"/>
      <c r="EH574" s="485"/>
      <c r="EI574" s="485"/>
      <c r="EJ574" s="485"/>
      <c r="EK574" s="485"/>
      <c r="EL574" s="485"/>
      <c r="EM574" s="485"/>
      <c r="EN574" s="485"/>
      <c r="EO574" s="485"/>
      <c r="EP574" s="485"/>
    </row>
    <row r="575" spans="1:146">
      <c r="A575" s="485"/>
      <c r="B575" s="485"/>
      <c r="C575" s="485"/>
      <c r="D575" s="485"/>
      <c r="E575" s="485"/>
      <c r="F575" s="485"/>
      <c r="G575" s="485"/>
      <c r="H575" s="485"/>
      <c r="I575" s="485"/>
      <c r="J575" s="485"/>
      <c r="K575" s="485"/>
      <c r="L575" s="485"/>
      <c r="M575" s="485"/>
      <c r="P575" s="485"/>
      <c r="Q575" s="485"/>
      <c r="R575" s="485"/>
      <c r="S575" s="485"/>
      <c r="T575" s="485"/>
      <c r="U575" s="485"/>
      <c r="V575" s="485"/>
      <c r="W575" s="485"/>
      <c r="X575" s="485"/>
      <c r="Y575" s="485"/>
      <c r="Z575" s="485"/>
      <c r="AA575" s="485"/>
      <c r="AB575" s="485"/>
      <c r="AC575" s="485"/>
      <c r="AD575" s="485"/>
      <c r="AE575" s="485"/>
      <c r="AF575" s="485"/>
      <c r="AG575" s="485"/>
      <c r="AH575" s="485"/>
      <c r="AI575" s="485"/>
      <c r="AJ575" s="485"/>
      <c r="AK575" s="485"/>
      <c r="AL575" s="485"/>
      <c r="AM575" s="485"/>
      <c r="AN575" s="485"/>
      <c r="AO575" s="485"/>
      <c r="AP575" s="485"/>
      <c r="AQ575" s="485"/>
      <c r="AR575" s="485"/>
      <c r="AS575" s="485"/>
      <c r="AT575" s="485"/>
      <c r="AU575" s="485"/>
      <c r="AV575" s="485"/>
      <c r="AW575" s="485"/>
      <c r="AX575" s="485"/>
      <c r="AY575" s="485"/>
      <c r="AZ575" s="485"/>
      <c r="BA575" s="485"/>
      <c r="BB575" s="485"/>
      <c r="BC575" s="485"/>
      <c r="BD575" s="485"/>
      <c r="BE575" s="485"/>
      <c r="BF575" s="485"/>
      <c r="BG575" s="485"/>
      <c r="BH575" s="485"/>
      <c r="BI575" s="485"/>
      <c r="BJ575" s="485"/>
      <c r="BK575" s="485"/>
      <c r="BL575" s="485"/>
      <c r="BM575" s="485"/>
      <c r="BN575" s="485"/>
      <c r="BO575" s="485"/>
      <c r="BP575" s="485"/>
      <c r="BQ575" s="485"/>
      <c r="BR575" s="485"/>
      <c r="BS575" s="485"/>
      <c r="BT575" s="485"/>
      <c r="BU575" s="485"/>
      <c r="BV575" s="485"/>
      <c r="BW575" s="485"/>
      <c r="BX575" s="485"/>
      <c r="BY575" s="485"/>
      <c r="BZ575" s="485"/>
      <c r="CA575" s="485"/>
      <c r="CB575" s="485"/>
      <c r="CC575" s="485"/>
      <c r="CD575" s="485"/>
      <c r="CE575" s="485"/>
      <c r="CF575" s="485"/>
      <c r="CG575" s="485"/>
      <c r="CH575" s="485"/>
      <c r="CI575" s="485"/>
      <c r="CJ575" s="485"/>
      <c r="CK575" s="485"/>
      <c r="CL575" s="485"/>
      <c r="CM575" s="485"/>
      <c r="CN575" s="485"/>
      <c r="CO575" s="485"/>
      <c r="CP575" s="485"/>
      <c r="CQ575" s="485"/>
      <c r="CR575" s="485"/>
      <c r="CS575" s="485"/>
      <c r="CT575" s="485"/>
      <c r="CU575" s="485"/>
      <c r="CV575" s="485"/>
      <c r="CW575" s="485"/>
      <c r="CX575" s="485"/>
      <c r="CY575" s="485"/>
      <c r="CZ575" s="485"/>
      <c r="DA575" s="485"/>
      <c r="DB575" s="485"/>
      <c r="DC575" s="485"/>
      <c r="DD575" s="485"/>
      <c r="DE575" s="485"/>
      <c r="DF575" s="485"/>
      <c r="DG575" s="485"/>
      <c r="DH575" s="485"/>
      <c r="DI575" s="485"/>
      <c r="DJ575" s="485"/>
      <c r="DK575" s="485"/>
      <c r="DL575" s="485"/>
      <c r="DM575" s="485"/>
      <c r="DN575" s="485"/>
      <c r="DO575" s="485"/>
      <c r="DP575" s="485"/>
      <c r="DQ575" s="485"/>
      <c r="DR575" s="485"/>
      <c r="DS575" s="485"/>
      <c r="DT575" s="485"/>
      <c r="DU575" s="485"/>
      <c r="DV575" s="485"/>
      <c r="DW575" s="485"/>
      <c r="DX575" s="485"/>
      <c r="DY575" s="485"/>
      <c r="DZ575" s="485"/>
      <c r="EA575" s="485"/>
      <c r="EB575" s="485"/>
      <c r="EC575" s="485"/>
      <c r="ED575" s="485"/>
      <c r="EE575" s="485"/>
      <c r="EF575" s="485"/>
      <c r="EG575" s="485"/>
      <c r="EH575" s="485"/>
      <c r="EI575" s="485"/>
      <c r="EJ575" s="485"/>
      <c r="EK575" s="485"/>
      <c r="EL575" s="485"/>
      <c r="EM575" s="485"/>
      <c r="EN575" s="485"/>
      <c r="EO575" s="485"/>
      <c r="EP575" s="485"/>
    </row>
    <row r="576" spans="1:146">
      <c r="A576" s="485"/>
      <c r="B576" s="485"/>
      <c r="C576" s="485"/>
      <c r="D576" s="485"/>
      <c r="E576" s="485"/>
      <c r="F576" s="485"/>
      <c r="G576" s="485"/>
      <c r="H576" s="485"/>
      <c r="I576" s="485"/>
      <c r="J576" s="485"/>
      <c r="K576" s="485"/>
      <c r="L576" s="485"/>
      <c r="M576" s="485"/>
      <c r="P576" s="485"/>
      <c r="Q576" s="485"/>
      <c r="R576" s="485"/>
      <c r="S576" s="485"/>
      <c r="T576" s="485"/>
      <c r="U576" s="485"/>
      <c r="V576" s="485"/>
      <c r="W576" s="485"/>
      <c r="X576" s="485"/>
      <c r="Y576" s="485"/>
      <c r="Z576" s="485"/>
      <c r="AA576" s="485"/>
      <c r="AB576" s="485"/>
      <c r="AC576" s="485"/>
      <c r="AD576" s="485"/>
      <c r="AE576" s="485"/>
      <c r="AF576" s="485"/>
      <c r="AG576" s="485"/>
      <c r="AH576" s="485"/>
      <c r="AI576" s="485"/>
      <c r="AJ576" s="485"/>
      <c r="AK576" s="485"/>
      <c r="AL576" s="485"/>
      <c r="AM576" s="485"/>
      <c r="AN576" s="485"/>
      <c r="AO576" s="485"/>
      <c r="AP576" s="485"/>
      <c r="AQ576" s="485"/>
      <c r="AR576" s="485"/>
      <c r="AS576" s="485"/>
      <c r="AT576" s="485"/>
      <c r="AU576" s="485"/>
      <c r="AV576" s="485"/>
      <c r="AW576" s="485"/>
      <c r="AX576" s="485"/>
      <c r="AY576" s="485"/>
      <c r="AZ576" s="485"/>
      <c r="BA576" s="485"/>
      <c r="BB576" s="485"/>
      <c r="BC576" s="485"/>
      <c r="BD576" s="485"/>
      <c r="BE576" s="485"/>
      <c r="BF576" s="485"/>
      <c r="BG576" s="485"/>
      <c r="BH576" s="485"/>
      <c r="BI576" s="485"/>
      <c r="BJ576" s="485"/>
      <c r="BK576" s="485"/>
      <c r="BL576" s="485"/>
      <c r="BM576" s="485"/>
      <c r="BN576" s="485"/>
      <c r="BO576" s="485"/>
      <c r="BP576" s="485"/>
      <c r="BQ576" s="485"/>
      <c r="BR576" s="485"/>
      <c r="BS576" s="485"/>
      <c r="BT576" s="485"/>
      <c r="BU576" s="485"/>
      <c r="BV576" s="485"/>
      <c r="BW576" s="485"/>
      <c r="BX576" s="485"/>
      <c r="BY576" s="485"/>
      <c r="BZ576" s="485"/>
      <c r="CA576" s="485"/>
      <c r="CB576" s="485"/>
      <c r="CC576" s="485"/>
      <c r="CD576" s="485"/>
      <c r="CE576" s="485"/>
      <c r="CF576" s="485"/>
      <c r="CG576" s="485"/>
      <c r="CH576" s="485"/>
      <c r="CI576" s="485"/>
      <c r="CJ576" s="485"/>
      <c r="CK576" s="485"/>
      <c r="CL576" s="485"/>
      <c r="CM576" s="485"/>
      <c r="CN576" s="485"/>
      <c r="CO576" s="485"/>
      <c r="CP576" s="485"/>
      <c r="CQ576" s="485"/>
      <c r="CR576" s="485"/>
      <c r="CS576" s="485"/>
      <c r="CT576" s="485"/>
      <c r="CU576" s="485"/>
      <c r="CV576" s="485"/>
      <c r="CW576" s="485"/>
      <c r="CX576" s="485"/>
      <c r="CY576" s="485"/>
      <c r="CZ576" s="485"/>
      <c r="DA576" s="485"/>
      <c r="DB576" s="485"/>
      <c r="DC576" s="485"/>
      <c r="DD576" s="485"/>
      <c r="DE576" s="485"/>
      <c r="DF576" s="485"/>
      <c r="DG576" s="485"/>
      <c r="DH576" s="485"/>
      <c r="DI576" s="485"/>
      <c r="DJ576" s="485"/>
      <c r="DK576" s="485"/>
      <c r="DL576" s="485"/>
      <c r="DM576" s="485"/>
      <c r="DN576" s="485"/>
      <c r="DO576" s="485"/>
      <c r="DP576" s="485"/>
      <c r="DQ576" s="485"/>
      <c r="DR576" s="485"/>
      <c r="DS576" s="485"/>
      <c r="DT576" s="485"/>
      <c r="DU576" s="485"/>
      <c r="DV576" s="485"/>
      <c r="DW576" s="485"/>
      <c r="DX576" s="485"/>
      <c r="DY576" s="485"/>
      <c r="DZ576" s="485"/>
      <c r="EA576" s="485"/>
      <c r="EB576" s="485"/>
      <c r="EC576" s="485"/>
      <c r="ED576" s="485"/>
      <c r="EE576" s="485"/>
      <c r="EF576" s="485"/>
      <c r="EG576" s="485"/>
      <c r="EH576" s="485"/>
      <c r="EI576" s="485"/>
      <c r="EJ576" s="485"/>
      <c r="EK576" s="485"/>
      <c r="EL576" s="485"/>
      <c r="EM576" s="485"/>
      <c r="EN576" s="485"/>
      <c r="EO576" s="485"/>
      <c r="EP576" s="485"/>
    </row>
    <row r="577" spans="1:146">
      <c r="A577" s="485"/>
      <c r="B577" s="485"/>
      <c r="C577" s="485"/>
      <c r="D577" s="485"/>
      <c r="E577" s="485"/>
      <c r="F577" s="485"/>
      <c r="G577" s="485"/>
      <c r="H577" s="485"/>
      <c r="I577" s="485"/>
      <c r="J577" s="485"/>
      <c r="K577" s="485"/>
      <c r="L577" s="485"/>
      <c r="M577" s="485"/>
      <c r="P577" s="485"/>
      <c r="Q577" s="485"/>
      <c r="R577" s="485"/>
      <c r="S577" s="485"/>
      <c r="T577" s="485"/>
      <c r="U577" s="485"/>
      <c r="V577" s="485"/>
      <c r="W577" s="485"/>
      <c r="X577" s="485"/>
      <c r="Y577" s="485"/>
      <c r="Z577" s="485"/>
      <c r="AA577" s="485"/>
      <c r="AB577" s="485"/>
      <c r="AC577" s="485"/>
      <c r="AD577" s="485"/>
      <c r="AE577" s="485"/>
      <c r="AF577" s="485"/>
      <c r="AG577" s="485"/>
      <c r="AH577" s="485"/>
      <c r="AI577" s="485"/>
      <c r="AJ577" s="485"/>
      <c r="AK577" s="485"/>
      <c r="AL577" s="485"/>
      <c r="AM577" s="485"/>
      <c r="AN577" s="485"/>
      <c r="AO577" s="485"/>
      <c r="AP577" s="485"/>
      <c r="AQ577" s="485"/>
      <c r="AR577" s="485"/>
      <c r="AS577" s="485"/>
      <c r="AT577" s="485"/>
      <c r="AU577" s="485"/>
      <c r="AV577" s="485"/>
      <c r="AW577" s="485"/>
      <c r="AX577" s="485"/>
      <c r="AY577" s="485"/>
      <c r="AZ577" s="485"/>
      <c r="BA577" s="485"/>
      <c r="BB577" s="485"/>
      <c r="BC577" s="485"/>
      <c r="BD577" s="485"/>
      <c r="BE577" s="485"/>
      <c r="BF577" s="485"/>
      <c r="BG577" s="485"/>
      <c r="BH577" s="485"/>
      <c r="BI577" s="485"/>
      <c r="BJ577" s="485"/>
      <c r="BK577" s="485"/>
      <c r="BL577" s="485"/>
      <c r="BM577" s="485"/>
      <c r="BN577" s="485"/>
      <c r="BO577" s="485"/>
      <c r="BP577" s="485"/>
      <c r="BQ577" s="485"/>
      <c r="BR577" s="485"/>
      <c r="BS577" s="485"/>
      <c r="BT577" s="485"/>
      <c r="BU577" s="485"/>
      <c r="BV577" s="485"/>
      <c r="BW577" s="485"/>
      <c r="BX577" s="485"/>
      <c r="BY577" s="485"/>
      <c r="BZ577" s="485"/>
      <c r="CA577" s="485"/>
      <c r="CB577" s="485"/>
      <c r="CC577" s="485"/>
      <c r="CD577" s="485"/>
      <c r="CE577" s="485"/>
      <c r="CF577" s="485"/>
      <c r="CG577" s="485"/>
      <c r="CH577" s="485"/>
      <c r="CI577" s="485"/>
      <c r="CJ577" s="485"/>
      <c r="CK577" s="485"/>
      <c r="CL577" s="485"/>
      <c r="CM577" s="485"/>
      <c r="CN577" s="485"/>
      <c r="CO577" s="485"/>
      <c r="CP577" s="485"/>
      <c r="CQ577" s="485"/>
      <c r="CR577" s="485"/>
      <c r="CS577" s="485"/>
      <c r="CT577" s="485"/>
      <c r="CU577" s="485"/>
      <c r="CV577" s="485"/>
      <c r="CW577" s="485"/>
      <c r="CX577" s="485"/>
      <c r="CY577" s="485"/>
      <c r="CZ577" s="485"/>
      <c r="DA577" s="485"/>
      <c r="DB577" s="485"/>
      <c r="DC577" s="485"/>
      <c r="DD577" s="485"/>
      <c r="DE577" s="485"/>
      <c r="DF577" s="485"/>
      <c r="DG577" s="485"/>
      <c r="DH577" s="485"/>
      <c r="DI577" s="485"/>
      <c r="DJ577" s="485"/>
      <c r="DK577" s="485"/>
      <c r="DL577" s="485"/>
      <c r="DM577" s="485"/>
      <c r="DN577" s="485"/>
      <c r="DO577" s="485"/>
      <c r="DP577" s="485"/>
      <c r="DQ577" s="485"/>
      <c r="DR577" s="485"/>
      <c r="DS577" s="485"/>
      <c r="DT577" s="485"/>
      <c r="DU577" s="485"/>
      <c r="DV577" s="485"/>
      <c r="DW577" s="485"/>
      <c r="DX577" s="485"/>
      <c r="DY577" s="485"/>
      <c r="DZ577" s="485"/>
      <c r="EA577" s="485"/>
      <c r="EB577" s="485"/>
      <c r="EC577" s="485"/>
      <c r="ED577" s="485"/>
      <c r="EE577" s="485"/>
      <c r="EF577" s="485"/>
      <c r="EG577" s="485"/>
      <c r="EH577" s="485"/>
      <c r="EI577" s="485"/>
      <c r="EJ577" s="485"/>
      <c r="EK577" s="485"/>
      <c r="EL577" s="485"/>
      <c r="EM577" s="485"/>
      <c r="EN577" s="485"/>
      <c r="EO577" s="485"/>
      <c r="EP577" s="485"/>
    </row>
    <row r="578" spans="1:146">
      <c r="A578" s="485"/>
      <c r="B578" s="485"/>
      <c r="C578" s="485"/>
      <c r="D578" s="485"/>
      <c r="E578" s="485"/>
      <c r="F578" s="485"/>
      <c r="G578" s="485"/>
      <c r="H578" s="485"/>
      <c r="I578" s="485"/>
      <c r="J578" s="485"/>
      <c r="K578" s="485"/>
      <c r="L578" s="485"/>
      <c r="M578" s="485"/>
      <c r="P578" s="485"/>
      <c r="Q578" s="485"/>
      <c r="R578" s="485"/>
      <c r="S578" s="485"/>
      <c r="T578" s="485"/>
      <c r="U578" s="485"/>
      <c r="V578" s="485"/>
      <c r="W578" s="485"/>
      <c r="X578" s="485"/>
      <c r="Y578" s="485"/>
      <c r="Z578" s="485"/>
      <c r="AA578" s="485"/>
      <c r="AB578" s="485"/>
      <c r="AC578" s="485"/>
      <c r="AD578" s="485"/>
      <c r="AE578" s="485"/>
      <c r="AF578" s="485"/>
      <c r="AG578" s="485"/>
      <c r="AH578" s="485"/>
      <c r="AI578" s="485"/>
      <c r="AJ578" s="485"/>
      <c r="AK578" s="485"/>
      <c r="AL578" s="485"/>
      <c r="AM578" s="485"/>
      <c r="AN578" s="485"/>
      <c r="AO578" s="485"/>
      <c r="AP578" s="485"/>
      <c r="AQ578" s="485"/>
      <c r="AR578" s="485"/>
      <c r="AS578" s="485"/>
      <c r="AT578" s="485"/>
      <c r="AU578" s="485"/>
      <c r="AV578" s="485"/>
      <c r="AW578" s="485"/>
      <c r="AX578" s="485"/>
      <c r="AY578" s="485"/>
      <c r="AZ578" s="485"/>
      <c r="BA578" s="485"/>
      <c r="BB578" s="485"/>
      <c r="BC578" s="485"/>
      <c r="BD578" s="485"/>
      <c r="BE578" s="485"/>
      <c r="BF578" s="485"/>
      <c r="BG578" s="485"/>
      <c r="BH578" s="485"/>
      <c r="BI578" s="485"/>
      <c r="BJ578" s="485"/>
      <c r="BK578" s="485"/>
      <c r="BL578" s="485"/>
      <c r="BM578" s="485"/>
      <c r="BN578" s="485"/>
      <c r="BO578" s="485"/>
      <c r="BP578" s="485"/>
      <c r="BQ578" s="485"/>
      <c r="BR578" s="485"/>
      <c r="BS578" s="485"/>
      <c r="BT578" s="485"/>
      <c r="BU578" s="485"/>
      <c r="BV578" s="485"/>
      <c r="BW578" s="485"/>
      <c r="BX578" s="485"/>
      <c r="BY578" s="485"/>
      <c r="BZ578" s="485"/>
      <c r="CA578" s="485"/>
      <c r="CB578" s="485"/>
      <c r="CC578" s="485"/>
      <c r="CD578" s="485"/>
      <c r="CE578" s="485"/>
      <c r="CF578" s="485"/>
      <c r="CG578" s="485"/>
      <c r="CH578" s="485"/>
      <c r="CI578" s="485"/>
      <c r="CJ578" s="485"/>
      <c r="CK578" s="485"/>
      <c r="CL578" s="485"/>
      <c r="CM578" s="485"/>
      <c r="CN578" s="485"/>
      <c r="CO578" s="485"/>
      <c r="CP578" s="485"/>
      <c r="CQ578" s="485"/>
      <c r="CR578" s="485"/>
      <c r="CS578" s="485"/>
      <c r="CT578" s="485"/>
      <c r="CU578" s="485"/>
      <c r="CV578" s="485"/>
      <c r="CW578" s="485"/>
      <c r="CX578" s="485"/>
      <c r="CY578" s="485"/>
      <c r="CZ578" s="485"/>
      <c r="DA578" s="485"/>
      <c r="DB578" s="485"/>
      <c r="DC578" s="485"/>
      <c r="DD578" s="485"/>
      <c r="DE578" s="485"/>
      <c r="DF578" s="485"/>
      <c r="DG578" s="485"/>
      <c r="DH578" s="485"/>
      <c r="DI578" s="485"/>
      <c r="DJ578" s="485"/>
      <c r="DK578" s="485"/>
      <c r="DL578" s="485"/>
      <c r="DM578" s="485"/>
      <c r="DN578" s="485"/>
      <c r="DO578" s="485"/>
      <c r="DP578" s="485"/>
      <c r="DQ578" s="485"/>
      <c r="DR578" s="485"/>
      <c r="DS578" s="485"/>
      <c r="DT578" s="485"/>
      <c r="DU578" s="485"/>
      <c r="DV578" s="485"/>
      <c r="DW578" s="485"/>
      <c r="DX578" s="485"/>
      <c r="DY578" s="485"/>
      <c r="DZ578" s="485"/>
      <c r="EA578" s="485"/>
      <c r="EB578" s="485"/>
      <c r="EC578" s="485"/>
      <c r="ED578" s="485"/>
      <c r="EE578" s="485"/>
      <c r="EF578" s="485"/>
      <c r="EG578" s="485"/>
      <c r="EH578" s="485"/>
      <c r="EI578" s="485"/>
      <c r="EJ578" s="485"/>
      <c r="EK578" s="485"/>
      <c r="EL578" s="485"/>
      <c r="EM578" s="485"/>
      <c r="EN578" s="485"/>
      <c r="EO578" s="485"/>
      <c r="EP578" s="485"/>
    </row>
    <row r="579" spans="1:146">
      <c r="A579" s="485"/>
      <c r="B579" s="485"/>
      <c r="C579" s="485"/>
      <c r="D579" s="485"/>
      <c r="E579" s="485"/>
      <c r="F579" s="485"/>
      <c r="G579" s="485"/>
      <c r="H579" s="485"/>
      <c r="I579" s="485"/>
      <c r="J579" s="485"/>
      <c r="K579" s="485"/>
      <c r="L579" s="485"/>
      <c r="M579" s="485"/>
      <c r="P579" s="485"/>
      <c r="Q579" s="485"/>
      <c r="R579" s="485"/>
      <c r="S579" s="485"/>
      <c r="T579" s="485"/>
      <c r="U579" s="485"/>
      <c r="V579" s="485"/>
      <c r="W579" s="485"/>
      <c r="X579" s="485"/>
      <c r="Y579" s="485"/>
      <c r="Z579" s="485"/>
      <c r="AA579" s="485"/>
      <c r="AB579" s="485"/>
      <c r="AC579" s="485"/>
      <c r="AD579" s="485"/>
      <c r="AE579" s="485"/>
      <c r="AF579" s="485"/>
      <c r="AG579" s="485"/>
      <c r="AH579" s="485"/>
      <c r="AI579" s="485"/>
      <c r="AJ579" s="485"/>
      <c r="AK579" s="485"/>
      <c r="AL579" s="485"/>
      <c r="AM579" s="485"/>
      <c r="AN579" s="485"/>
      <c r="AO579" s="485"/>
      <c r="AP579" s="485"/>
      <c r="AQ579" s="485"/>
      <c r="AR579" s="485"/>
      <c r="AS579" s="485"/>
      <c r="AT579" s="485"/>
      <c r="AU579" s="485"/>
      <c r="AV579" s="485"/>
      <c r="AW579" s="485"/>
      <c r="AX579" s="485"/>
      <c r="AY579" s="485"/>
      <c r="AZ579" s="485"/>
      <c r="BA579" s="485"/>
      <c r="BB579" s="485"/>
      <c r="BC579" s="485"/>
      <c r="BD579" s="485"/>
      <c r="BE579" s="485"/>
      <c r="BF579" s="485"/>
      <c r="BG579" s="485"/>
      <c r="BH579" s="485"/>
      <c r="BI579" s="485"/>
      <c r="BJ579" s="485"/>
      <c r="BK579" s="485"/>
      <c r="BL579" s="485"/>
      <c r="BM579" s="485"/>
      <c r="BN579" s="485"/>
      <c r="BO579" s="485"/>
      <c r="BP579" s="485"/>
      <c r="BQ579" s="485"/>
      <c r="BR579" s="485"/>
      <c r="BS579" s="485"/>
      <c r="BT579" s="485"/>
      <c r="BU579" s="485"/>
      <c r="BV579" s="485"/>
      <c r="BW579" s="485"/>
      <c r="BX579" s="485"/>
      <c r="BY579" s="485"/>
      <c r="BZ579" s="485"/>
      <c r="CA579" s="485"/>
      <c r="CB579" s="485"/>
      <c r="CC579" s="485"/>
      <c r="CD579" s="485"/>
      <c r="CE579" s="485"/>
      <c r="CF579" s="485"/>
      <c r="CG579" s="485"/>
      <c r="CH579" s="485"/>
      <c r="CI579" s="485"/>
      <c r="CJ579" s="485"/>
      <c r="CK579" s="485"/>
      <c r="CL579" s="485"/>
      <c r="CM579" s="485"/>
      <c r="CN579" s="485"/>
      <c r="CO579" s="485"/>
      <c r="CP579" s="485"/>
      <c r="CQ579" s="485"/>
      <c r="CR579" s="485"/>
      <c r="CS579" s="485"/>
      <c r="CT579" s="485"/>
      <c r="CU579" s="485"/>
      <c r="CV579" s="485"/>
      <c r="CW579" s="485"/>
      <c r="CX579" s="485"/>
      <c r="CY579" s="485"/>
      <c r="CZ579" s="485"/>
      <c r="DA579" s="485"/>
      <c r="DB579" s="485"/>
      <c r="DC579" s="485"/>
      <c r="DD579" s="485"/>
      <c r="DE579" s="485"/>
      <c r="DF579" s="485"/>
      <c r="DG579" s="485"/>
      <c r="DH579" s="485"/>
      <c r="DI579" s="485"/>
      <c r="DJ579" s="485"/>
      <c r="DK579" s="485"/>
      <c r="DL579" s="485"/>
      <c r="DM579" s="485"/>
      <c r="DN579" s="485"/>
      <c r="DO579" s="485"/>
      <c r="DP579" s="485"/>
      <c r="DQ579" s="485"/>
      <c r="DR579" s="485"/>
      <c r="DS579" s="485"/>
      <c r="DT579" s="485"/>
      <c r="DU579" s="485"/>
      <c r="DV579" s="485"/>
      <c r="DW579" s="485"/>
      <c r="DX579" s="485"/>
      <c r="DY579" s="485"/>
      <c r="DZ579" s="485"/>
      <c r="EA579" s="485"/>
      <c r="EB579" s="485"/>
      <c r="EC579" s="485"/>
      <c r="ED579" s="485"/>
      <c r="EE579" s="485"/>
      <c r="EF579" s="485"/>
      <c r="EG579" s="485"/>
      <c r="EH579" s="485"/>
      <c r="EI579" s="485"/>
      <c r="EJ579" s="485"/>
      <c r="EK579" s="485"/>
      <c r="EL579" s="485"/>
      <c r="EM579" s="485"/>
      <c r="EN579" s="485"/>
      <c r="EO579" s="485"/>
      <c r="EP579" s="485"/>
    </row>
    <row r="580" spans="1:146">
      <c r="A580" s="485"/>
      <c r="B580" s="485"/>
      <c r="C580" s="485"/>
      <c r="D580" s="485"/>
      <c r="E580" s="485"/>
      <c r="F580" s="485"/>
      <c r="G580" s="485"/>
      <c r="H580" s="485"/>
      <c r="I580" s="485"/>
      <c r="J580" s="485"/>
      <c r="K580" s="485"/>
      <c r="L580" s="485"/>
      <c r="M580" s="485"/>
      <c r="P580" s="485"/>
      <c r="Q580" s="485"/>
      <c r="R580" s="485"/>
      <c r="S580" s="485"/>
      <c r="T580" s="485"/>
      <c r="U580" s="485"/>
      <c r="V580" s="485"/>
      <c r="W580" s="485"/>
      <c r="X580" s="485"/>
      <c r="Y580" s="485"/>
      <c r="Z580" s="485"/>
      <c r="AA580" s="485"/>
      <c r="AB580" s="485"/>
      <c r="AC580" s="485"/>
      <c r="AD580" s="485"/>
      <c r="AE580" s="485"/>
      <c r="AF580" s="485"/>
      <c r="AG580" s="485"/>
      <c r="AH580" s="485"/>
      <c r="AI580" s="485"/>
      <c r="AJ580" s="485"/>
      <c r="AK580" s="485"/>
      <c r="AL580" s="485"/>
      <c r="AM580" s="485"/>
      <c r="AN580" s="485"/>
      <c r="AO580" s="485"/>
      <c r="AP580" s="485"/>
      <c r="AQ580" s="485"/>
      <c r="AR580" s="485"/>
      <c r="AS580" s="485"/>
      <c r="AT580" s="485"/>
      <c r="AU580" s="485"/>
      <c r="AV580" s="485"/>
      <c r="AW580" s="485"/>
      <c r="AX580" s="485"/>
      <c r="AY580" s="485"/>
      <c r="AZ580" s="485"/>
      <c r="BA580" s="485"/>
      <c r="BB580" s="485"/>
      <c r="BC580" s="485"/>
      <c r="BD580" s="485"/>
      <c r="BE580" s="485"/>
      <c r="BF580" s="485"/>
      <c r="BG580" s="485"/>
      <c r="BH580" s="485"/>
      <c r="BI580" s="485"/>
      <c r="BJ580" s="485"/>
      <c r="BK580" s="485"/>
      <c r="BL580" s="485"/>
      <c r="BM580" s="485"/>
      <c r="BN580" s="485"/>
      <c r="BO580" s="485"/>
      <c r="BP580" s="485"/>
      <c r="BQ580" s="485"/>
      <c r="BR580" s="485"/>
      <c r="BS580" s="485"/>
      <c r="BT580" s="485"/>
      <c r="BU580" s="485"/>
      <c r="BV580" s="485"/>
      <c r="BW580" s="485"/>
      <c r="BX580" s="485"/>
      <c r="BY580" s="485"/>
      <c r="BZ580" s="485"/>
      <c r="CA580" s="485"/>
      <c r="CB580" s="485"/>
      <c r="CC580" s="485"/>
      <c r="CD580" s="485"/>
      <c r="CE580" s="485"/>
      <c r="CF580" s="485"/>
      <c r="CG580" s="485"/>
      <c r="CH580" s="485"/>
      <c r="CI580" s="485"/>
      <c r="CJ580" s="485"/>
      <c r="CK580" s="485"/>
      <c r="CL580" s="485"/>
      <c r="CM580" s="485"/>
      <c r="CN580" s="485"/>
      <c r="CO580" s="485"/>
      <c r="CP580" s="485"/>
      <c r="CQ580" s="485"/>
      <c r="CR580" s="485"/>
      <c r="CS580" s="485"/>
      <c r="CT580" s="485"/>
      <c r="CU580" s="485"/>
      <c r="CV580" s="485"/>
      <c r="CW580" s="485"/>
      <c r="CX580" s="485"/>
      <c r="CY580" s="485"/>
      <c r="CZ580" s="485"/>
      <c r="DA580" s="485"/>
      <c r="DB580" s="485"/>
      <c r="DC580" s="485"/>
      <c r="DD580" s="485"/>
      <c r="DE580" s="485"/>
      <c r="DF580" s="485"/>
      <c r="DG580" s="485"/>
      <c r="DH580" s="485"/>
      <c r="DI580" s="485"/>
      <c r="DJ580" s="485"/>
      <c r="DK580" s="485"/>
      <c r="DL580" s="485"/>
      <c r="DM580" s="485"/>
      <c r="DN580" s="485"/>
      <c r="DO580" s="485"/>
      <c r="DP580" s="485"/>
      <c r="DQ580" s="485"/>
      <c r="DR580" s="485"/>
      <c r="DS580" s="485"/>
      <c r="DT580" s="485"/>
      <c r="DU580" s="485"/>
      <c r="DV580" s="485"/>
      <c r="DW580" s="485"/>
      <c r="DX580" s="485"/>
      <c r="DY580" s="485"/>
      <c r="DZ580" s="485"/>
      <c r="EA580" s="485"/>
      <c r="EB580" s="485"/>
      <c r="EC580" s="485"/>
      <c r="ED580" s="485"/>
      <c r="EE580" s="485"/>
      <c r="EF580" s="485"/>
      <c r="EG580" s="485"/>
      <c r="EH580" s="485"/>
      <c r="EI580" s="485"/>
      <c r="EJ580" s="485"/>
      <c r="EK580" s="485"/>
      <c r="EL580" s="485"/>
      <c r="EM580" s="485"/>
      <c r="EN580" s="485"/>
      <c r="EO580" s="485"/>
      <c r="EP580" s="485"/>
    </row>
    <row r="581" spans="1:146">
      <c r="A581" s="485"/>
      <c r="B581" s="485"/>
      <c r="C581" s="485"/>
      <c r="D581" s="485"/>
      <c r="E581" s="485"/>
      <c r="F581" s="485"/>
      <c r="G581" s="485"/>
      <c r="H581" s="485"/>
      <c r="I581" s="485"/>
      <c r="J581" s="485"/>
      <c r="K581" s="485"/>
      <c r="L581" s="485"/>
      <c r="M581" s="485"/>
      <c r="P581" s="485"/>
      <c r="Q581" s="485"/>
      <c r="R581" s="485"/>
      <c r="S581" s="485"/>
      <c r="T581" s="485"/>
      <c r="U581" s="485"/>
      <c r="V581" s="485"/>
      <c r="W581" s="485"/>
      <c r="X581" s="485"/>
      <c r="Y581" s="485"/>
      <c r="Z581" s="485"/>
      <c r="AA581" s="485"/>
      <c r="AB581" s="485"/>
      <c r="AC581" s="485"/>
      <c r="AD581" s="485"/>
      <c r="AE581" s="485"/>
      <c r="AF581" s="485"/>
      <c r="AG581" s="485"/>
      <c r="AH581" s="485"/>
      <c r="AI581" s="485"/>
      <c r="AJ581" s="485"/>
      <c r="AK581" s="485"/>
      <c r="AL581" s="485"/>
      <c r="AM581" s="485"/>
      <c r="AN581" s="485"/>
      <c r="AO581" s="485"/>
      <c r="AP581" s="485"/>
      <c r="AQ581" s="485"/>
      <c r="AR581" s="485"/>
      <c r="AS581" s="485"/>
      <c r="AT581" s="485"/>
      <c r="AU581" s="485"/>
      <c r="AV581" s="485"/>
      <c r="AW581" s="485"/>
      <c r="AX581" s="485"/>
      <c r="AY581" s="485"/>
      <c r="AZ581" s="485"/>
      <c r="BA581" s="485"/>
      <c r="BB581" s="485"/>
      <c r="BC581" s="485"/>
      <c r="BD581" s="485"/>
      <c r="BE581" s="485"/>
      <c r="BF581" s="485"/>
      <c r="BG581" s="485"/>
      <c r="BH581" s="485"/>
      <c r="BI581" s="485"/>
      <c r="BJ581" s="485"/>
      <c r="BK581" s="485"/>
      <c r="BL581" s="485"/>
      <c r="BM581" s="485"/>
      <c r="BN581" s="485"/>
      <c r="BO581" s="485"/>
      <c r="BP581" s="485"/>
      <c r="BQ581" s="485"/>
      <c r="BR581" s="485"/>
      <c r="BS581" s="485"/>
      <c r="BT581" s="485"/>
      <c r="BU581" s="485"/>
      <c r="BV581" s="485"/>
      <c r="BW581" s="485"/>
      <c r="BX581" s="485"/>
      <c r="BY581" s="485"/>
      <c r="BZ581" s="485"/>
      <c r="CA581" s="485"/>
      <c r="CB581" s="485"/>
      <c r="CC581" s="485"/>
      <c r="CD581" s="485"/>
      <c r="CE581" s="485"/>
      <c r="CF581" s="485"/>
      <c r="CG581" s="485"/>
      <c r="CH581" s="485"/>
      <c r="CI581" s="485"/>
      <c r="CJ581" s="485"/>
      <c r="CK581" s="485"/>
      <c r="CL581" s="485"/>
      <c r="CM581" s="485"/>
      <c r="CN581" s="485"/>
      <c r="CO581" s="485"/>
      <c r="CP581" s="485"/>
      <c r="CQ581" s="485"/>
      <c r="CR581" s="485"/>
      <c r="CS581" s="485"/>
      <c r="CT581" s="485"/>
      <c r="CU581" s="485"/>
      <c r="CV581" s="485"/>
      <c r="CW581" s="485"/>
      <c r="CX581" s="485"/>
      <c r="CY581" s="485"/>
      <c r="CZ581" s="485"/>
      <c r="DA581" s="485"/>
      <c r="DB581" s="485"/>
      <c r="DC581" s="485"/>
      <c r="DD581" s="485"/>
      <c r="DE581" s="485"/>
      <c r="DF581" s="485"/>
      <c r="DG581" s="485"/>
      <c r="DH581" s="485"/>
      <c r="DI581" s="485"/>
      <c r="DJ581" s="485"/>
      <c r="DK581" s="485"/>
      <c r="DL581" s="485"/>
      <c r="DM581" s="485"/>
      <c r="DN581" s="485"/>
      <c r="DO581" s="485"/>
      <c r="DP581" s="485"/>
      <c r="DQ581" s="485"/>
      <c r="DR581" s="485"/>
      <c r="DS581" s="485"/>
      <c r="DT581" s="485"/>
      <c r="DU581" s="485"/>
      <c r="DV581" s="485"/>
      <c r="DW581" s="485"/>
      <c r="DX581" s="485"/>
      <c r="DY581" s="485"/>
      <c r="DZ581" s="485"/>
      <c r="EA581" s="485"/>
      <c r="EB581" s="485"/>
      <c r="EC581" s="485"/>
      <c r="ED581" s="485"/>
      <c r="EE581" s="485"/>
      <c r="EF581" s="485"/>
      <c r="EG581" s="485"/>
      <c r="EH581" s="485"/>
      <c r="EI581" s="485"/>
      <c r="EJ581" s="485"/>
      <c r="EK581" s="485"/>
      <c r="EL581" s="485"/>
      <c r="EM581" s="485"/>
      <c r="EN581" s="485"/>
      <c r="EO581" s="485"/>
      <c r="EP581" s="485"/>
    </row>
    <row r="582" spans="1:146">
      <c r="A582" s="485"/>
      <c r="B582" s="485"/>
      <c r="C582" s="485"/>
      <c r="D582" s="485"/>
      <c r="E582" s="485"/>
      <c r="F582" s="485"/>
      <c r="G582" s="485"/>
      <c r="H582" s="485"/>
      <c r="I582" s="485"/>
      <c r="J582" s="485"/>
      <c r="K582" s="485"/>
      <c r="L582" s="485"/>
      <c r="M582" s="485"/>
      <c r="P582" s="485"/>
      <c r="Q582" s="485"/>
      <c r="R582" s="485"/>
      <c r="S582" s="485"/>
      <c r="T582" s="485"/>
      <c r="U582" s="485"/>
      <c r="V582" s="485"/>
      <c r="W582" s="485"/>
      <c r="X582" s="485"/>
      <c r="Y582" s="485"/>
      <c r="Z582" s="485"/>
      <c r="AA582" s="485"/>
      <c r="AB582" s="485"/>
      <c r="AC582" s="485"/>
      <c r="AD582" s="485"/>
      <c r="AE582" s="485"/>
      <c r="AF582" s="485"/>
      <c r="AG582" s="485"/>
      <c r="AH582" s="485"/>
      <c r="AI582" s="485"/>
      <c r="AJ582" s="485"/>
      <c r="AK582" s="485"/>
      <c r="AL582" s="485"/>
      <c r="AM582" s="485"/>
      <c r="AN582" s="485"/>
      <c r="AO582" s="485"/>
      <c r="AP582" s="485"/>
      <c r="AQ582" s="485"/>
      <c r="AR582" s="485"/>
      <c r="AS582" s="485"/>
      <c r="AT582" s="485"/>
      <c r="AU582" s="485"/>
      <c r="AV582" s="485"/>
      <c r="AW582" s="485"/>
      <c r="AX582" s="485"/>
      <c r="AY582" s="485"/>
      <c r="AZ582" s="485"/>
      <c r="BA582" s="485"/>
      <c r="BB582" s="485"/>
      <c r="BC582" s="485"/>
      <c r="BD582" s="485"/>
      <c r="BE582" s="485"/>
      <c r="BF582" s="485"/>
      <c r="BG582" s="485"/>
      <c r="BH582" s="485"/>
      <c r="BI582" s="485"/>
      <c r="BJ582" s="485"/>
      <c r="BK582" s="485"/>
      <c r="BL582" s="485"/>
      <c r="BM582" s="485"/>
      <c r="BN582" s="485"/>
      <c r="BO582" s="485"/>
      <c r="BP582" s="485"/>
      <c r="BQ582" s="485"/>
      <c r="BR582" s="485"/>
      <c r="BS582" s="485"/>
      <c r="BT582" s="485"/>
      <c r="BU582" s="485"/>
      <c r="BV582" s="485"/>
      <c r="BW582" s="485"/>
      <c r="BX582" s="485"/>
      <c r="BY582" s="485"/>
      <c r="BZ582" s="485"/>
      <c r="CA582" s="485"/>
      <c r="CB582" s="485"/>
      <c r="CC582" s="485"/>
      <c r="CD582" s="485"/>
      <c r="CE582" s="485"/>
      <c r="CF582" s="485"/>
      <c r="CG582" s="485"/>
      <c r="CH582" s="485"/>
      <c r="CI582" s="485"/>
      <c r="CJ582" s="485"/>
      <c r="CK582" s="485"/>
      <c r="CL582" s="485"/>
      <c r="CM582" s="485"/>
      <c r="CN582" s="485"/>
      <c r="CO582" s="485"/>
      <c r="CP582" s="485"/>
      <c r="CQ582" s="485"/>
      <c r="CR582" s="485"/>
      <c r="CS582" s="485"/>
      <c r="CT582" s="485"/>
      <c r="CU582" s="485"/>
      <c r="CV582" s="485"/>
      <c r="CW582" s="485"/>
      <c r="CX582" s="485"/>
      <c r="CY582" s="485"/>
      <c r="CZ582" s="485"/>
      <c r="DA582" s="485"/>
      <c r="DB582" s="485"/>
      <c r="DC582" s="485"/>
      <c r="DD582" s="485"/>
      <c r="DE582" s="485"/>
      <c r="DF582" s="485"/>
      <c r="DG582" s="485"/>
      <c r="DH582" s="485"/>
      <c r="DI582" s="485"/>
      <c r="DJ582" s="485"/>
      <c r="DK582" s="485"/>
      <c r="DL582" s="485"/>
      <c r="DM582" s="485"/>
      <c r="DN582" s="485"/>
      <c r="DO582" s="485"/>
      <c r="DP582" s="485"/>
      <c r="DQ582" s="485"/>
      <c r="DR582" s="485"/>
      <c r="DS582" s="485"/>
      <c r="DT582" s="485"/>
      <c r="DU582" s="485"/>
      <c r="DV582" s="485"/>
      <c r="DW582" s="485"/>
      <c r="DX582" s="485"/>
      <c r="DY582" s="485"/>
      <c r="DZ582" s="485"/>
      <c r="EA582" s="485"/>
      <c r="EB582" s="485"/>
      <c r="EC582" s="485"/>
      <c r="ED582" s="485"/>
      <c r="EE582" s="485"/>
      <c r="EF582" s="485"/>
      <c r="EG582" s="485"/>
      <c r="EH582" s="485"/>
      <c r="EI582" s="485"/>
      <c r="EJ582" s="485"/>
      <c r="EK582" s="485"/>
      <c r="EL582" s="485"/>
      <c r="EM582" s="485"/>
      <c r="EN582" s="485"/>
      <c r="EO582" s="485"/>
      <c r="EP582" s="485"/>
    </row>
    <row r="583" spans="1:146">
      <c r="A583" s="485"/>
      <c r="B583" s="485"/>
      <c r="C583" s="485"/>
      <c r="D583" s="485"/>
      <c r="E583" s="485"/>
      <c r="F583" s="485"/>
      <c r="G583" s="485"/>
      <c r="H583" s="485"/>
      <c r="I583" s="485"/>
      <c r="J583" s="485"/>
      <c r="K583" s="485"/>
      <c r="L583" s="485"/>
      <c r="M583" s="485"/>
      <c r="P583" s="485"/>
      <c r="Q583" s="485"/>
      <c r="R583" s="485"/>
      <c r="S583" s="485"/>
      <c r="T583" s="485"/>
      <c r="U583" s="485"/>
      <c r="V583" s="485"/>
      <c r="W583" s="485"/>
      <c r="X583" s="485"/>
      <c r="Y583" s="485"/>
      <c r="Z583" s="485"/>
      <c r="AA583" s="485"/>
      <c r="AB583" s="485"/>
      <c r="AC583" s="485"/>
      <c r="AD583" s="485"/>
      <c r="AE583" s="485"/>
      <c r="AF583" s="485"/>
      <c r="AG583" s="485"/>
      <c r="AH583" s="485"/>
      <c r="AI583" s="485"/>
      <c r="AJ583" s="485"/>
      <c r="AK583" s="485"/>
      <c r="AL583" s="485"/>
      <c r="AM583" s="485"/>
      <c r="AN583" s="485"/>
      <c r="AO583" s="485"/>
      <c r="AP583" s="485"/>
      <c r="AQ583" s="485"/>
      <c r="AR583" s="485"/>
      <c r="AS583" s="485"/>
      <c r="AT583" s="485"/>
      <c r="AU583" s="485"/>
      <c r="AV583" s="485"/>
      <c r="AW583" s="485"/>
      <c r="AX583" s="485"/>
      <c r="AY583" s="485"/>
      <c r="AZ583" s="485"/>
      <c r="BA583" s="485"/>
      <c r="BB583" s="485"/>
      <c r="BC583" s="485"/>
      <c r="BD583" s="485"/>
      <c r="BE583" s="485"/>
      <c r="BF583" s="485"/>
      <c r="BG583" s="485"/>
      <c r="BH583" s="485"/>
      <c r="BI583" s="485"/>
      <c r="BJ583" s="485"/>
      <c r="BK583" s="485"/>
      <c r="BL583" s="485"/>
      <c r="BM583" s="485"/>
      <c r="BN583" s="485"/>
      <c r="BO583" s="485"/>
      <c r="BP583" s="485"/>
      <c r="BQ583" s="485"/>
      <c r="BR583" s="485"/>
      <c r="BS583" s="485"/>
      <c r="BT583" s="485"/>
      <c r="BU583" s="485"/>
      <c r="BV583" s="485"/>
      <c r="BW583" s="485"/>
      <c r="BX583" s="485"/>
      <c r="BY583" s="485"/>
      <c r="BZ583" s="485"/>
      <c r="CA583" s="485"/>
      <c r="CB583" s="485"/>
      <c r="CC583" s="485"/>
      <c r="CD583" s="485"/>
      <c r="CE583" s="485"/>
      <c r="CF583" s="485"/>
      <c r="CG583" s="485"/>
      <c r="CH583" s="485"/>
      <c r="CI583" s="485"/>
      <c r="CJ583" s="485"/>
      <c r="CK583" s="485"/>
      <c r="CL583" s="485"/>
      <c r="CM583" s="485"/>
      <c r="CN583" s="485"/>
      <c r="CO583" s="485"/>
      <c r="CP583" s="485"/>
      <c r="CQ583" s="485"/>
      <c r="CR583" s="485"/>
      <c r="CS583" s="485"/>
      <c r="CT583" s="485"/>
      <c r="CU583" s="485"/>
      <c r="CV583" s="485"/>
      <c r="CW583" s="485"/>
      <c r="CX583" s="485"/>
      <c r="CY583" s="485"/>
      <c r="CZ583" s="485"/>
      <c r="DA583" s="485"/>
      <c r="DB583" s="485"/>
      <c r="DC583" s="485"/>
      <c r="DD583" s="485"/>
      <c r="DE583" s="485"/>
      <c r="DF583" s="485"/>
      <c r="DG583" s="485"/>
      <c r="DH583" s="485"/>
      <c r="DI583" s="485"/>
      <c r="DJ583" s="485"/>
      <c r="DK583" s="485"/>
      <c r="DL583" s="485"/>
      <c r="DM583" s="485"/>
      <c r="DN583" s="485"/>
      <c r="DO583" s="485"/>
      <c r="DP583" s="485"/>
      <c r="DQ583" s="485"/>
      <c r="DR583" s="485"/>
      <c r="DS583" s="485"/>
      <c r="DT583" s="485"/>
      <c r="DU583" s="485"/>
      <c r="DV583" s="485"/>
      <c r="DW583" s="485"/>
      <c r="DX583" s="485"/>
      <c r="DY583" s="485"/>
      <c r="DZ583" s="485"/>
      <c r="EA583" s="485"/>
      <c r="EB583" s="485"/>
      <c r="EC583" s="485"/>
      <c r="ED583" s="485"/>
      <c r="EE583" s="485"/>
      <c r="EF583" s="485"/>
      <c r="EG583" s="485"/>
      <c r="EH583" s="485"/>
      <c r="EI583" s="485"/>
      <c r="EJ583" s="485"/>
      <c r="EK583" s="485"/>
      <c r="EL583" s="485"/>
      <c r="EM583" s="485"/>
      <c r="EN583" s="485"/>
      <c r="EO583" s="485"/>
      <c r="EP583" s="485"/>
    </row>
    <row r="584" spans="1:146">
      <c r="A584" s="485"/>
      <c r="B584" s="485"/>
      <c r="C584" s="485"/>
      <c r="D584" s="485"/>
      <c r="E584" s="485"/>
      <c r="F584" s="485"/>
      <c r="G584" s="485"/>
      <c r="H584" s="485"/>
      <c r="I584" s="485"/>
      <c r="J584" s="485"/>
      <c r="K584" s="485"/>
      <c r="L584" s="485"/>
      <c r="M584" s="485"/>
      <c r="P584" s="485"/>
      <c r="Q584" s="485"/>
      <c r="R584" s="485"/>
      <c r="S584" s="485"/>
      <c r="T584" s="485"/>
      <c r="U584" s="485"/>
      <c r="V584" s="485"/>
      <c r="W584" s="485"/>
      <c r="X584" s="485"/>
      <c r="Y584" s="485"/>
      <c r="Z584" s="485"/>
      <c r="AA584" s="485"/>
      <c r="AB584" s="485"/>
      <c r="AC584" s="485"/>
      <c r="AD584" s="485"/>
      <c r="AE584" s="485"/>
      <c r="AF584" s="485"/>
      <c r="AG584" s="485"/>
      <c r="AH584" s="485"/>
      <c r="AI584" s="485"/>
      <c r="AJ584" s="485"/>
      <c r="AK584" s="485"/>
      <c r="AL584" s="485"/>
      <c r="AM584" s="485"/>
      <c r="AN584" s="485"/>
      <c r="AO584" s="485"/>
      <c r="AP584" s="485"/>
      <c r="AQ584" s="485"/>
      <c r="AR584" s="485"/>
      <c r="AS584" s="485"/>
      <c r="AT584" s="485"/>
      <c r="AU584" s="485"/>
      <c r="AV584" s="485"/>
      <c r="AW584" s="485"/>
      <c r="AX584" s="485"/>
      <c r="AY584" s="485"/>
      <c r="AZ584" s="485"/>
      <c r="BA584" s="485"/>
      <c r="BB584" s="485"/>
      <c r="BC584" s="485"/>
      <c r="BD584" s="485"/>
      <c r="BE584" s="485"/>
      <c r="BF584" s="485"/>
      <c r="BG584" s="485"/>
      <c r="BH584" s="485"/>
      <c r="BI584" s="485"/>
      <c r="BJ584" s="485"/>
      <c r="BK584" s="485"/>
      <c r="BL584" s="485"/>
      <c r="BM584" s="485"/>
      <c r="BN584" s="485"/>
      <c r="BO584" s="485"/>
      <c r="BP584" s="485"/>
      <c r="BQ584" s="485"/>
      <c r="BR584" s="485"/>
      <c r="BS584" s="485"/>
      <c r="BT584" s="485"/>
      <c r="BU584" s="485"/>
      <c r="BV584" s="485"/>
      <c r="BW584" s="485"/>
      <c r="BX584" s="485"/>
      <c r="BY584" s="485"/>
      <c r="BZ584" s="485"/>
      <c r="CA584" s="485"/>
      <c r="CB584" s="485"/>
      <c r="CC584" s="485"/>
      <c r="CD584" s="485"/>
      <c r="CE584" s="485"/>
      <c r="CF584" s="485"/>
      <c r="CG584" s="485"/>
      <c r="CH584" s="485"/>
      <c r="CI584" s="485"/>
      <c r="CJ584" s="485"/>
      <c r="CK584" s="485"/>
      <c r="CL584" s="485"/>
      <c r="CM584" s="485"/>
      <c r="CN584" s="485"/>
      <c r="CO584" s="485"/>
      <c r="CP584" s="485"/>
      <c r="CQ584" s="485"/>
      <c r="CR584" s="485"/>
      <c r="CS584" s="485"/>
      <c r="CT584" s="485"/>
      <c r="CU584" s="485"/>
      <c r="CV584" s="485"/>
      <c r="CW584" s="485"/>
      <c r="CX584" s="485"/>
      <c r="CY584" s="485"/>
      <c r="CZ584" s="485"/>
      <c r="DA584" s="485"/>
      <c r="DB584" s="485"/>
      <c r="DC584" s="485"/>
      <c r="DD584" s="485"/>
      <c r="DE584" s="485"/>
      <c r="DF584" s="485"/>
      <c r="DG584" s="485"/>
      <c r="DH584" s="485"/>
      <c r="DI584" s="485"/>
      <c r="DJ584" s="485"/>
      <c r="DK584" s="485"/>
      <c r="DL584" s="485"/>
      <c r="DM584" s="485"/>
      <c r="DN584" s="485"/>
      <c r="DO584" s="485"/>
      <c r="DP584" s="485"/>
      <c r="DQ584" s="485"/>
      <c r="DR584" s="485"/>
      <c r="DS584" s="485"/>
      <c r="DT584" s="485"/>
      <c r="DU584" s="485"/>
      <c r="DV584" s="485"/>
      <c r="DW584" s="485"/>
      <c r="DX584" s="485"/>
      <c r="DY584" s="485"/>
      <c r="DZ584" s="485"/>
      <c r="EA584" s="485"/>
      <c r="EB584" s="485"/>
      <c r="EC584" s="485"/>
      <c r="ED584" s="485"/>
      <c r="EE584" s="485"/>
      <c r="EF584" s="485"/>
      <c r="EG584" s="485"/>
      <c r="EH584" s="485"/>
      <c r="EI584" s="485"/>
      <c r="EJ584" s="485"/>
      <c r="EK584" s="485"/>
      <c r="EL584" s="485"/>
      <c r="EM584" s="485"/>
      <c r="EN584" s="485"/>
      <c r="EO584" s="485"/>
      <c r="EP584" s="485"/>
    </row>
    <row r="585" spans="1:146">
      <c r="A585" s="485"/>
      <c r="B585" s="485"/>
      <c r="C585" s="485"/>
      <c r="D585" s="485"/>
      <c r="E585" s="485"/>
      <c r="F585" s="485"/>
      <c r="G585" s="485"/>
      <c r="H585" s="485"/>
      <c r="I585" s="485"/>
      <c r="J585" s="485"/>
      <c r="K585" s="485"/>
      <c r="L585" s="485"/>
      <c r="M585" s="485"/>
      <c r="P585" s="485"/>
      <c r="Q585" s="485"/>
      <c r="R585" s="485"/>
      <c r="S585" s="485"/>
      <c r="T585" s="485"/>
      <c r="U585" s="485"/>
      <c r="V585" s="485"/>
      <c r="W585" s="485"/>
      <c r="X585" s="485"/>
      <c r="Y585" s="485"/>
      <c r="Z585" s="485"/>
      <c r="AA585" s="485"/>
      <c r="AB585" s="485"/>
      <c r="AC585" s="485"/>
      <c r="AD585" s="485"/>
      <c r="AE585" s="485"/>
      <c r="AF585" s="485"/>
      <c r="AG585" s="485"/>
      <c r="AH585" s="485"/>
      <c r="AI585" s="485"/>
      <c r="AJ585" s="485"/>
      <c r="AK585" s="485"/>
      <c r="AL585" s="485"/>
      <c r="AM585" s="485"/>
      <c r="AN585" s="485"/>
      <c r="AO585" s="485"/>
      <c r="AP585" s="485"/>
      <c r="AQ585" s="485"/>
      <c r="AR585" s="485"/>
      <c r="AS585" s="485"/>
      <c r="AT585" s="485"/>
      <c r="AU585" s="485"/>
      <c r="AV585" s="485"/>
      <c r="AW585" s="485"/>
      <c r="AX585" s="485"/>
      <c r="AY585" s="485"/>
      <c r="AZ585" s="485"/>
      <c r="BA585" s="485"/>
      <c r="BB585" s="485"/>
      <c r="BC585" s="485"/>
      <c r="BD585" s="485"/>
      <c r="BE585" s="485"/>
      <c r="BF585" s="485"/>
      <c r="BG585" s="485"/>
      <c r="BH585" s="485"/>
      <c r="BI585" s="485"/>
      <c r="BJ585" s="485"/>
      <c r="BK585" s="485"/>
      <c r="BL585" s="485"/>
      <c r="BM585" s="485"/>
      <c r="BN585" s="485"/>
      <c r="BO585" s="485"/>
      <c r="BP585" s="485"/>
      <c r="BQ585" s="485"/>
      <c r="BR585" s="485"/>
      <c r="BS585" s="485"/>
      <c r="BT585" s="485"/>
      <c r="BU585" s="485"/>
      <c r="BV585" s="485"/>
      <c r="BW585" s="485"/>
      <c r="BX585" s="485"/>
      <c r="BY585" s="485"/>
      <c r="BZ585" s="485"/>
      <c r="CA585" s="485"/>
      <c r="CB585" s="485"/>
      <c r="CC585" s="485"/>
      <c r="CD585" s="485"/>
      <c r="CE585" s="485"/>
      <c r="CF585" s="485"/>
      <c r="CG585" s="485"/>
      <c r="CH585" s="485"/>
      <c r="CI585" s="485"/>
      <c r="CJ585" s="485"/>
      <c r="CK585" s="485"/>
      <c r="CL585" s="485"/>
      <c r="CM585" s="485"/>
      <c r="CN585" s="485"/>
      <c r="CO585" s="485"/>
      <c r="CP585" s="485"/>
      <c r="CQ585" s="485"/>
      <c r="CR585" s="485"/>
      <c r="CS585" s="485"/>
      <c r="CT585" s="485"/>
      <c r="CU585" s="485"/>
      <c r="CV585" s="485"/>
      <c r="CW585" s="485"/>
      <c r="CX585" s="485"/>
      <c r="CY585" s="485"/>
      <c r="CZ585" s="485"/>
      <c r="DA585" s="485"/>
      <c r="DB585" s="485"/>
      <c r="DC585" s="485"/>
      <c r="DD585" s="485"/>
      <c r="DE585" s="485"/>
      <c r="DF585" s="485"/>
      <c r="DG585" s="485"/>
      <c r="DH585" s="485"/>
      <c r="DI585" s="485"/>
      <c r="DJ585" s="485"/>
      <c r="DK585" s="485"/>
      <c r="DL585" s="485"/>
      <c r="DM585" s="485"/>
      <c r="DN585" s="485"/>
      <c r="DO585" s="485"/>
      <c r="DP585" s="485"/>
      <c r="DQ585" s="485"/>
      <c r="DR585" s="485"/>
      <c r="DS585" s="485"/>
      <c r="DT585" s="485"/>
      <c r="DU585" s="485"/>
      <c r="DV585" s="485"/>
      <c r="DW585" s="485"/>
      <c r="DX585" s="485"/>
      <c r="DY585" s="485"/>
      <c r="DZ585" s="485"/>
      <c r="EA585" s="485"/>
      <c r="EB585" s="485"/>
      <c r="EC585" s="485"/>
      <c r="ED585" s="485"/>
      <c r="EE585" s="485"/>
      <c r="EF585" s="485"/>
      <c r="EG585" s="485"/>
      <c r="EH585" s="485"/>
      <c r="EI585" s="485"/>
      <c r="EJ585" s="485"/>
      <c r="EK585" s="485"/>
      <c r="EL585" s="485"/>
      <c r="EM585" s="485"/>
      <c r="EN585" s="485"/>
      <c r="EO585" s="485"/>
      <c r="EP585" s="485"/>
    </row>
    <row r="586" spans="1:146">
      <c r="A586" s="485"/>
      <c r="B586" s="485"/>
      <c r="C586" s="485"/>
      <c r="D586" s="485"/>
      <c r="E586" s="485"/>
      <c r="F586" s="485"/>
      <c r="G586" s="485"/>
      <c r="H586" s="485"/>
      <c r="I586" s="485"/>
      <c r="J586" s="485"/>
      <c r="K586" s="485"/>
      <c r="L586" s="485"/>
      <c r="M586" s="485"/>
      <c r="P586" s="485"/>
      <c r="Q586" s="485"/>
      <c r="R586" s="485"/>
      <c r="S586" s="485"/>
      <c r="T586" s="485"/>
      <c r="U586" s="485"/>
      <c r="V586" s="485"/>
      <c r="W586" s="485"/>
      <c r="X586" s="485"/>
      <c r="Y586" s="485"/>
      <c r="Z586" s="485"/>
      <c r="AA586" s="485"/>
      <c r="AB586" s="485"/>
      <c r="AC586" s="485"/>
      <c r="AD586" s="485"/>
      <c r="AE586" s="485"/>
      <c r="AF586" s="485"/>
      <c r="AG586" s="485"/>
      <c r="AH586" s="485"/>
      <c r="AI586" s="485"/>
      <c r="AJ586" s="485"/>
      <c r="AK586" s="485"/>
      <c r="AL586" s="485"/>
      <c r="AM586" s="485"/>
      <c r="AN586" s="485"/>
      <c r="AO586" s="485"/>
      <c r="AP586" s="485"/>
      <c r="AQ586" s="485"/>
      <c r="AR586" s="485"/>
      <c r="AS586" s="485"/>
      <c r="AT586" s="485"/>
      <c r="AU586" s="485"/>
      <c r="AV586" s="485"/>
      <c r="AW586" s="485"/>
      <c r="AX586" s="485"/>
      <c r="AY586" s="485"/>
      <c r="AZ586" s="485"/>
      <c r="BA586" s="485"/>
      <c r="BB586" s="485"/>
      <c r="BC586" s="485"/>
      <c r="BD586" s="485"/>
      <c r="BE586" s="485"/>
      <c r="BF586" s="485"/>
      <c r="BG586" s="485"/>
      <c r="BH586" s="485"/>
      <c r="BI586" s="485"/>
      <c r="BJ586" s="485"/>
      <c r="BK586" s="485"/>
      <c r="BL586" s="485"/>
      <c r="BM586" s="485"/>
      <c r="BN586" s="485"/>
      <c r="BO586" s="485"/>
      <c r="BP586" s="485"/>
      <c r="BQ586" s="485"/>
      <c r="BR586" s="485"/>
      <c r="BS586" s="485"/>
      <c r="BT586" s="485"/>
      <c r="BU586" s="485"/>
      <c r="BV586" s="485"/>
      <c r="BW586" s="485"/>
      <c r="BX586" s="485"/>
      <c r="BY586" s="485"/>
      <c r="BZ586" s="485"/>
      <c r="CA586" s="485"/>
      <c r="CB586" s="485"/>
      <c r="CC586" s="485"/>
      <c r="CD586" s="485"/>
      <c r="CE586" s="485"/>
      <c r="CF586" s="485"/>
      <c r="CG586" s="485"/>
      <c r="CH586" s="485"/>
      <c r="CI586" s="485"/>
      <c r="CJ586" s="485"/>
      <c r="CK586" s="485"/>
      <c r="CL586" s="485"/>
      <c r="CM586" s="485"/>
      <c r="CN586" s="485"/>
      <c r="CO586" s="485"/>
      <c r="CP586" s="485"/>
      <c r="CQ586" s="485"/>
      <c r="CR586" s="485"/>
      <c r="CS586" s="485"/>
      <c r="CT586" s="485"/>
      <c r="CU586" s="485"/>
      <c r="CV586" s="485"/>
      <c r="CW586" s="485"/>
      <c r="CX586" s="485"/>
      <c r="CY586" s="485"/>
      <c r="CZ586" s="485"/>
      <c r="DA586" s="485"/>
      <c r="DB586" s="485"/>
      <c r="DC586" s="485"/>
      <c r="DD586" s="485"/>
      <c r="DE586" s="485"/>
      <c r="DF586" s="485"/>
      <c r="DG586" s="485"/>
      <c r="DH586" s="485"/>
      <c r="DI586" s="485"/>
      <c r="DJ586" s="485"/>
      <c r="DK586" s="485"/>
      <c r="DL586" s="485"/>
      <c r="DM586" s="485"/>
      <c r="DN586" s="485"/>
      <c r="DO586" s="485"/>
      <c r="DP586" s="485"/>
      <c r="DQ586" s="485"/>
      <c r="DR586" s="485"/>
      <c r="DS586" s="485"/>
      <c r="DT586" s="485"/>
      <c r="DU586" s="485"/>
      <c r="DV586" s="485"/>
      <c r="DW586" s="485"/>
      <c r="DX586" s="485"/>
      <c r="DY586" s="485"/>
      <c r="DZ586" s="485"/>
      <c r="EA586" s="485"/>
      <c r="EB586" s="485"/>
      <c r="EC586" s="485"/>
      <c r="ED586" s="485"/>
      <c r="EE586" s="485"/>
      <c r="EF586" s="485"/>
      <c r="EG586" s="485"/>
      <c r="EH586" s="485"/>
      <c r="EI586" s="485"/>
      <c r="EJ586" s="485"/>
      <c r="EK586" s="485"/>
      <c r="EL586" s="485"/>
      <c r="EM586" s="485"/>
      <c r="EN586" s="485"/>
      <c r="EO586" s="485"/>
      <c r="EP586" s="485"/>
    </row>
    <row r="587" spans="1:146">
      <c r="A587" s="485"/>
      <c r="B587" s="485"/>
      <c r="C587" s="485"/>
      <c r="D587" s="485"/>
      <c r="E587" s="485"/>
      <c r="F587" s="485"/>
      <c r="G587" s="485"/>
      <c r="H587" s="485"/>
      <c r="I587" s="485"/>
      <c r="J587" s="485"/>
      <c r="K587" s="485"/>
      <c r="L587" s="485"/>
      <c r="M587" s="485"/>
      <c r="P587" s="485"/>
      <c r="Q587" s="485"/>
      <c r="R587" s="485"/>
      <c r="S587" s="485"/>
      <c r="T587" s="485"/>
      <c r="U587" s="485"/>
      <c r="V587" s="485"/>
      <c r="W587" s="485"/>
      <c r="X587" s="485"/>
      <c r="Y587" s="485"/>
      <c r="Z587" s="485"/>
      <c r="AA587" s="485"/>
      <c r="AB587" s="485"/>
      <c r="AC587" s="485"/>
      <c r="AD587" s="485"/>
      <c r="AE587" s="485"/>
      <c r="AF587" s="485"/>
      <c r="AG587" s="485"/>
      <c r="AH587" s="485"/>
      <c r="AI587" s="485"/>
      <c r="AJ587" s="485"/>
      <c r="AK587" s="485"/>
      <c r="AL587" s="485"/>
      <c r="AM587" s="485"/>
      <c r="AN587" s="485"/>
      <c r="AO587" s="485"/>
      <c r="AP587" s="485"/>
      <c r="AQ587" s="485"/>
      <c r="AR587" s="485"/>
      <c r="AS587" s="485"/>
      <c r="AT587" s="485"/>
      <c r="AU587" s="485"/>
      <c r="AV587" s="485"/>
      <c r="AW587" s="485"/>
      <c r="AX587" s="485"/>
      <c r="AY587" s="485"/>
      <c r="AZ587" s="485"/>
      <c r="BA587" s="485"/>
      <c r="BB587" s="485"/>
      <c r="BC587" s="485"/>
      <c r="BD587" s="485"/>
      <c r="BE587" s="485"/>
      <c r="BF587" s="485"/>
      <c r="BG587" s="485"/>
      <c r="BH587" s="485"/>
      <c r="BI587" s="485"/>
      <c r="BJ587" s="485"/>
      <c r="BK587" s="485"/>
      <c r="BL587" s="485"/>
      <c r="BM587" s="485"/>
      <c r="BN587" s="485"/>
      <c r="BO587" s="485"/>
      <c r="BP587" s="485"/>
      <c r="BQ587" s="485"/>
      <c r="BR587" s="485"/>
      <c r="BS587" s="485"/>
      <c r="BT587" s="485"/>
      <c r="BU587" s="485"/>
      <c r="BV587" s="485"/>
      <c r="BW587" s="485"/>
      <c r="BX587" s="485"/>
      <c r="BY587" s="485"/>
      <c r="BZ587" s="485"/>
      <c r="CA587" s="485"/>
      <c r="CB587" s="485"/>
      <c r="CC587" s="485"/>
      <c r="CD587" s="485"/>
      <c r="CE587" s="485"/>
      <c r="CF587" s="485"/>
      <c r="CG587" s="485"/>
      <c r="CH587" s="485"/>
      <c r="CI587" s="485"/>
      <c r="CJ587" s="485"/>
      <c r="CK587" s="485"/>
      <c r="CL587" s="485"/>
      <c r="CM587" s="485"/>
      <c r="CN587" s="485"/>
      <c r="CO587" s="485"/>
      <c r="CP587" s="485"/>
      <c r="CQ587" s="485"/>
      <c r="CR587" s="485"/>
      <c r="CS587" s="485"/>
      <c r="CT587" s="485"/>
      <c r="CU587" s="485"/>
      <c r="CV587" s="485"/>
      <c r="CW587" s="485"/>
      <c r="CX587" s="485"/>
      <c r="CY587" s="485"/>
      <c r="CZ587" s="485"/>
      <c r="DA587" s="485"/>
      <c r="DB587" s="485"/>
      <c r="DC587" s="485"/>
      <c r="DD587" s="485"/>
      <c r="DE587" s="485"/>
      <c r="DF587" s="485"/>
      <c r="DG587" s="485"/>
      <c r="DH587" s="485"/>
      <c r="DI587" s="485"/>
      <c r="DJ587" s="485"/>
      <c r="DK587" s="485"/>
      <c r="DL587" s="485"/>
      <c r="DM587" s="485"/>
      <c r="DN587" s="485"/>
      <c r="DO587" s="485"/>
      <c r="DP587" s="485"/>
      <c r="DQ587" s="485"/>
      <c r="DR587" s="485"/>
      <c r="DS587" s="485"/>
      <c r="DT587" s="485"/>
      <c r="DU587" s="485"/>
      <c r="DV587" s="485"/>
      <c r="DW587" s="485"/>
      <c r="DX587" s="485"/>
      <c r="DY587" s="485"/>
      <c r="DZ587" s="485"/>
      <c r="EA587" s="485"/>
      <c r="EB587" s="485"/>
      <c r="EC587" s="485"/>
      <c r="ED587" s="485"/>
      <c r="EE587" s="485"/>
      <c r="EF587" s="485"/>
      <c r="EG587" s="485"/>
      <c r="EH587" s="485"/>
      <c r="EI587" s="485"/>
      <c r="EJ587" s="485"/>
      <c r="EK587" s="485"/>
      <c r="EL587" s="485"/>
      <c r="EM587" s="485"/>
      <c r="EN587" s="485"/>
      <c r="EO587" s="485"/>
      <c r="EP587" s="485"/>
    </row>
    <row r="588" spans="1:146">
      <c r="A588" s="485"/>
      <c r="B588" s="485"/>
      <c r="C588" s="485"/>
      <c r="D588" s="485"/>
      <c r="E588" s="485"/>
      <c r="F588" s="485"/>
      <c r="G588" s="485"/>
      <c r="H588" s="485"/>
      <c r="I588" s="485"/>
      <c r="J588" s="485"/>
      <c r="K588" s="485"/>
      <c r="L588" s="485"/>
      <c r="M588" s="485"/>
      <c r="P588" s="485"/>
      <c r="Q588" s="485"/>
      <c r="R588" s="485"/>
      <c r="S588" s="485"/>
      <c r="T588" s="485"/>
      <c r="U588" s="485"/>
      <c r="V588" s="485"/>
      <c r="W588" s="485"/>
      <c r="X588" s="485"/>
      <c r="Y588" s="485"/>
      <c r="Z588" s="485"/>
      <c r="AA588" s="485"/>
      <c r="AB588" s="485"/>
      <c r="AC588" s="485"/>
      <c r="AD588" s="485"/>
      <c r="AE588" s="485"/>
      <c r="AF588" s="485"/>
      <c r="AG588" s="485"/>
      <c r="AH588" s="485"/>
      <c r="AI588" s="485"/>
      <c r="AJ588" s="485"/>
      <c r="AK588" s="485"/>
      <c r="AL588" s="485"/>
      <c r="AM588" s="485"/>
      <c r="AN588" s="485"/>
      <c r="AO588" s="485"/>
      <c r="AP588" s="485"/>
      <c r="AQ588" s="485"/>
      <c r="AR588" s="485"/>
      <c r="AS588" s="485"/>
      <c r="AT588" s="485"/>
      <c r="AU588" s="485"/>
      <c r="AV588" s="485"/>
      <c r="AW588" s="485"/>
      <c r="AX588" s="485"/>
      <c r="AY588" s="485"/>
      <c r="AZ588" s="485"/>
      <c r="BA588" s="485"/>
      <c r="BB588" s="485"/>
      <c r="BC588" s="485"/>
      <c r="BD588" s="485"/>
      <c r="BE588" s="485"/>
      <c r="BF588" s="485"/>
      <c r="BG588" s="485"/>
      <c r="BH588" s="485"/>
      <c r="BI588" s="485"/>
      <c r="BJ588" s="485"/>
      <c r="BK588" s="485"/>
      <c r="BL588" s="485"/>
      <c r="BM588" s="485"/>
      <c r="BN588" s="485"/>
      <c r="BO588" s="485"/>
      <c r="BP588" s="485"/>
      <c r="BQ588" s="485"/>
      <c r="BR588" s="485"/>
      <c r="BS588" s="485"/>
      <c r="BT588" s="485"/>
      <c r="BU588" s="485"/>
      <c r="BV588" s="485"/>
      <c r="BW588" s="485"/>
      <c r="BX588" s="485"/>
      <c r="BY588" s="485"/>
      <c r="BZ588" s="485"/>
      <c r="CA588" s="485"/>
      <c r="CB588" s="485"/>
      <c r="CC588" s="485"/>
      <c r="CD588" s="485"/>
      <c r="CE588" s="485"/>
      <c r="CF588" s="485"/>
      <c r="CG588" s="485"/>
      <c r="CH588" s="485"/>
      <c r="CI588" s="485"/>
      <c r="CJ588" s="485"/>
      <c r="CK588" s="485"/>
      <c r="CL588" s="485"/>
      <c r="CM588" s="485"/>
      <c r="CN588" s="485"/>
      <c r="CO588" s="485"/>
      <c r="CP588" s="485"/>
      <c r="CQ588" s="485"/>
      <c r="CR588" s="485"/>
      <c r="CS588" s="485"/>
      <c r="CT588" s="485"/>
      <c r="CU588" s="485"/>
      <c r="CV588" s="485"/>
      <c r="CW588" s="485"/>
      <c r="CX588" s="485"/>
      <c r="CY588" s="485"/>
      <c r="CZ588" s="485"/>
      <c r="DA588" s="485"/>
      <c r="DB588" s="485"/>
      <c r="DC588" s="485"/>
      <c r="DD588" s="485"/>
      <c r="DE588" s="485"/>
      <c r="DF588" s="485"/>
      <c r="DG588" s="485"/>
      <c r="DH588" s="485"/>
      <c r="DI588" s="485"/>
      <c r="DJ588" s="485"/>
      <c r="DK588" s="485"/>
      <c r="DL588" s="485"/>
      <c r="DM588" s="485"/>
      <c r="DN588" s="485"/>
      <c r="DO588" s="485"/>
      <c r="DP588" s="485"/>
      <c r="DQ588" s="485"/>
      <c r="DR588" s="485"/>
      <c r="DS588" s="485"/>
      <c r="DT588" s="485"/>
      <c r="DU588" s="485"/>
      <c r="DV588" s="485"/>
      <c r="DW588" s="485"/>
      <c r="DX588" s="485"/>
      <c r="DY588" s="485"/>
      <c r="DZ588" s="485"/>
      <c r="EA588" s="485"/>
      <c r="EB588" s="485"/>
      <c r="EC588" s="485"/>
      <c r="ED588" s="485"/>
      <c r="EE588" s="485"/>
      <c r="EF588" s="485"/>
      <c r="EG588" s="485"/>
      <c r="EH588" s="485"/>
      <c r="EI588" s="485"/>
      <c r="EJ588" s="485"/>
      <c r="EK588" s="485"/>
      <c r="EL588" s="485"/>
      <c r="EM588" s="485"/>
      <c r="EN588" s="485"/>
      <c r="EO588" s="485"/>
      <c r="EP588" s="485"/>
    </row>
    <row r="589" spans="1:146">
      <c r="A589" s="485"/>
      <c r="B589" s="485"/>
      <c r="C589" s="485"/>
      <c r="D589" s="485"/>
      <c r="E589" s="485"/>
      <c r="F589" s="485"/>
      <c r="G589" s="485"/>
      <c r="H589" s="485"/>
      <c r="I589" s="485"/>
      <c r="J589" s="485"/>
      <c r="K589" s="485"/>
      <c r="L589" s="485"/>
      <c r="M589" s="485"/>
      <c r="P589" s="485"/>
      <c r="Q589" s="485"/>
      <c r="R589" s="485"/>
      <c r="S589" s="485"/>
      <c r="T589" s="485"/>
      <c r="U589" s="485"/>
      <c r="V589" s="485"/>
      <c r="W589" s="485"/>
      <c r="X589" s="485"/>
      <c r="Y589" s="485"/>
      <c r="Z589" s="485"/>
      <c r="AA589" s="485"/>
      <c r="AB589" s="485"/>
      <c r="AC589" s="485"/>
      <c r="AD589" s="485"/>
      <c r="AE589" s="485"/>
      <c r="AF589" s="485"/>
      <c r="AG589" s="485"/>
      <c r="AH589" s="485"/>
      <c r="AI589" s="485"/>
      <c r="AJ589" s="485"/>
      <c r="AK589" s="485"/>
      <c r="AL589" s="485"/>
      <c r="AM589" s="485"/>
      <c r="AN589" s="485"/>
      <c r="AO589" s="485"/>
      <c r="AP589" s="485"/>
      <c r="AQ589" s="485"/>
      <c r="AR589" s="485"/>
      <c r="AS589" s="485"/>
      <c r="AT589" s="485"/>
      <c r="AU589" s="485"/>
      <c r="AV589" s="485"/>
      <c r="AW589" s="485"/>
      <c r="AX589" s="485"/>
      <c r="AY589" s="485"/>
      <c r="AZ589" s="485"/>
      <c r="BA589" s="485"/>
      <c r="BB589" s="485"/>
      <c r="BC589" s="485"/>
      <c r="BD589" s="485"/>
      <c r="BE589" s="485"/>
      <c r="BF589" s="485"/>
      <c r="BG589" s="485"/>
      <c r="BH589" s="485"/>
      <c r="BI589" s="485"/>
      <c r="BJ589" s="485"/>
      <c r="BK589" s="485"/>
      <c r="BL589" s="485"/>
      <c r="BM589" s="485"/>
      <c r="BN589" s="485"/>
      <c r="BO589" s="485"/>
      <c r="BP589" s="485"/>
      <c r="BQ589" s="485"/>
      <c r="BR589" s="485"/>
      <c r="BS589" s="485"/>
      <c r="BT589" s="485"/>
      <c r="BU589" s="485"/>
      <c r="BV589" s="485"/>
      <c r="BW589" s="485"/>
      <c r="BX589" s="485"/>
      <c r="BY589" s="485"/>
      <c r="BZ589" s="485"/>
      <c r="CA589" s="485"/>
      <c r="CB589" s="485"/>
      <c r="CC589" s="485"/>
      <c r="CD589" s="485"/>
      <c r="CE589" s="485"/>
      <c r="CF589" s="485"/>
      <c r="CG589" s="485"/>
      <c r="CH589" s="485"/>
      <c r="CI589" s="485"/>
      <c r="CJ589" s="485"/>
      <c r="CK589" s="485"/>
      <c r="CL589" s="485"/>
      <c r="CM589" s="485"/>
      <c r="CN589" s="485"/>
      <c r="CO589" s="485"/>
      <c r="CP589" s="485"/>
      <c r="CQ589" s="485"/>
      <c r="CR589" s="485"/>
      <c r="CS589" s="485"/>
      <c r="CT589" s="485"/>
      <c r="CU589" s="485"/>
      <c r="CV589" s="485"/>
      <c r="CW589" s="485"/>
      <c r="CX589" s="485"/>
      <c r="CY589" s="485"/>
      <c r="CZ589" s="485"/>
      <c r="DA589" s="485"/>
      <c r="DB589" s="485"/>
      <c r="DC589" s="485"/>
      <c r="DD589" s="485"/>
      <c r="DE589" s="485"/>
      <c r="DF589" s="485"/>
      <c r="DG589" s="485"/>
      <c r="DH589" s="485"/>
      <c r="DI589" s="485"/>
      <c r="DJ589" s="485"/>
      <c r="DK589" s="485"/>
      <c r="DL589" s="485"/>
      <c r="DM589" s="485"/>
      <c r="DN589" s="485"/>
      <c r="DO589" s="485"/>
      <c r="DP589" s="485"/>
      <c r="DQ589" s="485"/>
      <c r="DR589" s="485"/>
      <c r="DS589" s="485"/>
      <c r="DT589" s="485"/>
      <c r="DU589" s="485"/>
      <c r="DV589" s="485"/>
      <c r="DW589" s="485"/>
      <c r="DX589" s="485"/>
      <c r="DY589" s="485"/>
      <c r="DZ589" s="485"/>
      <c r="EA589" s="485"/>
      <c r="EB589" s="485"/>
      <c r="EC589" s="485"/>
      <c r="ED589" s="485"/>
      <c r="EE589" s="485"/>
      <c r="EF589" s="485"/>
      <c r="EG589" s="485"/>
      <c r="EH589" s="485"/>
      <c r="EI589" s="485"/>
      <c r="EJ589" s="485"/>
      <c r="EK589" s="485"/>
      <c r="EL589" s="485"/>
      <c r="EM589" s="485"/>
      <c r="EN589" s="485"/>
      <c r="EO589" s="485"/>
      <c r="EP589" s="485"/>
    </row>
    <row r="590" spans="1:146">
      <c r="A590" s="485"/>
      <c r="B590" s="485"/>
      <c r="C590" s="485"/>
      <c r="D590" s="485"/>
      <c r="E590" s="485"/>
      <c r="F590" s="485"/>
      <c r="G590" s="485"/>
      <c r="H590" s="485"/>
      <c r="I590" s="485"/>
      <c r="J590" s="485"/>
      <c r="K590" s="485"/>
      <c r="L590" s="485"/>
      <c r="M590" s="485"/>
      <c r="P590" s="485"/>
      <c r="Q590" s="485"/>
      <c r="R590" s="485"/>
      <c r="S590" s="485"/>
      <c r="T590" s="485"/>
      <c r="U590" s="485"/>
      <c r="V590" s="485"/>
      <c r="W590" s="485"/>
      <c r="X590" s="485"/>
      <c r="Y590" s="485"/>
      <c r="Z590" s="485"/>
      <c r="AA590" s="485"/>
      <c r="AB590" s="485"/>
      <c r="AC590" s="485"/>
      <c r="AD590" s="485"/>
      <c r="AE590" s="485"/>
      <c r="AF590" s="485"/>
      <c r="AG590" s="485"/>
      <c r="AH590" s="485"/>
      <c r="AI590" s="485"/>
      <c r="AJ590" s="485"/>
      <c r="AK590" s="485"/>
      <c r="AL590" s="485"/>
      <c r="AM590" s="485"/>
      <c r="AN590" s="485"/>
      <c r="AO590" s="485"/>
      <c r="AP590" s="485"/>
      <c r="AQ590" s="485"/>
      <c r="AR590" s="485"/>
      <c r="AS590" s="485"/>
      <c r="AT590" s="485"/>
      <c r="AU590" s="485"/>
      <c r="AV590" s="485"/>
      <c r="AW590" s="485"/>
      <c r="AX590" s="485"/>
      <c r="AY590" s="485"/>
      <c r="AZ590" s="485"/>
      <c r="BA590" s="485"/>
      <c r="BB590" s="485"/>
      <c r="BC590" s="485"/>
      <c r="BD590" s="485"/>
      <c r="BE590" s="485"/>
      <c r="BF590" s="485"/>
      <c r="BG590" s="485"/>
      <c r="BH590" s="485"/>
      <c r="BI590" s="485"/>
      <c r="BJ590" s="485"/>
      <c r="BK590" s="485"/>
      <c r="BL590" s="485"/>
      <c r="BM590" s="485"/>
      <c r="BN590" s="485"/>
      <c r="BO590" s="485"/>
      <c r="BP590" s="485"/>
      <c r="BQ590" s="485"/>
      <c r="BR590" s="485"/>
      <c r="BS590" s="485"/>
      <c r="BT590" s="485"/>
      <c r="BU590" s="485"/>
      <c r="BV590" s="485"/>
      <c r="BW590" s="485"/>
      <c r="BX590" s="485"/>
      <c r="BY590" s="485"/>
      <c r="BZ590" s="485"/>
      <c r="CA590" s="485"/>
      <c r="CB590" s="485"/>
      <c r="CC590" s="485"/>
      <c r="CD590" s="485"/>
      <c r="CE590" s="485"/>
      <c r="CF590" s="485"/>
      <c r="CG590" s="485"/>
      <c r="CH590" s="485"/>
      <c r="CI590" s="485"/>
      <c r="CJ590" s="485"/>
      <c r="CK590" s="485"/>
      <c r="CL590" s="485"/>
      <c r="CM590" s="485"/>
      <c r="CN590" s="485"/>
      <c r="CO590" s="485"/>
      <c r="CP590" s="485"/>
      <c r="CQ590" s="485"/>
      <c r="CR590" s="485"/>
      <c r="CS590" s="485"/>
      <c r="CT590" s="485"/>
      <c r="CU590" s="485"/>
      <c r="CV590" s="485"/>
      <c r="CW590" s="485"/>
      <c r="CX590" s="485"/>
      <c r="CY590" s="485"/>
      <c r="CZ590" s="485"/>
      <c r="DA590" s="485"/>
      <c r="DB590" s="485"/>
      <c r="DC590" s="485"/>
      <c r="DD590" s="485"/>
      <c r="DE590" s="485"/>
      <c r="DF590" s="485"/>
      <c r="DG590" s="485"/>
      <c r="DH590" s="485"/>
      <c r="DI590" s="485"/>
      <c r="DJ590" s="485"/>
      <c r="DK590" s="485"/>
      <c r="DL590" s="485"/>
      <c r="DM590" s="485"/>
      <c r="DN590" s="485"/>
      <c r="DO590" s="485"/>
      <c r="DP590" s="485"/>
      <c r="DQ590" s="485"/>
      <c r="DR590" s="485"/>
      <c r="DS590" s="485"/>
      <c r="DT590" s="485"/>
      <c r="DU590" s="485"/>
      <c r="DV590" s="485"/>
      <c r="DW590" s="485"/>
      <c r="DX590" s="485"/>
      <c r="DY590" s="485"/>
      <c r="DZ590" s="485"/>
      <c r="EA590" s="485"/>
      <c r="EB590" s="485"/>
      <c r="EC590" s="485"/>
      <c r="ED590" s="485"/>
      <c r="EE590" s="485"/>
      <c r="EF590" s="485"/>
      <c r="EG590" s="485"/>
      <c r="EH590" s="485"/>
      <c r="EI590" s="485"/>
      <c r="EJ590" s="485"/>
      <c r="EK590" s="485"/>
      <c r="EL590" s="485"/>
      <c r="EM590" s="485"/>
      <c r="EN590" s="485"/>
      <c r="EO590" s="485"/>
      <c r="EP590" s="485"/>
    </row>
    <row r="591" spans="1:146">
      <c r="A591" s="485"/>
      <c r="B591" s="485"/>
      <c r="C591" s="485"/>
      <c r="D591" s="485"/>
      <c r="E591" s="485"/>
      <c r="F591" s="485"/>
      <c r="G591" s="485"/>
      <c r="H591" s="485"/>
      <c r="I591" s="485"/>
      <c r="J591" s="485"/>
      <c r="K591" s="485"/>
      <c r="L591" s="485"/>
      <c r="M591" s="485"/>
      <c r="P591" s="485"/>
      <c r="Q591" s="485"/>
      <c r="R591" s="485"/>
      <c r="S591" s="485"/>
      <c r="T591" s="485"/>
      <c r="U591" s="485"/>
      <c r="V591" s="485"/>
      <c r="W591" s="485"/>
      <c r="X591" s="485"/>
      <c r="Y591" s="485"/>
      <c r="Z591" s="485"/>
      <c r="AA591" s="485"/>
      <c r="AB591" s="485"/>
      <c r="AC591" s="485"/>
      <c r="AD591" s="485"/>
      <c r="AE591" s="485"/>
      <c r="AF591" s="485"/>
      <c r="AG591" s="485"/>
      <c r="AH591" s="485"/>
      <c r="AI591" s="485"/>
      <c r="AJ591" s="485"/>
      <c r="AK591" s="485"/>
      <c r="AL591" s="485"/>
      <c r="AM591" s="485"/>
      <c r="AN591" s="485"/>
      <c r="AO591" s="485"/>
      <c r="AP591" s="485"/>
      <c r="AQ591" s="485"/>
      <c r="AR591" s="485"/>
      <c r="AS591" s="485"/>
      <c r="AT591" s="485"/>
      <c r="AU591" s="485"/>
      <c r="AV591" s="485"/>
      <c r="AW591" s="485"/>
      <c r="AX591" s="485"/>
      <c r="AY591" s="485"/>
      <c r="AZ591" s="485"/>
      <c r="BA591" s="485"/>
      <c r="BB591" s="485"/>
      <c r="BC591" s="485"/>
      <c r="BD591" s="485"/>
      <c r="BE591" s="485"/>
      <c r="BF591" s="485"/>
      <c r="BG591" s="485"/>
      <c r="BH591" s="485"/>
      <c r="BI591" s="485"/>
      <c r="BJ591" s="485"/>
      <c r="BK591" s="485"/>
      <c r="BL591" s="485"/>
      <c r="BM591" s="485"/>
      <c r="BN591" s="485"/>
      <c r="BO591" s="485"/>
      <c r="BP591" s="485"/>
      <c r="BQ591" s="485"/>
      <c r="BR591" s="485"/>
      <c r="BS591" s="485"/>
      <c r="BT591" s="485"/>
      <c r="BU591" s="485"/>
      <c r="BV591" s="485"/>
      <c r="BW591" s="485"/>
      <c r="BX591" s="485"/>
      <c r="BY591" s="485"/>
      <c r="BZ591" s="485"/>
      <c r="CA591" s="485"/>
      <c r="CB591" s="485"/>
      <c r="CC591" s="485"/>
      <c r="CD591" s="485"/>
      <c r="CE591" s="485"/>
      <c r="CF591" s="485"/>
      <c r="CG591" s="485"/>
      <c r="CH591" s="485"/>
      <c r="CI591" s="485"/>
      <c r="CJ591" s="485"/>
      <c r="CK591" s="485"/>
      <c r="CL591" s="485"/>
      <c r="CM591" s="485"/>
      <c r="CN591" s="485"/>
      <c r="CO591" s="485"/>
      <c r="CP591" s="485"/>
      <c r="CQ591" s="485"/>
      <c r="CR591" s="485"/>
      <c r="CS591" s="485"/>
      <c r="CT591" s="485"/>
      <c r="CU591" s="485"/>
      <c r="CV591" s="485"/>
      <c r="CW591" s="485"/>
      <c r="CX591" s="485"/>
      <c r="CY591" s="485"/>
      <c r="CZ591" s="485"/>
      <c r="DA591" s="485"/>
      <c r="DB591" s="485"/>
      <c r="DC591" s="485"/>
      <c r="DD591" s="485"/>
      <c r="DE591" s="485"/>
      <c r="DF591" s="485"/>
      <c r="DG591" s="485"/>
      <c r="DH591" s="485"/>
      <c r="DI591" s="485"/>
      <c r="DJ591" s="485"/>
      <c r="DK591" s="485"/>
      <c r="DL591" s="485"/>
      <c r="DM591" s="485"/>
      <c r="DN591" s="485"/>
      <c r="DO591" s="485"/>
      <c r="DP591" s="485"/>
      <c r="DQ591" s="485"/>
      <c r="DR591" s="485"/>
      <c r="DS591" s="485"/>
      <c r="DT591" s="485"/>
      <c r="DU591" s="485"/>
      <c r="DV591" s="485"/>
      <c r="DW591" s="485"/>
      <c r="DX591" s="485"/>
      <c r="DY591" s="485"/>
      <c r="DZ591" s="485"/>
      <c r="EA591" s="485"/>
      <c r="EB591" s="485"/>
      <c r="EC591" s="485"/>
      <c r="ED591" s="485"/>
      <c r="EE591" s="485"/>
      <c r="EF591" s="485"/>
      <c r="EG591" s="485"/>
      <c r="EH591" s="485"/>
      <c r="EI591" s="485"/>
      <c r="EJ591" s="485"/>
      <c r="EK591" s="485"/>
      <c r="EL591" s="485"/>
      <c r="EM591" s="485"/>
      <c r="EN591" s="485"/>
      <c r="EO591" s="485"/>
      <c r="EP591" s="485"/>
    </row>
    <row r="592" spans="1:146">
      <c r="A592" s="485"/>
      <c r="B592" s="485"/>
      <c r="C592" s="485"/>
      <c r="D592" s="485"/>
      <c r="E592" s="485"/>
      <c r="F592" s="485"/>
      <c r="G592" s="485"/>
      <c r="H592" s="485"/>
      <c r="I592" s="485"/>
      <c r="J592" s="485"/>
      <c r="K592" s="485"/>
      <c r="L592" s="485"/>
      <c r="M592" s="485"/>
      <c r="P592" s="485"/>
      <c r="Q592" s="485"/>
      <c r="R592" s="485"/>
      <c r="S592" s="485"/>
      <c r="T592" s="485"/>
      <c r="U592" s="485"/>
      <c r="V592" s="485"/>
      <c r="W592" s="485"/>
      <c r="X592" s="485"/>
      <c r="Y592" s="485"/>
      <c r="Z592" s="485"/>
      <c r="AA592" s="485"/>
      <c r="AB592" s="485"/>
      <c r="AC592" s="485"/>
      <c r="AD592" s="485"/>
      <c r="AE592" s="485"/>
      <c r="AF592" s="485"/>
      <c r="AG592" s="485"/>
      <c r="AH592" s="485"/>
      <c r="AI592" s="485"/>
      <c r="AJ592" s="485"/>
      <c r="AK592" s="485"/>
      <c r="AL592" s="485"/>
      <c r="AM592" s="485"/>
      <c r="AN592" s="485"/>
      <c r="AO592" s="485"/>
      <c r="AP592" s="485"/>
      <c r="AQ592" s="485"/>
      <c r="AR592" s="485"/>
      <c r="AS592" s="485"/>
      <c r="AT592" s="485"/>
      <c r="AU592" s="485"/>
      <c r="AV592" s="485"/>
      <c r="AW592" s="485"/>
      <c r="AX592" s="485"/>
      <c r="AY592" s="485"/>
      <c r="AZ592" s="485"/>
      <c r="BA592" s="485"/>
      <c r="BB592" s="485"/>
      <c r="BC592" s="485"/>
      <c r="BD592" s="485"/>
      <c r="BE592" s="485"/>
      <c r="BF592" s="485"/>
      <c r="BG592" s="485"/>
      <c r="BH592" s="485"/>
      <c r="BI592" s="485"/>
      <c r="BJ592" s="485"/>
      <c r="BK592" s="485"/>
      <c r="BL592" s="485"/>
      <c r="BM592" s="485"/>
      <c r="BN592" s="485"/>
      <c r="BO592" s="485"/>
      <c r="BP592" s="485"/>
      <c r="BQ592" s="485"/>
      <c r="BR592" s="485"/>
      <c r="BS592" s="485"/>
      <c r="BT592" s="485"/>
      <c r="BU592" s="485"/>
      <c r="BV592" s="485"/>
      <c r="BW592" s="485"/>
      <c r="BX592" s="485"/>
      <c r="BY592" s="485"/>
      <c r="BZ592" s="485"/>
      <c r="CA592" s="485"/>
      <c r="CB592" s="485"/>
      <c r="CC592" s="485"/>
      <c r="CD592" s="485"/>
      <c r="CE592" s="485"/>
      <c r="CF592" s="485"/>
      <c r="CG592" s="485"/>
      <c r="CH592" s="485"/>
      <c r="CI592" s="485"/>
      <c r="CJ592" s="485"/>
      <c r="CK592" s="485"/>
      <c r="CL592" s="485"/>
      <c r="CM592" s="485"/>
      <c r="CN592" s="485"/>
      <c r="CO592" s="485"/>
      <c r="CP592" s="485"/>
      <c r="CQ592" s="485"/>
      <c r="CR592" s="485"/>
      <c r="CS592" s="485"/>
      <c r="CT592" s="485"/>
      <c r="CU592" s="485"/>
      <c r="CV592" s="485"/>
      <c r="CW592" s="485"/>
      <c r="CX592" s="485"/>
      <c r="CY592" s="485"/>
      <c r="CZ592" s="485"/>
      <c r="DA592" s="485"/>
      <c r="DB592" s="485"/>
      <c r="DC592" s="485"/>
      <c r="DD592" s="485"/>
      <c r="DE592" s="485"/>
      <c r="DF592" s="485"/>
      <c r="DG592" s="485"/>
      <c r="DH592" s="485"/>
      <c r="DI592" s="485"/>
      <c r="DJ592" s="485"/>
      <c r="DK592" s="485"/>
      <c r="DL592" s="485"/>
      <c r="DM592" s="485"/>
      <c r="DN592" s="485"/>
      <c r="DO592" s="485"/>
      <c r="DP592" s="485"/>
      <c r="DQ592" s="485"/>
      <c r="DR592" s="485"/>
      <c r="DS592" s="485"/>
      <c r="DT592" s="485"/>
      <c r="DU592" s="485"/>
      <c r="DV592" s="485"/>
      <c r="DW592" s="485"/>
      <c r="DX592" s="485"/>
      <c r="DY592" s="485"/>
      <c r="DZ592" s="485"/>
      <c r="EA592" s="485"/>
      <c r="EB592" s="485"/>
      <c r="EC592" s="485"/>
      <c r="ED592" s="485"/>
      <c r="EE592" s="485"/>
      <c r="EF592" s="485"/>
      <c r="EG592" s="485"/>
      <c r="EH592" s="485"/>
      <c r="EI592" s="485"/>
      <c r="EJ592" s="485"/>
      <c r="EK592" s="485"/>
      <c r="EL592" s="485"/>
      <c r="EM592" s="485"/>
      <c r="EN592" s="485"/>
      <c r="EO592" s="485"/>
      <c r="EP592" s="485"/>
    </row>
    <row r="593" spans="1:146">
      <c r="A593" s="485"/>
      <c r="B593" s="485"/>
      <c r="C593" s="485"/>
      <c r="D593" s="485"/>
      <c r="E593" s="485"/>
      <c r="F593" s="485"/>
      <c r="G593" s="485"/>
      <c r="H593" s="485"/>
      <c r="I593" s="485"/>
      <c r="J593" s="485"/>
      <c r="K593" s="485"/>
      <c r="L593" s="485"/>
      <c r="M593" s="485"/>
      <c r="P593" s="485"/>
      <c r="Q593" s="485"/>
      <c r="R593" s="485"/>
      <c r="S593" s="485"/>
      <c r="T593" s="485"/>
      <c r="U593" s="485"/>
      <c r="V593" s="485"/>
      <c r="W593" s="485"/>
      <c r="X593" s="485"/>
      <c r="Y593" s="485"/>
      <c r="Z593" s="485"/>
      <c r="AA593" s="485"/>
      <c r="AB593" s="485"/>
      <c r="AC593" s="485"/>
      <c r="AD593" s="485"/>
      <c r="AE593" s="485"/>
      <c r="AF593" s="485"/>
      <c r="AG593" s="485"/>
      <c r="AH593" s="485"/>
      <c r="AI593" s="485"/>
      <c r="AJ593" s="485"/>
      <c r="AK593" s="485"/>
      <c r="AL593" s="485"/>
      <c r="AM593" s="485"/>
      <c r="AN593" s="485"/>
      <c r="AO593" s="485"/>
      <c r="AP593" s="485"/>
      <c r="AQ593" s="485"/>
      <c r="AR593" s="485"/>
      <c r="AS593" s="485"/>
      <c r="AT593" s="485"/>
      <c r="AU593" s="485"/>
      <c r="AV593" s="485"/>
      <c r="AW593" s="485"/>
      <c r="AX593" s="485"/>
      <c r="AY593" s="485"/>
      <c r="AZ593" s="485"/>
      <c r="BA593" s="485"/>
      <c r="BB593" s="485"/>
      <c r="BC593" s="485"/>
      <c r="BD593" s="485"/>
      <c r="BE593" s="485"/>
      <c r="BF593" s="485"/>
      <c r="BG593" s="485"/>
      <c r="BH593" s="485"/>
      <c r="BI593" s="485"/>
      <c r="BJ593" s="485"/>
      <c r="BK593" s="485"/>
      <c r="BL593" s="485"/>
      <c r="BM593" s="485"/>
      <c r="BN593" s="485"/>
      <c r="BO593" s="485"/>
      <c r="BP593" s="485"/>
      <c r="BQ593" s="485"/>
      <c r="BR593" s="485"/>
      <c r="BS593" s="485"/>
      <c r="BT593" s="485"/>
      <c r="BU593" s="485"/>
      <c r="BV593" s="485"/>
      <c r="BW593" s="485"/>
      <c r="BX593" s="485"/>
      <c r="BY593" s="485"/>
      <c r="BZ593" s="485"/>
      <c r="CA593" s="485"/>
      <c r="CB593" s="485"/>
      <c r="CC593" s="485"/>
      <c r="CD593" s="485"/>
      <c r="CE593" s="485"/>
      <c r="CF593" s="485"/>
      <c r="CG593" s="485"/>
      <c r="CH593" s="485"/>
      <c r="CI593" s="485"/>
      <c r="CJ593" s="485"/>
      <c r="CK593" s="485"/>
      <c r="CL593" s="485"/>
      <c r="CM593" s="485"/>
      <c r="CN593" s="485"/>
      <c r="CO593" s="485"/>
      <c r="CP593" s="485"/>
      <c r="CQ593" s="485"/>
      <c r="CR593" s="485"/>
      <c r="CS593" s="485"/>
      <c r="CT593" s="485"/>
      <c r="CU593" s="485"/>
      <c r="CV593" s="485"/>
      <c r="CW593" s="485"/>
      <c r="CX593" s="485"/>
      <c r="CY593" s="485"/>
      <c r="CZ593" s="485"/>
      <c r="DA593" s="485"/>
      <c r="DB593" s="485"/>
      <c r="DC593" s="485"/>
      <c r="DD593" s="485"/>
      <c r="DE593" s="485"/>
      <c r="DF593" s="485"/>
      <c r="DG593" s="485"/>
      <c r="DH593" s="485"/>
      <c r="DI593" s="485"/>
      <c r="DJ593" s="485"/>
      <c r="DK593" s="485"/>
      <c r="DL593" s="485"/>
      <c r="DM593" s="485"/>
      <c r="DN593" s="485"/>
      <c r="DO593" s="485"/>
      <c r="DP593" s="485"/>
      <c r="DQ593" s="485"/>
      <c r="DR593" s="485"/>
      <c r="DS593" s="485"/>
      <c r="DT593" s="485"/>
      <c r="DU593" s="485"/>
      <c r="DV593" s="485"/>
      <c r="DW593" s="485"/>
      <c r="DX593" s="485"/>
      <c r="DY593" s="485"/>
      <c r="DZ593" s="485"/>
      <c r="EA593" s="485"/>
      <c r="EB593" s="485"/>
      <c r="EC593" s="485"/>
      <c r="ED593" s="485"/>
      <c r="EE593" s="485"/>
      <c r="EF593" s="485"/>
      <c r="EG593" s="485"/>
      <c r="EH593" s="485"/>
      <c r="EI593" s="485"/>
      <c r="EJ593" s="485"/>
      <c r="EK593" s="485"/>
      <c r="EL593" s="485"/>
      <c r="EM593" s="485"/>
      <c r="EN593" s="485"/>
      <c r="EO593" s="485"/>
      <c r="EP593" s="485"/>
    </row>
    <row r="594" spans="1:146">
      <c r="A594" s="485"/>
      <c r="B594" s="485"/>
      <c r="C594" s="485"/>
      <c r="D594" s="485"/>
      <c r="E594" s="485"/>
      <c r="F594" s="485"/>
      <c r="G594" s="485"/>
      <c r="H594" s="485"/>
      <c r="I594" s="485"/>
      <c r="J594" s="485"/>
      <c r="K594" s="485"/>
      <c r="L594" s="485"/>
      <c r="M594" s="485"/>
      <c r="P594" s="485"/>
      <c r="Q594" s="485"/>
      <c r="R594" s="485"/>
      <c r="S594" s="485"/>
      <c r="T594" s="485"/>
      <c r="U594" s="485"/>
      <c r="V594" s="485"/>
      <c r="W594" s="485"/>
      <c r="X594" s="485"/>
      <c r="Y594" s="485"/>
      <c r="Z594" s="485"/>
      <c r="AA594" s="485"/>
      <c r="AB594" s="485"/>
      <c r="AC594" s="485"/>
      <c r="AD594" s="485"/>
      <c r="AE594" s="485"/>
      <c r="AF594" s="485"/>
      <c r="AG594" s="485"/>
      <c r="AH594" s="485"/>
      <c r="AI594" s="485"/>
      <c r="AJ594" s="485"/>
      <c r="AK594" s="485"/>
      <c r="AL594" s="485"/>
      <c r="AM594" s="485"/>
      <c r="AN594" s="485"/>
      <c r="AO594" s="485"/>
      <c r="AP594" s="485"/>
      <c r="AQ594" s="485"/>
      <c r="AR594" s="485"/>
      <c r="AS594" s="485"/>
      <c r="AT594" s="485"/>
      <c r="AU594" s="485"/>
      <c r="AV594" s="485"/>
      <c r="AW594" s="485"/>
      <c r="AX594" s="485"/>
      <c r="AY594" s="485"/>
      <c r="AZ594" s="485"/>
      <c r="BA594" s="485"/>
      <c r="BB594" s="485"/>
      <c r="BC594" s="485"/>
      <c r="BD594" s="485"/>
      <c r="BE594" s="485"/>
      <c r="BF594" s="485"/>
      <c r="BG594" s="485"/>
      <c r="BH594" s="485"/>
      <c r="BI594" s="485"/>
      <c r="BJ594" s="485"/>
      <c r="BK594" s="485"/>
      <c r="BL594" s="485"/>
      <c r="BM594" s="485"/>
      <c r="BN594" s="485"/>
      <c r="BO594" s="485"/>
      <c r="BP594" s="485"/>
      <c r="BQ594" s="485"/>
      <c r="BR594" s="485"/>
      <c r="BS594" s="485"/>
      <c r="BT594" s="485"/>
      <c r="BU594" s="485"/>
      <c r="BV594" s="485"/>
      <c r="BW594" s="485"/>
      <c r="BX594" s="485"/>
      <c r="BY594" s="485"/>
      <c r="BZ594" s="485"/>
      <c r="CA594" s="485"/>
      <c r="CB594" s="485"/>
      <c r="CC594" s="485"/>
      <c r="CD594" s="485"/>
      <c r="CE594" s="485"/>
      <c r="CF594" s="485"/>
      <c r="CG594" s="485"/>
      <c r="CH594" s="485"/>
      <c r="CI594" s="485"/>
      <c r="CJ594" s="485"/>
      <c r="CK594" s="485"/>
      <c r="CL594" s="485"/>
      <c r="CM594" s="485"/>
      <c r="CN594" s="485"/>
      <c r="CO594" s="485"/>
      <c r="CP594" s="485"/>
      <c r="CQ594" s="485"/>
      <c r="CR594" s="485"/>
      <c r="CS594" s="485"/>
      <c r="CT594" s="485"/>
      <c r="CU594" s="485"/>
      <c r="CV594" s="485"/>
      <c r="CW594" s="485"/>
      <c r="CX594" s="485"/>
      <c r="CY594" s="485"/>
      <c r="CZ594" s="485"/>
      <c r="DA594" s="485"/>
      <c r="DB594" s="485"/>
      <c r="DC594" s="485"/>
      <c r="DD594" s="485"/>
      <c r="DE594" s="485"/>
      <c r="DF594" s="485"/>
      <c r="DG594" s="485"/>
      <c r="DH594" s="485"/>
      <c r="DI594" s="485"/>
      <c r="DJ594" s="485"/>
      <c r="DK594" s="485"/>
      <c r="DL594" s="485"/>
      <c r="DM594" s="485"/>
      <c r="DN594" s="485"/>
      <c r="DO594" s="485"/>
      <c r="DP594" s="485"/>
      <c r="DQ594" s="485"/>
      <c r="DR594" s="485"/>
      <c r="DS594" s="485"/>
      <c r="DT594" s="485"/>
      <c r="DU594" s="485"/>
      <c r="DV594" s="485"/>
      <c r="DW594" s="485"/>
      <c r="DX594" s="485"/>
      <c r="DY594" s="485"/>
      <c r="DZ594" s="485"/>
      <c r="EA594" s="485"/>
      <c r="EB594" s="485"/>
      <c r="EC594" s="485"/>
      <c r="ED594" s="485"/>
      <c r="EE594" s="485"/>
      <c r="EF594" s="485"/>
      <c r="EG594" s="485"/>
      <c r="EH594" s="485"/>
      <c r="EI594" s="485"/>
      <c r="EJ594" s="485"/>
      <c r="EK594" s="485"/>
      <c r="EL594" s="485"/>
      <c r="EM594" s="485"/>
      <c r="EN594" s="485"/>
      <c r="EO594" s="485"/>
      <c r="EP594" s="485"/>
    </row>
    <row r="595" spans="1:146">
      <c r="A595" s="485"/>
      <c r="B595" s="485"/>
      <c r="C595" s="485"/>
      <c r="D595" s="485"/>
      <c r="E595" s="485"/>
      <c r="F595" s="485"/>
      <c r="G595" s="485"/>
      <c r="H595" s="485"/>
      <c r="I595" s="485"/>
      <c r="J595" s="485"/>
      <c r="K595" s="485"/>
      <c r="L595" s="485"/>
      <c r="M595" s="485"/>
      <c r="P595" s="485"/>
      <c r="Q595" s="485"/>
      <c r="R595" s="485"/>
      <c r="S595" s="485"/>
      <c r="T595" s="485"/>
      <c r="U595" s="485"/>
      <c r="V595" s="485"/>
      <c r="W595" s="485"/>
      <c r="X595" s="485"/>
      <c r="Y595" s="485"/>
      <c r="Z595" s="485"/>
      <c r="AA595" s="485"/>
      <c r="AB595" s="485"/>
      <c r="AC595" s="485"/>
      <c r="AD595" s="485"/>
      <c r="AE595" s="485"/>
      <c r="AF595" s="485"/>
      <c r="AG595" s="485"/>
      <c r="AH595" s="485"/>
      <c r="AI595" s="485"/>
      <c r="AJ595" s="485"/>
      <c r="AK595" s="485"/>
      <c r="AL595" s="485"/>
      <c r="AM595" s="485"/>
      <c r="AN595" s="485"/>
      <c r="AO595" s="485"/>
      <c r="AP595" s="485"/>
      <c r="AQ595" s="485"/>
      <c r="AR595" s="485"/>
      <c r="AS595" s="485"/>
      <c r="AT595" s="485"/>
      <c r="AU595" s="485"/>
      <c r="AV595" s="485"/>
      <c r="AW595" s="485"/>
      <c r="AX595" s="485"/>
      <c r="AY595" s="485"/>
      <c r="AZ595" s="485"/>
      <c r="BA595" s="485"/>
      <c r="BB595" s="485"/>
      <c r="BC595" s="485"/>
      <c r="BD595" s="485"/>
      <c r="BE595" s="485"/>
      <c r="BF595" s="485"/>
      <c r="BG595" s="485"/>
      <c r="BH595" s="485"/>
      <c r="BI595" s="485"/>
      <c r="BJ595" s="485"/>
      <c r="BK595" s="485"/>
      <c r="BL595" s="485"/>
      <c r="BM595" s="485"/>
      <c r="BN595" s="485"/>
      <c r="BO595" s="485"/>
      <c r="BP595" s="485"/>
      <c r="BQ595" s="485"/>
      <c r="BR595" s="485"/>
      <c r="BS595" s="485"/>
      <c r="BT595" s="485"/>
      <c r="BU595" s="485"/>
      <c r="BV595" s="485"/>
      <c r="BW595" s="485"/>
      <c r="BX595" s="485"/>
      <c r="BY595" s="485"/>
      <c r="BZ595" s="485"/>
      <c r="CA595" s="485"/>
      <c r="CB595" s="485"/>
      <c r="CC595" s="485"/>
      <c r="CD595" s="485"/>
      <c r="CE595" s="485"/>
      <c r="CF595" s="485"/>
      <c r="CG595" s="485"/>
      <c r="CH595" s="485"/>
      <c r="CI595" s="485"/>
      <c r="CJ595" s="485"/>
      <c r="CK595" s="485"/>
      <c r="CL595" s="485"/>
      <c r="CM595" s="485"/>
      <c r="CN595" s="485"/>
      <c r="CO595" s="485"/>
      <c r="CP595" s="485"/>
      <c r="CQ595" s="485"/>
      <c r="CR595" s="485"/>
      <c r="CS595" s="485"/>
      <c r="CT595" s="485"/>
      <c r="CU595" s="485"/>
      <c r="CV595" s="485"/>
      <c r="CW595" s="485"/>
      <c r="CX595" s="485"/>
      <c r="CY595" s="485"/>
      <c r="CZ595" s="485"/>
      <c r="DA595" s="485"/>
      <c r="DB595" s="485"/>
      <c r="DC595" s="485"/>
      <c r="DD595" s="485"/>
      <c r="DE595" s="485"/>
      <c r="DF595" s="485"/>
      <c r="DG595" s="485"/>
      <c r="DH595" s="485"/>
      <c r="DI595" s="485"/>
      <c r="DJ595" s="485"/>
      <c r="DK595" s="485"/>
      <c r="DL595" s="485"/>
      <c r="DM595" s="485"/>
      <c r="DN595" s="485"/>
      <c r="DO595" s="485"/>
      <c r="DP595" s="485"/>
      <c r="DQ595" s="485"/>
      <c r="DR595" s="485"/>
      <c r="DS595" s="485"/>
      <c r="DT595" s="485"/>
      <c r="DU595" s="485"/>
      <c r="DV595" s="485"/>
      <c r="DW595" s="485"/>
      <c r="DX595" s="485"/>
      <c r="DY595" s="485"/>
      <c r="DZ595" s="485"/>
      <c r="EA595" s="485"/>
      <c r="EB595" s="485"/>
      <c r="EC595" s="485"/>
      <c r="ED595" s="485"/>
      <c r="EE595" s="485"/>
      <c r="EF595" s="485"/>
      <c r="EG595" s="485"/>
      <c r="EH595" s="485"/>
      <c r="EI595" s="485"/>
      <c r="EJ595" s="485"/>
      <c r="EK595" s="485"/>
      <c r="EL595" s="485"/>
      <c r="EM595" s="485"/>
      <c r="EN595" s="485"/>
      <c r="EO595" s="485"/>
      <c r="EP595" s="485"/>
    </row>
    <row r="596" spans="1:146">
      <c r="A596" s="485"/>
      <c r="B596" s="485"/>
      <c r="C596" s="485"/>
      <c r="D596" s="485"/>
      <c r="E596" s="485"/>
      <c r="F596" s="485"/>
      <c r="G596" s="485"/>
      <c r="H596" s="485"/>
      <c r="I596" s="485"/>
      <c r="J596" s="485"/>
      <c r="K596" s="485"/>
      <c r="L596" s="485"/>
      <c r="M596" s="485"/>
      <c r="P596" s="485"/>
      <c r="Q596" s="485"/>
      <c r="R596" s="485"/>
      <c r="S596" s="485"/>
      <c r="T596" s="485"/>
      <c r="U596" s="485"/>
      <c r="V596" s="485"/>
      <c r="W596" s="485"/>
      <c r="X596" s="485"/>
      <c r="Y596" s="485"/>
      <c r="Z596" s="485"/>
      <c r="AA596" s="485"/>
      <c r="AB596" s="485"/>
      <c r="AC596" s="485"/>
      <c r="AD596" s="485"/>
      <c r="AE596" s="485"/>
      <c r="AF596" s="485"/>
      <c r="AG596" s="485"/>
      <c r="AH596" s="485"/>
      <c r="AI596" s="485"/>
      <c r="AJ596" s="485"/>
      <c r="AK596" s="485"/>
      <c r="AL596" s="485"/>
      <c r="AM596" s="485"/>
      <c r="AN596" s="485"/>
      <c r="AO596" s="485"/>
      <c r="AP596" s="485"/>
      <c r="AQ596" s="485"/>
      <c r="AR596" s="485"/>
      <c r="AS596" s="485"/>
      <c r="AT596" s="485"/>
      <c r="AU596" s="485"/>
      <c r="AV596" s="485"/>
      <c r="AW596" s="485"/>
      <c r="AX596" s="485"/>
      <c r="AY596" s="485"/>
      <c r="AZ596" s="485"/>
      <c r="BA596" s="485"/>
      <c r="BB596" s="485"/>
      <c r="BC596" s="485"/>
      <c r="BD596" s="485"/>
      <c r="BE596" s="485"/>
      <c r="BF596" s="485"/>
      <c r="BG596" s="485"/>
      <c r="BH596" s="485"/>
      <c r="BI596" s="485"/>
      <c r="BJ596" s="485"/>
      <c r="BK596" s="485"/>
      <c r="BL596" s="485"/>
      <c r="BM596" s="485"/>
      <c r="BN596" s="485"/>
      <c r="BO596" s="485"/>
      <c r="BP596" s="485"/>
      <c r="BQ596" s="485"/>
      <c r="BR596" s="485"/>
      <c r="BS596" s="485"/>
      <c r="BT596" s="485"/>
      <c r="BU596" s="485"/>
      <c r="BV596" s="485"/>
      <c r="BW596" s="485"/>
      <c r="BX596" s="485"/>
      <c r="BY596" s="485"/>
      <c r="BZ596" s="485"/>
      <c r="CA596" s="485"/>
      <c r="CB596" s="485"/>
      <c r="CC596" s="485"/>
      <c r="CD596" s="485"/>
      <c r="CE596" s="485"/>
      <c r="CF596" s="485"/>
      <c r="CG596" s="485"/>
      <c r="CH596" s="485"/>
      <c r="CI596" s="485"/>
      <c r="CJ596" s="485"/>
      <c r="CK596" s="485"/>
      <c r="CL596" s="485"/>
      <c r="CM596" s="485"/>
      <c r="CN596" s="485"/>
      <c r="CO596" s="485"/>
      <c r="CP596" s="485"/>
      <c r="CQ596" s="485"/>
      <c r="CR596" s="485"/>
      <c r="CS596" s="485"/>
      <c r="CT596" s="485"/>
      <c r="CU596" s="485"/>
      <c r="CV596" s="485"/>
      <c r="CW596" s="485"/>
      <c r="CX596" s="485"/>
      <c r="CY596" s="485"/>
      <c r="CZ596" s="485"/>
      <c r="DA596" s="485"/>
      <c r="DB596" s="485"/>
      <c r="DC596" s="485"/>
      <c r="DD596" s="485"/>
      <c r="DE596" s="485"/>
      <c r="DF596" s="485"/>
      <c r="DG596" s="485"/>
      <c r="DH596" s="485"/>
      <c r="DI596" s="485"/>
      <c r="DJ596" s="485"/>
      <c r="DK596" s="485"/>
      <c r="DL596" s="485"/>
      <c r="DM596" s="485"/>
      <c r="DN596" s="485"/>
      <c r="DO596" s="485"/>
      <c r="DP596" s="485"/>
      <c r="DQ596" s="485"/>
      <c r="DR596" s="485"/>
      <c r="DS596" s="485"/>
      <c r="DT596" s="485"/>
      <c r="DU596" s="485"/>
      <c r="DV596" s="485"/>
      <c r="DW596" s="485"/>
      <c r="DX596" s="485"/>
      <c r="DY596" s="485"/>
      <c r="DZ596" s="485"/>
      <c r="EA596" s="485"/>
      <c r="EB596" s="485"/>
      <c r="EC596" s="485"/>
      <c r="ED596" s="485"/>
      <c r="EE596" s="485"/>
      <c r="EF596" s="485"/>
      <c r="EG596" s="485"/>
      <c r="EH596" s="485"/>
      <c r="EI596" s="485"/>
      <c r="EJ596" s="485"/>
      <c r="EK596" s="485"/>
      <c r="EL596" s="485"/>
      <c r="EM596" s="485"/>
      <c r="EN596" s="485"/>
      <c r="EO596" s="485"/>
      <c r="EP596" s="485"/>
    </row>
    <row r="597" spans="1:146">
      <c r="A597" s="485"/>
      <c r="B597" s="485"/>
      <c r="C597" s="485"/>
      <c r="D597" s="485"/>
      <c r="E597" s="485"/>
      <c r="F597" s="485"/>
      <c r="G597" s="485"/>
      <c r="H597" s="485"/>
      <c r="I597" s="485"/>
      <c r="J597" s="485"/>
      <c r="K597" s="485"/>
      <c r="L597" s="485"/>
      <c r="M597" s="485"/>
      <c r="P597" s="485"/>
      <c r="Q597" s="485"/>
      <c r="R597" s="485"/>
      <c r="S597" s="485"/>
      <c r="T597" s="485"/>
      <c r="U597" s="485"/>
      <c r="V597" s="485"/>
      <c r="W597" s="485"/>
      <c r="X597" s="485"/>
      <c r="Y597" s="485"/>
      <c r="Z597" s="485"/>
      <c r="AA597" s="485"/>
      <c r="AB597" s="485"/>
      <c r="AC597" s="485"/>
      <c r="AD597" s="485"/>
      <c r="AE597" s="485"/>
      <c r="AF597" s="485"/>
      <c r="AG597" s="485"/>
      <c r="AH597" s="485"/>
      <c r="AI597" s="485"/>
      <c r="AJ597" s="485"/>
      <c r="AK597" s="485"/>
      <c r="AL597" s="485"/>
      <c r="AM597" s="485"/>
      <c r="AN597" s="485"/>
      <c r="AO597" s="485"/>
      <c r="AP597" s="485"/>
      <c r="AQ597" s="485"/>
      <c r="AR597" s="485"/>
      <c r="AS597" s="485"/>
      <c r="AT597" s="485"/>
      <c r="AU597" s="485"/>
      <c r="AV597" s="485"/>
      <c r="AW597" s="485"/>
      <c r="AX597" s="485"/>
      <c r="AY597" s="485"/>
      <c r="AZ597" s="485"/>
      <c r="BA597" s="485"/>
      <c r="BB597" s="485"/>
      <c r="BC597" s="485"/>
      <c r="BD597" s="485"/>
      <c r="BE597" s="485"/>
      <c r="BF597" s="485"/>
      <c r="BG597" s="485"/>
      <c r="BH597" s="485"/>
      <c r="BI597" s="485"/>
      <c r="BJ597" s="485"/>
      <c r="BK597" s="485"/>
      <c r="BL597" s="485"/>
      <c r="BM597" s="485"/>
      <c r="BN597" s="485"/>
      <c r="BO597" s="485"/>
      <c r="BP597" s="485"/>
      <c r="BQ597" s="485"/>
      <c r="BR597" s="485"/>
      <c r="BS597" s="485"/>
      <c r="BT597" s="485"/>
      <c r="BU597" s="485"/>
      <c r="BV597" s="485"/>
      <c r="BW597" s="485"/>
      <c r="BX597" s="485"/>
      <c r="BY597" s="485"/>
      <c r="BZ597" s="485"/>
      <c r="CA597" s="485"/>
      <c r="CB597" s="485"/>
      <c r="CC597" s="485"/>
      <c r="CD597" s="485"/>
      <c r="CE597" s="485"/>
      <c r="CF597" s="485"/>
      <c r="CG597" s="485"/>
      <c r="CH597" s="485"/>
      <c r="CI597" s="485"/>
      <c r="CJ597" s="485"/>
      <c r="CK597" s="485"/>
      <c r="CL597" s="485"/>
      <c r="CM597" s="485"/>
      <c r="CN597" s="485"/>
      <c r="CO597" s="485"/>
      <c r="CP597" s="485"/>
      <c r="CQ597" s="485"/>
      <c r="CR597" s="485"/>
      <c r="CS597" s="485"/>
      <c r="CT597" s="485"/>
      <c r="CU597" s="485"/>
      <c r="CV597" s="485"/>
      <c r="CW597" s="485"/>
      <c r="CX597" s="485"/>
      <c r="CY597" s="485"/>
      <c r="CZ597" s="485"/>
      <c r="DA597" s="485"/>
      <c r="DB597" s="485"/>
      <c r="DC597" s="485"/>
      <c r="DD597" s="485"/>
      <c r="DE597" s="485"/>
      <c r="DF597" s="485"/>
      <c r="DG597" s="485"/>
      <c r="DH597" s="485"/>
      <c r="DI597" s="485"/>
      <c r="DJ597" s="485"/>
      <c r="DK597" s="485"/>
      <c r="DL597" s="485"/>
      <c r="DM597" s="485"/>
      <c r="DN597" s="485"/>
      <c r="DO597" s="485"/>
      <c r="DP597" s="485"/>
      <c r="DQ597" s="485"/>
      <c r="DR597" s="485"/>
      <c r="DS597" s="485"/>
      <c r="DT597" s="485"/>
      <c r="DU597" s="485"/>
      <c r="DV597" s="485"/>
      <c r="DW597" s="485"/>
      <c r="DX597" s="485"/>
      <c r="DY597" s="485"/>
      <c r="DZ597" s="485"/>
      <c r="EA597" s="485"/>
      <c r="EB597" s="485"/>
      <c r="EC597" s="485"/>
      <c r="ED597" s="485"/>
      <c r="EE597" s="485"/>
      <c r="EF597" s="485"/>
      <c r="EG597" s="485"/>
      <c r="EH597" s="485"/>
      <c r="EI597" s="485"/>
      <c r="EJ597" s="485"/>
      <c r="EK597" s="485"/>
      <c r="EL597" s="485"/>
      <c r="EM597" s="485"/>
      <c r="EN597" s="485"/>
      <c r="EO597" s="485"/>
      <c r="EP597" s="485"/>
    </row>
    <row r="598" spans="1:146">
      <c r="A598" s="485"/>
      <c r="B598" s="485"/>
      <c r="C598" s="485"/>
      <c r="D598" s="485"/>
      <c r="E598" s="485"/>
      <c r="F598" s="485"/>
      <c r="G598" s="485"/>
      <c r="H598" s="485"/>
      <c r="I598" s="485"/>
      <c r="J598" s="485"/>
      <c r="K598" s="485"/>
      <c r="L598" s="485"/>
      <c r="M598" s="485"/>
      <c r="P598" s="485"/>
      <c r="Q598" s="485"/>
      <c r="R598" s="485"/>
      <c r="S598" s="485"/>
      <c r="T598" s="485"/>
      <c r="U598" s="485"/>
      <c r="V598" s="485"/>
      <c r="W598" s="485"/>
      <c r="X598" s="485"/>
      <c r="Y598" s="485"/>
      <c r="Z598" s="485"/>
      <c r="AA598" s="485"/>
      <c r="AB598" s="485"/>
      <c r="AC598" s="485"/>
      <c r="AD598" s="485"/>
      <c r="AE598" s="485"/>
      <c r="AF598" s="485"/>
      <c r="AG598" s="485"/>
      <c r="AH598" s="485"/>
      <c r="AI598" s="485"/>
      <c r="AJ598" s="485"/>
      <c r="AK598" s="485"/>
      <c r="AL598" s="485"/>
      <c r="AM598" s="485"/>
      <c r="AN598" s="485"/>
      <c r="AO598" s="485"/>
      <c r="AP598" s="485"/>
      <c r="AQ598" s="485"/>
      <c r="AR598" s="485"/>
      <c r="AS598" s="485"/>
      <c r="AT598" s="485"/>
      <c r="AU598" s="485"/>
      <c r="AV598" s="485"/>
      <c r="AW598" s="485"/>
      <c r="AX598" s="485"/>
      <c r="AY598" s="485"/>
      <c r="AZ598" s="485"/>
      <c r="BA598" s="485"/>
      <c r="BB598" s="485"/>
      <c r="BC598" s="485"/>
      <c r="BD598" s="485"/>
      <c r="BE598" s="485"/>
      <c r="BF598" s="485"/>
      <c r="BG598" s="485"/>
      <c r="BH598" s="485"/>
      <c r="BI598" s="485"/>
      <c r="BJ598" s="485"/>
      <c r="BK598" s="485"/>
      <c r="BL598" s="485"/>
      <c r="BM598" s="485"/>
      <c r="BN598" s="485"/>
      <c r="BO598" s="485"/>
      <c r="BP598" s="485"/>
      <c r="BQ598" s="485"/>
      <c r="BR598" s="485"/>
      <c r="BS598" s="485"/>
      <c r="BT598" s="485"/>
      <c r="BU598" s="485"/>
      <c r="BV598" s="485"/>
      <c r="BW598" s="485"/>
      <c r="BX598" s="485"/>
      <c r="BY598" s="485"/>
      <c r="BZ598" s="485"/>
      <c r="CA598" s="485"/>
      <c r="CB598" s="485"/>
      <c r="CC598" s="485"/>
      <c r="CD598" s="485"/>
      <c r="CE598" s="485"/>
      <c r="CF598" s="485"/>
      <c r="CG598" s="485"/>
      <c r="CH598" s="485"/>
      <c r="CI598" s="485"/>
      <c r="CJ598" s="485"/>
      <c r="CK598" s="485"/>
      <c r="CL598" s="485"/>
      <c r="CM598" s="485"/>
      <c r="CN598" s="485"/>
      <c r="CO598" s="485"/>
      <c r="CP598" s="485"/>
      <c r="CQ598" s="485"/>
      <c r="CR598" s="485"/>
      <c r="CS598" s="485"/>
      <c r="CT598" s="485"/>
      <c r="CU598" s="485"/>
      <c r="CV598" s="485"/>
      <c r="CW598" s="485"/>
      <c r="CX598" s="485"/>
      <c r="CY598" s="485"/>
      <c r="CZ598" s="485"/>
      <c r="DA598" s="485"/>
      <c r="DB598" s="485"/>
      <c r="DC598" s="485"/>
      <c r="DD598" s="485"/>
      <c r="DE598" s="485"/>
      <c r="DF598" s="485"/>
      <c r="DG598" s="485"/>
      <c r="DH598" s="485"/>
      <c r="DI598" s="485"/>
      <c r="DJ598" s="485"/>
      <c r="DK598" s="485"/>
      <c r="DL598" s="485"/>
      <c r="DM598" s="485"/>
      <c r="DN598" s="485"/>
      <c r="DO598" s="485"/>
      <c r="DP598" s="485"/>
      <c r="DQ598" s="485"/>
      <c r="DR598" s="485"/>
      <c r="DS598" s="485"/>
      <c r="DT598" s="485"/>
      <c r="DU598" s="485"/>
      <c r="DV598" s="485"/>
      <c r="DW598" s="485"/>
      <c r="DX598" s="485"/>
      <c r="DY598" s="485"/>
      <c r="DZ598" s="485"/>
      <c r="EA598" s="485"/>
      <c r="EB598" s="485"/>
      <c r="EC598" s="485"/>
      <c r="ED598" s="485"/>
      <c r="EE598" s="485"/>
      <c r="EF598" s="485"/>
      <c r="EG598" s="485"/>
      <c r="EH598" s="485"/>
      <c r="EI598" s="485"/>
      <c r="EJ598" s="485"/>
      <c r="EK598" s="485"/>
      <c r="EL598" s="485"/>
      <c r="EM598" s="485"/>
      <c r="EN598" s="485"/>
      <c r="EO598" s="485"/>
      <c r="EP598" s="485"/>
    </row>
    <row r="599" spans="1:146">
      <c r="A599" s="485"/>
      <c r="B599" s="485"/>
      <c r="C599" s="485"/>
      <c r="D599" s="485"/>
      <c r="E599" s="485"/>
      <c r="F599" s="485"/>
      <c r="G599" s="485"/>
      <c r="H599" s="485"/>
      <c r="I599" s="485"/>
      <c r="J599" s="485"/>
      <c r="K599" s="485"/>
      <c r="L599" s="485"/>
      <c r="M599" s="485"/>
      <c r="P599" s="485"/>
      <c r="Q599" s="485"/>
      <c r="R599" s="485"/>
      <c r="S599" s="485"/>
      <c r="T599" s="485"/>
      <c r="U599" s="485"/>
      <c r="V599" s="485"/>
      <c r="W599" s="485"/>
      <c r="X599" s="485"/>
      <c r="Y599" s="485"/>
      <c r="Z599" s="485"/>
      <c r="AA599" s="485"/>
      <c r="AB599" s="485"/>
      <c r="AC599" s="485"/>
      <c r="AD599" s="485"/>
      <c r="AE599" s="485"/>
      <c r="AF599" s="485"/>
      <c r="AG599" s="485"/>
      <c r="AH599" s="485"/>
      <c r="AI599" s="485"/>
      <c r="AJ599" s="485"/>
      <c r="AK599" s="485"/>
      <c r="AL599" s="485"/>
      <c r="AM599" s="485"/>
      <c r="AN599" s="485"/>
      <c r="AO599" s="485"/>
      <c r="AP599" s="485"/>
      <c r="AQ599" s="485"/>
      <c r="AR599" s="485"/>
      <c r="AS599" s="485"/>
      <c r="AT599" s="485"/>
      <c r="AU599" s="485"/>
      <c r="AV599" s="485"/>
      <c r="AW599" s="485"/>
      <c r="AX599" s="485"/>
      <c r="AY599" s="485"/>
      <c r="AZ599" s="485"/>
      <c r="BA599" s="485"/>
      <c r="BB599" s="485"/>
      <c r="BC599" s="485"/>
      <c r="BD599" s="485"/>
      <c r="BE599" s="485"/>
      <c r="BF599" s="485"/>
      <c r="BG599" s="485"/>
      <c r="BH599" s="485"/>
      <c r="BI599" s="485"/>
      <c r="BJ599" s="485"/>
      <c r="BK599" s="485"/>
      <c r="BL599" s="485"/>
      <c r="BM599" s="485"/>
      <c r="BN599" s="485"/>
      <c r="BO599" s="485"/>
      <c r="BP599" s="485"/>
      <c r="BQ599" s="485"/>
      <c r="BR599" s="485"/>
      <c r="BS599" s="485"/>
      <c r="BT599" s="485"/>
      <c r="BU599" s="485"/>
      <c r="BV599" s="485"/>
      <c r="BW599" s="485"/>
      <c r="BX599" s="485"/>
      <c r="BY599" s="485"/>
      <c r="BZ599" s="485"/>
      <c r="CA599" s="485"/>
      <c r="CB599" s="485"/>
      <c r="CC599" s="485"/>
      <c r="CD599" s="485"/>
      <c r="CE599" s="485"/>
      <c r="CF599" s="485"/>
      <c r="CG599" s="485"/>
      <c r="CH599" s="485"/>
      <c r="CI599" s="485"/>
      <c r="CJ599" s="485"/>
      <c r="CK599" s="485"/>
      <c r="CL599" s="485"/>
      <c r="CM599" s="485"/>
      <c r="CN599" s="485"/>
      <c r="CO599" s="485"/>
      <c r="CP599" s="485"/>
      <c r="CQ599" s="485"/>
      <c r="CR599" s="485"/>
      <c r="CS599" s="485"/>
      <c r="CT599" s="485"/>
      <c r="CU599" s="485"/>
      <c r="CV599" s="485"/>
      <c r="CW599" s="485"/>
      <c r="CX599" s="485"/>
      <c r="CY599" s="485"/>
      <c r="CZ599" s="485"/>
      <c r="DA599" s="485"/>
      <c r="DB599" s="485"/>
      <c r="DC599" s="485"/>
      <c r="DD599" s="485"/>
      <c r="DE599" s="485"/>
      <c r="DF599" s="485"/>
      <c r="DG599" s="485"/>
      <c r="DH599" s="485"/>
      <c r="DI599" s="485"/>
      <c r="DJ599" s="485"/>
      <c r="DK599" s="485"/>
      <c r="DL599" s="485"/>
      <c r="DM599" s="485"/>
      <c r="DN599" s="485"/>
      <c r="DO599" s="485"/>
      <c r="DP599" s="485"/>
      <c r="DQ599" s="485"/>
      <c r="DR599" s="485"/>
      <c r="DS599" s="485"/>
      <c r="DT599" s="485"/>
      <c r="DU599" s="485"/>
      <c r="DV599" s="485"/>
      <c r="DW599" s="485"/>
      <c r="DX599" s="485"/>
      <c r="DY599" s="485"/>
      <c r="DZ599" s="485"/>
      <c r="EA599" s="485"/>
      <c r="EB599" s="485"/>
      <c r="EC599" s="485"/>
      <c r="ED599" s="485"/>
      <c r="EE599" s="485"/>
      <c r="EF599" s="485"/>
      <c r="EG599" s="485"/>
      <c r="EH599" s="485"/>
      <c r="EI599" s="485"/>
      <c r="EJ599" s="485"/>
      <c r="EK599" s="485"/>
      <c r="EL599" s="485"/>
      <c r="EM599" s="485"/>
      <c r="EN599" s="485"/>
      <c r="EO599" s="485"/>
      <c r="EP599" s="485"/>
    </row>
    <row r="600" spans="1:146">
      <c r="A600" s="485"/>
      <c r="B600" s="485"/>
      <c r="C600" s="485"/>
      <c r="D600" s="485"/>
      <c r="E600" s="485"/>
      <c r="F600" s="485"/>
      <c r="G600" s="485"/>
      <c r="H600" s="485"/>
      <c r="I600" s="485"/>
      <c r="J600" s="485"/>
      <c r="K600" s="485"/>
      <c r="L600" s="485"/>
      <c r="M600" s="485"/>
      <c r="P600" s="485"/>
      <c r="Q600" s="485"/>
      <c r="R600" s="485"/>
      <c r="S600" s="485"/>
      <c r="T600" s="485"/>
      <c r="U600" s="485"/>
      <c r="V600" s="485"/>
      <c r="W600" s="485"/>
      <c r="X600" s="485"/>
      <c r="Y600" s="485"/>
      <c r="Z600" s="485"/>
      <c r="AA600" s="485"/>
      <c r="AB600" s="485"/>
      <c r="AC600" s="485"/>
      <c r="AD600" s="485"/>
      <c r="AE600" s="485"/>
      <c r="AF600" s="485"/>
      <c r="AG600" s="485"/>
      <c r="AH600" s="485"/>
      <c r="AI600" s="485"/>
      <c r="AJ600" s="485"/>
      <c r="AK600" s="485"/>
      <c r="AL600" s="485"/>
      <c r="AM600" s="485"/>
      <c r="AN600" s="485"/>
      <c r="AO600" s="485"/>
      <c r="AP600" s="485"/>
      <c r="AQ600" s="485"/>
      <c r="AR600" s="485"/>
      <c r="AS600" s="485"/>
      <c r="AT600" s="485"/>
      <c r="AU600" s="485"/>
      <c r="AV600" s="485"/>
      <c r="AW600" s="485"/>
      <c r="AX600" s="485"/>
      <c r="AY600" s="485"/>
      <c r="AZ600" s="485"/>
      <c r="BA600" s="485"/>
      <c r="BB600" s="485"/>
      <c r="BC600" s="485"/>
      <c r="BD600" s="485"/>
      <c r="BE600" s="485"/>
      <c r="BF600" s="485"/>
      <c r="BG600" s="485"/>
      <c r="BH600" s="485"/>
      <c r="BI600" s="485"/>
      <c r="BJ600" s="485"/>
      <c r="BK600" s="485"/>
      <c r="BL600" s="485"/>
      <c r="BM600" s="485"/>
      <c r="BN600" s="485"/>
      <c r="BO600" s="485"/>
      <c r="BP600" s="485"/>
      <c r="BQ600" s="485"/>
      <c r="BR600" s="485"/>
      <c r="BS600" s="485"/>
      <c r="BT600" s="485"/>
      <c r="BU600" s="485"/>
      <c r="BV600" s="485"/>
      <c r="BW600" s="485"/>
      <c r="BX600" s="485"/>
      <c r="BY600" s="485"/>
      <c r="BZ600" s="485"/>
      <c r="CA600" s="485"/>
      <c r="CB600" s="485"/>
      <c r="CC600" s="485"/>
      <c r="CD600" s="485"/>
      <c r="CE600" s="485"/>
      <c r="CF600" s="485"/>
      <c r="CG600" s="485"/>
      <c r="CH600" s="485"/>
      <c r="CI600" s="485"/>
      <c r="CJ600" s="485"/>
      <c r="CK600" s="485"/>
      <c r="CL600" s="485"/>
      <c r="CM600" s="485"/>
      <c r="CN600" s="485"/>
      <c r="CO600" s="485"/>
      <c r="CP600" s="485"/>
      <c r="CQ600" s="485"/>
      <c r="CR600" s="485"/>
      <c r="CS600" s="485"/>
      <c r="CT600" s="485"/>
      <c r="CU600" s="485"/>
      <c r="CV600" s="485"/>
      <c r="CW600" s="485"/>
      <c r="CX600" s="485"/>
      <c r="CY600" s="485"/>
      <c r="CZ600" s="485"/>
      <c r="DA600" s="485"/>
      <c r="DB600" s="485"/>
      <c r="DC600" s="485"/>
      <c r="DD600" s="485"/>
      <c r="DE600" s="485"/>
      <c r="DF600" s="485"/>
      <c r="DG600" s="485"/>
      <c r="DH600" s="485"/>
      <c r="DI600" s="485"/>
      <c r="DJ600" s="485"/>
      <c r="DK600" s="485"/>
      <c r="DL600" s="485"/>
      <c r="DM600" s="485"/>
      <c r="DN600" s="485"/>
      <c r="DO600" s="485"/>
      <c r="DP600" s="485"/>
      <c r="DQ600" s="485"/>
      <c r="DR600" s="485"/>
      <c r="DS600" s="485"/>
      <c r="DT600" s="485"/>
      <c r="DU600" s="485"/>
      <c r="DV600" s="485"/>
      <c r="DW600" s="485"/>
      <c r="DX600" s="485"/>
      <c r="DY600" s="485"/>
      <c r="DZ600" s="485"/>
      <c r="EA600" s="485"/>
      <c r="EB600" s="485"/>
      <c r="EC600" s="485"/>
      <c r="ED600" s="485"/>
      <c r="EE600" s="485"/>
      <c r="EF600" s="485"/>
      <c r="EG600" s="485"/>
      <c r="EH600" s="485"/>
      <c r="EI600" s="485"/>
      <c r="EJ600" s="485"/>
      <c r="EK600" s="485"/>
      <c r="EL600" s="485"/>
      <c r="EM600" s="485"/>
      <c r="EN600" s="485"/>
      <c r="EO600" s="485"/>
      <c r="EP600" s="485"/>
    </row>
    <row r="601" spans="1:146">
      <c r="A601" s="485"/>
      <c r="B601" s="485"/>
      <c r="C601" s="485"/>
      <c r="D601" s="485"/>
      <c r="E601" s="485"/>
      <c r="F601" s="485"/>
      <c r="G601" s="485"/>
      <c r="H601" s="485"/>
      <c r="I601" s="485"/>
      <c r="J601" s="485"/>
      <c r="K601" s="485"/>
      <c r="L601" s="485"/>
      <c r="M601" s="485"/>
      <c r="P601" s="485"/>
      <c r="Q601" s="485"/>
      <c r="R601" s="485"/>
      <c r="S601" s="485"/>
      <c r="T601" s="485"/>
      <c r="U601" s="485"/>
      <c r="V601" s="485"/>
      <c r="W601" s="485"/>
      <c r="X601" s="485"/>
      <c r="Y601" s="485"/>
      <c r="Z601" s="485"/>
      <c r="AA601" s="485"/>
      <c r="AB601" s="485"/>
      <c r="AC601" s="485"/>
      <c r="AD601" s="485"/>
      <c r="AE601" s="485"/>
      <c r="AF601" s="485"/>
      <c r="AG601" s="485"/>
      <c r="AH601" s="485"/>
      <c r="AI601" s="485"/>
      <c r="AJ601" s="485"/>
      <c r="AK601" s="485"/>
      <c r="AL601" s="485"/>
      <c r="AM601" s="485"/>
      <c r="AN601" s="485"/>
      <c r="AO601" s="485"/>
      <c r="AP601" s="485"/>
      <c r="AQ601" s="485"/>
      <c r="AR601" s="485"/>
      <c r="AS601" s="485"/>
      <c r="AT601" s="485"/>
      <c r="AU601" s="485"/>
      <c r="AV601" s="485"/>
      <c r="AW601" s="485"/>
      <c r="AX601" s="485"/>
      <c r="AY601" s="485"/>
      <c r="AZ601" s="485"/>
      <c r="BA601" s="485"/>
      <c r="BB601" s="485"/>
      <c r="BC601" s="485"/>
      <c r="BD601" s="485"/>
      <c r="BE601" s="485"/>
      <c r="BF601" s="485"/>
      <c r="BG601" s="485"/>
      <c r="BH601" s="485"/>
      <c r="BI601" s="485"/>
      <c r="BJ601" s="485"/>
      <c r="BK601" s="485"/>
      <c r="BL601" s="485"/>
      <c r="BM601" s="485"/>
      <c r="BN601" s="485"/>
      <c r="BO601" s="485"/>
      <c r="BP601" s="485"/>
      <c r="BQ601" s="485"/>
      <c r="BR601" s="485"/>
      <c r="BS601" s="485"/>
      <c r="BT601" s="485"/>
      <c r="BU601" s="485"/>
      <c r="BV601" s="485"/>
      <c r="BW601" s="485"/>
      <c r="BX601" s="485"/>
      <c r="BY601" s="485"/>
      <c r="BZ601" s="485"/>
      <c r="CA601" s="485"/>
      <c r="CB601" s="485"/>
      <c r="CC601" s="485"/>
      <c r="CD601" s="485"/>
      <c r="CE601" s="485"/>
      <c r="CF601" s="485"/>
      <c r="CG601" s="485"/>
      <c r="CH601" s="485"/>
      <c r="CI601" s="485"/>
      <c r="CJ601" s="485"/>
      <c r="CK601" s="485"/>
      <c r="CL601" s="485"/>
      <c r="CM601" s="485"/>
      <c r="CN601" s="485"/>
      <c r="CO601" s="485"/>
      <c r="CP601" s="485"/>
      <c r="CQ601" s="485"/>
      <c r="CR601" s="485"/>
      <c r="CS601" s="485"/>
      <c r="CT601" s="485"/>
      <c r="CU601" s="485"/>
      <c r="CV601" s="485"/>
      <c r="CW601" s="485"/>
      <c r="CX601" s="485"/>
      <c r="CY601" s="485"/>
      <c r="CZ601" s="485"/>
      <c r="DA601" s="485"/>
      <c r="DB601" s="485"/>
      <c r="DC601" s="485"/>
      <c r="DD601" s="485"/>
      <c r="DE601" s="485"/>
      <c r="DF601" s="485"/>
      <c r="DG601" s="485"/>
      <c r="DH601" s="485"/>
      <c r="DI601" s="485"/>
      <c r="DJ601" s="485"/>
      <c r="DK601" s="485"/>
      <c r="DL601" s="485"/>
      <c r="DM601" s="485"/>
      <c r="DN601" s="485"/>
      <c r="DO601" s="485"/>
      <c r="DP601" s="485"/>
      <c r="DQ601" s="485"/>
      <c r="DR601" s="485"/>
      <c r="DS601" s="485"/>
      <c r="DT601" s="485"/>
      <c r="DU601" s="485"/>
      <c r="DV601" s="485"/>
      <c r="DW601" s="485"/>
      <c r="DX601" s="485"/>
      <c r="DY601" s="485"/>
      <c r="DZ601" s="485"/>
      <c r="EA601" s="485"/>
      <c r="EB601" s="485"/>
      <c r="EC601" s="485"/>
      <c r="ED601" s="485"/>
      <c r="EE601" s="485"/>
      <c r="EF601" s="485"/>
      <c r="EG601" s="485"/>
      <c r="EH601" s="485"/>
      <c r="EI601" s="485"/>
      <c r="EJ601" s="485"/>
      <c r="EK601" s="485"/>
      <c r="EL601" s="485"/>
      <c r="EM601" s="485"/>
      <c r="EN601" s="485"/>
      <c r="EO601" s="485"/>
      <c r="EP601" s="485"/>
    </row>
    <row r="602" spans="1:146">
      <c r="A602" s="485"/>
      <c r="B602" s="485"/>
      <c r="C602" s="485"/>
      <c r="D602" s="485"/>
      <c r="E602" s="485"/>
      <c r="F602" s="485"/>
      <c r="G602" s="485"/>
      <c r="H602" s="485"/>
      <c r="I602" s="485"/>
      <c r="J602" s="485"/>
      <c r="K602" s="485"/>
      <c r="L602" s="485"/>
      <c r="M602" s="485"/>
      <c r="P602" s="485"/>
      <c r="Q602" s="485"/>
      <c r="R602" s="485"/>
      <c r="S602" s="485"/>
      <c r="T602" s="485"/>
      <c r="U602" s="485"/>
      <c r="V602" s="485"/>
      <c r="W602" s="485"/>
      <c r="X602" s="485"/>
      <c r="Y602" s="485"/>
      <c r="Z602" s="485"/>
      <c r="AA602" s="485"/>
      <c r="AB602" s="485"/>
      <c r="AC602" s="485"/>
      <c r="AD602" s="485"/>
      <c r="AE602" s="485"/>
      <c r="AF602" s="485"/>
      <c r="AG602" s="485"/>
      <c r="AH602" s="485"/>
      <c r="AI602" s="485"/>
      <c r="AJ602" s="485"/>
      <c r="AK602" s="485"/>
      <c r="AL602" s="485"/>
      <c r="AM602" s="485"/>
      <c r="AN602" s="485"/>
      <c r="AO602" s="485"/>
      <c r="AP602" s="485"/>
      <c r="AQ602" s="485"/>
      <c r="AR602" s="485"/>
      <c r="AS602" s="485"/>
      <c r="AT602" s="485"/>
      <c r="AU602" s="485"/>
      <c r="AV602" s="485"/>
      <c r="AW602" s="485"/>
      <c r="AX602" s="485"/>
      <c r="AY602" s="485"/>
      <c r="AZ602" s="485"/>
      <c r="BA602" s="485"/>
      <c r="BB602" s="485"/>
      <c r="BC602" s="485"/>
      <c r="BD602" s="485"/>
      <c r="BE602" s="485"/>
      <c r="BF602" s="485"/>
      <c r="BG602" s="485"/>
      <c r="BH602" s="485"/>
      <c r="BI602" s="485"/>
      <c r="BJ602" s="485"/>
      <c r="BK602" s="485"/>
      <c r="BL602" s="485"/>
      <c r="BM602" s="485"/>
      <c r="BN602" s="485"/>
      <c r="BO602" s="485"/>
      <c r="BP602" s="485"/>
      <c r="BQ602" s="485"/>
      <c r="BR602" s="485"/>
      <c r="BS602" s="485"/>
      <c r="BT602" s="485"/>
      <c r="BU602" s="485"/>
      <c r="BV602" s="485"/>
      <c r="BW602" s="485"/>
      <c r="BX602" s="485"/>
      <c r="BY602" s="485"/>
      <c r="BZ602" s="485"/>
      <c r="CA602" s="485"/>
      <c r="CB602" s="485"/>
      <c r="CC602" s="485"/>
      <c r="CD602" s="485"/>
      <c r="CE602" s="485"/>
      <c r="CF602" s="485"/>
      <c r="CG602" s="485"/>
      <c r="CH602" s="485"/>
      <c r="CI602" s="485"/>
      <c r="CJ602" s="485"/>
      <c r="CK602" s="485"/>
      <c r="CL602" s="485"/>
      <c r="CM602" s="485"/>
      <c r="CN602" s="485"/>
      <c r="CO602" s="485"/>
      <c r="CP602" s="485"/>
      <c r="CQ602" s="485"/>
      <c r="CR602" s="485"/>
      <c r="CS602" s="485"/>
      <c r="CT602" s="485"/>
      <c r="CU602" s="485"/>
      <c r="CV602" s="485"/>
      <c r="CW602" s="485"/>
      <c r="CX602" s="485"/>
      <c r="CY602" s="485"/>
      <c r="CZ602" s="485"/>
      <c r="DA602" s="485"/>
      <c r="DB602" s="485"/>
      <c r="DC602" s="485"/>
      <c r="DD602" s="485"/>
      <c r="DE602" s="485"/>
      <c r="DF602" s="485"/>
      <c r="DG602" s="485"/>
      <c r="DH602" s="485"/>
      <c r="DI602" s="485"/>
      <c r="DJ602" s="485"/>
      <c r="DK602" s="485"/>
      <c r="DL602" s="485"/>
      <c r="DM602" s="485"/>
      <c r="DN602" s="485"/>
      <c r="DO602" s="485"/>
      <c r="DP602" s="485"/>
      <c r="DQ602" s="485"/>
      <c r="DR602" s="485"/>
      <c r="DS602" s="485"/>
      <c r="DT602" s="485"/>
      <c r="DU602" s="485"/>
      <c r="DV602" s="485"/>
      <c r="DW602" s="485"/>
      <c r="DX602" s="485"/>
      <c r="DY602" s="485"/>
      <c r="DZ602" s="485"/>
      <c r="EA602" s="485"/>
      <c r="EB602" s="485"/>
      <c r="EC602" s="485"/>
      <c r="ED602" s="485"/>
      <c r="EE602" s="485"/>
      <c r="EF602" s="485"/>
      <c r="EG602" s="485"/>
      <c r="EH602" s="485"/>
      <c r="EI602" s="485"/>
      <c r="EJ602" s="485"/>
      <c r="EK602" s="485"/>
      <c r="EL602" s="485"/>
      <c r="EM602" s="485"/>
      <c r="EN602" s="485"/>
      <c r="EO602" s="485"/>
      <c r="EP602" s="485"/>
    </row>
    <row r="603" spans="1:146">
      <c r="A603" s="485"/>
      <c r="B603" s="485"/>
      <c r="C603" s="485"/>
      <c r="D603" s="485"/>
      <c r="E603" s="485"/>
      <c r="F603" s="485"/>
      <c r="G603" s="485"/>
      <c r="H603" s="485"/>
      <c r="I603" s="485"/>
      <c r="J603" s="485"/>
      <c r="K603" s="485"/>
      <c r="L603" s="485"/>
      <c r="M603" s="485"/>
      <c r="P603" s="485"/>
      <c r="Q603" s="485"/>
      <c r="R603" s="485"/>
      <c r="S603" s="485"/>
      <c r="T603" s="485"/>
      <c r="U603" s="485"/>
      <c r="V603" s="485"/>
      <c r="W603" s="485"/>
      <c r="X603" s="485"/>
      <c r="Y603" s="485"/>
      <c r="Z603" s="485"/>
      <c r="AA603" s="485"/>
      <c r="AB603" s="485"/>
      <c r="AC603" s="485"/>
      <c r="AD603" s="485"/>
      <c r="AE603" s="485"/>
      <c r="AF603" s="485"/>
      <c r="AG603" s="485"/>
      <c r="AH603" s="485"/>
      <c r="AI603" s="485"/>
      <c r="AJ603" s="485"/>
      <c r="AK603" s="485"/>
      <c r="AL603" s="485"/>
      <c r="AM603" s="485"/>
      <c r="AN603" s="485"/>
      <c r="AO603" s="485"/>
      <c r="AP603" s="485"/>
      <c r="AQ603" s="485"/>
      <c r="AR603" s="485"/>
      <c r="AS603" s="485"/>
      <c r="AT603" s="485"/>
      <c r="AU603" s="485"/>
      <c r="AV603" s="485"/>
      <c r="AW603" s="485"/>
      <c r="AX603" s="485"/>
      <c r="AY603" s="485"/>
      <c r="AZ603" s="485"/>
      <c r="BA603" s="485"/>
      <c r="BB603" s="485"/>
      <c r="BC603" s="485"/>
      <c r="BD603" s="485"/>
      <c r="BE603" s="485"/>
      <c r="BF603" s="485"/>
      <c r="BG603" s="485"/>
      <c r="BH603" s="485"/>
      <c r="BI603" s="485"/>
      <c r="BJ603" s="485"/>
      <c r="BK603" s="485"/>
      <c r="BL603" s="485"/>
      <c r="BM603" s="485"/>
      <c r="BN603" s="485"/>
      <c r="BO603" s="485"/>
      <c r="BP603" s="485"/>
      <c r="BQ603" s="485"/>
      <c r="BR603" s="485"/>
      <c r="BS603" s="485"/>
      <c r="BT603" s="485"/>
      <c r="BU603" s="485"/>
      <c r="BV603" s="485"/>
      <c r="BW603" s="485"/>
      <c r="BX603" s="485"/>
      <c r="BY603" s="485"/>
      <c r="BZ603" s="485"/>
      <c r="CA603" s="485"/>
      <c r="CB603" s="485"/>
      <c r="CC603" s="485"/>
      <c r="CD603" s="485"/>
      <c r="CE603" s="485"/>
      <c r="CF603" s="485"/>
      <c r="CG603" s="485"/>
      <c r="CH603" s="485"/>
      <c r="CI603" s="485"/>
      <c r="CJ603" s="485"/>
      <c r="CK603" s="485"/>
      <c r="CL603" s="485"/>
      <c r="CM603" s="485"/>
      <c r="CN603" s="485"/>
      <c r="CO603" s="485"/>
      <c r="CP603" s="485"/>
      <c r="CQ603" s="485"/>
      <c r="CR603" s="485"/>
      <c r="CS603" s="485"/>
      <c r="CT603" s="485"/>
      <c r="CU603" s="485"/>
      <c r="CV603" s="485"/>
      <c r="CW603" s="485"/>
      <c r="CX603" s="485"/>
      <c r="CY603" s="485"/>
      <c r="CZ603" s="485"/>
      <c r="DA603" s="485"/>
      <c r="DB603" s="485"/>
      <c r="DC603" s="485"/>
      <c r="DD603" s="485"/>
      <c r="DE603" s="485"/>
      <c r="DF603" s="485"/>
      <c r="DG603" s="485"/>
      <c r="DH603" s="485"/>
      <c r="DI603" s="485"/>
      <c r="DJ603" s="485"/>
      <c r="DK603" s="485"/>
      <c r="DL603" s="485"/>
      <c r="DM603" s="485"/>
      <c r="DN603" s="485"/>
      <c r="DO603" s="485"/>
      <c r="DP603" s="485"/>
      <c r="DQ603" s="485"/>
      <c r="DR603" s="485"/>
      <c r="DS603" s="485"/>
      <c r="DT603" s="485"/>
      <c r="DU603" s="485"/>
      <c r="DV603" s="485"/>
      <c r="DW603" s="485"/>
      <c r="DX603" s="485"/>
      <c r="DY603" s="485"/>
      <c r="DZ603" s="485"/>
      <c r="EA603" s="485"/>
      <c r="EB603" s="485"/>
      <c r="EC603" s="485"/>
      <c r="ED603" s="485"/>
      <c r="EE603" s="485"/>
      <c r="EF603" s="485"/>
      <c r="EG603" s="485"/>
      <c r="EH603" s="485"/>
      <c r="EI603" s="485"/>
      <c r="EJ603" s="485"/>
      <c r="EK603" s="485"/>
      <c r="EL603" s="485"/>
      <c r="EM603" s="485"/>
      <c r="EN603" s="485"/>
      <c r="EO603" s="485"/>
      <c r="EP603" s="485"/>
    </row>
    <row r="604" spans="1:146">
      <c r="A604" s="485"/>
      <c r="B604" s="485"/>
      <c r="C604" s="485"/>
      <c r="D604" s="485"/>
      <c r="E604" s="485"/>
      <c r="F604" s="485"/>
      <c r="G604" s="485"/>
      <c r="H604" s="485"/>
      <c r="I604" s="485"/>
      <c r="J604" s="485"/>
      <c r="K604" s="485"/>
      <c r="L604" s="485"/>
      <c r="M604" s="485"/>
      <c r="P604" s="485"/>
      <c r="Q604" s="485"/>
      <c r="R604" s="485"/>
      <c r="S604" s="485"/>
      <c r="T604" s="485"/>
      <c r="U604" s="485"/>
      <c r="V604" s="485"/>
      <c r="W604" s="485"/>
      <c r="X604" s="485"/>
      <c r="Y604" s="485"/>
      <c r="Z604" s="485"/>
      <c r="AA604" s="485"/>
      <c r="AB604" s="485"/>
      <c r="AC604" s="485"/>
      <c r="AD604" s="485"/>
      <c r="AE604" s="485"/>
      <c r="AF604" s="485"/>
      <c r="AG604" s="485"/>
      <c r="AH604" s="485"/>
      <c r="AI604" s="485"/>
      <c r="AJ604" s="485"/>
      <c r="AK604" s="485"/>
      <c r="AL604" s="485"/>
      <c r="AM604" s="485"/>
      <c r="AN604" s="485"/>
      <c r="AO604" s="485"/>
      <c r="AP604" s="485"/>
      <c r="AQ604" s="485"/>
      <c r="AR604" s="485"/>
      <c r="AS604" s="485"/>
      <c r="AT604" s="485"/>
      <c r="AU604" s="485"/>
      <c r="AV604" s="485"/>
      <c r="AW604" s="485"/>
      <c r="AX604" s="485"/>
      <c r="AY604" s="485"/>
      <c r="AZ604" s="485"/>
      <c r="BA604" s="485"/>
      <c r="BB604" s="485"/>
      <c r="BC604" s="485"/>
      <c r="BD604" s="485"/>
      <c r="BE604" s="485"/>
      <c r="BF604" s="485"/>
      <c r="BG604" s="485"/>
      <c r="BH604" s="485"/>
      <c r="BI604" s="485"/>
      <c r="BJ604" s="485"/>
      <c r="BK604" s="485"/>
      <c r="BL604" s="485"/>
      <c r="BM604" s="485"/>
      <c r="BN604" s="485"/>
      <c r="BO604" s="485"/>
      <c r="BP604" s="485"/>
      <c r="BQ604" s="485"/>
      <c r="BR604" s="485"/>
      <c r="BS604" s="485"/>
      <c r="BT604" s="485"/>
      <c r="BU604" s="485"/>
      <c r="BV604" s="485"/>
      <c r="BW604" s="485"/>
      <c r="BX604" s="485"/>
      <c r="BY604" s="485"/>
      <c r="BZ604" s="485"/>
      <c r="CA604" s="485"/>
      <c r="CB604" s="485"/>
      <c r="CC604" s="485"/>
      <c r="CD604" s="485"/>
      <c r="CE604" s="485"/>
      <c r="CF604" s="485"/>
      <c r="CG604" s="485"/>
      <c r="CH604" s="485"/>
      <c r="CI604" s="485"/>
      <c r="CJ604" s="485"/>
      <c r="CK604" s="485"/>
      <c r="CL604" s="485"/>
      <c r="CM604" s="485"/>
      <c r="CN604" s="485"/>
      <c r="CO604" s="485"/>
      <c r="CP604" s="485"/>
      <c r="CQ604" s="485"/>
      <c r="CR604" s="485"/>
      <c r="CS604" s="485"/>
      <c r="CT604" s="485"/>
      <c r="CU604" s="485"/>
      <c r="CV604" s="485"/>
      <c r="CW604" s="485"/>
      <c r="CX604" s="485"/>
      <c r="CY604" s="485"/>
      <c r="CZ604" s="485"/>
      <c r="DA604" s="485"/>
      <c r="DB604" s="485"/>
      <c r="DC604" s="485"/>
      <c r="DD604" s="485"/>
      <c r="DE604" s="485"/>
      <c r="DF604" s="485"/>
      <c r="DG604" s="485"/>
      <c r="DH604" s="485"/>
      <c r="DI604" s="485"/>
      <c r="DJ604" s="485"/>
      <c r="DK604" s="485"/>
      <c r="DL604" s="485"/>
      <c r="DM604" s="485"/>
      <c r="DN604" s="485"/>
      <c r="DO604" s="485"/>
      <c r="DP604" s="485"/>
      <c r="DQ604" s="485"/>
      <c r="DR604" s="485"/>
      <c r="DS604" s="485"/>
      <c r="DT604" s="485"/>
      <c r="DU604" s="485"/>
      <c r="DV604" s="485"/>
      <c r="DW604" s="485"/>
      <c r="DX604" s="485"/>
      <c r="DY604" s="485"/>
      <c r="DZ604" s="485"/>
      <c r="EA604" s="485"/>
      <c r="EB604" s="485"/>
      <c r="EC604" s="485"/>
      <c r="ED604" s="485"/>
      <c r="EE604" s="485"/>
      <c r="EF604" s="485"/>
      <c r="EG604" s="485"/>
      <c r="EH604" s="485"/>
      <c r="EI604" s="485"/>
      <c r="EJ604" s="485"/>
      <c r="EK604" s="485"/>
      <c r="EL604" s="485"/>
      <c r="EM604" s="485"/>
      <c r="EN604" s="485"/>
      <c r="EO604" s="485"/>
      <c r="EP604" s="485"/>
    </row>
    <row r="605" spans="1:146">
      <c r="A605" s="485"/>
      <c r="B605" s="485"/>
      <c r="C605" s="485"/>
      <c r="D605" s="485"/>
      <c r="E605" s="485"/>
      <c r="F605" s="485"/>
      <c r="G605" s="485"/>
      <c r="H605" s="485"/>
      <c r="I605" s="485"/>
      <c r="J605" s="485"/>
      <c r="K605" s="485"/>
      <c r="L605" s="485"/>
      <c r="M605" s="485"/>
      <c r="P605" s="485"/>
      <c r="Q605" s="485"/>
      <c r="R605" s="485"/>
      <c r="S605" s="485"/>
      <c r="T605" s="485"/>
      <c r="U605" s="485"/>
      <c r="V605" s="485"/>
      <c r="W605" s="485"/>
      <c r="X605" s="485"/>
      <c r="Y605" s="485"/>
      <c r="Z605" s="485"/>
      <c r="AA605" s="485"/>
      <c r="AB605" s="485"/>
      <c r="AC605" s="485"/>
      <c r="AD605" s="485"/>
      <c r="AE605" s="485"/>
      <c r="AF605" s="485"/>
      <c r="AG605" s="485"/>
      <c r="AH605" s="485"/>
      <c r="AI605" s="485"/>
      <c r="AJ605" s="485"/>
      <c r="AK605" s="485"/>
      <c r="AL605" s="485"/>
      <c r="AM605" s="485"/>
      <c r="AN605" s="485"/>
      <c r="AO605" s="485"/>
      <c r="AP605" s="485"/>
      <c r="AQ605" s="485"/>
      <c r="AR605" s="485"/>
      <c r="AS605" s="485"/>
      <c r="AT605" s="485"/>
      <c r="AU605" s="485"/>
      <c r="AV605" s="485"/>
      <c r="AW605" s="485"/>
      <c r="AX605" s="485"/>
      <c r="AY605" s="485"/>
      <c r="AZ605" s="485"/>
      <c r="BA605" s="485"/>
      <c r="BB605" s="485"/>
      <c r="BC605" s="485"/>
      <c r="BD605" s="485"/>
      <c r="BE605" s="485"/>
      <c r="BF605" s="485"/>
      <c r="BG605" s="485"/>
      <c r="BH605" s="485"/>
      <c r="BI605" s="485"/>
      <c r="BJ605" s="485"/>
      <c r="BK605" s="485"/>
      <c r="BL605" s="485"/>
      <c r="BM605" s="485"/>
      <c r="BN605" s="485"/>
      <c r="BO605" s="485"/>
      <c r="BP605" s="485"/>
      <c r="BQ605" s="485"/>
      <c r="BR605" s="485"/>
      <c r="BS605" s="485"/>
      <c r="BT605" s="485"/>
      <c r="BU605" s="485"/>
      <c r="BV605" s="485"/>
      <c r="BW605" s="485"/>
      <c r="BX605" s="485"/>
      <c r="BY605" s="485"/>
      <c r="BZ605" s="485"/>
      <c r="CA605" s="485"/>
      <c r="CB605" s="485"/>
      <c r="CC605" s="485"/>
      <c r="CD605" s="485"/>
      <c r="CE605" s="485"/>
      <c r="CF605" s="485"/>
      <c r="CG605" s="485"/>
      <c r="CH605" s="485"/>
      <c r="CI605" s="485"/>
      <c r="CJ605" s="485"/>
      <c r="CK605" s="485"/>
      <c r="CL605" s="485"/>
      <c r="CM605" s="485"/>
      <c r="CN605" s="485"/>
      <c r="CO605" s="485"/>
      <c r="CP605" s="485"/>
      <c r="CQ605" s="485"/>
      <c r="CR605" s="485"/>
      <c r="CS605" s="485"/>
      <c r="CT605" s="485"/>
      <c r="CU605" s="485"/>
      <c r="CV605" s="485"/>
      <c r="CW605" s="485"/>
      <c r="CX605" s="485"/>
      <c r="CY605" s="485"/>
      <c r="CZ605" s="485"/>
      <c r="DA605" s="485"/>
      <c r="DB605" s="485"/>
      <c r="DC605" s="485"/>
      <c r="DD605" s="485"/>
      <c r="DE605" s="485"/>
      <c r="DF605" s="485"/>
      <c r="DG605" s="485"/>
      <c r="DH605" s="485"/>
      <c r="DI605" s="485"/>
      <c r="DJ605" s="485"/>
      <c r="DK605" s="485"/>
      <c r="DL605" s="485"/>
      <c r="DM605" s="485"/>
      <c r="DN605" s="485"/>
      <c r="DO605" s="485"/>
      <c r="DP605" s="485"/>
      <c r="DQ605" s="485"/>
      <c r="DR605" s="485"/>
      <c r="DS605" s="485"/>
      <c r="DT605" s="485"/>
      <c r="DU605" s="485"/>
      <c r="DV605" s="485"/>
      <c r="DW605" s="485"/>
      <c r="DX605" s="485"/>
      <c r="DY605" s="485"/>
      <c r="DZ605" s="485"/>
      <c r="EA605" s="485"/>
      <c r="EB605" s="485"/>
      <c r="EC605" s="485"/>
      <c r="ED605" s="485"/>
      <c r="EE605" s="485"/>
      <c r="EF605" s="485"/>
      <c r="EG605" s="485"/>
      <c r="EH605" s="485"/>
      <c r="EI605" s="485"/>
      <c r="EJ605" s="485"/>
      <c r="EK605" s="485"/>
      <c r="EL605" s="485"/>
      <c r="EM605" s="485"/>
      <c r="EN605" s="485"/>
      <c r="EO605" s="485"/>
      <c r="EP605" s="485"/>
    </row>
    <row r="606" spans="1:146">
      <c r="A606" s="485"/>
      <c r="B606" s="485"/>
      <c r="C606" s="485"/>
      <c r="D606" s="485"/>
      <c r="E606" s="485"/>
      <c r="F606" s="485"/>
      <c r="G606" s="485"/>
      <c r="H606" s="485"/>
      <c r="I606" s="485"/>
      <c r="J606" s="485"/>
      <c r="K606" s="485"/>
      <c r="L606" s="485"/>
      <c r="M606" s="485"/>
      <c r="P606" s="485"/>
      <c r="Q606" s="485"/>
      <c r="R606" s="485"/>
      <c r="S606" s="485"/>
      <c r="T606" s="485"/>
      <c r="U606" s="485"/>
      <c r="V606" s="485"/>
      <c r="W606" s="485"/>
      <c r="X606" s="485"/>
      <c r="Y606" s="485"/>
      <c r="Z606" s="485"/>
      <c r="AA606" s="485"/>
      <c r="AB606" s="485"/>
      <c r="AC606" s="485"/>
      <c r="AD606" s="485"/>
      <c r="AE606" s="485"/>
      <c r="AF606" s="485"/>
      <c r="AG606" s="485"/>
      <c r="AH606" s="485"/>
      <c r="AI606" s="485"/>
      <c r="AJ606" s="485"/>
      <c r="AK606" s="485"/>
      <c r="AL606" s="485"/>
      <c r="AM606" s="485"/>
      <c r="AN606" s="485"/>
      <c r="AO606" s="485"/>
      <c r="AP606" s="485"/>
      <c r="AQ606" s="485"/>
      <c r="AR606" s="485"/>
      <c r="AS606" s="485"/>
      <c r="AT606" s="485"/>
      <c r="AU606" s="485"/>
      <c r="AV606" s="485"/>
      <c r="AW606" s="485"/>
      <c r="AX606" s="485"/>
      <c r="AY606" s="485"/>
      <c r="AZ606" s="485"/>
      <c r="BA606" s="485"/>
      <c r="BB606" s="485"/>
      <c r="BC606" s="485"/>
      <c r="BD606" s="485"/>
      <c r="BE606" s="485"/>
      <c r="BF606" s="485"/>
      <c r="BG606" s="485"/>
      <c r="BH606" s="485"/>
      <c r="BI606" s="485"/>
      <c r="BJ606" s="485"/>
      <c r="BK606" s="485"/>
      <c r="BL606" s="485"/>
      <c r="BM606" s="485"/>
      <c r="BN606" s="485"/>
      <c r="BO606" s="485"/>
      <c r="BP606" s="485"/>
      <c r="BQ606" s="485"/>
      <c r="BR606" s="485"/>
      <c r="BS606" s="485"/>
      <c r="BT606" s="485"/>
      <c r="BU606" s="485"/>
      <c r="BV606" s="485"/>
      <c r="BW606" s="485"/>
      <c r="BX606" s="485"/>
      <c r="BY606" s="485"/>
      <c r="BZ606" s="485"/>
      <c r="CA606" s="485"/>
      <c r="CB606" s="485"/>
      <c r="CC606" s="485"/>
      <c r="CD606" s="485"/>
      <c r="CE606" s="485"/>
      <c r="CF606" s="485"/>
      <c r="CG606" s="485"/>
      <c r="CH606" s="485"/>
      <c r="CI606" s="485"/>
      <c r="CJ606" s="485"/>
      <c r="CK606" s="485"/>
      <c r="CL606" s="485"/>
      <c r="CM606" s="485"/>
      <c r="CN606" s="485"/>
      <c r="CO606" s="485"/>
      <c r="CP606" s="485"/>
      <c r="CQ606" s="485"/>
      <c r="CR606" s="485"/>
      <c r="CS606" s="485"/>
      <c r="CT606" s="485"/>
      <c r="CU606" s="485"/>
      <c r="CV606" s="485"/>
      <c r="CW606" s="485"/>
      <c r="CX606" s="485"/>
      <c r="CY606" s="485"/>
      <c r="CZ606" s="485"/>
      <c r="DA606" s="485"/>
      <c r="DB606" s="485"/>
      <c r="DC606" s="485"/>
      <c r="DD606" s="485"/>
      <c r="DE606" s="485"/>
      <c r="DF606" s="485"/>
      <c r="DG606" s="485"/>
      <c r="DH606" s="485"/>
      <c r="DI606" s="485"/>
      <c r="DJ606" s="485"/>
      <c r="DK606" s="485"/>
      <c r="DL606" s="485"/>
      <c r="DM606" s="485"/>
      <c r="DN606" s="485"/>
      <c r="DO606" s="485"/>
      <c r="DP606" s="485"/>
      <c r="DQ606" s="485"/>
      <c r="DR606" s="485"/>
      <c r="DS606" s="485"/>
      <c r="DT606" s="485"/>
      <c r="DU606" s="485"/>
      <c r="DV606" s="485"/>
      <c r="DW606" s="485"/>
      <c r="DX606" s="485"/>
      <c r="DY606" s="485"/>
      <c r="DZ606" s="485"/>
      <c r="EA606" s="485"/>
      <c r="EB606" s="485"/>
      <c r="EC606" s="485"/>
      <c r="ED606" s="485"/>
      <c r="EE606" s="485"/>
      <c r="EF606" s="485"/>
      <c r="EG606" s="485"/>
      <c r="EH606" s="485"/>
      <c r="EI606" s="485"/>
      <c r="EJ606" s="485"/>
      <c r="EK606" s="485"/>
      <c r="EL606" s="485"/>
      <c r="EM606" s="485"/>
      <c r="EN606" s="485"/>
      <c r="EO606" s="485"/>
      <c r="EP606" s="485"/>
    </row>
    <row r="607" spans="1:146">
      <c r="A607" s="485"/>
      <c r="B607" s="485"/>
      <c r="C607" s="485"/>
      <c r="D607" s="485"/>
      <c r="E607" s="485"/>
      <c r="F607" s="485"/>
      <c r="G607" s="485"/>
      <c r="H607" s="485"/>
      <c r="I607" s="485"/>
      <c r="J607" s="485"/>
      <c r="K607" s="485"/>
      <c r="L607" s="485"/>
      <c r="M607" s="485"/>
      <c r="P607" s="485"/>
      <c r="Q607" s="485"/>
      <c r="R607" s="485"/>
      <c r="S607" s="485"/>
      <c r="T607" s="485"/>
      <c r="U607" s="485"/>
      <c r="V607" s="485"/>
      <c r="W607" s="485"/>
      <c r="X607" s="485"/>
      <c r="Y607" s="485"/>
      <c r="Z607" s="485"/>
      <c r="AA607" s="485"/>
      <c r="AB607" s="485"/>
      <c r="AC607" s="485"/>
      <c r="AD607" s="485"/>
      <c r="AE607" s="485"/>
      <c r="AF607" s="485"/>
      <c r="AG607" s="485"/>
      <c r="AH607" s="485"/>
      <c r="AI607" s="485"/>
      <c r="AJ607" s="485"/>
      <c r="AK607" s="485"/>
      <c r="AL607" s="485"/>
      <c r="AM607" s="485"/>
      <c r="AN607" s="485"/>
      <c r="AO607" s="485"/>
      <c r="AP607" s="485"/>
      <c r="AQ607" s="485"/>
      <c r="AR607" s="485"/>
      <c r="AS607" s="485"/>
      <c r="AT607" s="485"/>
      <c r="AU607" s="485"/>
      <c r="AV607" s="485"/>
      <c r="AW607" s="485"/>
      <c r="AX607" s="485"/>
      <c r="AY607" s="485"/>
      <c r="AZ607" s="485"/>
      <c r="BA607" s="485"/>
      <c r="BB607" s="485"/>
      <c r="BC607" s="485"/>
      <c r="BD607" s="485"/>
      <c r="BE607" s="485"/>
      <c r="BF607" s="485"/>
      <c r="BG607" s="485"/>
      <c r="BH607" s="485"/>
      <c r="BI607" s="485"/>
      <c r="BJ607" s="485"/>
      <c r="BK607" s="485"/>
      <c r="BL607" s="485"/>
      <c r="BM607" s="485"/>
      <c r="BN607" s="485"/>
      <c r="BO607" s="485"/>
      <c r="BP607" s="485"/>
      <c r="BQ607" s="485"/>
      <c r="BR607" s="485"/>
      <c r="BS607" s="485"/>
      <c r="BT607" s="485"/>
      <c r="BU607" s="485"/>
      <c r="BV607" s="485"/>
      <c r="BW607" s="485"/>
      <c r="BX607" s="485"/>
      <c r="BY607" s="485"/>
      <c r="BZ607" s="485"/>
      <c r="CA607" s="485"/>
      <c r="CB607" s="485"/>
      <c r="CC607" s="485"/>
      <c r="CD607" s="485"/>
      <c r="CE607" s="485"/>
      <c r="CF607" s="485"/>
      <c r="CG607" s="485"/>
      <c r="CH607" s="485"/>
      <c r="CI607" s="485"/>
      <c r="CJ607" s="485"/>
      <c r="CK607" s="485"/>
      <c r="CL607" s="485"/>
      <c r="CM607" s="485"/>
      <c r="CN607" s="485"/>
      <c r="CO607" s="485"/>
      <c r="CP607" s="485"/>
      <c r="CQ607" s="485"/>
      <c r="CR607" s="485"/>
      <c r="CS607" s="485"/>
      <c r="CT607" s="485"/>
      <c r="CU607" s="485"/>
      <c r="CV607" s="485"/>
      <c r="CW607" s="485"/>
      <c r="CX607" s="485"/>
      <c r="CY607" s="485"/>
      <c r="CZ607" s="485"/>
      <c r="DA607" s="485"/>
      <c r="DB607" s="485"/>
      <c r="DC607" s="485"/>
      <c r="DD607" s="485"/>
      <c r="DE607" s="485"/>
      <c r="DF607" s="485"/>
      <c r="DG607" s="485"/>
      <c r="DH607" s="485"/>
      <c r="DI607" s="485"/>
      <c r="DJ607" s="485"/>
      <c r="DK607" s="485"/>
      <c r="DL607" s="485"/>
      <c r="DM607" s="485"/>
      <c r="DN607" s="485"/>
      <c r="DO607" s="485"/>
      <c r="DP607" s="485"/>
      <c r="DQ607" s="485"/>
      <c r="DR607" s="485"/>
      <c r="DS607" s="485"/>
      <c r="DT607" s="485"/>
      <c r="DU607" s="485"/>
      <c r="DV607" s="485"/>
      <c r="DW607" s="485"/>
      <c r="DX607" s="485"/>
      <c r="DY607" s="485"/>
      <c r="DZ607" s="485"/>
      <c r="EA607" s="485"/>
      <c r="EB607" s="485"/>
      <c r="EC607" s="485"/>
      <c r="ED607" s="485"/>
      <c r="EE607" s="485"/>
      <c r="EF607" s="485"/>
      <c r="EG607" s="485"/>
      <c r="EH607" s="485"/>
      <c r="EI607" s="485"/>
      <c r="EJ607" s="485"/>
      <c r="EK607" s="485"/>
      <c r="EL607" s="485"/>
      <c r="EM607" s="485"/>
      <c r="EN607" s="485"/>
      <c r="EO607" s="485"/>
      <c r="EP607" s="485"/>
    </row>
    <row r="608" spans="1:146">
      <c r="A608" s="485"/>
      <c r="B608" s="485"/>
      <c r="C608" s="485"/>
      <c r="D608" s="485"/>
      <c r="E608" s="485"/>
      <c r="F608" s="485"/>
      <c r="G608" s="485"/>
      <c r="H608" s="485"/>
      <c r="I608" s="485"/>
      <c r="J608" s="485"/>
      <c r="K608" s="485"/>
      <c r="L608" s="485"/>
      <c r="M608" s="485"/>
      <c r="P608" s="485"/>
      <c r="Q608" s="485"/>
      <c r="R608" s="485"/>
      <c r="S608" s="485"/>
      <c r="T608" s="485"/>
      <c r="U608" s="485"/>
      <c r="V608" s="485"/>
      <c r="W608" s="485"/>
      <c r="X608" s="485"/>
      <c r="Y608" s="485"/>
      <c r="Z608" s="485"/>
      <c r="AA608" s="485"/>
      <c r="AB608" s="485"/>
      <c r="AC608" s="485"/>
      <c r="AD608" s="485"/>
      <c r="AE608" s="485"/>
      <c r="AF608" s="485"/>
      <c r="AG608" s="485"/>
      <c r="AH608" s="485"/>
      <c r="AI608" s="485"/>
      <c r="AJ608" s="485"/>
      <c r="AK608" s="485"/>
      <c r="AL608" s="485"/>
      <c r="AM608" s="485"/>
      <c r="AN608" s="485"/>
      <c r="AO608" s="485"/>
      <c r="AP608" s="485"/>
      <c r="AQ608" s="485"/>
      <c r="AR608" s="485"/>
      <c r="AS608" s="485"/>
      <c r="AT608" s="485"/>
      <c r="AU608" s="485"/>
      <c r="AV608" s="485"/>
      <c r="AW608" s="485"/>
      <c r="AX608" s="485"/>
      <c r="AY608" s="485"/>
      <c r="AZ608" s="485"/>
      <c r="BA608" s="485"/>
      <c r="BB608" s="485"/>
      <c r="BC608" s="485"/>
      <c r="BD608" s="485"/>
      <c r="BE608" s="485"/>
      <c r="BF608" s="485"/>
      <c r="BG608" s="485"/>
      <c r="BH608" s="485"/>
      <c r="BI608" s="485"/>
      <c r="BJ608" s="485"/>
      <c r="BK608" s="485"/>
      <c r="BL608" s="485"/>
      <c r="BM608" s="485"/>
      <c r="BN608" s="485"/>
      <c r="BO608" s="485"/>
      <c r="BP608" s="485"/>
      <c r="BQ608" s="485"/>
      <c r="BR608" s="485"/>
      <c r="BS608" s="485"/>
      <c r="BT608" s="485"/>
      <c r="BU608" s="485"/>
      <c r="BV608" s="485"/>
      <c r="BW608" s="485"/>
      <c r="BX608" s="485"/>
      <c r="BY608" s="485"/>
      <c r="BZ608" s="485"/>
      <c r="CA608" s="485"/>
      <c r="CB608" s="485"/>
      <c r="CC608" s="485"/>
      <c r="CD608" s="485"/>
      <c r="CE608" s="485"/>
      <c r="CF608" s="485"/>
      <c r="CG608" s="485"/>
      <c r="CH608" s="485"/>
      <c r="CI608" s="485"/>
      <c r="CJ608" s="485"/>
      <c r="CK608" s="485"/>
      <c r="CL608" s="485"/>
      <c r="CM608" s="485"/>
      <c r="CN608" s="485"/>
      <c r="CO608" s="485"/>
      <c r="CP608" s="485"/>
      <c r="CQ608" s="485"/>
      <c r="CR608" s="485"/>
      <c r="CS608" s="485"/>
      <c r="CT608" s="485"/>
      <c r="CU608" s="485"/>
      <c r="CV608" s="485"/>
      <c r="CW608" s="485"/>
      <c r="CX608" s="485"/>
      <c r="CY608" s="485"/>
      <c r="CZ608" s="485"/>
      <c r="DA608" s="485"/>
      <c r="DB608" s="485"/>
      <c r="DC608" s="485"/>
      <c r="DD608" s="485"/>
      <c r="DE608" s="485"/>
      <c r="DF608" s="485"/>
      <c r="DG608" s="485"/>
      <c r="DH608" s="485"/>
      <c r="DI608" s="485"/>
      <c r="DJ608" s="485"/>
      <c r="DK608" s="485"/>
      <c r="DL608" s="485"/>
      <c r="DM608" s="485"/>
      <c r="DN608" s="485"/>
      <c r="DO608" s="485"/>
      <c r="DP608" s="485"/>
      <c r="DQ608" s="485"/>
      <c r="DR608" s="485"/>
      <c r="DS608" s="485"/>
      <c r="DT608" s="485"/>
      <c r="DU608" s="485"/>
      <c r="DV608" s="485"/>
      <c r="DW608" s="485"/>
      <c r="DX608" s="485"/>
      <c r="DY608" s="485"/>
      <c r="DZ608" s="485"/>
      <c r="EA608" s="485"/>
      <c r="EB608" s="485"/>
      <c r="EC608" s="485"/>
      <c r="ED608" s="485"/>
      <c r="EE608" s="485"/>
      <c r="EF608" s="485"/>
      <c r="EG608" s="485"/>
      <c r="EH608" s="485"/>
      <c r="EI608" s="485"/>
      <c r="EJ608" s="485"/>
      <c r="EK608" s="485"/>
      <c r="EL608" s="485"/>
      <c r="EM608" s="485"/>
      <c r="EN608" s="485"/>
      <c r="EO608" s="485"/>
      <c r="EP608" s="485"/>
    </row>
    <row r="609" spans="1:146">
      <c r="A609" s="485"/>
      <c r="B609" s="485"/>
      <c r="C609" s="485"/>
      <c r="D609" s="485"/>
      <c r="E609" s="485"/>
      <c r="F609" s="485"/>
      <c r="G609" s="485"/>
      <c r="H609" s="485"/>
      <c r="I609" s="485"/>
      <c r="J609" s="485"/>
      <c r="K609" s="485"/>
      <c r="L609" s="485"/>
      <c r="M609" s="485"/>
      <c r="P609" s="485"/>
      <c r="Q609" s="485"/>
      <c r="R609" s="485"/>
      <c r="S609" s="485"/>
      <c r="T609" s="485"/>
      <c r="U609" s="485"/>
      <c r="V609" s="485"/>
      <c r="W609" s="485"/>
      <c r="X609" s="485"/>
      <c r="Y609" s="485"/>
      <c r="Z609" s="485"/>
      <c r="AA609" s="485"/>
      <c r="AB609" s="485"/>
      <c r="AC609" s="485"/>
      <c r="AD609" s="485"/>
      <c r="AE609" s="485"/>
      <c r="AF609" s="485"/>
      <c r="AG609" s="485"/>
      <c r="AH609" s="485"/>
      <c r="AI609" s="485"/>
      <c r="AJ609" s="485"/>
      <c r="AK609" s="485"/>
      <c r="AL609" s="485"/>
      <c r="AM609" s="485"/>
      <c r="AN609" s="485"/>
      <c r="AO609" s="485"/>
      <c r="AP609" s="485"/>
      <c r="AQ609" s="485"/>
      <c r="AR609" s="485"/>
      <c r="AS609" s="485"/>
      <c r="AT609" s="485"/>
      <c r="AU609" s="485"/>
      <c r="AV609" s="485"/>
      <c r="AW609" s="485"/>
      <c r="AX609" s="485"/>
      <c r="AY609" s="485"/>
      <c r="AZ609" s="485"/>
      <c r="BA609" s="485"/>
      <c r="BB609" s="485"/>
      <c r="BC609" s="485"/>
      <c r="BD609" s="485"/>
      <c r="BE609" s="485"/>
      <c r="BF609" s="485"/>
      <c r="BG609" s="485"/>
      <c r="BH609" s="485"/>
      <c r="BI609" s="485"/>
      <c r="BJ609" s="485"/>
      <c r="BK609" s="485"/>
      <c r="BL609" s="485"/>
      <c r="BM609" s="485"/>
      <c r="BN609" s="485"/>
      <c r="BO609" s="485"/>
      <c r="BP609" s="485"/>
      <c r="BQ609" s="485"/>
      <c r="BR609" s="485"/>
      <c r="BS609" s="485"/>
      <c r="BT609" s="485"/>
      <c r="BU609" s="485"/>
      <c r="BV609" s="485"/>
      <c r="BW609" s="485"/>
      <c r="BX609" s="485"/>
      <c r="BY609" s="485"/>
      <c r="BZ609" s="485"/>
      <c r="CA609" s="485"/>
      <c r="CB609" s="485"/>
      <c r="CC609" s="485"/>
      <c r="CD609" s="485"/>
      <c r="CE609" s="485"/>
      <c r="CF609" s="485"/>
      <c r="CG609" s="485"/>
      <c r="CH609" s="485"/>
      <c r="CI609" s="485"/>
      <c r="CJ609" s="485"/>
      <c r="CK609" s="485"/>
      <c r="CL609" s="485"/>
      <c r="CM609" s="485"/>
      <c r="CN609" s="485"/>
      <c r="CO609" s="485"/>
      <c r="CP609" s="485"/>
      <c r="CQ609" s="485"/>
      <c r="CR609" s="485"/>
      <c r="CS609" s="485"/>
      <c r="CT609" s="485"/>
      <c r="CU609" s="485"/>
      <c r="CV609" s="485"/>
      <c r="CW609" s="485"/>
      <c r="CX609" s="485"/>
      <c r="CY609" s="485"/>
      <c r="CZ609" s="485"/>
      <c r="DA609" s="485"/>
      <c r="DB609" s="485"/>
      <c r="DC609" s="485"/>
      <c r="DD609" s="485"/>
      <c r="DE609" s="485"/>
      <c r="DF609" s="485"/>
      <c r="DG609" s="485"/>
      <c r="DH609" s="485"/>
      <c r="DI609" s="485"/>
      <c r="DJ609" s="485"/>
      <c r="DK609" s="485"/>
      <c r="DL609" s="485"/>
      <c r="DM609" s="485"/>
      <c r="DN609" s="485"/>
      <c r="DO609" s="485"/>
      <c r="DP609" s="485"/>
      <c r="DQ609" s="485"/>
      <c r="DR609" s="485"/>
      <c r="DS609" s="485"/>
      <c r="DT609" s="485"/>
      <c r="DU609" s="485"/>
      <c r="DV609" s="485"/>
      <c r="DW609" s="485"/>
      <c r="DX609" s="485"/>
      <c r="DY609" s="485"/>
      <c r="DZ609" s="485"/>
      <c r="EA609" s="485"/>
      <c r="EB609" s="485"/>
      <c r="EC609" s="485"/>
      <c r="ED609" s="485"/>
      <c r="EE609" s="485"/>
      <c r="EF609" s="485"/>
      <c r="EG609" s="485"/>
      <c r="EH609" s="485"/>
      <c r="EI609" s="485"/>
      <c r="EJ609" s="485"/>
      <c r="EK609" s="485"/>
      <c r="EL609" s="485"/>
      <c r="EM609" s="485"/>
      <c r="EN609" s="485"/>
      <c r="EO609" s="485"/>
      <c r="EP609" s="485"/>
    </row>
    <row r="610" spans="1:146">
      <c r="A610" s="485"/>
      <c r="B610" s="485"/>
      <c r="C610" s="485"/>
      <c r="D610" s="485"/>
      <c r="E610" s="485"/>
      <c r="F610" s="485"/>
      <c r="G610" s="485"/>
      <c r="H610" s="485"/>
      <c r="I610" s="485"/>
      <c r="J610" s="485"/>
      <c r="K610" s="485"/>
      <c r="L610" s="485"/>
      <c r="M610" s="485"/>
      <c r="P610" s="485"/>
      <c r="Q610" s="485"/>
      <c r="R610" s="485"/>
      <c r="S610" s="485"/>
      <c r="T610" s="485"/>
      <c r="U610" s="485"/>
      <c r="V610" s="485"/>
      <c r="W610" s="485"/>
      <c r="X610" s="485"/>
      <c r="Y610" s="485"/>
      <c r="Z610" s="485"/>
      <c r="AA610" s="485"/>
      <c r="AB610" s="485"/>
      <c r="AC610" s="485"/>
      <c r="AD610" s="485"/>
      <c r="AE610" s="485"/>
      <c r="AF610" s="485"/>
      <c r="AG610" s="485"/>
      <c r="AH610" s="485"/>
      <c r="AI610" s="485"/>
      <c r="AJ610" s="485"/>
      <c r="AK610" s="485"/>
      <c r="AL610" s="485"/>
      <c r="AM610" s="485"/>
      <c r="AN610" s="485"/>
      <c r="AO610" s="485"/>
      <c r="AP610" s="485"/>
      <c r="AQ610" s="485"/>
      <c r="AR610" s="485"/>
      <c r="AS610" s="485"/>
      <c r="AT610" s="485"/>
      <c r="AU610" s="485"/>
      <c r="AV610" s="485"/>
      <c r="AW610" s="485"/>
      <c r="AX610" s="485"/>
      <c r="AY610" s="485"/>
      <c r="AZ610" s="485"/>
      <c r="BA610" s="485"/>
      <c r="BB610" s="485"/>
      <c r="BC610" s="485"/>
      <c r="BD610" s="485"/>
      <c r="BE610" s="485"/>
      <c r="BF610" s="485"/>
      <c r="BG610" s="485"/>
      <c r="BH610" s="485"/>
      <c r="BI610" s="485"/>
      <c r="BJ610" s="485"/>
      <c r="BK610" s="485"/>
      <c r="BL610" s="485"/>
      <c r="BM610" s="485"/>
      <c r="BN610" s="485"/>
      <c r="BO610" s="485"/>
      <c r="BP610" s="485"/>
      <c r="BQ610" s="485"/>
      <c r="BR610" s="485"/>
      <c r="BS610" s="485"/>
      <c r="BT610" s="485"/>
      <c r="BU610" s="485"/>
      <c r="BV610" s="485"/>
      <c r="BW610" s="485"/>
      <c r="BX610" s="485"/>
      <c r="BY610" s="485"/>
      <c r="BZ610" s="485"/>
      <c r="CA610" s="485"/>
      <c r="CB610" s="485"/>
      <c r="CC610" s="485"/>
      <c r="CD610" s="485"/>
      <c r="CE610" s="485"/>
      <c r="CF610" s="485"/>
      <c r="CG610" s="485"/>
      <c r="CH610" s="485"/>
      <c r="CI610" s="485"/>
      <c r="CJ610" s="485"/>
      <c r="CK610" s="485"/>
      <c r="CL610" s="485"/>
      <c r="CM610" s="485"/>
      <c r="CN610" s="485"/>
      <c r="CO610" s="485"/>
      <c r="CP610" s="485"/>
      <c r="CQ610" s="485"/>
      <c r="CR610" s="485"/>
      <c r="CS610" s="485"/>
      <c r="CT610" s="485"/>
      <c r="CU610" s="485"/>
      <c r="CV610" s="485"/>
      <c r="CW610" s="485"/>
      <c r="CX610" s="485"/>
      <c r="CY610" s="485"/>
      <c r="CZ610" s="485"/>
      <c r="DA610" s="485"/>
      <c r="DB610" s="485"/>
      <c r="DC610" s="485"/>
      <c r="DD610" s="485"/>
      <c r="DE610" s="485"/>
      <c r="DF610" s="485"/>
      <c r="DG610" s="485"/>
      <c r="DH610" s="485"/>
      <c r="DI610" s="485"/>
      <c r="DJ610" s="485"/>
      <c r="DK610" s="485"/>
      <c r="DL610" s="485"/>
      <c r="DM610" s="485"/>
      <c r="DN610" s="485"/>
      <c r="DO610" s="485"/>
      <c r="DP610" s="485"/>
      <c r="DQ610" s="485"/>
      <c r="DR610" s="485"/>
      <c r="DS610" s="485"/>
      <c r="DT610" s="485"/>
      <c r="DU610" s="485"/>
      <c r="DV610" s="485"/>
      <c r="DW610" s="485"/>
      <c r="DX610" s="485"/>
      <c r="DY610" s="485"/>
      <c r="DZ610" s="485"/>
      <c r="EA610" s="485"/>
      <c r="EB610" s="485"/>
      <c r="EC610" s="485"/>
      <c r="ED610" s="485"/>
      <c r="EE610" s="485"/>
      <c r="EF610" s="485"/>
      <c r="EG610" s="485"/>
      <c r="EH610" s="485"/>
      <c r="EI610" s="485"/>
      <c r="EJ610" s="485"/>
      <c r="EK610" s="485"/>
      <c r="EL610" s="485"/>
      <c r="EM610" s="485"/>
      <c r="EN610" s="485"/>
      <c r="EO610" s="485"/>
      <c r="EP610" s="485"/>
    </row>
    <row r="611" spans="1:146">
      <c r="A611" s="485"/>
      <c r="B611" s="485"/>
      <c r="C611" s="485"/>
      <c r="D611" s="485"/>
      <c r="E611" s="485"/>
      <c r="F611" s="485"/>
      <c r="G611" s="485"/>
      <c r="H611" s="485"/>
      <c r="I611" s="485"/>
      <c r="J611" s="485"/>
      <c r="K611" s="485"/>
      <c r="L611" s="485"/>
      <c r="M611" s="485"/>
      <c r="P611" s="485"/>
      <c r="Q611" s="485"/>
      <c r="R611" s="485"/>
      <c r="S611" s="485"/>
      <c r="T611" s="485"/>
      <c r="U611" s="485"/>
      <c r="V611" s="485"/>
      <c r="W611" s="485"/>
      <c r="X611" s="485"/>
      <c r="Y611" s="485"/>
      <c r="Z611" s="485"/>
      <c r="AA611" s="485"/>
      <c r="AB611" s="485"/>
      <c r="AC611" s="485"/>
      <c r="AD611" s="485"/>
      <c r="AE611" s="485"/>
      <c r="AF611" s="485"/>
      <c r="AG611" s="485"/>
      <c r="AH611" s="485"/>
      <c r="AI611" s="485"/>
      <c r="AJ611" s="485"/>
      <c r="AK611" s="485"/>
      <c r="AL611" s="485"/>
      <c r="AM611" s="485"/>
      <c r="AN611" s="485"/>
      <c r="AO611" s="485"/>
      <c r="AP611" s="485"/>
      <c r="AQ611" s="485"/>
      <c r="AR611" s="485"/>
      <c r="AS611" s="485"/>
      <c r="AT611" s="485"/>
      <c r="AU611" s="485"/>
      <c r="AV611" s="485"/>
      <c r="AW611" s="485"/>
      <c r="AX611" s="485"/>
      <c r="AY611" s="485"/>
      <c r="AZ611" s="485"/>
      <c r="BA611" s="485"/>
      <c r="BB611" s="485"/>
      <c r="BC611" s="485"/>
      <c r="BD611" s="485"/>
      <c r="BE611" s="485"/>
      <c r="BF611" s="485"/>
      <c r="BG611" s="485"/>
      <c r="BH611" s="485"/>
      <c r="BI611" s="485"/>
      <c r="BJ611" s="485"/>
      <c r="BK611" s="485"/>
      <c r="BL611" s="485"/>
      <c r="BM611" s="485"/>
      <c r="BN611" s="485"/>
      <c r="BO611" s="485"/>
      <c r="BP611" s="485"/>
      <c r="BQ611" s="485"/>
      <c r="BR611" s="485"/>
      <c r="BS611" s="485"/>
      <c r="BT611" s="485"/>
      <c r="BU611" s="485"/>
      <c r="BV611" s="485"/>
      <c r="BW611" s="485"/>
      <c r="BX611" s="485"/>
      <c r="BY611" s="485"/>
      <c r="BZ611" s="485"/>
      <c r="CA611" s="485"/>
      <c r="CB611" s="485"/>
      <c r="CC611" s="485"/>
      <c r="CD611" s="485"/>
      <c r="CE611" s="485"/>
      <c r="CF611" s="485"/>
      <c r="CG611" s="485"/>
      <c r="CH611" s="485"/>
      <c r="CI611" s="485"/>
      <c r="CJ611" s="485"/>
      <c r="CK611" s="485"/>
      <c r="CL611" s="485"/>
      <c r="CM611" s="485"/>
      <c r="CN611" s="485"/>
      <c r="CO611" s="485"/>
      <c r="CP611" s="485"/>
      <c r="CQ611" s="485"/>
      <c r="CR611" s="485"/>
      <c r="CS611" s="485"/>
      <c r="CT611" s="485"/>
      <c r="CU611" s="485"/>
      <c r="CV611" s="485"/>
      <c r="CW611" s="485"/>
      <c r="CX611" s="485"/>
      <c r="CY611" s="485"/>
      <c r="CZ611" s="485"/>
      <c r="DA611" s="485"/>
      <c r="DB611" s="485"/>
      <c r="DC611" s="485"/>
      <c r="DD611" s="485"/>
      <c r="DE611" s="485"/>
      <c r="DF611" s="485"/>
      <c r="DG611" s="485"/>
      <c r="DH611" s="485"/>
      <c r="DI611" s="485"/>
      <c r="DJ611" s="485"/>
      <c r="DK611" s="485"/>
      <c r="DL611" s="485"/>
      <c r="DM611" s="485"/>
      <c r="DN611" s="485"/>
      <c r="DO611" s="485"/>
      <c r="DP611" s="485"/>
      <c r="DQ611" s="485"/>
      <c r="DR611" s="485"/>
      <c r="DS611" s="485"/>
      <c r="DT611" s="485"/>
      <c r="DU611" s="485"/>
      <c r="DV611" s="485"/>
      <c r="DW611" s="485"/>
      <c r="DX611" s="485"/>
      <c r="DY611" s="485"/>
      <c r="DZ611" s="485"/>
      <c r="EA611" s="485"/>
      <c r="EB611" s="485"/>
      <c r="EC611" s="485"/>
      <c r="ED611" s="485"/>
      <c r="EE611" s="485"/>
      <c r="EF611" s="485"/>
      <c r="EG611" s="485"/>
      <c r="EH611" s="485"/>
      <c r="EI611" s="485"/>
      <c r="EJ611" s="485"/>
      <c r="EK611" s="485"/>
      <c r="EL611" s="485"/>
      <c r="EM611" s="485"/>
      <c r="EN611" s="485"/>
      <c r="EO611" s="485"/>
      <c r="EP611" s="485"/>
    </row>
    <row r="612" spans="1:146">
      <c r="A612" s="485"/>
      <c r="B612" s="485"/>
      <c r="C612" s="485"/>
      <c r="D612" s="485"/>
      <c r="E612" s="485"/>
      <c r="F612" s="485"/>
      <c r="G612" s="485"/>
      <c r="H612" s="485"/>
      <c r="I612" s="485"/>
      <c r="J612" s="485"/>
      <c r="K612" s="485"/>
      <c r="L612" s="485"/>
      <c r="M612" s="485"/>
      <c r="P612" s="485"/>
      <c r="Q612" s="485"/>
      <c r="R612" s="485"/>
      <c r="S612" s="485"/>
      <c r="T612" s="485"/>
      <c r="U612" s="485"/>
      <c r="V612" s="485"/>
      <c r="W612" s="485"/>
      <c r="X612" s="485"/>
      <c r="Y612" s="485"/>
      <c r="Z612" s="485"/>
      <c r="AA612" s="485"/>
      <c r="AB612" s="485"/>
      <c r="AC612" s="485"/>
      <c r="AD612" s="485"/>
      <c r="AE612" s="485"/>
      <c r="AF612" s="485"/>
      <c r="AG612" s="485"/>
      <c r="AH612" s="485"/>
      <c r="AI612" s="485"/>
      <c r="AJ612" s="485"/>
      <c r="AK612" s="485"/>
      <c r="AL612" s="485"/>
      <c r="AM612" s="485"/>
      <c r="AN612" s="485"/>
      <c r="AO612" s="485"/>
      <c r="AP612" s="485"/>
      <c r="AQ612" s="485"/>
      <c r="AR612" s="485"/>
      <c r="AS612" s="485"/>
      <c r="AT612" s="485"/>
      <c r="AU612" s="485"/>
      <c r="AV612" s="485"/>
      <c r="AW612" s="485"/>
      <c r="AX612" s="485"/>
      <c r="AY612" s="485"/>
      <c r="AZ612" s="485"/>
      <c r="BA612" s="485"/>
      <c r="BB612" s="485"/>
      <c r="BC612" s="485"/>
      <c r="BD612" s="485"/>
      <c r="BE612" s="485"/>
      <c r="BF612" s="485"/>
      <c r="BG612" s="485"/>
      <c r="BH612" s="485"/>
      <c r="BI612" s="485"/>
      <c r="BJ612" s="485"/>
      <c r="BK612" s="485"/>
      <c r="BL612" s="485"/>
      <c r="BM612" s="485"/>
      <c r="BN612" s="485"/>
      <c r="BO612" s="485"/>
      <c r="BP612" s="485"/>
      <c r="BQ612" s="485"/>
      <c r="BR612" s="485"/>
      <c r="BS612" s="485"/>
      <c r="BT612" s="485"/>
      <c r="BU612" s="485"/>
      <c r="BV612" s="485"/>
      <c r="BW612" s="485"/>
      <c r="BX612" s="485"/>
      <c r="BY612" s="485"/>
      <c r="BZ612" s="485"/>
      <c r="CA612" s="485"/>
      <c r="CB612" s="485"/>
      <c r="CC612" s="485"/>
      <c r="CD612" s="485"/>
      <c r="CE612" s="485"/>
      <c r="CF612" s="485"/>
      <c r="CG612" s="485"/>
      <c r="CH612" s="485"/>
      <c r="CI612" s="485"/>
      <c r="CJ612" s="485"/>
      <c r="CK612" s="485"/>
      <c r="CL612" s="485"/>
      <c r="CM612" s="485"/>
      <c r="CN612" s="485"/>
      <c r="CO612" s="485"/>
      <c r="CP612" s="485"/>
      <c r="CQ612" s="485"/>
      <c r="CR612" s="485"/>
      <c r="CS612" s="485"/>
      <c r="CT612" s="485"/>
      <c r="CU612" s="485"/>
      <c r="CV612" s="485"/>
      <c r="CW612" s="485"/>
      <c r="CX612" s="485"/>
      <c r="CY612" s="485"/>
      <c r="CZ612" s="485"/>
      <c r="DA612" s="485"/>
      <c r="DB612" s="485"/>
      <c r="DC612" s="485"/>
      <c r="DD612" s="485"/>
      <c r="DE612" s="485"/>
      <c r="DF612" s="485"/>
      <c r="DG612" s="485"/>
      <c r="DH612" s="485"/>
      <c r="DI612" s="485"/>
      <c r="DJ612" s="485"/>
      <c r="DK612" s="485"/>
      <c r="DL612" s="485"/>
      <c r="DM612" s="485"/>
      <c r="DN612" s="485"/>
      <c r="DO612" s="485"/>
      <c r="DP612" s="485"/>
      <c r="DQ612" s="485"/>
      <c r="DR612" s="485"/>
      <c r="DS612" s="485"/>
      <c r="DT612" s="485"/>
      <c r="DU612" s="485"/>
      <c r="DV612" s="485"/>
      <c r="DW612" s="485"/>
      <c r="DX612" s="485"/>
      <c r="DY612" s="485"/>
      <c r="DZ612" s="485"/>
      <c r="EA612" s="485"/>
      <c r="EB612" s="485"/>
      <c r="EC612" s="485"/>
      <c r="ED612" s="485"/>
      <c r="EE612" s="485"/>
      <c r="EF612" s="485"/>
      <c r="EG612" s="485"/>
      <c r="EH612" s="485"/>
      <c r="EI612" s="485"/>
      <c r="EJ612" s="485"/>
      <c r="EK612" s="485"/>
      <c r="EL612" s="485"/>
      <c r="EM612" s="485"/>
      <c r="EN612" s="485"/>
      <c r="EO612" s="485"/>
      <c r="EP612" s="485"/>
    </row>
    <row r="613" spans="1:146">
      <c r="A613" s="485"/>
      <c r="B613" s="485"/>
      <c r="C613" s="485"/>
      <c r="D613" s="485"/>
      <c r="E613" s="485"/>
      <c r="F613" s="485"/>
      <c r="G613" s="485"/>
      <c r="H613" s="485"/>
      <c r="I613" s="485"/>
      <c r="J613" s="485"/>
      <c r="K613" s="485"/>
      <c r="L613" s="485"/>
      <c r="M613" s="485"/>
      <c r="P613" s="485"/>
      <c r="Q613" s="485"/>
      <c r="R613" s="485"/>
      <c r="S613" s="485"/>
      <c r="T613" s="485"/>
      <c r="U613" s="485"/>
      <c r="V613" s="485"/>
      <c r="W613" s="485"/>
      <c r="X613" s="485"/>
      <c r="Y613" s="485"/>
      <c r="Z613" s="485"/>
      <c r="AA613" s="485"/>
      <c r="AB613" s="485"/>
      <c r="AC613" s="485"/>
      <c r="AD613" s="485"/>
      <c r="AE613" s="485"/>
      <c r="AF613" s="485"/>
      <c r="AG613" s="485"/>
      <c r="AH613" s="485"/>
      <c r="AI613" s="485"/>
      <c r="AJ613" s="485"/>
      <c r="AK613" s="485"/>
      <c r="AL613" s="485"/>
      <c r="AM613" s="485"/>
      <c r="AN613" s="485"/>
      <c r="AO613" s="485"/>
      <c r="AP613" s="485"/>
      <c r="AQ613" s="485"/>
      <c r="AR613" s="485"/>
      <c r="AS613" s="485"/>
      <c r="AT613" s="485"/>
      <c r="AU613" s="485"/>
      <c r="AV613" s="485"/>
      <c r="AW613" s="485"/>
      <c r="AX613" s="485"/>
      <c r="AY613" s="485"/>
      <c r="AZ613" s="485"/>
      <c r="BA613" s="485"/>
      <c r="BB613" s="485"/>
      <c r="BC613" s="485"/>
      <c r="BD613" s="485"/>
      <c r="BE613" s="485"/>
      <c r="BF613" s="485"/>
      <c r="BG613" s="485"/>
      <c r="BH613" s="485"/>
      <c r="BI613" s="485"/>
      <c r="BJ613" s="485"/>
      <c r="BK613" s="485"/>
      <c r="BL613" s="485"/>
      <c r="BM613" s="485"/>
      <c r="BN613" s="485"/>
      <c r="BO613" s="485"/>
      <c r="BP613" s="485"/>
      <c r="BQ613" s="485"/>
      <c r="BR613" s="485"/>
      <c r="BS613" s="485"/>
      <c r="BT613" s="485"/>
      <c r="BU613" s="485"/>
      <c r="BV613" s="485"/>
      <c r="BW613" s="485"/>
      <c r="BX613" s="485"/>
      <c r="BY613" s="485"/>
      <c r="BZ613" s="485"/>
      <c r="CA613" s="485"/>
      <c r="CB613" s="485"/>
      <c r="CC613" s="485"/>
      <c r="CD613" s="485"/>
      <c r="CE613" s="485"/>
      <c r="CF613" s="485"/>
      <c r="CG613" s="485"/>
      <c r="CH613" s="485"/>
      <c r="CI613" s="485"/>
      <c r="CJ613" s="485"/>
      <c r="CK613" s="485"/>
      <c r="CL613" s="485"/>
      <c r="CM613" s="485"/>
      <c r="CN613" s="485"/>
      <c r="CO613" s="485"/>
      <c r="CP613" s="485"/>
      <c r="CQ613" s="485"/>
      <c r="CR613" s="485"/>
      <c r="CS613" s="485"/>
      <c r="CT613" s="485"/>
      <c r="CU613" s="485"/>
      <c r="CV613" s="485"/>
      <c r="CW613" s="485"/>
      <c r="CX613" s="485"/>
      <c r="CY613" s="485"/>
      <c r="CZ613" s="485"/>
      <c r="DA613" s="485"/>
      <c r="DB613" s="485"/>
      <c r="DC613" s="485"/>
      <c r="DD613" s="485"/>
      <c r="DE613" s="485"/>
      <c r="DF613" s="485"/>
      <c r="DG613" s="485"/>
      <c r="DH613" s="485"/>
      <c r="DI613" s="485"/>
      <c r="DJ613" s="485"/>
      <c r="DK613" s="485"/>
      <c r="DL613" s="485"/>
      <c r="DM613" s="485"/>
      <c r="DN613" s="485"/>
      <c r="DO613" s="485"/>
      <c r="DP613" s="485"/>
      <c r="DQ613" s="485"/>
      <c r="DR613" s="485"/>
      <c r="DS613" s="485"/>
      <c r="DT613" s="485"/>
      <c r="DU613" s="485"/>
      <c r="DV613" s="485"/>
      <c r="DW613" s="485"/>
      <c r="DX613" s="485"/>
      <c r="DY613" s="485"/>
      <c r="DZ613" s="485"/>
      <c r="EA613" s="485"/>
      <c r="EB613" s="485"/>
      <c r="EC613" s="485"/>
      <c r="ED613" s="485"/>
      <c r="EE613" s="485"/>
      <c r="EF613" s="485"/>
      <c r="EG613" s="485"/>
      <c r="EH613" s="485"/>
      <c r="EI613" s="485"/>
      <c r="EJ613" s="485"/>
      <c r="EK613" s="485"/>
      <c r="EL613" s="485"/>
      <c r="EM613" s="485"/>
      <c r="EN613" s="485"/>
      <c r="EO613" s="485"/>
      <c r="EP613" s="485"/>
    </row>
    <row r="614" spans="1:146">
      <c r="A614" s="485"/>
      <c r="B614" s="485"/>
      <c r="C614" s="485"/>
      <c r="D614" s="485"/>
      <c r="E614" s="485"/>
      <c r="F614" s="485"/>
      <c r="G614" s="485"/>
      <c r="H614" s="485"/>
      <c r="I614" s="485"/>
      <c r="J614" s="485"/>
      <c r="K614" s="485"/>
      <c r="L614" s="485"/>
      <c r="M614" s="485"/>
      <c r="P614" s="485"/>
      <c r="Q614" s="485"/>
      <c r="R614" s="485"/>
      <c r="S614" s="485"/>
      <c r="T614" s="485"/>
      <c r="U614" s="485"/>
      <c r="V614" s="485"/>
      <c r="W614" s="485"/>
      <c r="X614" s="485"/>
      <c r="Y614" s="485"/>
      <c r="Z614" s="485"/>
      <c r="AA614" s="485"/>
      <c r="AB614" s="485"/>
      <c r="AC614" s="485"/>
      <c r="AD614" s="485"/>
      <c r="AE614" s="485"/>
      <c r="AF614" s="485"/>
      <c r="AG614" s="485"/>
      <c r="AH614" s="485"/>
      <c r="AI614" s="485"/>
      <c r="AJ614" s="485"/>
      <c r="AK614" s="485"/>
      <c r="AL614" s="485"/>
      <c r="AM614" s="485"/>
      <c r="AN614" s="485"/>
      <c r="AO614" s="485"/>
      <c r="AP614" s="485"/>
      <c r="AQ614" s="485"/>
      <c r="AR614" s="485"/>
      <c r="AS614" s="485"/>
      <c r="AT614" s="485"/>
      <c r="AU614" s="485"/>
      <c r="AV614" s="485"/>
      <c r="AW614" s="485"/>
      <c r="AX614" s="485"/>
      <c r="AY614" s="485"/>
      <c r="AZ614" s="485"/>
      <c r="BA614" s="485"/>
      <c r="BB614" s="485"/>
      <c r="BC614" s="485"/>
      <c r="BD614" s="485"/>
      <c r="BE614" s="485"/>
      <c r="BF614" s="485"/>
      <c r="BG614" s="485"/>
      <c r="BH614" s="485"/>
      <c r="BI614" s="485"/>
      <c r="BJ614" s="485"/>
      <c r="BK614" s="485"/>
      <c r="BL614" s="485"/>
      <c r="BM614" s="485"/>
      <c r="BN614" s="485"/>
      <c r="BO614" s="485"/>
      <c r="BP614" s="485"/>
      <c r="BQ614" s="485"/>
      <c r="BR614" s="485"/>
      <c r="BS614" s="485"/>
      <c r="BT614" s="485"/>
      <c r="BU614" s="485"/>
      <c r="BV614" s="485"/>
      <c r="BW614" s="485"/>
      <c r="BX614" s="485"/>
      <c r="BY614" s="485"/>
      <c r="BZ614" s="485"/>
      <c r="CA614" s="485"/>
      <c r="CB614" s="485"/>
      <c r="CC614" s="485"/>
      <c r="CD614" s="485"/>
      <c r="CE614" s="485"/>
      <c r="CF614" s="485"/>
      <c r="CG614" s="485"/>
      <c r="CH614" s="485"/>
      <c r="CI614" s="485"/>
      <c r="CJ614" s="485"/>
      <c r="CK614" s="485"/>
      <c r="CL614" s="485"/>
      <c r="CM614" s="485"/>
      <c r="CN614" s="485"/>
      <c r="CO614" s="485"/>
      <c r="CP614" s="485"/>
      <c r="CQ614" s="485"/>
      <c r="CR614" s="485"/>
      <c r="CS614" s="485"/>
      <c r="CT614" s="485"/>
      <c r="CU614" s="485"/>
      <c r="CV614" s="485"/>
      <c r="CW614" s="485"/>
      <c r="CX614" s="485"/>
      <c r="CY614" s="485"/>
      <c r="CZ614" s="485"/>
      <c r="DA614" s="485"/>
      <c r="DB614" s="485"/>
      <c r="DC614" s="485"/>
      <c r="DD614" s="485"/>
      <c r="DE614" s="485"/>
      <c r="DF614" s="485"/>
      <c r="DG614" s="485"/>
      <c r="DH614" s="485"/>
      <c r="DI614" s="485"/>
      <c r="DJ614" s="485"/>
      <c r="DK614" s="485"/>
      <c r="DL614" s="485"/>
      <c r="DM614" s="485"/>
      <c r="DN614" s="485"/>
      <c r="DO614" s="485"/>
      <c r="DP614" s="485"/>
      <c r="DQ614" s="485"/>
      <c r="DR614" s="485"/>
      <c r="DS614" s="485"/>
      <c r="DT614" s="485"/>
      <c r="DU614" s="485"/>
      <c r="DV614" s="485"/>
      <c r="DW614" s="485"/>
      <c r="DX614" s="485"/>
      <c r="DY614" s="485"/>
      <c r="DZ614" s="485"/>
      <c r="EA614" s="485"/>
      <c r="EB614" s="485"/>
      <c r="EC614" s="485"/>
      <c r="ED614" s="485"/>
      <c r="EE614" s="485"/>
      <c r="EF614" s="485"/>
      <c r="EG614" s="485"/>
      <c r="EH614" s="485"/>
      <c r="EI614" s="485"/>
      <c r="EJ614" s="485"/>
      <c r="EK614" s="485"/>
      <c r="EL614" s="485"/>
      <c r="EM614" s="485"/>
      <c r="EN614" s="485"/>
      <c r="EO614" s="485"/>
      <c r="EP614" s="485"/>
    </row>
    <row r="615" spans="1:146">
      <c r="A615" s="485"/>
      <c r="B615" s="485"/>
      <c r="C615" s="485"/>
      <c r="D615" s="485"/>
      <c r="E615" s="485"/>
      <c r="F615" s="485"/>
      <c r="G615" s="485"/>
      <c r="H615" s="485"/>
      <c r="I615" s="485"/>
      <c r="J615" s="485"/>
      <c r="K615" s="485"/>
      <c r="L615" s="485"/>
      <c r="M615" s="485"/>
      <c r="P615" s="485"/>
      <c r="Q615" s="485"/>
      <c r="R615" s="485"/>
      <c r="S615" s="485"/>
      <c r="T615" s="485"/>
      <c r="U615" s="485"/>
      <c r="V615" s="485"/>
      <c r="W615" s="485"/>
      <c r="X615" s="485"/>
      <c r="Y615" s="485"/>
      <c r="Z615" s="485"/>
      <c r="AA615" s="485"/>
      <c r="AB615" s="485"/>
      <c r="AC615" s="485"/>
      <c r="AD615" s="485"/>
      <c r="AE615" s="485"/>
      <c r="AF615" s="485"/>
      <c r="AG615" s="485"/>
      <c r="AH615" s="485"/>
      <c r="AI615" s="485"/>
      <c r="AJ615" s="485"/>
      <c r="AK615" s="485"/>
      <c r="AL615" s="485"/>
      <c r="AM615" s="485"/>
      <c r="AN615" s="485"/>
      <c r="AO615" s="485"/>
      <c r="AP615" s="485"/>
      <c r="AQ615" s="485"/>
      <c r="AR615" s="485"/>
      <c r="AS615" s="485"/>
      <c r="AT615" s="485"/>
      <c r="AU615" s="485"/>
      <c r="AV615" s="485"/>
      <c r="AW615" s="485"/>
      <c r="AX615" s="485"/>
      <c r="AY615" s="485"/>
      <c r="AZ615" s="485"/>
      <c r="BA615" s="485"/>
      <c r="BB615" s="485"/>
      <c r="BC615" s="485"/>
      <c r="BD615" s="485"/>
      <c r="BE615" s="485"/>
      <c r="BF615" s="485"/>
      <c r="BG615" s="485"/>
      <c r="BH615" s="485"/>
      <c r="BI615" s="485"/>
      <c r="BJ615" s="485"/>
      <c r="BK615" s="485"/>
      <c r="BL615" s="485"/>
      <c r="BM615" s="485"/>
      <c r="BN615" s="485"/>
      <c r="BO615" s="485"/>
      <c r="BP615" s="485"/>
      <c r="BQ615" s="485"/>
      <c r="BR615" s="485"/>
      <c r="BS615" s="485"/>
      <c r="BT615" s="485"/>
      <c r="BU615" s="485"/>
      <c r="BV615" s="485"/>
      <c r="BW615" s="485"/>
      <c r="BX615" s="485"/>
      <c r="BY615" s="485"/>
      <c r="BZ615" s="485"/>
      <c r="CA615" s="485"/>
      <c r="CB615" s="485"/>
      <c r="CC615" s="485"/>
      <c r="CD615" s="485"/>
      <c r="CE615" s="485"/>
      <c r="CF615" s="485"/>
      <c r="CG615" s="485"/>
      <c r="CH615" s="485"/>
      <c r="CI615" s="485"/>
      <c r="CJ615" s="485"/>
      <c r="CK615" s="485"/>
      <c r="CL615" s="485"/>
      <c r="CM615" s="485"/>
      <c r="CN615" s="485"/>
      <c r="CO615" s="485"/>
      <c r="CP615" s="485"/>
      <c r="CQ615" s="485"/>
      <c r="CR615" s="485"/>
      <c r="CS615" s="485"/>
      <c r="CT615" s="485"/>
      <c r="CU615" s="485"/>
      <c r="CV615" s="485"/>
      <c r="CW615" s="485"/>
      <c r="CX615" s="485"/>
      <c r="CY615" s="485"/>
      <c r="CZ615" s="485"/>
      <c r="DA615" s="485"/>
      <c r="DB615" s="485"/>
      <c r="DC615" s="485"/>
      <c r="DD615" s="485"/>
      <c r="DE615" s="485"/>
      <c r="DF615" s="485"/>
      <c r="DG615" s="485"/>
      <c r="DH615" s="485"/>
      <c r="DI615" s="485"/>
      <c r="DJ615" s="485"/>
      <c r="DK615" s="485"/>
      <c r="DL615" s="485"/>
      <c r="DM615" s="485"/>
      <c r="DN615" s="485"/>
      <c r="DO615" s="485"/>
      <c r="DP615" s="485"/>
      <c r="DQ615" s="485"/>
      <c r="DR615" s="485"/>
      <c r="DS615" s="485"/>
      <c r="DT615" s="485"/>
      <c r="DU615" s="485"/>
      <c r="DV615" s="485"/>
      <c r="DW615" s="485"/>
      <c r="DX615" s="485"/>
      <c r="DY615" s="485"/>
      <c r="DZ615" s="485"/>
      <c r="EA615" s="485"/>
      <c r="EB615" s="485"/>
      <c r="EC615" s="485"/>
      <c r="ED615" s="485"/>
      <c r="EE615" s="485"/>
      <c r="EF615" s="485"/>
      <c r="EG615" s="485"/>
      <c r="EH615" s="485"/>
      <c r="EI615" s="485"/>
      <c r="EJ615" s="485"/>
      <c r="EK615" s="485"/>
      <c r="EL615" s="485"/>
      <c r="EM615" s="485"/>
      <c r="EN615" s="485"/>
      <c r="EO615" s="485"/>
      <c r="EP615" s="485"/>
    </row>
    <row r="616" spans="1:146">
      <c r="A616" s="485"/>
      <c r="B616" s="485"/>
      <c r="C616" s="485"/>
      <c r="D616" s="485"/>
      <c r="E616" s="485"/>
      <c r="F616" s="485"/>
      <c r="G616" s="485"/>
      <c r="H616" s="485"/>
      <c r="I616" s="485"/>
      <c r="J616" s="485"/>
      <c r="K616" s="485"/>
      <c r="L616" s="485"/>
      <c r="M616" s="485"/>
      <c r="P616" s="485"/>
      <c r="Q616" s="485"/>
      <c r="R616" s="485"/>
      <c r="S616" s="485"/>
      <c r="T616" s="485"/>
      <c r="U616" s="485"/>
      <c r="V616" s="485"/>
      <c r="W616" s="485"/>
      <c r="X616" s="485"/>
      <c r="Y616" s="485"/>
      <c r="Z616" s="485"/>
      <c r="AA616" s="485"/>
      <c r="AB616" s="485"/>
      <c r="AC616" s="485"/>
      <c r="AD616" s="485"/>
      <c r="AE616" s="485"/>
      <c r="AF616" s="485"/>
      <c r="AG616" s="485"/>
      <c r="AH616" s="485"/>
      <c r="AI616" s="485"/>
      <c r="AJ616" s="485"/>
      <c r="AK616" s="485"/>
      <c r="AL616" s="485"/>
      <c r="AM616" s="485"/>
      <c r="AN616" s="485"/>
      <c r="AO616" s="485"/>
      <c r="AP616" s="485"/>
      <c r="AQ616" s="485"/>
      <c r="AR616" s="485"/>
      <c r="AS616" s="485"/>
      <c r="AT616" s="485"/>
      <c r="AU616" s="485"/>
      <c r="AV616" s="485"/>
      <c r="AW616" s="485"/>
      <c r="AX616" s="485"/>
      <c r="AY616" s="485"/>
      <c r="AZ616" s="485"/>
      <c r="BA616" s="485"/>
      <c r="BB616" s="485"/>
      <c r="BC616" s="485"/>
      <c r="BD616" s="485"/>
      <c r="BE616" s="485"/>
      <c r="BF616" s="485"/>
      <c r="BG616" s="485"/>
      <c r="BH616" s="485"/>
      <c r="BI616" s="485"/>
      <c r="BJ616" s="485"/>
      <c r="BK616" s="485"/>
      <c r="BL616" s="485"/>
      <c r="BM616" s="485"/>
      <c r="BN616" s="485"/>
      <c r="BO616" s="485"/>
      <c r="BP616" s="485"/>
      <c r="BQ616" s="485"/>
      <c r="BR616" s="485"/>
      <c r="BS616" s="485"/>
      <c r="BT616" s="485"/>
      <c r="BU616" s="485"/>
      <c r="BV616" s="485"/>
      <c r="BW616" s="485"/>
      <c r="BX616" s="485"/>
      <c r="BY616" s="485"/>
      <c r="BZ616" s="485"/>
      <c r="CA616" s="485"/>
      <c r="CB616" s="485"/>
      <c r="CC616" s="485"/>
      <c r="CD616" s="485"/>
      <c r="CE616" s="485"/>
      <c r="CF616" s="485"/>
      <c r="CG616" s="485"/>
      <c r="CH616" s="485"/>
      <c r="CI616" s="485"/>
      <c r="CJ616" s="485"/>
      <c r="CK616" s="485"/>
      <c r="CL616" s="485"/>
      <c r="CM616" s="485"/>
      <c r="CN616" s="485"/>
      <c r="CO616" s="485"/>
      <c r="CP616" s="485"/>
      <c r="CQ616" s="485"/>
      <c r="CR616" s="485"/>
      <c r="CS616" s="485"/>
      <c r="CT616" s="485"/>
      <c r="CU616" s="485"/>
      <c r="CV616" s="485"/>
      <c r="CW616" s="485"/>
      <c r="CX616" s="485"/>
      <c r="CY616" s="485"/>
      <c r="CZ616" s="485"/>
      <c r="DA616" s="485"/>
      <c r="DB616" s="485"/>
      <c r="DC616" s="485"/>
      <c r="DD616" s="485"/>
      <c r="DE616" s="485"/>
      <c r="DF616" s="485"/>
      <c r="DG616" s="485"/>
      <c r="DH616" s="485"/>
      <c r="DI616" s="485"/>
      <c r="DJ616" s="485"/>
      <c r="DK616" s="485"/>
      <c r="DL616" s="485"/>
      <c r="DM616" s="485"/>
      <c r="DN616" s="485"/>
      <c r="DO616" s="485"/>
      <c r="DP616" s="485"/>
      <c r="DQ616" s="485"/>
      <c r="DR616" s="485"/>
      <c r="DS616" s="485"/>
      <c r="DT616" s="485"/>
      <c r="DU616" s="485"/>
      <c r="DV616" s="485"/>
      <c r="DW616" s="485"/>
      <c r="DX616" s="485"/>
      <c r="DY616" s="485"/>
      <c r="DZ616" s="485"/>
      <c r="EA616" s="485"/>
      <c r="EB616" s="485"/>
      <c r="EC616" s="485"/>
      <c r="ED616" s="485"/>
      <c r="EE616" s="485"/>
      <c r="EF616" s="485"/>
      <c r="EG616" s="485"/>
      <c r="EH616" s="485"/>
      <c r="EI616" s="485"/>
      <c r="EJ616" s="485"/>
      <c r="EK616" s="485"/>
      <c r="EL616" s="485"/>
      <c r="EM616" s="485"/>
      <c r="EN616" s="485"/>
      <c r="EO616" s="485"/>
      <c r="EP616" s="485"/>
    </row>
    <row r="617" spans="1:146">
      <c r="A617" s="485"/>
      <c r="B617" s="485"/>
      <c r="C617" s="485"/>
      <c r="D617" s="485"/>
      <c r="E617" s="485"/>
      <c r="F617" s="485"/>
      <c r="G617" s="485"/>
      <c r="H617" s="485"/>
      <c r="I617" s="485"/>
      <c r="J617" s="485"/>
      <c r="K617" s="485"/>
      <c r="L617" s="485"/>
      <c r="M617" s="485"/>
      <c r="P617" s="485"/>
      <c r="Q617" s="485"/>
      <c r="R617" s="485"/>
      <c r="S617" s="485"/>
      <c r="T617" s="485"/>
      <c r="U617" s="485"/>
      <c r="V617" s="485"/>
      <c r="W617" s="485"/>
      <c r="X617" s="485"/>
      <c r="Y617" s="485"/>
      <c r="Z617" s="485"/>
      <c r="AA617" s="485"/>
      <c r="AB617" s="485"/>
      <c r="AC617" s="485"/>
      <c r="AD617" s="485"/>
      <c r="AE617" s="485"/>
      <c r="AF617" s="485"/>
      <c r="AG617" s="485"/>
      <c r="AH617" s="485"/>
      <c r="AI617" s="485"/>
      <c r="AJ617" s="485"/>
      <c r="AK617" s="485"/>
      <c r="AL617" s="485"/>
      <c r="AM617" s="485"/>
      <c r="AN617" s="485"/>
      <c r="AO617" s="485"/>
      <c r="AP617" s="485"/>
      <c r="AQ617" s="485"/>
      <c r="AR617" s="485"/>
      <c r="AS617" s="485"/>
      <c r="AT617" s="485"/>
      <c r="AU617" s="485"/>
      <c r="AV617" s="485"/>
      <c r="AW617" s="485"/>
      <c r="AX617" s="485"/>
      <c r="AY617" s="485"/>
      <c r="AZ617" s="485"/>
      <c r="BA617" s="485"/>
      <c r="BB617" s="485"/>
      <c r="BC617" s="485"/>
      <c r="BD617" s="485"/>
      <c r="BE617" s="485"/>
      <c r="BF617" s="485"/>
      <c r="BG617" s="485"/>
      <c r="BH617" s="485"/>
      <c r="BI617" s="485"/>
      <c r="BJ617" s="485"/>
      <c r="BK617" s="485"/>
      <c r="BL617" s="485"/>
      <c r="BM617" s="485"/>
      <c r="BN617" s="485"/>
      <c r="BO617" s="485"/>
      <c r="BP617" s="485"/>
      <c r="BQ617" s="485"/>
      <c r="BR617" s="485"/>
      <c r="BS617" s="485"/>
      <c r="BT617" s="485"/>
      <c r="BU617" s="485"/>
      <c r="BV617" s="485"/>
      <c r="BW617" s="485"/>
      <c r="BX617" s="485"/>
      <c r="BY617" s="485"/>
      <c r="BZ617" s="485"/>
      <c r="CA617" s="485"/>
      <c r="CB617" s="485"/>
      <c r="CC617" s="485"/>
      <c r="CD617" s="485"/>
      <c r="CE617" s="485"/>
      <c r="CF617" s="485"/>
      <c r="CG617" s="485"/>
      <c r="CH617" s="485"/>
      <c r="CI617" s="485"/>
      <c r="CJ617" s="485"/>
      <c r="CK617" s="485"/>
      <c r="CL617" s="485"/>
      <c r="CM617" s="485"/>
      <c r="CN617" s="485"/>
      <c r="CO617" s="485"/>
      <c r="CP617" s="485"/>
      <c r="CQ617" s="485"/>
      <c r="CR617" s="485"/>
      <c r="CS617" s="485"/>
      <c r="CT617" s="485"/>
      <c r="CU617" s="485"/>
      <c r="CV617" s="485"/>
      <c r="CW617" s="485"/>
      <c r="CX617" s="485"/>
      <c r="CY617" s="485"/>
      <c r="CZ617" s="485"/>
      <c r="DA617" s="485"/>
      <c r="DB617" s="485"/>
      <c r="DC617" s="485"/>
      <c r="DD617" s="485"/>
      <c r="DE617" s="485"/>
      <c r="DF617" s="485"/>
      <c r="DG617" s="485"/>
      <c r="DH617" s="485"/>
      <c r="DI617" s="485"/>
      <c r="DJ617" s="485"/>
      <c r="DK617" s="485"/>
      <c r="DL617" s="485"/>
      <c r="DM617" s="485"/>
      <c r="DN617" s="485"/>
      <c r="DO617" s="485"/>
      <c r="DP617" s="485"/>
      <c r="DQ617" s="485"/>
      <c r="DR617" s="485"/>
      <c r="DS617" s="485"/>
      <c r="DT617" s="485"/>
      <c r="DU617" s="485"/>
      <c r="DV617" s="485"/>
      <c r="DW617" s="485"/>
      <c r="DX617" s="485"/>
      <c r="DY617" s="485"/>
      <c r="DZ617" s="485"/>
      <c r="EA617" s="485"/>
      <c r="EB617" s="485"/>
      <c r="EC617" s="485"/>
      <c r="ED617" s="485"/>
      <c r="EE617" s="485"/>
      <c r="EF617" s="485"/>
      <c r="EG617" s="485"/>
      <c r="EH617" s="485"/>
      <c r="EI617" s="485"/>
      <c r="EJ617" s="485"/>
      <c r="EK617" s="485"/>
      <c r="EL617" s="485"/>
      <c r="EM617" s="485"/>
      <c r="EN617" s="485"/>
      <c r="EO617" s="485"/>
      <c r="EP617" s="485"/>
    </row>
    <row r="618" spans="1:146">
      <c r="A618" s="485"/>
      <c r="B618" s="485"/>
      <c r="C618" s="485"/>
      <c r="D618" s="485"/>
      <c r="E618" s="485"/>
      <c r="F618" s="485"/>
      <c r="G618" s="485"/>
      <c r="H618" s="485"/>
      <c r="I618" s="485"/>
      <c r="J618" s="485"/>
      <c r="K618" s="485"/>
      <c r="L618" s="485"/>
      <c r="M618" s="485"/>
      <c r="P618" s="485"/>
      <c r="Q618" s="485"/>
      <c r="R618" s="485"/>
      <c r="S618" s="485"/>
      <c r="T618" s="485"/>
      <c r="U618" s="485"/>
      <c r="V618" s="485"/>
      <c r="W618" s="485"/>
      <c r="X618" s="485"/>
      <c r="Y618" s="485"/>
      <c r="Z618" s="485"/>
      <c r="AA618" s="485"/>
      <c r="AB618" s="485"/>
      <c r="AC618" s="485"/>
      <c r="AD618" s="485"/>
      <c r="AE618" s="485"/>
      <c r="AF618" s="485"/>
      <c r="AG618" s="485"/>
      <c r="AH618" s="485"/>
      <c r="AI618" s="485"/>
      <c r="AJ618" s="485"/>
      <c r="AK618" s="485"/>
      <c r="AL618" s="485"/>
      <c r="AM618" s="485"/>
      <c r="AN618" s="485"/>
      <c r="AO618" s="485"/>
      <c r="AP618" s="485"/>
      <c r="AQ618" s="485"/>
      <c r="AR618" s="485"/>
      <c r="AS618" s="485"/>
      <c r="AT618" s="485"/>
      <c r="AU618" s="485"/>
      <c r="AV618" s="485"/>
      <c r="AW618" s="485"/>
      <c r="AX618" s="485"/>
      <c r="AY618" s="485"/>
      <c r="AZ618" s="485"/>
      <c r="BA618" s="485"/>
      <c r="BB618" s="485"/>
      <c r="BC618" s="485"/>
      <c r="BD618" s="485"/>
      <c r="BE618" s="485"/>
      <c r="BF618" s="485"/>
      <c r="BG618" s="485"/>
      <c r="BH618" s="485"/>
      <c r="BI618" s="485"/>
      <c r="BJ618" s="485"/>
      <c r="BK618" s="485"/>
      <c r="BL618" s="485"/>
      <c r="BM618" s="485"/>
      <c r="BN618" s="485"/>
      <c r="BO618" s="485"/>
      <c r="BP618" s="485"/>
      <c r="BQ618" s="485"/>
      <c r="BR618" s="485"/>
      <c r="BS618" s="485"/>
      <c r="BT618" s="485"/>
      <c r="BU618" s="485"/>
      <c r="BV618" s="485"/>
      <c r="BW618" s="485"/>
      <c r="BX618" s="485"/>
      <c r="BY618" s="485"/>
      <c r="BZ618" s="485"/>
      <c r="CA618" s="485"/>
      <c r="CB618" s="485"/>
      <c r="CC618" s="485"/>
      <c r="CD618" s="485"/>
      <c r="CE618" s="485"/>
      <c r="CF618" s="485"/>
      <c r="CG618" s="485"/>
      <c r="CH618" s="485"/>
      <c r="CI618" s="485"/>
      <c r="CJ618" s="485"/>
      <c r="CK618" s="485"/>
      <c r="CL618" s="485"/>
      <c r="CM618" s="485"/>
      <c r="CN618" s="485"/>
      <c r="CO618" s="485"/>
      <c r="CP618" s="485"/>
      <c r="CQ618" s="485"/>
      <c r="CR618" s="485"/>
      <c r="CS618" s="485"/>
      <c r="CT618" s="485"/>
      <c r="CU618" s="485"/>
      <c r="CV618" s="485"/>
      <c r="CW618" s="485"/>
      <c r="CX618" s="485"/>
      <c r="CY618" s="485"/>
      <c r="CZ618" s="485"/>
      <c r="DA618" s="485"/>
      <c r="DB618" s="485"/>
      <c r="DC618" s="485"/>
      <c r="DD618" s="485"/>
      <c r="DE618" s="485"/>
      <c r="DF618" s="485"/>
      <c r="DG618" s="485"/>
      <c r="DH618" s="485"/>
      <c r="DI618" s="485"/>
      <c r="DJ618" s="485"/>
      <c r="DK618" s="485"/>
      <c r="DL618" s="485"/>
      <c r="DM618" s="485"/>
      <c r="DN618" s="485"/>
      <c r="DO618" s="485"/>
      <c r="DP618" s="485"/>
      <c r="DQ618" s="485"/>
      <c r="DR618" s="485"/>
      <c r="DS618" s="485"/>
      <c r="DT618" s="485"/>
      <c r="DU618" s="485"/>
      <c r="DV618" s="485"/>
      <c r="DW618" s="485"/>
      <c r="DX618" s="485"/>
      <c r="DY618" s="485"/>
      <c r="DZ618" s="485"/>
      <c r="EA618" s="485"/>
      <c r="EB618" s="485"/>
      <c r="EC618" s="485"/>
      <c r="ED618" s="485"/>
      <c r="EE618" s="485"/>
      <c r="EF618" s="485"/>
      <c r="EG618" s="485"/>
      <c r="EH618" s="485"/>
      <c r="EI618" s="485"/>
      <c r="EJ618" s="485"/>
      <c r="EK618" s="485"/>
      <c r="EL618" s="485"/>
      <c r="EM618" s="485"/>
      <c r="EN618" s="485"/>
      <c r="EO618" s="485"/>
      <c r="EP618" s="485"/>
    </row>
    <row r="619" spans="1:146">
      <c r="A619" s="485"/>
      <c r="B619" s="485"/>
      <c r="C619" s="485"/>
      <c r="D619" s="485"/>
      <c r="E619" s="485"/>
      <c r="F619" s="485"/>
      <c r="G619" s="485"/>
      <c r="H619" s="485"/>
      <c r="I619" s="485"/>
      <c r="J619" s="485"/>
      <c r="K619" s="485"/>
      <c r="L619" s="485"/>
      <c r="M619" s="485"/>
      <c r="P619" s="485"/>
      <c r="Q619" s="485"/>
      <c r="R619" s="485"/>
      <c r="S619" s="485"/>
      <c r="T619" s="485"/>
      <c r="U619" s="485"/>
      <c r="V619" s="485"/>
      <c r="W619" s="485"/>
      <c r="X619" s="485"/>
      <c r="Y619" s="485"/>
      <c r="Z619" s="485"/>
      <c r="AA619" s="485"/>
      <c r="AB619" s="485"/>
      <c r="AC619" s="485"/>
      <c r="AD619" s="485"/>
      <c r="AE619" s="485"/>
      <c r="AF619" s="485"/>
      <c r="AG619" s="485"/>
      <c r="AH619" s="485"/>
      <c r="AI619" s="485"/>
      <c r="AJ619" s="485"/>
      <c r="AK619" s="485"/>
      <c r="AL619" s="485"/>
      <c r="AM619" s="485"/>
      <c r="AN619" s="485"/>
      <c r="AO619" s="485"/>
      <c r="AP619" s="485"/>
      <c r="AQ619" s="485"/>
      <c r="AR619" s="485"/>
      <c r="AS619" s="485"/>
      <c r="AT619" s="485"/>
      <c r="AU619" s="485"/>
      <c r="AV619" s="485"/>
      <c r="AW619" s="485"/>
      <c r="AX619" s="485"/>
      <c r="AY619" s="485"/>
      <c r="AZ619" s="485"/>
      <c r="BA619" s="485"/>
      <c r="BB619" s="485"/>
      <c r="BC619" s="485"/>
      <c r="BD619" s="485"/>
      <c r="BE619" s="485"/>
      <c r="BF619" s="485"/>
      <c r="BG619" s="485"/>
      <c r="BH619" s="485"/>
      <c r="BI619" s="485"/>
      <c r="BJ619" s="485"/>
      <c r="BK619" s="485"/>
      <c r="BL619" s="485"/>
      <c r="BM619" s="485"/>
      <c r="BN619" s="485"/>
      <c r="BO619" s="485"/>
      <c r="BP619" s="485"/>
      <c r="BQ619" s="485"/>
      <c r="BR619" s="485"/>
      <c r="BS619" s="485"/>
      <c r="BT619" s="485"/>
      <c r="BU619" s="485"/>
      <c r="BV619" s="485"/>
      <c r="BW619" s="485"/>
      <c r="BX619" s="485"/>
      <c r="BY619" s="485"/>
      <c r="BZ619" s="485"/>
      <c r="CA619" s="485"/>
      <c r="CB619" s="485"/>
      <c r="CC619" s="485"/>
      <c r="CD619" s="485"/>
      <c r="CE619" s="485"/>
      <c r="CF619" s="485"/>
      <c r="CG619" s="485"/>
      <c r="CH619" s="485"/>
      <c r="CI619" s="485"/>
      <c r="CJ619" s="485"/>
      <c r="CK619" s="485"/>
      <c r="CL619" s="485"/>
      <c r="CM619" s="485"/>
      <c r="CN619" s="485"/>
      <c r="CO619" s="485"/>
      <c r="CP619" s="485"/>
      <c r="CQ619" s="485"/>
      <c r="CR619" s="485"/>
      <c r="CS619" s="485"/>
      <c r="CT619" s="485"/>
      <c r="CU619" s="485"/>
      <c r="CV619" s="485"/>
      <c r="CW619" s="485"/>
      <c r="CX619" s="485"/>
      <c r="CY619" s="485"/>
      <c r="CZ619" s="485"/>
      <c r="DA619" s="485"/>
      <c r="DB619" s="485"/>
      <c r="DC619" s="485"/>
      <c r="DD619" s="485"/>
      <c r="DE619" s="485"/>
      <c r="DF619" s="485"/>
      <c r="DG619" s="485"/>
      <c r="DH619" s="485"/>
      <c r="DI619" s="485"/>
      <c r="DJ619" s="485"/>
      <c r="DK619" s="485"/>
      <c r="DL619" s="485"/>
      <c r="DM619" s="485"/>
      <c r="DN619" s="485"/>
      <c r="DO619" s="485"/>
      <c r="DP619" s="485"/>
      <c r="DQ619" s="485"/>
      <c r="DR619" s="485"/>
      <c r="DS619" s="485"/>
      <c r="DT619" s="485"/>
      <c r="DU619" s="485"/>
      <c r="DV619" s="485"/>
      <c r="DW619" s="485"/>
      <c r="DX619" s="485"/>
      <c r="DY619" s="485"/>
      <c r="DZ619" s="485"/>
      <c r="EA619" s="485"/>
      <c r="EB619" s="485"/>
      <c r="EC619" s="485"/>
      <c r="ED619" s="485"/>
      <c r="EE619" s="485"/>
      <c r="EF619" s="485"/>
      <c r="EG619" s="485"/>
      <c r="EH619" s="485"/>
      <c r="EI619" s="485"/>
      <c r="EJ619" s="485"/>
      <c r="EK619" s="485"/>
      <c r="EL619" s="485"/>
      <c r="EM619" s="485"/>
      <c r="EN619" s="485"/>
      <c r="EO619" s="485"/>
      <c r="EP619" s="485"/>
    </row>
    <row r="620" spans="1:146">
      <c r="A620" s="485"/>
      <c r="B620" s="485"/>
      <c r="C620" s="485"/>
      <c r="D620" s="485"/>
      <c r="E620" s="485"/>
      <c r="F620" s="485"/>
      <c r="G620" s="485"/>
      <c r="H620" s="485"/>
      <c r="I620" s="485"/>
      <c r="J620" s="485"/>
      <c r="K620" s="485"/>
      <c r="L620" s="485"/>
      <c r="M620" s="485"/>
      <c r="P620" s="485"/>
      <c r="Q620" s="485"/>
      <c r="R620" s="485"/>
      <c r="S620" s="485"/>
      <c r="T620" s="485"/>
      <c r="U620" s="485"/>
      <c r="V620" s="485"/>
      <c r="W620" s="485"/>
      <c r="X620" s="485"/>
      <c r="Y620" s="485"/>
      <c r="Z620" s="485"/>
      <c r="AA620" s="485"/>
      <c r="AB620" s="485"/>
      <c r="AC620" s="485"/>
      <c r="AD620" s="485"/>
      <c r="AE620" s="485"/>
      <c r="AF620" s="485"/>
      <c r="AG620" s="485"/>
      <c r="AH620" s="485"/>
      <c r="AI620" s="485"/>
      <c r="AJ620" s="485"/>
      <c r="AK620" s="485"/>
      <c r="AL620" s="485"/>
      <c r="AM620" s="485"/>
      <c r="AN620" s="485"/>
      <c r="AO620" s="485"/>
      <c r="AP620" s="485"/>
      <c r="AQ620" s="485"/>
      <c r="AR620" s="485"/>
      <c r="AS620" s="485"/>
      <c r="AT620" s="485"/>
      <c r="AU620" s="485"/>
      <c r="AV620" s="485"/>
      <c r="AW620" s="485"/>
      <c r="AX620" s="485"/>
      <c r="AY620" s="485"/>
      <c r="AZ620" s="485"/>
      <c r="BA620" s="485"/>
      <c r="BB620" s="485"/>
      <c r="BC620" s="485"/>
      <c r="BD620" s="485"/>
      <c r="BE620" s="485"/>
      <c r="BF620" s="485"/>
      <c r="BG620" s="485"/>
      <c r="BH620" s="485"/>
      <c r="BI620" s="485"/>
      <c r="BJ620" s="485"/>
      <c r="BK620" s="485"/>
      <c r="BL620" s="485"/>
      <c r="BM620" s="485"/>
      <c r="BN620" s="485"/>
      <c r="BO620" s="485"/>
      <c r="BP620" s="485"/>
      <c r="BQ620" s="485"/>
      <c r="BR620" s="485"/>
      <c r="BS620" s="485"/>
      <c r="BT620" s="485"/>
      <c r="BU620" s="485"/>
      <c r="BV620" s="485"/>
      <c r="BW620" s="485"/>
      <c r="BX620" s="485"/>
      <c r="BY620" s="485"/>
      <c r="BZ620" s="485"/>
      <c r="CA620" s="485"/>
      <c r="CB620" s="485"/>
      <c r="CC620" s="485"/>
      <c r="CD620" s="485"/>
      <c r="CE620" s="485"/>
      <c r="CF620" s="485"/>
      <c r="CG620" s="485"/>
      <c r="CH620" s="485"/>
      <c r="CI620" s="485"/>
      <c r="CJ620" s="485"/>
      <c r="CK620" s="485"/>
      <c r="CL620" s="485"/>
      <c r="CM620" s="485"/>
      <c r="CN620" s="485"/>
      <c r="CO620" s="485"/>
      <c r="CP620" s="485"/>
      <c r="CQ620" s="485"/>
      <c r="CR620" s="485"/>
      <c r="CS620" s="485"/>
      <c r="CT620" s="485"/>
      <c r="CU620" s="485"/>
      <c r="CV620" s="485"/>
      <c r="CW620" s="485"/>
      <c r="CX620" s="485"/>
      <c r="CY620" s="485"/>
      <c r="CZ620" s="485"/>
      <c r="DA620" s="485"/>
      <c r="DB620" s="485"/>
      <c r="DC620" s="485"/>
      <c r="DD620" s="485"/>
      <c r="DE620" s="485"/>
      <c r="DF620" s="485"/>
      <c r="DG620" s="485"/>
      <c r="DH620" s="485"/>
      <c r="DI620" s="485"/>
      <c r="DJ620" s="485"/>
      <c r="DK620" s="485"/>
      <c r="DL620" s="485"/>
      <c r="DM620" s="485"/>
      <c r="DN620" s="485"/>
      <c r="DO620" s="485"/>
      <c r="DP620" s="485"/>
      <c r="DQ620" s="485"/>
      <c r="DR620" s="485"/>
      <c r="DS620" s="485"/>
      <c r="DT620" s="485"/>
      <c r="DU620" s="485"/>
      <c r="DV620" s="485"/>
      <c r="DW620" s="485"/>
      <c r="DX620" s="485"/>
      <c r="DY620" s="485"/>
      <c r="DZ620" s="485"/>
      <c r="EA620" s="485"/>
      <c r="EB620" s="485"/>
      <c r="EC620" s="485"/>
      <c r="ED620" s="485"/>
      <c r="EE620" s="485"/>
      <c r="EF620" s="485"/>
      <c r="EG620" s="485"/>
      <c r="EH620" s="485"/>
      <c r="EI620" s="485"/>
      <c r="EJ620" s="485"/>
      <c r="EK620" s="485"/>
      <c r="EL620" s="485"/>
      <c r="EM620" s="485"/>
      <c r="EN620" s="485"/>
      <c r="EO620" s="485"/>
      <c r="EP620" s="485"/>
    </row>
    <row r="621" spans="1:146">
      <c r="A621" s="485"/>
      <c r="B621" s="485"/>
      <c r="C621" s="485"/>
      <c r="D621" s="485"/>
      <c r="E621" s="485"/>
      <c r="F621" s="485"/>
      <c r="G621" s="485"/>
      <c r="H621" s="485"/>
      <c r="I621" s="485"/>
      <c r="J621" s="485"/>
      <c r="K621" s="485"/>
      <c r="L621" s="485"/>
      <c r="M621" s="485"/>
      <c r="P621" s="485"/>
      <c r="Q621" s="485"/>
      <c r="R621" s="485"/>
      <c r="S621" s="485"/>
      <c r="T621" s="485"/>
      <c r="U621" s="485"/>
      <c r="V621" s="485"/>
      <c r="W621" s="485"/>
      <c r="X621" s="485"/>
      <c r="Y621" s="485"/>
      <c r="Z621" s="485"/>
      <c r="AA621" s="485"/>
      <c r="AB621" s="485"/>
      <c r="AC621" s="485"/>
      <c r="AD621" s="485"/>
      <c r="AE621" s="485"/>
      <c r="AF621" s="485"/>
      <c r="AG621" s="485"/>
      <c r="AH621" s="485"/>
      <c r="AI621" s="485"/>
      <c r="AJ621" s="485"/>
      <c r="AK621" s="485"/>
      <c r="AL621" s="485"/>
      <c r="AM621" s="485"/>
      <c r="AN621" s="485"/>
      <c r="AO621" s="485"/>
      <c r="AP621" s="485"/>
      <c r="AQ621" s="485"/>
      <c r="AR621" s="485"/>
      <c r="AS621" s="485"/>
      <c r="AT621" s="485"/>
      <c r="AU621" s="485"/>
      <c r="AV621" s="485"/>
      <c r="AW621" s="485"/>
      <c r="AX621" s="485"/>
      <c r="AY621" s="485"/>
      <c r="AZ621" s="485"/>
      <c r="BA621" s="485"/>
      <c r="BB621" s="485"/>
      <c r="BC621" s="485"/>
      <c r="BD621" s="485"/>
      <c r="BE621" s="485"/>
      <c r="BF621" s="485"/>
      <c r="BG621" s="485"/>
      <c r="BH621" s="485"/>
      <c r="BI621" s="485"/>
      <c r="BJ621" s="485"/>
      <c r="BK621" s="485"/>
      <c r="BL621" s="485"/>
      <c r="BM621" s="485"/>
      <c r="BN621" s="485"/>
      <c r="BO621" s="485"/>
      <c r="BP621" s="485"/>
      <c r="BQ621" s="485"/>
      <c r="BR621" s="485"/>
      <c r="BS621" s="485"/>
      <c r="BT621" s="485"/>
      <c r="BU621" s="485"/>
      <c r="BV621" s="485"/>
      <c r="BW621" s="485"/>
      <c r="BX621" s="485"/>
      <c r="BY621" s="485"/>
      <c r="BZ621" s="485"/>
      <c r="CA621" s="485"/>
      <c r="CB621" s="485"/>
      <c r="CC621" s="485"/>
      <c r="CD621" s="485"/>
      <c r="CE621" s="485"/>
      <c r="CF621" s="485"/>
      <c r="CG621" s="485"/>
      <c r="CH621" s="485"/>
      <c r="CI621" s="485"/>
      <c r="CJ621" s="485"/>
      <c r="CK621" s="485"/>
      <c r="CL621" s="485"/>
      <c r="CM621" s="485"/>
      <c r="CN621" s="485"/>
      <c r="CO621" s="485"/>
      <c r="CP621" s="485"/>
      <c r="CQ621" s="485"/>
      <c r="CR621" s="485"/>
      <c r="CS621" s="485"/>
      <c r="CT621" s="485"/>
      <c r="CU621" s="485"/>
      <c r="CV621" s="485"/>
      <c r="CW621" s="485"/>
      <c r="CX621" s="485"/>
      <c r="CY621" s="485"/>
      <c r="CZ621" s="485"/>
      <c r="DA621" s="485"/>
      <c r="DB621" s="485"/>
      <c r="DC621" s="485"/>
      <c r="DD621" s="485"/>
      <c r="DE621" s="485"/>
      <c r="DF621" s="485"/>
      <c r="DG621" s="485"/>
      <c r="DH621" s="485"/>
      <c r="DI621" s="485"/>
      <c r="DJ621" s="485"/>
      <c r="DK621" s="485"/>
      <c r="DL621" s="485"/>
      <c r="DM621" s="485"/>
      <c r="DN621" s="485"/>
      <c r="DO621" s="485"/>
      <c r="DP621" s="485"/>
      <c r="DQ621" s="485"/>
      <c r="DR621" s="485"/>
      <c r="DS621" s="485"/>
      <c r="DT621" s="485"/>
      <c r="DU621" s="485"/>
      <c r="DV621" s="485"/>
      <c r="DW621" s="485"/>
      <c r="DX621" s="485"/>
      <c r="DY621" s="485"/>
      <c r="DZ621" s="485"/>
      <c r="EA621" s="485"/>
      <c r="EB621" s="485"/>
      <c r="EC621" s="485"/>
      <c r="ED621" s="485"/>
      <c r="EE621" s="485"/>
      <c r="EF621" s="485"/>
      <c r="EG621" s="485"/>
      <c r="EH621" s="485"/>
      <c r="EI621" s="485"/>
      <c r="EJ621" s="485"/>
      <c r="EK621" s="485"/>
      <c r="EL621" s="485"/>
      <c r="EM621" s="485"/>
      <c r="EN621" s="485"/>
      <c r="EO621" s="485"/>
      <c r="EP621" s="485"/>
    </row>
    <row r="622" spans="1:146">
      <c r="A622" s="485"/>
      <c r="B622" s="485"/>
      <c r="C622" s="485"/>
      <c r="D622" s="485"/>
      <c r="E622" s="485"/>
      <c r="F622" s="485"/>
      <c r="G622" s="485"/>
      <c r="H622" s="485"/>
      <c r="I622" s="485"/>
      <c r="J622" s="485"/>
      <c r="K622" s="485"/>
      <c r="L622" s="485"/>
      <c r="M622" s="485"/>
      <c r="P622" s="485"/>
      <c r="Q622" s="485"/>
      <c r="R622" s="485"/>
      <c r="S622" s="485"/>
      <c r="T622" s="485"/>
      <c r="U622" s="485"/>
      <c r="V622" s="485"/>
      <c r="W622" s="485"/>
      <c r="X622" s="485"/>
      <c r="Y622" s="485"/>
      <c r="Z622" s="485"/>
      <c r="AA622" s="485"/>
      <c r="AB622" s="485"/>
      <c r="AC622" s="485"/>
      <c r="AD622" s="485"/>
      <c r="AE622" s="485"/>
      <c r="AF622" s="485"/>
      <c r="AG622" s="485"/>
      <c r="AH622" s="485"/>
      <c r="AI622" s="485"/>
      <c r="AJ622" s="485"/>
      <c r="AK622" s="485"/>
      <c r="AL622" s="485"/>
      <c r="AM622" s="485"/>
      <c r="AN622" s="485"/>
      <c r="AO622" s="485"/>
      <c r="AP622" s="485"/>
      <c r="AQ622" s="485"/>
      <c r="AR622" s="485"/>
      <c r="AS622" s="485"/>
      <c r="AT622" s="485"/>
      <c r="AU622" s="485"/>
      <c r="AV622" s="485"/>
      <c r="AW622" s="485"/>
      <c r="AX622" s="485"/>
      <c r="AY622" s="485"/>
      <c r="AZ622" s="485"/>
      <c r="BA622" s="485"/>
      <c r="BB622" s="485"/>
      <c r="BC622" s="485"/>
      <c r="BD622" s="485"/>
      <c r="BE622" s="485"/>
      <c r="BF622" s="485"/>
      <c r="BG622" s="485"/>
      <c r="BH622" s="485"/>
      <c r="BI622" s="485"/>
      <c r="BJ622" s="485"/>
      <c r="BK622" s="485"/>
      <c r="BL622" s="485"/>
      <c r="BM622" s="485"/>
      <c r="BN622" s="485"/>
      <c r="BO622" s="485"/>
      <c r="BP622" s="485"/>
      <c r="BQ622" s="485"/>
      <c r="BR622" s="485"/>
      <c r="BS622" s="485"/>
      <c r="BT622" s="485"/>
      <c r="BU622" s="485"/>
      <c r="BV622" s="485"/>
      <c r="BW622" s="485"/>
      <c r="BX622" s="485"/>
      <c r="BY622" s="485"/>
      <c r="BZ622" s="485"/>
      <c r="CA622" s="485"/>
      <c r="CB622" s="485"/>
      <c r="CC622" s="485"/>
      <c r="CD622" s="485"/>
      <c r="CE622" s="485"/>
      <c r="CF622" s="485"/>
      <c r="CG622" s="485"/>
      <c r="CH622" s="485"/>
      <c r="CI622" s="485"/>
      <c r="CJ622" s="485"/>
      <c r="CK622" s="485"/>
      <c r="CL622" s="485"/>
      <c r="CM622" s="485"/>
      <c r="CN622" s="485"/>
      <c r="CO622" s="485"/>
      <c r="CP622" s="485"/>
      <c r="CQ622" s="485"/>
      <c r="CR622" s="485"/>
      <c r="CS622" s="485"/>
      <c r="CT622" s="485"/>
      <c r="CU622" s="485"/>
      <c r="CV622" s="485"/>
      <c r="CW622" s="485"/>
      <c r="CX622" s="485"/>
      <c r="CY622" s="485"/>
      <c r="CZ622" s="485"/>
      <c r="DA622" s="485"/>
      <c r="DB622" s="485"/>
      <c r="DC622" s="485"/>
      <c r="DD622" s="485"/>
      <c r="DE622" s="485"/>
      <c r="DF622" s="485"/>
      <c r="DG622" s="485"/>
      <c r="DH622" s="485"/>
      <c r="DI622" s="485"/>
      <c r="DJ622" s="485"/>
      <c r="DK622" s="485"/>
      <c r="DL622" s="485"/>
      <c r="DM622" s="485"/>
      <c r="DN622" s="485"/>
      <c r="DO622" s="485"/>
      <c r="DP622" s="485"/>
      <c r="DQ622" s="485"/>
      <c r="DR622" s="485"/>
      <c r="DS622" s="485"/>
      <c r="DT622" s="485"/>
      <c r="DU622" s="485"/>
      <c r="DV622" s="485"/>
      <c r="DW622" s="485"/>
      <c r="DX622" s="485"/>
      <c r="DY622" s="485"/>
      <c r="DZ622" s="485"/>
      <c r="EA622" s="485"/>
      <c r="EB622" s="485"/>
      <c r="EC622" s="485"/>
      <c r="ED622" s="485"/>
      <c r="EE622" s="485"/>
      <c r="EF622" s="485"/>
      <c r="EG622" s="485"/>
      <c r="EH622" s="485"/>
      <c r="EI622" s="485"/>
      <c r="EJ622" s="485"/>
      <c r="EK622" s="485"/>
      <c r="EL622" s="485"/>
      <c r="EM622" s="485"/>
      <c r="EN622" s="485"/>
      <c r="EO622" s="485"/>
      <c r="EP622" s="485"/>
    </row>
    <row r="623" spans="1:146">
      <c r="A623" s="485"/>
      <c r="B623" s="485"/>
      <c r="C623" s="485"/>
      <c r="D623" s="485"/>
      <c r="E623" s="485"/>
      <c r="F623" s="485"/>
      <c r="G623" s="485"/>
      <c r="H623" s="485"/>
      <c r="I623" s="485"/>
      <c r="J623" s="485"/>
      <c r="K623" s="485"/>
      <c r="L623" s="485"/>
      <c r="M623" s="485"/>
      <c r="P623" s="485"/>
      <c r="Q623" s="485"/>
      <c r="R623" s="485"/>
      <c r="S623" s="485"/>
      <c r="T623" s="485"/>
      <c r="U623" s="485"/>
      <c r="V623" s="485"/>
      <c r="W623" s="485"/>
      <c r="X623" s="485"/>
      <c r="Y623" s="485"/>
      <c r="Z623" s="485"/>
      <c r="AA623" s="485"/>
      <c r="AB623" s="485"/>
      <c r="AC623" s="485"/>
      <c r="AD623" s="485"/>
      <c r="AE623" s="485"/>
      <c r="AF623" s="485"/>
      <c r="AG623" s="485"/>
      <c r="AH623" s="485"/>
      <c r="AI623" s="485"/>
      <c r="AJ623" s="485"/>
      <c r="AK623" s="485"/>
      <c r="AL623" s="485"/>
      <c r="AM623" s="485"/>
      <c r="AN623" s="485"/>
      <c r="AO623" s="485"/>
      <c r="AP623" s="485"/>
      <c r="AQ623" s="485"/>
      <c r="AR623" s="485"/>
      <c r="AS623" s="485"/>
      <c r="AT623" s="485"/>
      <c r="AU623" s="485"/>
      <c r="AV623" s="485"/>
      <c r="AW623" s="485"/>
      <c r="AX623" s="485"/>
      <c r="AY623" s="485"/>
      <c r="AZ623" s="485"/>
      <c r="BA623" s="485"/>
      <c r="BB623" s="485"/>
      <c r="BC623" s="485"/>
      <c r="BD623" s="485"/>
      <c r="BE623" s="485"/>
      <c r="BF623" s="485"/>
      <c r="BG623" s="485"/>
      <c r="BH623" s="485"/>
      <c r="BI623" s="485"/>
      <c r="BJ623" s="485"/>
      <c r="BK623" s="485"/>
      <c r="BL623" s="485"/>
      <c r="BM623" s="485"/>
      <c r="BN623" s="485"/>
      <c r="BO623" s="485"/>
      <c r="BP623" s="485"/>
      <c r="BQ623" s="485"/>
      <c r="BR623" s="485"/>
      <c r="BS623" s="485"/>
      <c r="BT623" s="485"/>
      <c r="BU623" s="485"/>
      <c r="BV623" s="485"/>
      <c r="BW623" s="485"/>
      <c r="BX623" s="485"/>
      <c r="BY623" s="485"/>
      <c r="BZ623" s="485"/>
      <c r="CA623" s="485"/>
      <c r="CB623" s="485"/>
      <c r="CC623" s="485"/>
      <c r="CD623" s="485"/>
      <c r="CE623" s="485"/>
      <c r="CF623" s="485"/>
      <c r="CG623" s="485"/>
      <c r="CH623" s="485"/>
      <c r="CI623" s="485"/>
      <c r="CJ623" s="485"/>
      <c r="CK623" s="485"/>
      <c r="CL623" s="485"/>
      <c r="CM623" s="485"/>
      <c r="CN623" s="485"/>
      <c r="CO623" s="485"/>
      <c r="CP623" s="485"/>
      <c r="CQ623" s="485"/>
      <c r="CR623" s="485"/>
      <c r="CS623" s="485"/>
      <c r="CT623" s="485"/>
      <c r="CU623" s="485"/>
      <c r="CV623" s="485"/>
      <c r="CW623" s="485"/>
      <c r="CX623" s="485"/>
      <c r="CY623" s="485"/>
      <c r="CZ623" s="485"/>
      <c r="DA623" s="485"/>
      <c r="DB623" s="485"/>
      <c r="DC623" s="485"/>
      <c r="DD623" s="485"/>
      <c r="DE623" s="485"/>
      <c r="DF623" s="485"/>
      <c r="DG623" s="485"/>
      <c r="DH623" s="485"/>
      <c r="DI623" s="485"/>
      <c r="DJ623" s="485"/>
      <c r="DK623" s="485"/>
      <c r="DL623" s="485"/>
      <c r="DM623" s="485"/>
      <c r="DN623" s="485"/>
      <c r="DO623" s="485"/>
      <c r="DP623" s="485"/>
      <c r="DQ623" s="485"/>
      <c r="DR623" s="485"/>
      <c r="DS623" s="485"/>
      <c r="DT623" s="485"/>
      <c r="DU623" s="485"/>
      <c r="DV623" s="485"/>
      <c r="DW623" s="485"/>
      <c r="DX623" s="485"/>
      <c r="DY623" s="485"/>
      <c r="DZ623" s="485"/>
      <c r="EA623" s="485"/>
      <c r="EB623" s="485"/>
      <c r="EC623" s="485"/>
      <c r="ED623" s="485"/>
      <c r="EE623" s="485"/>
      <c r="EF623" s="485"/>
      <c r="EG623" s="485"/>
      <c r="EH623" s="485"/>
      <c r="EI623" s="485"/>
      <c r="EJ623" s="485"/>
      <c r="EK623" s="485"/>
      <c r="EL623" s="485"/>
      <c r="EM623" s="485"/>
      <c r="EN623" s="485"/>
      <c r="EO623" s="485"/>
      <c r="EP623" s="485"/>
    </row>
    <row r="624" spans="1:146">
      <c r="A624" s="485"/>
      <c r="B624" s="485"/>
      <c r="C624" s="485"/>
      <c r="D624" s="485"/>
      <c r="E624" s="485"/>
      <c r="F624" s="485"/>
      <c r="G624" s="485"/>
      <c r="H624" s="485"/>
      <c r="I624" s="485"/>
      <c r="J624" s="485"/>
      <c r="K624" s="485"/>
      <c r="L624" s="485"/>
      <c r="M624" s="485"/>
      <c r="P624" s="485"/>
      <c r="Q624" s="485"/>
      <c r="R624" s="485"/>
      <c r="S624" s="485"/>
      <c r="T624" s="485"/>
      <c r="U624" s="485"/>
      <c r="V624" s="485"/>
      <c r="W624" s="485"/>
      <c r="X624" s="485"/>
      <c r="Y624" s="485"/>
      <c r="Z624" s="485"/>
      <c r="AA624" s="485"/>
      <c r="AB624" s="485"/>
      <c r="AC624" s="485"/>
      <c r="AD624" s="485"/>
      <c r="AE624" s="485"/>
      <c r="AF624" s="485"/>
      <c r="AG624" s="485"/>
      <c r="AH624" s="485"/>
      <c r="AI624" s="485"/>
      <c r="AJ624" s="485"/>
      <c r="AK624" s="485"/>
      <c r="AL624" s="485"/>
      <c r="AM624" s="485"/>
      <c r="AN624" s="485"/>
      <c r="AO624" s="485"/>
      <c r="AP624" s="485"/>
      <c r="AQ624" s="485"/>
      <c r="AR624" s="485"/>
      <c r="AS624" s="485"/>
      <c r="AT624" s="485"/>
      <c r="AU624" s="485"/>
      <c r="AV624" s="485"/>
      <c r="AW624" s="485"/>
      <c r="AX624" s="485"/>
      <c r="AY624" s="485"/>
      <c r="AZ624" s="485"/>
      <c r="BA624" s="485"/>
      <c r="BB624" s="485"/>
      <c r="BC624" s="485"/>
      <c r="BD624" s="485"/>
      <c r="BE624" s="485"/>
      <c r="BF624" s="485"/>
      <c r="BG624" s="485"/>
      <c r="BH624" s="485"/>
      <c r="BI624" s="485"/>
      <c r="BJ624" s="485"/>
      <c r="BK624" s="485"/>
      <c r="BL624" s="485"/>
      <c r="BM624" s="485"/>
      <c r="BN624" s="485"/>
      <c r="BO624" s="485"/>
      <c r="BP624" s="485"/>
      <c r="BQ624" s="485"/>
      <c r="BR624" s="485"/>
      <c r="BS624" s="485"/>
      <c r="BT624" s="485"/>
      <c r="BU624" s="485"/>
      <c r="BV624" s="485"/>
      <c r="BW624" s="485"/>
      <c r="BX624" s="485"/>
      <c r="BY624" s="485"/>
      <c r="BZ624" s="485"/>
      <c r="CA624" s="485"/>
      <c r="CB624" s="485"/>
      <c r="CC624" s="485"/>
      <c r="CD624" s="485"/>
      <c r="CE624" s="485"/>
      <c r="CF624" s="485"/>
      <c r="CG624" s="485"/>
      <c r="CH624" s="485"/>
      <c r="CI624" s="485"/>
      <c r="CJ624" s="485"/>
      <c r="CK624" s="485"/>
      <c r="CL624" s="485"/>
      <c r="CM624" s="485"/>
      <c r="CN624" s="485"/>
      <c r="CO624" s="485"/>
      <c r="CP624" s="485"/>
      <c r="CQ624" s="485"/>
      <c r="CR624" s="485"/>
      <c r="CS624" s="485"/>
      <c r="CT624" s="485"/>
      <c r="CU624" s="485"/>
      <c r="CV624" s="485"/>
      <c r="CW624" s="485"/>
      <c r="CX624" s="485"/>
      <c r="CY624" s="485"/>
      <c r="CZ624" s="485"/>
      <c r="DA624" s="485"/>
      <c r="DB624" s="485"/>
      <c r="DC624" s="485"/>
      <c r="DD624" s="485"/>
      <c r="DE624" s="485"/>
      <c r="DF624" s="485"/>
      <c r="DG624" s="485"/>
      <c r="DH624" s="485"/>
      <c r="DI624" s="485"/>
      <c r="DJ624" s="485"/>
      <c r="DK624" s="485"/>
      <c r="DL624" s="485"/>
      <c r="DM624" s="485"/>
      <c r="DN624" s="485"/>
      <c r="DO624" s="485"/>
      <c r="DP624" s="485"/>
      <c r="DQ624" s="485"/>
      <c r="DR624" s="485"/>
      <c r="DS624" s="485"/>
      <c r="DT624" s="485"/>
      <c r="DU624" s="485"/>
      <c r="DV624" s="485"/>
      <c r="DW624" s="485"/>
      <c r="DX624" s="485"/>
      <c r="DY624" s="485"/>
      <c r="DZ624" s="485"/>
      <c r="EA624" s="485"/>
      <c r="EB624" s="485"/>
      <c r="EC624" s="485"/>
      <c r="ED624" s="485"/>
      <c r="EE624" s="485"/>
      <c r="EF624" s="485"/>
      <c r="EG624" s="485"/>
      <c r="EH624" s="485"/>
      <c r="EI624" s="485"/>
      <c r="EJ624" s="485"/>
      <c r="EK624" s="485"/>
      <c r="EL624" s="485"/>
      <c r="EM624" s="485"/>
      <c r="EN624" s="485"/>
      <c r="EO624" s="485"/>
      <c r="EP624" s="485"/>
    </row>
    <row r="625" spans="1:146">
      <c r="A625" s="485"/>
      <c r="B625" s="485"/>
      <c r="C625" s="485"/>
      <c r="D625" s="485"/>
      <c r="E625" s="485"/>
      <c r="F625" s="485"/>
      <c r="G625" s="485"/>
      <c r="H625" s="485"/>
      <c r="I625" s="485"/>
      <c r="J625" s="485"/>
      <c r="K625" s="485"/>
      <c r="L625" s="485"/>
      <c r="M625" s="485"/>
      <c r="P625" s="485"/>
      <c r="Q625" s="485"/>
      <c r="R625" s="485"/>
      <c r="S625" s="485"/>
      <c r="T625" s="485"/>
      <c r="U625" s="485"/>
      <c r="V625" s="485"/>
      <c r="W625" s="485"/>
      <c r="X625" s="485"/>
      <c r="Y625" s="485"/>
      <c r="Z625" s="485"/>
      <c r="AA625" s="485"/>
      <c r="AB625" s="485"/>
      <c r="AC625" s="485"/>
      <c r="AD625" s="485"/>
      <c r="AE625" s="485"/>
      <c r="AF625" s="485"/>
      <c r="AG625" s="485"/>
      <c r="AH625" s="485"/>
      <c r="AI625" s="485"/>
      <c r="AJ625" s="485"/>
      <c r="AK625" s="485"/>
      <c r="AL625" s="485"/>
      <c r="AM625" s="485"/>
      <c r="AN625" s="485"/>
      <c r="AO625" s="485"/>
      <c r="AP625" s="485"/>
      <c r="AQ625" s="485"/>
      <c r="AR625" s="485"/>
      <c r="AS625" s="485"/>
      <c r="AT625" s="485"/>
      <c r="AU625" s="485"/>
      <c r="AV625" s="485"/>
      <c r="AW625" s="485"/>
      <c r="AX625" s="485"/>
      <c r="AY625" s="485"/>
      <c r="AZ625" s="485"/>
      <c r="BA625" s="485"/>
      <c r="BB625" s="485"/>
      <c r="BC625" s="485"/>
      <c r="BD625" s="485"/>
      <c r="BE625" s="485"/>
      <c r="BF625" s="485"/>
      <c r="BG625" s="485"/>
      <c r="BH625" s="485"/>
      <c r="BI625" s="485"/>
      <c r="BJ625" s="485"/>
      <c r="BK625" s="485"/>
      <c r="BL625" s="485"/>
      <c r="BM625" s="485"/>
      <c r="BN625" s="485"/>
      <c r="BO625" s="485"/>
      <c r="BP625" s="485"/>
      <c r="BQ625" s="485"/>
      <c r="BR625" s="485"/>
      <c r="BS625" s="485"/>
      <c r="BT625" s="485"/>
      <c r="BU625" s="485"/>
      <c r="BV625" s="485"/>
      <c r="BW625" s="485"/>
      <c r="BX625" s="485"/>
      <c r="BY625" s="485"/>
      <c r="BZ625" s="485"/>
      <c r="CA625" s="485"/>
      <c r="CB625" s="485"/>
      <c r="CC625" s="485"/>
      <c r="CD625" s="485"/>
      <c r="CE625" s="485"/>
      <c r="CF625" s="485"/>
      <c r="CG625" s="485"/>
      <c r="CH625" s="485"/>
      <c r="CI625" s="485"/>
      <c r="CJ625" s="485"/>
      <c r="CK625" s="485"/>
      <c r="CL625" s="485"/>
      <c r="CM625" s="485"/>
      <c r="CN625" s="485"/>
      <c r="CO625" s="485"/>
      <c r="CP625" s="485"/>
      <c r="CQ625" s="485"/>
      <c r="CR625" s="485"/>
      <c r="CS625" s="485"/>
      <c r="CT625" s="485"/>
      <c r="CU625" s="485"/>
      <c r="CV625" s="485"/>
      <c r="CW625" s="485"/>
      <c r="CX625" s="485"/>
      <c r="CY625" s="485"/>
      <c r="CZ625" s="485"/>
      <c r="DA625" s="485"/>
      <c r="DB625" s="485"/>
      <c r="DC625" s="485"/>
      <c r="DD625" s="485"/>
      <c r="DE625" s="485"/>
      <c r="DF625" s="485"/>
      <c r="DG625" s="485"/>
      <c r="DH625" s="485"/>
      <c r="DI625" s="485"/>
      <c r="DJ625" s="485"/>
      <c r="DK625" s="485"/>
      <c r="DL625" s="485"/>
      <c r="DM625" s="485"/>
      <c r="DN625" s="485"/>
      <c r="DO625" s="485"/>
      <c r="DP625" s="485"/>
      <c r="DQ625" s="485"/>
      <c r="DR625" s="485"/>
      <c r="DS625" s="485"/>
      <c r="DT625" s="485"/>
      <c r="DU625" s="485"/>
      <c r="DV625" s="485"/>
      <c r="DW625" s="485"/>
      <c r="DX625" s="485"/>
      <c r="DY625" s="485"/>
      <c r="DZ625" s="485"/>
      <c r="EA625" s="485"/>
      <c r="EB625" s="485"/>
      <c r="EC625" s="485"/>
      <c r="ED625" s="485"/>
      <c r="EE625" s="485"/>
      <c r="EF625" s="485"/>
      <c r="EG625" s="485"/>
      <c r="EH625" s="485"/>
      <c r="EI625" s="485"/>
      <c r="EJ625" s="485"/>
      <c r="EK625" s="485"/>
      <c r="EL625" s="485"/>
      <c r="EM625" s="485"/>
      <c r="EN625" s="485"/>
      <c r="EO625" s="485"/>
      <c r="EP625" s="485"/>
    </row>
    <row r="626" spans="1:146">
      <c r="A626" s="485"/>
      <c r="B626" s="485"/>
      <c r="C626" s="485"/>
      <c r="D626" s="485"/>
      <c r="E626" s="485"/>
      <c r="F626" s="485"/>
      <c r="G626" s="485"/>
      <c r="H626" s="485"/>
      <c r="I626" s="485"/>
      <c r="J626" s="485"/>
      <c r="K626" s="485"/>
      <c r="L626" s="485"/>
      <c r="M626" s="485"/>
      <c r="P626" s="485"/>
      <c r="Q626" s="485"/>
      <c r="R626" s="485"/>
      <c r="S626" s="485"/>
      <c r="T626" s="485"/>
      <c r="U626" s="485"/>
      <c r="V626" s="485"/>
      <c r="W626" s="485"/>
      <c r="X626" s="485"/>
      <c r="Y626" s="485"/>
      <c r="Z626" s="485"/>
      <c r="AA626" s="485"/>
      <c r="AB626" s="485"/>
      <c r="AC626" s="485"/>
      <c r="AD626" s="485"/>
      <c r="AE626" s="485"/>
      <c r="AF626" s="485"/>
      <c r="AG626" s="485"/>
      <c r="AH626" s="485"/>
      <c r="AI626" s="485"/>
      <c r="AJ626" s="485"/>
      <c r="AK626" s="485"/>
      <c r="AL626" s="485"/>
      <c r="AM626" s="485"/>
      <c r="AN626" s="485"/>
      <c r="AO626" s="485"/>
      <c r="AP626" s="485"/>
      <c r="AQ626" s="485"/>
      <c r="AR626" s="485"/>
      <c r="AS626" s="485"/>
      <c r="AT626" s="485"/>
      <c r="AU626" s="485"/>
      <c r="AV626" s="485"/>
      <c r="AW626" s="485"/>
      <c r="AX626" s="485"/>
      <c r="AY626" s="485"/>
      <c r="AZ626" s="485"/>
      <c r="BA626" s="485"/>
      <c r="BB626" s="485"/>
      <c r="BC626" s="485"/>
      <c r="BD626" s="485"/>
      <c r="BE626" s="485"/>
      <c r="BF626" s="485"/>
      <c r="BG626" s="485"/>
      <c r="BH626" s="485"/>
      <c r="BI626" s="485"/>
      <c r="BJ626" s="485"/>
      <c r="BK626" s="485"/>
      <c r="BL626" s="485"/>
      <c r="BM626" s="485"/>
      <c r="BN626" s="485"/>
      <c r="BO626" s="485"/>
      <c r="BP626" s="485"/>
      <c r="BQ626" s="485"/>
      <c r="BR626" s="485"/>
      <c r="BS626" s="485"/>
      <c r="BT626" s="485"/>
      <c r="BU626" s="485"/>
      <c r="BV626" s="485"/>
      <c r="BW626" s="485"/>
      <c r="BX626" s="485"/>
      <c r="BY626" s="485"/>
      <c r="BZ626" s="485"/>
      <c r="CA626" s="485"/>
      <c r="CB626" s="485"/>
      <c r="CC626" s="485"/>
      <c r="CD626" s="485"/>
      <c r="CE626" s="485"/>
      <c r="CF626" s="485"/>
      <c r="CG626" s="485"/>
      <c r="CH626" s="485"/>
      <c r="CI626" s="485"/>
      <c r="CJ626" s="485"/>
      <c r="CK626" s="485"/>
      <c r="CL626" s="485"/>
      <c r="CM626" s="485"/>
      <c r="CN626" s="485"/>
      <c r="CO626" s="485"/>
      <c r="CP626" s="485"/>
      <c r="CQ626" s="485"/>
      <c r="CR626" s="485"/>
      <c r="CS626" s="485"/>
      <c r="CT626" s="485"/>
      <c r="CU626" s="485"/>
      <c r="CV626" s="485"/>
      <c r="CW626" s="485"/>
      <c r="CX626" s="485"/>
      <c r="CY626" s="485"/>
      <c r="CZ626" s="485"/>
      <c r="DA626" s="485"/>
      <c r="DB626" s="485"/>
      <c r="DC626" s="485"/>
      <c r="DD626" s="485"/>
      <c r="DE626" s="485"/>
      <c r="DF626" s="485"/>
      <c r="DG626" s="485"/>
      <c r="DH626" s="485"/>
      <c r="DI626" s="485"/>
      <c r="DJ626" s="485"/>
      <c r="DK626" s="485"/>
      <c r="DL626" s="485"/>
      <c r="DM626" s="485"/>
      <c r="DN626" s="485"/>
      <c r="DO626" s="485"/>
      <c r="DP626" s="485"/>
      <c r="DQ626" s="485"/>
      <c r="DR626" s="485"/>
      <c r="DS626" s="485"/>
      <c r="DT626" s="485"/>
      <c r="DU626" s="485"/>
      <c r="DV626" s="485"/>
      <c r="DW626" s="485"/>
      <c r="DX626" s="485"/>
      <c r="DY626" s="485"/>
      <c r="DZ626" s="485"/>
      <c r="EA626" s="485"/>
      <c r="EB626" s="485"/>
      <c r="EC626" s="485"/>
      <c r="ED626" s="485"/>
      <c r="EE626" s="485"/>
      <c r="EF626" s="485"/>
      <c r="EG626" s="485"/>
      <c r="EH626" s="485"/>
      <c r="EI626" s="485"/>
      <c r="EJ626" s="485"/>
      <c r="EK626" s="485"/>
      <c r="EL626" s="485"/>
      <c r="EM626" s="485"/>
      <c r="EN626" s="485"/>
      <c r="EO626" s="485"/>
      <c r="EP626" s="485"/>
    </row>
    <row r="627" spans="1:146">
      <c r="A627" s="485"/>
      <c r="B627" s="485"/>
      <c r="C627" s="485"/>
      <c r="D627" s="485"/>
      <c r="E627" s="485"/>
      <c r="F627" s="485"/>
      <c r="G627" s="485"/>
      <c r="H627" s="485"/>
      <c r="I627" s="485"/>
      <c r="J627" s="485"/>
      <c r="K627" s="485"/>
      <c r="L627" s="485"/>
      <c r="M627" s="485"/>
      <c r="P627" s="485"/>
      <c r="Q627" s="485"/>
      <c r="R627" s="485"/>
      <c r="S627" s="485"/>
      <c r="T627" s="485"/>
      <c r="U627" s="485"/>
      <c r="V627" s="485"/>
      <c r="W627" s="485"/>
      <c r="X627" s="485"/>
      <c r="Y627" s="485"/>
      <c r="Z627" s="485"/>
      <c r="AA627" s="485"/>
      <c r="AB627" s="485"/>
      <c r="AC627" s="485"/>
      <c r="AD627" s="485"/>
      <c r="AE627" s="485"/>
      <c r="AF627" s="485"/>
      <c r="AG627" s="485"/>
      <c r="AH627" s="485"/>
      <c r="AI627" s="485"/>
      <c r="AJ627" s="485"/>
      <c r="AK627" s="485"/>
      <c r="AL627" s="485"/>
      <c r="AM627" s="485"/>
      <c r="AN627" s="485"/>
      <c r="AO627" s="485"/>
      <c r="AP627" s="485"/>
      <c r="AQ627" s="485"/>
      <c r="AR627" s="485"/>
      <c r="AS627" s="485"/>
      <c r="AT627" s="485"/>
      <c r="AU627" s="485"/>
      <c r="AV627" s="485"/>
      <c r="AW627" s="485"/>
      <c r="AX627" s="485"/>
      <c r="AY627" s="485"/>
      <c r="AZ627" s="485"/>
      <c r="BA627" s="485"/>
      <c r="BB627" s="485"/>
      <c r="BC627" s="485"/>
      <c r="BD627" s="485"/>
      <c r="BE627" s="485"/>
      <c r="BF627" s="485"/>
      <c r="BG627" s="485"/>
      <c r="BH627" s="485"/>
      <c r="BI627" s="485"/>
      <c r="BJ627" s="485"/>
      <c r="BK627" s="485"/>
      <c r="BL627" s="485"/>
      <c r="BM627" s="485"/>
      <c r="BN627" s="485"/>
      <c r="BO627" s="485"/>
      <c r="BP627" s="485"/>
      <c r="BQ627" s="485"/>
      <c r="BR627" s="485"/>
      <c r="BS627" s="485"/>
      <c r="BT627" s="485"/>
      <c r="BU627" s="485"/>
      <c r="BV627" s="485"/>
      <c r="BW627" s="485"/>
      <c r="BX627" s="485"/>
      <c r="BY627" s="485"/>
      <c r="BZ627" s="485"/>
      <c r="CA627" s="485"/>
      <c r="CB627" s="485"/>
      <c r="CC627" s="485"/>
      <c r="CD627" s="485"/>
      <c r="CE627" s="485"/>
      <c r="CF627" s="485"/>
      <c r="CG627" s="485"/>
      <c r="CH627" s="485"/>
      <c r="CI627" s="485"/>
      <c r="CJ627" s="485"/>
      <c r="CK627" s="485"/>
      <c r="CL627" s="485"/>
      <c r="CM627" s="485"/>
      <c r="CN627" s="485"/>
      <c r="CO627" s="485"/>
      <c r="CP627" s="485"/>
      <c r="CQ627" s="485"/>
      <c r="CR627" s="485"/>
      <c r="CS627" s="485"/>
      <c r="CT627" s="485"/>
      <c r="CU627" s="485"/>
      <c r="CV627" s="485"/>
      <c r="CW627" s="485"/>
      <c r="CX627" s="485"/>
      <c r="CY627" s="485"/>
      <c r="CZ627" s="485"/>
      <c r="DA627" s="485"/>
      <c r="DB627" s="485"/>
      <c r="DC627" s="485"/>
      <c r="DD627" s="485"/>
      <c r="DE627" s="485"/>
      <c r="DF627" s="485"/>
      <c r="DG627" s="485"/>
      <c r="DH627" s="485"/>
      <c r="DI627" s="485"/>
      <c r="DJ627" s="485"/>
      <c r="DK627" s="485"/>
      <c r="DL627" s="485"/>
      <c r="DM627" s="485"/>
      <c r="DN627" s="485"/>
      <c r="DO627" s="485"/>
      <c r="DP627" s="485"/>
      <c r="DQ627" s="485"/>
      <c r="DR627" s="485"/>
      <c r="DS627" s="485"/>
      <c r="DT627" s="485"/>
      <c r="DU627" s="485"/>
      <c r="DV627" s="485"/>
      <c r="DW627" s="485"/>
      <c r="DX627" s="485"/>
      <c r="DY627" s="485"/>
      <c r="DZ627" s="485"/>
      <c r="EA627" s="485"/>
      <c r="EB627" s="485"/>
      <c r="EC627" s="485"/>
      <c r="ED627" s="485"/>
      <c r="EE627" s="485"/>
      <c r="EF627" s="485"/>
      <c r="EG627" s="485"/>
      <c r="EH627" s="485"/>
      <c r="EI627" s="485"/>
      <c r="EJ627" s="485"/>
      <c r="EK627" s="485"/>
      <c r="EL627" s="485"/>
      <c r="EM627" s="485"/>
      <c r="EN627" s="485"/>
      <c r="EO627" s="485"/>
      <c r="EP627" s="485"/>
    </row>
    <row r="628" spans="1:146">
      <c r="A628" s="485"/>
      <c r="B628" s="485"/>
      <c r="C628" s="485"/>
      <c r="D628" s="485"/>
      <c r="E628" s="485"/>
      <c r="F628" s="485"/>
      <c r="G628" s="485"/>
      <c r="H628" s="485"/>
      <c r="I628" s="485"/>
      <c r="J628" s="485"/>
      <c r="K628" s="485"/>
      <c r="L628" s="485"/>
      <c r="M628" s="485"/>
      <c r="P628" s="485"/>
      <c r="Q628" s="485"/>
      <c r="R628" s="485"/>
      <c r="S628" s="485"/>
      <c r="T628" s="485"/>
      <c r="U628" s="485"/>
      <c r="V628" s="485"/>
      <c r="W628" s="485"/>
      <c r="X628" s="485"/>
      <c r="Y628" s="485"/>
      <c r="Z628" s="485"/>
      <c r="AA628" s="485"/>
      <c r="AB628" s="485"/>
      <c r="AC628" s="485"/>
      <c r="AD628" s="485"/>
      <c r="AE628" s="485"/>
      <c r="AF628" s="485"/>
      <c r="AG628" s="485"/>
      <c r="AH628" s="485"/>
      <c r="AI628" s="485"/>
      <c r="AJ628" s="485"/>
      <c r="AK628" s="485"/>
      <c r="AL628" s="485"/>
      <c r="AM628" s="485"/>
      <c r="AN628" s="485"/>
      <c r="AO628" s="485"/>
      <c r="AP628" s="485"/>
      <c r="AQ628" s="485"/>
      <c r="AR628" s="485"/>
      <c r="AS628" s="485"/>
      <c r="AT628" s="485"/>
      <c r="AU628" s="485"/>
      <c r="AV628" s="485"/>
      <c r="AW628" s="485"/>
      <c r="AX628" s="485"/>
      <c r="AY628" s="485"/>
      <c r="AZ628" s="485"/>
      <c r="BA628" s="485"/>
      <c r="BB628" s="485"/>
      <c r="BC628" s="485"/>
      <c r="BD628" s="485"/>
      <c r="BE628" s="485"/>
      <c r="BF628" s="485"/>
      <c r="BG628" s="485"/>
      <c r="BH628" s="485"/>
      <c r="BI628" s="485"/>
      <c r="BJ628" s="485"/>
      <c r="BK628" s="485"/>
      <c r="BL628" s="485"/>
      <c r="BM628" s="485"/>
      <c r="BN628" s="485"/>
      <c r="BO628" s="485"/>
      <c r="BP628" s="485"/>
      <c r="BQ628" s="485"/>
      <c r="BR628" s="485"/>
      <c r="BS628" s="485"/>
      <c r="BT628" s="485"/>
      <c r="BU628" s="485"/>
      <c r="BV628" s="485"/>
      <c r="BW628" s="485"/>
      <c r="BX628" s="485"/>
      <c r="BY628" s="485"/>
      <c r="BZ628" s="485"/>
      <c r="CA628" s="485"/>
      <c r="CB628" s="485"/>
      <c r="CC628" s="485"/>
      <c r="CD628" s="485"/>
      <c r="CE628" s="485"/>
      <c r="CF628" s="485"/>
      <c r="CG628" s="485"/>
      <c r="CH628" s="485"/>
      <c r="CI628" s="485"/>
      <c r="CJ628" s="485"/>
      <c r="CK628" s="485"/>
      <c r="CL628" s="485"/>
      <c r="CM628" s="485"/>
      <c r="CN628" s="485"/>
      <c r="CO628" s="485"/>
      <c r="CP628" s="485"/>
      <c r="CQ628" s="485"/>
      <c r="CR628" s="485"/>
      <c r="CS628" s="485"/>
      <c r="CT628" s="485"/>
      <c r="CU628" s="485"/>
      <c r="CV628" s="485"/>
      <c r="CW628" s="485"/>
      <c r="CX628" s="485"/>
      <c r="CY628" s="485"/>
      <c r="CZ628" s="485"/>
      <c r="DA628" s="485"/>
      <c r="DB628" s="485"/>
      <c r="DC628" s="485"/>
      <c r="DD628" s="485"/>
      <c r="DE628" s="485"/>
      <c r="DF628" s="485"/>
      <c r="DG628" s="485"/>
      <c r="DH628" s="485"/>
      <c r="DI628" s="485"/>
      <c r="DJ628" s="485"/>
      <c r="DK628" s="485"/>
      <c r="DL628" s="485"/>
      <c r="DM628" s="485"/>
      <c r="DN628" s="485"/>
      <c r="DO628" s="485"/>
      <c r="DP628" s="485"/>
      <c r="DQ628" s="485"/>
      <c r="DR628" s="485"/>
      <c r="DS628" s="485"/>
      <c r="DT628" s="485"/>
      <c r="DU628" s="485"/>
      <c r="DV628" s="485"/>
      <c r="DW628" s="485"/>
      <c r="DX628" s="485"/>
      <c r="DY628" s="485"/>
      <c r="DZ628" s="485"/>
      <c r="EA628" s="485"/>
      <c r="EB628" s="485"/>
      <c r="EC628" s="485"/>
      <c r="ED628" s="485"/>
      <c r="EE628" s="485"/>
      <c r="EF628" s="485"/>
      <c r="EG628" s="485"/>
      <c r="EH628" s="485"/>
      <c r="EI628" s="485"/>
      <c r="EJ628" s="485"/>
      <c r="EK628" s="485"/>
      <c r="EL628" s="485"/>
      <c r="EM628" s="485"/>
      <c r="EN628" s="485"/>
      <c r="EO628" s="485"/>
      <c r="EP628" s="485"/>
    </row>
    <row r="629" spans="1:146">
      <c r="A629" s="485"/>
      <c r="B629" s="485"/>
      <c r="C629" s="485"/>
      <c r="D629" s="485"/>
      <c r="E629" s="485"/>
      <c r="F629" s="485"/>
      <c r="G629" s="485"/>
      <c r="H629" s="485"/>
      <c r="I629" s="485"/>
      <c r="J629" s="485"/>
      <c r="K629" s="485"/>
      <c r="L629" s="485"/>
      <c r="M629" s="485"/>
      <c r="P629" s="485"/>
      <c r="Q629" s="485"/>
      <c r="R629" s="485"/>
      <c r="S629" s="485"/>
      <c r="T629" s="485"/>
      <c r="U629" s="485"/>
      <c r="V629" s="485"/>
      <c r="W629" s="485"/>
      <c r="X629" s="485"/>
      <c r="Y629" s="485"/>
      <c r="Z629" s="485"/>
      <c r="AA629" s="485"/>
      <c r="AB629" s="485"/>
      <c r="AC629" s="485"/>
      <c r="AD629" s="485"/>
      <c r="AE629" s="485"/>
      <c r="AF629" s="485"/>
      <c r="AG629" s="485"/>
      <c r="AH629" s="485"/>
      <c r="AI629" s="485"/>
      <c r="AJ629" s="485"/>
      <c r="AK629" s="485"/>
      <c r="AL629" s="485"/>
      <c r="AM629" s="485"/>
      <c r="AN629" s="485"/>
      <c r="AO629" s="485"/>
      <c r="AP629" s="485"/>
      <c r="AQ629" s="485"/>
      <c r="AR629" s="485"/>
      <c r="AS629" s="485"/>
      <c r="AT629" s="485"/>
      <c r="AU629" s="485"/>
      <c r="AV629" s="485"/>
      <c r="AW629" s="485"/>
      <c r="AX629" s="485"/>
      <c r="AY629" s="485"/>
      <c r="AZ629" s="485"/>
      <c r="BA629" s="485"/>
      <c r="BB629" s="485"/>
      <c r="BC629" s="485"/>
      <c r="BD629" s="485"/>
      <c r="BE629" s="485"/>
      <c r="BF629" s="485"/>
      <c r="BG629" s="485"/>
      <c r="BH629" s="485"/>
      <c r="BI629" s="485"/>
      <c r="BJ629" s="485"/>
      <c r="BK629" s="485"/>
      <c r="BL629" s="485"/>
      <c r="BM629" s="485"/>
      <c r="BN629" s="485"/>
      <c r="BO629" s="485"/>
      <c r="BP629" s="485"/>
      <c r="BQ629" s="485"/>
      <c r="BR629" s="485"/>
      <c r="BS629" s="485"/>
      <c r="BT629" s="485"/>
      <c r="BU629" s="485"/>
      <c r="BV629" s="485"/>
      <c r="BW629" s="485"/>
      <c r="BX629" s="485"/>
      <c r="BY629" s="485"/>
      <c r="BZ629" s="485"/>
      <c r="CA629" s="485"/>
      <c r="CB629" s="485"/>
      <c r="CC629" s="485"/>
      <c r="CD629" s="485"/>
      <c r="CE629" s="485"/>
      <c r="CF629" s="485"/>
      <c r="CG629" s="485"/>
      <c r="CH629" s="485"/>
      <c r="CI629" s="485"/>
      <c r="CJ629" s="485"/>
      <c r="CK629" s="485"/>
      <c r="CL629" s="485"/>
      <c r="CM629" s="485"/>
      <c r="CN629" s="485"/>
      <c r="CO629" s="485"/>
      <c r="CP629" s="485"/>
      <c r="CQ629" s="485"/>
      <c r="CR629" s="485"/>
      <c r="CS629" s="485"/>
      <c r="CT629" s="485"/>
      <c r="CU629" s="485"/>
      <c r="CV629" s="485"/>
      <c r="CW629" s="485"/>
      <c r="CX629" s="485"/>
      <c r="CY629" s="485"/>
      <c r="CZ629" s="485"/>
      <c r="DA629" s="485"/>
      <c r="DB629" s="485"/>
      <c r="DC629" s="485"/>
      <c r="DD629" s="485"/>
      <c r="DE629" s="485"/>
      <c r="DF629" s="485"/>
      <c r="DG629" s="485"/>
      <c r="DH629" s="485"/>
      <c r="DI629" s="485"/>
      <c r="DJ629" s="485"/>
      <c r="DK629" s="485"/>
      <c r="DL629" s="485"/>
      <c r="DM629" s="485"/>
      <c r="DN629" s="485"/>
      <c r="DO629" s="485"/>
      <c r="DP629" s="485"/>
      <c r="DQ629" s="485"/>
      <c r="DR629" s="485"/>
      <c r="DS629" s="485"/>
      <c r="DT629" s="485"/>
      <c r="DU629" s="485"/>
      <c r="DV629" s="485"/>
      <c r="DW629" s="485"/>
      <c r="DX629" s="485"/>
      <c r="DY629" s="485"/>
      <c r="DZ629" s="485"/>
      <c r="EA629" s="485"/>
      <c r="EB629" s="485"/>
      <c r="EC629" s="485"/>
      <c r="ED629" s="485"/>
      <c r="EE629" s="485"/>
      <c r="EF629" s="485"/>
      <c r="EG629" s="485"/>
      <c r="EH629" s="485"/>
      <c r="EI629" s="485"/>
      <c r="EJ629" s="485"/>
      <c r="EK629" s="485"/>
      <c r="EL629" s="485"/>
      <c r="EM629" s="485"/>
      <c r="EN629" s="485"/>
      <c r="EO629" s="485"/>
      <c r="EP629" s="485"/>
    </row>
    <row r="630" spans="1:146">
      <c r="A630" s="485"/>
      <c r="B630" s="485"/>
      <c r="C630" s="485"/>
      <c r="D630" s="485"/>
      <c r="E630" s="485"/>
      <c r="F630" s="485"/>
      <c r="G630" s="485"/>
      <c r="H630" s="485"/>
      <c r="I630" s="485"/>
      <c r="J630" s="485"/>
      <c r="K630" s="485"/>
      <c r="L630" s="485"/>
      <c r="M630" s="485"/>
      <c r="P630" s="485"/>
      <c r="Q630" s="485"/>
      <c r="R630" s="485"/>
      <c r="S630" s="485"/>
      <c r="T630" s="485"/>
      <c r="U630" s="485"/>
      <c r="V630" s="485"/>
      <c r="W630" s="485"/>
      <c r="X630" s="485"/>
      <c r="Y630" s="485"/>
      <c r="Z630" s="485"/>
      <c r="AA630" s="485"/>
      <c r="AB630" s="485"/>
      <c r="AC630" s="485"/>
      <c r="AD630" s="485"/>
      <c r="AE630" s="485"/>
      <c r="AF630" s="485"/>
      <c r="AG630" s="485"/>
      <c r="AH630" s="485"/>
      <c r="AI630" s="485"/>
      <c r="AJ630" s="485"/>
      <c r="AK630" s="485"/>
      <c r="AL630" s="485"/>
      <c r="AM630" s="485"/>
      <c r="AN630" s="485"/>
      <c r="AO630" s="485"/>
      <c r="AP630" s="485"/>
      <c r="AQ630" s="485"/>
      <c r="AR630" s="485"/>
      <c r="AS630" s="485"/>
      <c r="AT630" s="485"/>
      <c r="AU630" s="485"/>
      <c r="AV630" s="485"/>
      <c r="AW630" s="485"/>
      <c r="AX630" s="485"/>
      <c r="AY630" s="485"/>
      <c r="AZ630" s="485"/>
      <c r="BA630" s="485"/>
      <c r="BB630" s="485"/>
      <c r="BC630" s="485"/>
      <c r="BD630" s="485"/>
      <c r="BE630" s="485"/>
      <c r="BF630" s="485"/>
      <c r="BG630" s="485"/>
      <c r="BH630" s="485"/>
      <c r="BI630" s="485"/>
      <c r="BJ630" s="485"/>
      <c r="BK630" s="485"/>
      <c r="BL630" s="485"/>
      <c r="BM630" s="485"/>
      <c r="BN630" s="485"/>
      <c r="BO630" s="485"/>
      <c r="BP630" s="485"/>
      <c r="BQ630" s="485"/>
      <c r="BR630" s="485"/>
      <c r="BS630" s="485"/>
      <c r="BT630" s="485"/>
      <c r="BU630" s="485"/>
      <c r="BV630" s="485"/>
      <c r="BW630" s="485"/>
      <c r="BX630" s="485"/>
      <c r="BY630" s="485"/>
      <c r="BZ630" s="485"/>
      <c r="CA630" s="485"/>
      <c r="CB630" s="485"/>
      <c r="CC630" s="485"/>
      <c r="CD630" s="485"/>
      <c r="CE630" s="485"/>
      <c r="CF630" s="485"/>
      <c r="CG630" s="485"/>
      <c r="CH630" s="485"/>
      <c r="CI630" s="485"/>
      <c r="CJ630" s="485"/>
      <c r="CK630" s="485"/>
      <c r="CL630" s="485"/>
      <c r="CM630" s="485"/>
      <c r="CN630" s="485"/>
      <c r="CO630" s="485"/>
      <c r="CP630" s="485"/>
      <c r="CQ630" s="485"/>
      <c r="CR630" s="485"/>
      <c r="CS630" s="485"/>
      <c r="CT630" s="485"/>
      <c r="CU630" s="485"/>
      <c r="CV630" s="485"/>
      <c r="CW630" s="485"/>
      <c r="CX630" s="485"/>
      <c r="CY630" s="485"/>
      <c r="CZ630" s="485"/>
      <c r="DA630" s="485"/>
      <c r="DB630" s="485"/>
      <c r="DC630" s="485"/>
      <c r="DD630" s="485"/>
      <c r="DE630" s="485"/>
      <c r="DF630" s="485"/>
      <c r="DG630" s="485"/>
      <c r="DH630" s="485"/>
      <c r="DI630" s="485"/>
      <c r="DJ630" s="485"/>
      <c r="DK630" s="485"/>
      <c r="DL630" s="485"/>
      <c r="DM630" s="485"/>
      <c r="DN630" s="485"/>
      <c r="DO630" s="485"/>
      <c r="DP630" s="485"/>
      <c r="DQ630" s="485"/>
      <c r="DR630" s="485"/>
      <c r="DS630" s="485"/>
      <c r="DT630" s="485"/>
      <c r="DU630" s="485"/>
      <c r="DV630" s="485"/>
      <c r="DW630" s="485"/>
      <c r="DX630" s="485"/>
      <c r="DY630" s="485"/>
      <c r="DZ630" s="485"/>
      <c r="EA630" s="485"/>
      <c r="EB630" s="485"/>
      <c r="EC630" s="485"/>
      <c r="ED630" s="485"/>
      <c r="EE630" s="485"/>
      <c r="EF630" s="485"/>
      <c r="EG630" s="485"/>
      <c r="EH630" s="485"/>
      <c r="EI630" s="485"/>
      <c r="EJ630" s="485"/>
      <c r="EK630" s="485"/>
      <c r="EL630" s="485"/>
      <c r="EM630" s="485"/>
      <c r="EN630" s="485"/>
      <c r="EO630" s="485"/>
      <c r="EP630" s="485"/>
    </row>
    <row r="631" spans="1:146">
      <c r="A631" s="485"/>
      <c r="B631" s="485"/>
      <c r="C631" s="485"/>
      <c r="D631" s="485"/>
      <c r="E631" s="485"/>
      <c r="F631" s="485"/>
      <c r="G631" s="485"/>
      <c r="H631" s="485"/>
      <c r="I631" s="485"/>
      <c r="J631" s="485"/>
      <c r="K631" s="485"/>
      <c r="L631" s="485"/>
      <c r="M631" s="485"/>
      <c r="P631" s="485"/>
      <c r="Q631" s="485"/>
      <c r="R631" s="485"/>
      <c r="S631" s="485"/>
      <c r="T631" s="485"/>
      <c r="U631" s="485"/>
      <c r="V631" s="485"/>
      <c r="W631" s="485"/>
      <c r="X631" s="485"/>
      <c r="Y631" s="485"/>
      <c r="Z631" s="485"/>
      <c r="AA631" s="485"/>
      <c r="AB631" s="485"/>
      <c r="AC631" s="485"/>
      <c r="AD631" s="485"/>
      <c r="AE631" s="485"/>
      <c r="AF631" s="485"/>
      <c r="AG631" s="485"/>
      <c r="AH631" s="485"/>
      <c r="AI631" s="485"/>
      <c r="AJ631" s="485"/>
      <c r="AK631" s="485"/>
      <c r="AL631" s="485"/>
      <c r="AM631" s="485"/>
      <c r="AN631" s="485"/>
      <c r="AO631" s="485"/>
      <c r="AP631" s="485"/>
      <c r="AQ631" s="485"/>
      <c r="AR631" s="485"/>
      <c r="AS631" s="485"/>
      <c r="AT631" s="485"/>
      <c r="AU631" s="485"/>
      <c r="AV631" s="485"/>
      <c r="AW631" s="485"/>
      <c r="AX631" s="485"/>
      <c r="AY631" s="485"/>
      <c r="AZ631" s="485"/>
      <c r="BA631" s="485"/>
      <c r="BB631" s="485"/>
      <c r="BC631" s="485"/>
      <c r="BD631" s="485"/>
      <c r="BE631" s="485"/>
      <c r="BF631" s="485"/>
      <c r="BG631" s="485"/>
      <c r="BH631" s="485"/>
      <c r="BI631" s="485"/>
      <c r="BJ631" s="485"/>
      <c r="BK631" s="485"/>
      <c r="BL631" s="485"/>
      <c r="BM631" s="485"/>
      <c r="BN631" s="485"/>
      <c r="BO631" s="485"/>
      <c r="BP631" s="485"/>
      <c r="BQ631" s="485"/>
      <c r="BR631" s="485"/>
      <c r="BS631" s="485"/>
      <c r="BT631" s="485"/>
      <c r="BU631" s="485"/>
      <c r="BV631" s="485"/>
      <c r="BW631" s="485"/>
      <c r="BX631" s="485"/>
      <c r="BY631" s="485"/>
      <c r="BZ631" s="485"/>
      <c r="CA631" s="485"/>
      <c r="CB631" s="485"/>
      <c r="CC631" s="485"/>
      <c r="CD631" s="485"/>
      <c r="CE631" s="485"/>
      <c r="CF631" s="485"/>
      <c r="CG631" s="485"/>
      <c r="CH631" s="485"/>
      <c r="CI631" s="485"/>
      <c r="CJ631" s="485"/>
      <c r="CK631" s="485"/>
      <c r="CL631" s="485"/>
      <c r="CM631" s="485"/>
      <c r="CN631" s="485"/>
      <c r="CO631" s="485"/>
      <c r="CP631" s="485"/>
      <c r="CQ631" s="485"/>
      <c r="CR631" s="485"/>
      <c r="CS631" s="485"/>
      <c r="CT631" s="485"/>
      <c r="CU631" s="485"/>
      <c r="CV631" s="485"/>
      <c r="CW631" s="485"/>
      <c r="CX631" s="485"/>
      <c r="CY631" s="485"/>
      <c r="CZ631" s="485"/>
      <c r="DA631" s="485"/>
      <c r="DB631" s="485"/>
      <c r="DC631" s="485"/>
      <c r="DD631" s="485"/>
      <c r="DE631" s="485"/>
      <c r="DF631" s="485"/>
      <c r="DG631" s="485"/>
      <c r="DH631" s="485"/>
      <c r="DI631" s="485"/>
      <c r="DJ631" s="485"/>
      <c r="DK631" s="485"/>
      <c r="DL631" s="485"/>
      <c r="DM631" s="485"/>
      <c r="DN631" s="485"/>
      <c r="DO631" s="485"/>
      <c r="DP631" s="485"/>
      <c r="DQ631" s="485"/>
      <c r="DR631" s="485"/>
      <c r="DS631" s="485"/>
      <c r="DT631" s="485"/>
      <c r="DU631" s="485"/>
      <c r="DV631" s="485"/>
      <c r="DW631" s="485"/>
      <c r="DX631" s="485"/>
      <c r="DY631" s="485"/>
      <c r="DZ631" s="485"/>
      <c r="EA631" s="485"/>
      <c r="EB631" s="485"/>
      <c r="EC631" s="485"/>
      <c r="ED631" s="485"/>
      <c r="EE631" s="485"/>
      <c r="EF631" s="485"/>
      <c r="EG631" s="485"/>
      <c r="EH631" s="485"/>
      <c r="EI631" s="485"/>
      <c r="EJ631" s="485"/>
      <c r="EK631" s="485"/>
      <c r="EL631" s="485"/>
      <c r="EM631" s="485"/>
      <c r="EN631" s="485"/>
      <c r="EO631" s="485"/>
      <c r="EP631" s="485"/>
    </row>
    <row r="632" spans="1:146">
      <c r="A632" s="485"/>
      <c r="B632" s="485"/>
      <c r="C632" s="485"/>
      <c r="D632" s="485"/>
      <c r="E632" s="485"/>
      <c r="F632" s="485"/>
      <c r="G632" s="485"/>
      <c r="H632" s="485"/>
      <c r="I632" s="485"/>
      <c r="J632" s="485"/>
      <c r="K632" s="485"/>
      <c r="L632" s="485"/>
      <c r="M632" s="485"/>
      <c r="P632" s="485"/>
      <c r="Q632" s="485"/>
      <c r="R632" s="485"/>
      <c r="S632" s="485"/>
      <c r="T632" s="485"/>
      <c r="U632" s="485"/>
      <c r="V632" s="485"/>
      <c r="W632" s="485"/>
      <c r="X632" s="485"/>
      <c r="Y632" s="485"/>
      <c r="Z632" s="485"/>
      <c r="AA632" s="485"/>
      <c r="AB632" s="485"/>
      <c r="AC632" s="485"/>
      <c r="AD632" s="485"/>
      <c r="AE632" s="485"/>
      <c r="AF632" s="485"/>
      <c r="AG632" s="485"/>
      <c r="AH632" s="485"/>
      <c r="AI632" s="485"/>
      <c r="AJ632" s="485"/>
      <c r="AK632" s="485"/>
      <c r="AL632" s="485"/>
      <c r="AM632" s="485"/>
      <c r="AN632" s="485"/>
      <c r="AO632" s="485"/>
      <c r="AP632" s="485"/>
      <c r="AQ632" s="485"/>
      <c r="AR632" s="485"/>
      <c r="AS632" s="485"/>
      <c r="AT632" s="485"/>
      <c r="AU632" s="485"/>
      <c r="AV632" s="485"/>
      <c r="AW632" s="485"/>
      <c r="AX632" s="485"/>
      <c r="AY632" s="485"/>
      <c r="AZ632" s="485"/>
      <c r="BA632" s="485"/>
      <c r="BB632" s="485"/>
      <c r="BC632" s="485"/>
      <c r="BD632" s="485"/>
      <c r="BE632" s="485"/>
      <c r="BF632" s="485"/>
      <c r="BG632" s="485"/>
      <c r="BH632" s="485"/>
      <c r="BI632" s="485"/>
      <c r="BJ632" s="485"/>
      <c r="BK632" s="485"/>
      <c r="BL632" s="485"/>
      <c r="BM632" s="485"/>
      <c r="BN632" s="485"/>
      <c r="BO632" s="485"/>
      <c r="BP632" s="485"/>
      <c r="BQ632" s="485"/>
      <c r="BR632" s="485"/>
      <c r="BS632" s="485"/>
      <c r="BT632" s="485"/>
      <c r="BU632" s="485"/>
      <c r="BV632" s="485"/>
      <c r="BW632" s="485"/>
      <c r="BX632" s="485"/>
      <c r="BY632" s="485"/>
      <c r="BZ632" s="485"/>
      <c r="CA632" s="485"/>
      <c r="CB632" s="485"/>
      <c r="CC632" s="485"/>
      <c r="CD632" s="485"/>
      <c r="CE632" s="485"/>
      <c r="CF632" s="485"/>
      <c r="CG632" s="485"/>
      <c r="CH632" s="485"/>
      <c r="CI632" s="485"/>
      <c r="CJ632" s="485"/>
      <c r="CK632" s="485"/>
      <c r="CL632" s="485"/>
      <c r="CM632" s="485"/>
      <c r="CN632" s="485"/>
      <c r="CO632" s="485"/>
      <c r="CP632" s="485"/>
      <c r="CQ632" s="485"/>
      <c r="CR632" s="485"/>
      <c r="CS632" s="485"/>
      <c r="CT632" s="485"/>
      <c r="CU632" s="485"/>
      <c r="CV632" s="485"/>
      <c r="CW632" s="485"/>
      <c r="CX632" s="485"/>
      <c r="CY632" s="485"/>
      <c r="CZ632" s="485"/>
      <c r="DA632" s="485"/>
      <c r="DB632" s="485"/>
      <c r="DC632" s="485"/>
      <c r="DD632" s="485"/>
      <c r="DE632" s="485"/>
      <c r="DF632" s="485"/>
      <c r="DG632" s="485"/>
      <c r="DH632" s="485"/>
      <c r="DI632" s="485"/>
      <c r="DJ632" s="485"/>
      <c r="DK632" s="485"/>
      <c r="DL632" s="485"/>
      <c r="DM632" s="485"/>
      <c r="DN632" s="485"/>
      <c r="DO632" s="485"/>
      <c r="DP632" s="485"/>
      <c r="DQ632" s="485"/>
      <c r="DR632" s="485"/>
      <c r="DS632" s="485"/>
      <c r="DT632" s="485"/>
      <c r="DU632" s="485"/>
      <c r="DV632" s="485"/>
      <c r="DW632" s="485"/>
      <c r="DX632" s="485"/>
      <c r="DY632" s="485"/>
      <c r="DZ632" s="485"/>
      <c r="EA632" s="485"/>
      <c r="EB632" s="485"/>
      <c r="EC632" s="485"/>
      <c r="ED632" s="485"/>
      <c r="EE632" s="485"/>
      <c r="EF632" s="485"/>
      <c r="EG632" s="485"/>
      <c r="EH632" s="485"/>
      <c r="EI632" s="485"/>
      <c r="EJ632" s="485"/>
      <c r="EK632" s="485"/>
      <c r="EL632" s="485"/>
      <c r="EM632" s="485"/>
      <c r="EN632" s="485"/>
      <c r="EO632" s="485"/>
      <c r="EP632" s="485"/>
    </row>
    <row r="633" spans="1:146">
      <c r="A633" s="485"/>
      <c r="B633" s="485"/>
      <c r="C633" s="485"/>
      <c r="D633" s="485"/>
      <c r="E633" s="485"/>
      <c r="F633" s="485"/>
      <c r="G633" s="485"/>
      <c r="H633" s="485"/>
      <c r="I633" s="485"/>
      <c r="J633" s="485"/>
      <c r="K633" s="485"/>
      <c r="L633" s="485"/>
      <c r="M633" s="485"/>
      <c r="P633" s="485"/>
      <c r="Q633" s="485"/>
      <c r="R633" s="485"/>
      <c r="S633" s="485"/>
      <c r="T633" s="485"/>
      <c r="U633" s="485"/>
      <c r="V633" s="485"/>
      <c r="W633" s="485"/>
      <c r="X633" s="485"/>
      <c r="Y633" s="485"/>
      <c r="Z633" s="485"/>
      <c r="AA633" s="485"/>
      <c r="AB633" s="485"/>
      <c r="AC633" s="485"/>
      <c r="AD633" s="485"/>
      <c r="AE633" s="485"/>
      <c r="AF633" s="485"/>
      <c r="AG633" s="485"/>
      <c r="AH633" s="485"/>
      <c r="AI633" s="485"/>
      <c r="AJ633" s="485"/>
      <c r="AK633" s="485"/>
      <c r="AL633" s="485"/>
      <c r="AM633" s="485"/>
      <c r="AN633" s="485"/>
      <c r="AO633" s="485"/>
      <c r="AP633" s="485"/>
      <c r="AQ633" s="485"/>
      <c r="AR633" s="485"/>
      <c r="AS633" s="485"/>
      <c r="AT633" s="485"/>
      <c r="AU633" s="485"/>
      <c r="AV633" s="485"/>
      <c r="AW633" s="485"/>
      <c r="AX633" s="485"/>
      <c r="AY633" s="485"/>
      <c r="AZ633" s="485"/>
      <c r="BA633" s="485"/>
      <c r="BB633" s="485"/>
      <c r="BC633" s="485"/>
      <c r="BD633" s="485"/>
      <c r="BE633" s="485"/>
      <c r="BF633" s="485"/>
      <c r="BG633" s="485"/>
      <c r="BH633" s="485"/>
      <c r="BI633" s="485"/>
      <c r="BJ633" s="485"/>
      <c r="BK633" s="485"/>
      <c r="BL633" s="485"/>
      <c r="BM633" s="485"/>
      <c r="BN633" s="485"/>
      <c r="BO633" s="485"/>
      <c r="BP633" s="485"/>
      <c r="BQ633" s="485"/>
      <c r="BR633" s="485"/>
      <c r="BS633" s="485"/>
      <c r="BT633" s="485"/>
      <c r="BU633" s="485"/>
      <c r="BV633" s="485"/>
      <c r="BW633" s="485"/>
      <c r="BX633" s="485"/>
      <c r="BY633" s="485"/>
      <c r="BZ633" s="485"/>
      <c r="CA633" s="485"/>
      <c r="CB633" s="485"/>
      <c r="CC633" s="485"/>
      <c r="CD633" s="485"/>
      <c r="CE633" s="485"/>
      <c r="CF633" s="485"/>
      <c r="CG633" s="485"/>
      <c r="CH633" s="485"/>
      <c r="CI633" s="485"/>
      <c r="CJ633" s="485"/>
      <c r="CK633" s="485"/>
      <c r="CL633" s="485"/>
      <c r="CM633" s="485"/>
      <c r="CN633" s="485"/>
      <c r="CO633" s="485"/>
      <c r="CP633" s="485"/>
      <c r="CQ633" s="485"/>
      <c r="CR633" s="485"/>
      <c r="CS633" s="485"/>
      <c r="CT633" s="485"/>
      <c r="CU633" s="485"/>
      <c r="CV633" s="485"/>
      <c r="CW633" s="485"/>
      <c r="CX633" s="485"/>
      <c r="CY633" s="485"/>
      <c r="CZ633" s="485"/>
      <c r="DA633" s="485"/>
      <c r="DB633" s="485"/>
      <c r="DC633" s="485"/>
      <c r="DD633" s="485"/>
      <c r="DE633" s="485"/>
      <c r="DF633" s="485"/>
      <c r="DG633" s="485"/>
      <c r="DH633" s="485"/>
      <c r="DI633" s="485"/>
      <c r="DJ633" s="485"/>
      <c r="DK633" s="485"/>
      <c r="DL633" s="485"/>
      <c r="DM633" s="485"/>
      <c r="DN633" s="485"/>
      <c r="DO633" s="485"/>
      <c r="DP633" s="485"/>
      <c r="DQ633" s="485"/>
      <c r="DR633" s="485"/>
      <c r="DS633" s="485"/>
      <c r="DT633" s="485"/>
      <c r="DU633" s="485"/>
      <c r="DV633" s="485"/>
      <c r="DW633" s="485"/>
      <c r="DX633" s="485"/>
      <c r="DY633" s="485"/>
      <c r="DZ633" s="485"/>
      <c r="EA633" s="485"/>
      <c r="EB633" s="485"/>
      <c r="EC633" s="485"/>
      <c r="ED633" s="485"/>
      <c r="EE633" s="485"/>
      <c r="EF633" s="485"/>
      <c r="EG633" s="485"/>
      <c r="EH633" s="485"/>
      <c r="EI633" s="485"/>
      <c r="EJ633" s="485"/>
      <c r="EK633" s="485"/>
      <c r="EL633" s="485"/>
      <c r="EM633" s="485"/>
      <c r="EN633" s="485"/>
      <c r="EO633" s="485"/>
      <c r="EP633" s="485"/>
    </row>
    <row r="634" spans="1:146">
      <c r="A634" s="485"/>
      <c r="B634" s="485"/>
      <c r="C634" s="485"/>
      <c r="D634" s="485"/>
      <c r="E634" s="485"/>
      <c r="F634" s="485"/>
      <c r="G634" s="485"/>
      <c r="H634" s="485"/>
      <c r="I634" s="485"/>
      <c r="J634" s="485"/>
      <c r="K634" s="485"/>
      <c r="L634" s="485"/>
      <c r="M634" s="485"/>
      <c r="P634" s="485"/>
      <c r="Q634" s="485"/>
      <c r="R634" s="485"/>
      <c r="S634" s="485"/>
      <c r="T634" s="485"/>
      <c r="U634" s="485"/>
      <c r="V634" s="485"/>
      <c r="W634" s="485"/>
      <c r="X634" s="485"/>
      <c r="Y634" s="485"/>
      <c r="Z634" s="485"/>
      <c r="AA634" s="485"/>
      <c r="AB634" s="485"/>
      <c r="AC634" s="485"/>
      <c r="AD634" s="485"/>
      <c r="AE634" s="485"/>
      <c r="AF634" s="485"/>
      <c r="AG634" s="485"/>
      <c r="AH634" s="485"/>
      <c r="AI634" s="485"/>
      <c r="AJ634" s="485"/>
      <c r="AK634" s="485"/>
      <c r="AL634" s="485"/>
      <c r="AM634" s="485"/>
      <c r="AN634" s="485"/>
      <c r="AO634" s="485"/>
      <c r="AP634" s="485"/>
      <c r="AQ634" s="485"/>
      <c r="AR634" s="485"/>
      <c r="AS634" s="485"/>
      <c r="AT634" s="485"/>
      <c r="AU634" s="485"/>
      <c r="AV634" s="485"/>
      <c r="AW634" s="485"/>
      <c r="AX634" s="485"/>
      <c r="AY634" s="485"/>
      <c r="AZ634" s="485"/>
      <c r="BA634" s="485"/>
      <c r="BB634" s="485"/>
      <c r="BC634" s="485"/>
      <c r="BD634" s="485"/>
      <c r="BE634" s="485"/>
      <c r="BF634" s="485"/>
      <c r="BG634" s="485"/>
      <c r="BH634" s="485"/>
      <c r="BI634" s="485"/>
      <c r="BJ634" s="485"/>
      <c r="BK634" s="485"/>
      <c r="BL634" s="485"/>
      <c r="BM634" s="485"/>
      <c r="BN634" s="485"/>
      <c r="BO634" s="485"/>
      <c r="BP634" s="485"/>
      <c r="BQ634" s="485"/>
      <c r="BR634" s="485"/>
      <c r="BS634" s="485"/>
      <c r="BT634" s="485"/>
      <c r="BU634" s="485"/>
      <c r="BV634" s="485"/>
      <c r="BW634" s="485"/>
      <c r="BX634" s="485"/>
      <c r="BY634" s="485"/>
      <c r="BZ634" s="485"/>
      <c r="CA634" s="485"/>
      <c r="CB634" s="485"/>
      <c r="CC634" s="485"/>
      <c r="CD634" s="485"/>
      <c r="CE634" s="485"/>
      <c r="CF634" s="485"/>
      <c r="CG634" s="485"/>
      <c r="CH634" s="485"/>
      <c r="CI634" s="485"/>
      <c r="CJ634" s="485"/>
      <c r="CK634" s="485"/>
      <c r="CL634" s="485"/>
      <c r="CM634" s="485"/>
      <c r="CN634" s="485"/>
      <c r="CO634" s="485"/>
      <c r="CP634" s="485"/>
      <c r="CQ634" s="485"/>
      <c r="CR634" s="485"/>
      <c r="CS634" s="485"/>
      <c r="CT634" s="485"/>
      <c r="CU634" s="485"/>
      <c r="CV634" s="485"/>
      <c r="CW634" s="485"/>
      <c r="CX634" s="485"/>
      <c r="CY634" s="485"/>
      <c r="CZ634" s="485"/>
      <c r="DA634" s="485"/>
      <c r="DB634" s="485"/>
      <c r="DC634" s="485"/>
      <c r="DD634" s="485"/>
      <c r="DE634" s="485"/>
      <c r="DF634" s="485"/>
      <c r="DG634" s="485"/>
      <c r="DH634" s="485"/>
      <c r="DI634" s="485"/>
      <c r="DJ634" s="485"/>
      <c r="DK634" s="485"/>
      <c r="DL634" s="485"/>
      <c r="DM634" s="485"/>
      <c r="DN634" s="485"/>
      <c r="DO634" s="485"/>
      <c r="DP634" s="485"/>
      <c r="DQ634" s="485"/>
      <c r="DR634" s="485"/>
      <c r="DS634" s="485"/>
      <c r="DT634" s="485"/>
      <c r="DU634" s="485"/>
      <c r="DV634" s="485"/>
      <c r="DW634" s="485"/>
      <c r="DX634" s="485"/>
      <c r="DY634" s="485"/>
      <c r="DZ634" s="485"/>
      <c r="EA634" s="485"/>
      <c r="EB634" s="485"/>
      <c r="EC634" s="485"/>
      <c r="ED634" s="485"/>
      <c r="EE634" s="485"/>
      <c r="EF634" s="485"/>
      <c r="EG634" s="485"/>
      <c r="EH634" s="485"/>
      <c r="EI634" s="485"/>
      <c r="EJ634" s="485"/>
      <c r="EK634" s="485"/>
      <c r="EL634" s="485"/>
      <c r="EM634" s="485"/>
      <c r="EN634" s="485"/>
      <c r="EO634" s="485"/>
      <c r="EP634" s="485"/>
    </row>
    <row r="635" spans="1:146">
      <c r="A635" s="485"/>
      <c r="B635" s="485"/>
      <c r="C635" s="485"/>
      <c r="D635" s="485"/>
      <c r="E635" s="485"/>
      <c r="F635" s="485"/>
      <c r="G635" s="485"/>
      <c r="H635" s="485"/>
      <c r="I635" s="485"/>
      <c r="J635" s="485"/>
      <c r="K635" s="485"/>
      <c r="L635" s="485"/>
      <c r="M635" s="485"/>
      <c r="P635" s="485"/>
      <c r="Q635" s="485"/>
      <c r="R635" s="485"/>
      <c r="S635" s="485"/>
      <c r="T635" s="485"/>
      <c r="U635" s="485"/>
      <c r="V635" s="485"/>
      <c r="W635" s="485"/>
      <c r="X635" s="485"/>
      <c r="Y635" s="485"/>
      <c r="Z635" s="485"/>
      <c r="AA635" s="485"/>
      <c r="AB635" s="485"/>
      <c r="AC635" s="485"/>
      <c r="AD635" s="485"/>
      <c r="AE635" s="485"/>
      <c r="AF635" s="485"/>
      <c r="AG635" s="485"/>
      <c r="AH635" s="485"/>
      <c r="AI635" s="485"/>
      <c r="AJ635" s="485"/>
      <c r="AK635" s="485"/>
      <c r="AL635" s="485"/>
      <c r="AM635" s="485"/>
      <c r="AN635" s="485"/>
      <c r="AO635" s="485"/>
      <c r="AP635" s="485"/>
      <c r="AQ635" s="485"/>
      <c r="AR635" s="485"/>
      <c r="AS635" s="485"/>
      <c r="AT635" s="485"/>
      <c r="AU635" s="485"/>
      <c r="AV635" s="485"/>
      <c r="AW635" s="485"/>
      <c r="AX635" s="485"/>
      <c r="AY635" s="485"/>
      <c r="AZ635" s="485"/>
      <c r="BA635" s="485"/>
      <c r="BB635" s="485"/>
      <c r="BC635" s="485"/>
      <c r="BD635" s="485"/>
      <c r="BE635" s="485"/>
      <c r="BF635" s="485"/>
      <c r="BG635" s="485"/>
      <c r="BH635" s="485"/>
      <c r="BI635" s="485"/>
      <c r="BJ635" s="485"/>
      <c r="BK635" s="485"/>
      <c r="BL635" s="485"/>
      <c r="BM635" s="485"/>
      <c r="BN635" s="485"/>
      <c r="BO635" s="485"/>
      <c r="BP635" s="485"/>
      <c r="BQ635" s="485"/>
      <c r="BR635" s="485"/>
      <c r="BS635" s="485"/>
      <c r="BT635" s="485"/>
      <c r="BU635" s="485"/>
      <c r="BV635" s="485"/>
      <c r="BW635" s="485"/>
      <c r="BX635" s="485"/>
      <c r="BY635" s="485"/>
      <c r="BZ635" s="485"/>
      <c r="CA635" s="485"/>
      <c r="CB635" s="485"/>
      <c r="CC635" s="485"/>
      <c r="CD635" s="485"/>
      <c r="CE635" s="485"/>
      <c r="CF635" s="485"/>
      <c r="CG635" s="485"/>
      <c r="CH635" s="485"/>
      <c r="CI635" s="485"/>
      <c r="CJ635" s="485"/>
      <c r="CK635" s="485"/>
      <c r="CL635" s="485"/>
      <c r="CM635" s="485"/>
      <c r="CN635" s="485"/>
      <c r="CO635" s="485"/>
      <c r="CP635" s="485"/>
      <c r="CQ635" s="485"/>
      <c r="CR635" s="485"/>
      <c r="CS635" s="485"/>
      <c r="CT635" s="485"/>
      <c r="CU635" s="485"/>
      <c r="CV635" s="485"/>
      <c r="CW635" s="485"/>
      <c r="CX635" s="485"/>
      <c r="CY635" s="485"/>
      <c r="CZ635" s="485"/>
      <c r="DA635" s="485"/>
      <c r="DB635" s="485"/>
      <c r="DC635" s="485"/>
      <c r="DD635" s="485"/>
      <c r="DE635" s="485"/>
      <c r="DF635" s="485"/>
      <c r="DG635" s="485"/>
      <c r="DH635" s="485"/>
      <c r="DI635" s="485"/>
      <c r="DJ635" s="485"/>
      <c r="DK635" s="485"/>
      <c r="DL635" s="485"/>
      <c r="DM635" s="485"/>
      <c r="DN635" s="485"/>
      <c r="DO635" s="485"/>
      <c r="DP635" s="485"/>
      <c r="DQ635" s="485"/>
      <c r="DR635" s="485"/>
      <c r="DS635" s="485"/>
      <c r="DT635" s="485"/>
      <c r="DU635" s="485"/>
      <c r="DV635" s="485"/>
      <c r="DW635" s="485"/>
      <c r="DX635" s="485"/>
      <c r="DY635" s="485"/>
      <c r="DZ635" s="485"/>
      <c r="EA635" s="485"/>
      <c r="EB635" s="485"/>
      <c r="EC635" s="485"/>
      <c r="ED635" s="485"/>
      <c r="EE635" s="485"/>
      <c r="EF635" s="485"/>
      <c r="EG635" s="485"/>
      <c r="EH635" s="485"/>
      <c r="EI635" s="485"/>
      <c r="EJ635" s="485"/>
      <c r="EK635" s="485"/>
      <c r="EL635" s="485"/>
      <c r="EM635" s="485"/>
      <c r="EN635" s="485"/>
      <c r="EO635" s="485"/>
      <c r="EP635" s="485"/>
    </row>
    <row r="636" spans="1:146">
      <c r="A636" s="485"/>
      <c r="B636" s="485"/>
      <c r="C636" s="485"/>
      <c r="D636" s="485"/>
      <c r="E636" s="485"/>
      <c r="F636" s="485"/>
      <c r="G636" s="485"/>
      <c r="H636" s="485"/>
      <c r="I636" s="485"/>
      <c r="J636" s="485"/>
      <c r="K636" s="485"/>
      <c r="L636" s="485"/>
      <c r="M636" s="485"/>
      <c r="P636" s="485"/>
      <c r="Q636" s="485"/>
      <c r="R636" s="485"/>
      <c r="S636" s="485"/>
      <c r="T636" s="485"/>
      <c r="U636" s="485"/>
      <c r="V636" s="485"/>
      <c r="W636" s="485"/>
      <c r="X636" s="485"/>
      <c r="Y636" s="485"/>
      <c r="Z636" s="485"/>
      <c r="AA636" s="485"/>
      <c r="AB636" s="485"/>
      <c r="AC636" s="485"/>
      <c r="AD636" s="485"/>
      <c r="AE636" s="485"/>
      <c r="AF636" s="485"/>
      <c r="AG636" s="485"/>
      <c r="AH636" s="485"/>
      <c r="AI636" s="485"/>
      <c r="AJ636" s="485"/>
      <c r="AK636" s="485"/>
      <c r="AL636" s="485"/>
      <c r="AM636" s="485"/>
      <c r="AN636" s="485"/>
      <c r="AO636" s="485"/>
      <c r="AP636" s="485"/>
      <c r="AQ636" s="485"/>
      <c r="AR636" s="485"/>
      <c r="AS636" s="485"/>
      <c r="AT636" s="485"/>
      <c r="AU636" s="485"/>
      <c r="AV636" s="485"/>
      <c r="AW636" s="485"/>
      <c r="AX636" s="485"/>
      <c r="AY636" s="485"/>
      <c r="AZ636" s="485"/>
      <c r="BA636" s="485"/>
      <c r="BB636" s="485"/>
      <c r="BC636" s="485"/>
      <c r="BD636" s="485"/>
      <c r="BE636" s="485"/>
      <c r="BF636" s="485"/>
      <c r="BG636" s="485"/>
      <c r="BH636" s="485"/>
      <c r="BI636" s="485"/>
      <c r="BJ636" s="485"/>
      <c r="BK636" s="485"/>
      <c r="BL636" s="485"/>
      <c r="BM636" s="485"/>
      <c r="BN636" s="485"/>
      <c r="BO636" s="485"/>
      <c r="BP636" s="485"/>
      <c r="BQ636" s="485"/>
      <c r="BR636" s="485"/>
      <c r="BS636" s="485"/>
      <c r="BT636" s="485"/>
      <c r="BU636" s="485"/>
      <c r="BV636" s="485"/>
      <c r="BW636" s="485"/>
      <c r="BX636" s="485"/>
      <c r="BY636" s="485"/>
      <c r="BZ636" s="485"/>
      <c r="CA636" s="485"/>
      <c r="CB636" s="485"/>
      <c r="CC636" s="485"/>
      <c r="CD636" s="485"/>
      <c r="CE636" s="485"/>
      <c r="CF636" s="485"/>
      <c r="CG636" s="485"/>
      <c r="CH636" s="485"/>
      <c r="CI636" s="485"/>
      <c r="CJ636" s="485"/>
      <c r="CK636" s="485"/>
      <c r="CL636" s="485"/>
      <c r="CM636" s="485"/>
      <c r="CN636" s="485"/>
      <c r="CO636" s="485"/>
      <c r="CP636" s="485"/>
      <c r="CQ636" s="485"/>
      <c r="CR636" s="485"/>
      <c r="CS636" s="485"/>
      <c r="CT636" s="485"/>
      <c r="CU636" s="485"/>
      <c r="CV636" s="485"/>
      <c r="CW636" s="485"/>
      <c r="CX636" s="485"/>
      <c r="CY636" s="485"/>
      <c r="CZ636" s="485"/>
      <c r="DA636" s="485"/>
      <c r="DB636" s="485"/>
      <c r="DC636" s="485"/>
      <c r="DD636" s="485"/>
      <c r="DE636" s="485"/>
      <c r="DF636" s="485"/>
      <c r="DG636" s="485"/>
      <c r="DH636" s="485"/>
      <c r="DI636" s="485"/>
      <c r="DJ636" s="485"/>
      <c r="DK636" s="485"/>
      <c r="DL636" s="485"/>
      <c r="DM636" s="485"/>
      <c r="DN636" s="485"/>
      <c r="DO636" s="485"/>
      <c r="DP636" s="485"/>
      <c r="DQ636" s="485"/>
      <c r="DR636" s="485"/>
      <c r="DS636" s="485"/>
      <c r="DT636" s="485"/>
      <c r="DU636" s="485"/>
      <c r="DV636" s="485"/>
      <c r="DW636" s="485"/>
      <c r="DX636" s="485"/>
      <c r="DY636" s="485"/>
      <c r="DZ636" s="485"/>
      <c r="EA636" s="485"/>
      <c r="EB636" s="485"/>
      <c r="EC636" s="485"/>
      <c r="ED636" s="485"/>
      <c r="EE636" s="485"/>
      <c r="EF636" s="485"/>
      <c r="EG636" s="485"/>
      <c r="EH636" s="485"/>
      <c r="EI636" s="485"/>
      <c r="EJ636" s="485"/>
      <c r="EK636" s="485"/>
      <c r="EL636" s="485"/>
      <c r="EM636" s="485"/>
      <c r="EN636" s="485"/>
      <c r="EO636" s="485"/>
      <c r="EP636" s="485"/>
    </row>
    <row r="637" spans="1:146">
      <c r="A637" s="485"/>
      <c r="B637" s="485"/>
      <c r="C637" s="485"/>
      <c r="D637" s="485"/>
      <c r="E637" s="485"/>
      <c r="F637" s="485"/>
      <c r="G637" s="485"/>
      <c r="H637" s="485"/>
      <c r="I637" s="485"/>
      <c r="J637" s="485"/>
      <c r="K637" s="485"/>
      <c r="L637" s="485"/>
      <c r="M637" s="485"/>
      <c r="P637" s="485"/>
      <c r="Q637" s="485"/>
      <c r="R637" s="485"/>
      <c r="S637" s="485"/>
      <c r="T637" s="485"/>
      <c r="U637" s="485"/>
      <c r="V637" s="485"/>
      <c r="W637" s="485"/>
      <c r="X637" s="485"/>
      <c r="Y637" s="485"/>
      <c r="Z637" s="485"/>
      <c r="AA637" s="485"/>
      <c r="AB637" s="485"/>
      <c r="AC637" s="485"/>
      <c r="AD637" s="485"/>
      <c r="AE637" s="485"/>
      <c r="AF637" s="485"/>
      <c r="AG637" s="485"/>
      <c r="AH637" s="485"/>
      <c r="AI637" s="485"/>
      <c r="AJ637" s="485"/>
      <c r="AK637" s="485"/>
      <c r="AL637" s="485"/>
      <c r="AM637" s="485"/>
      <c r="AN637" s="485"/>
      <c r="AO637" s="485"/>
      <c r="AP637" s="485"/>
      <c r="AQ637" s="485"/>
      <c r="AR637" s="485"/>
      <c r="AS637" s="485"/>
      <c r="AT637" s="485"/>
      <c r="AU637" s="485"/>
      <c r="AV637" s="485"/>
      <c r="AW637" s="485"/>
      <c r="AX637" s="485"/>
      <c r="AY637" s="485"/>
      <c r="AZ637" s="485"/>
      <c r="BA637" s="485"/>
      <c r="BB637" s="485"/>
      <c r="BC637" s="485"/>
      <c r="BD637" s="485"/>
      <c r="BE637" s="485"/>
      <c r="BF637" s="485"/>
      <c r="BG637" s="485"/>
      <c r="BH637" s="485"/>
      <c r="BI637" s="485"/>
      <c r="BJ637" s="485"/>
      <c r="BK637" s="485"/>
      <c r="BL637" s="485"/>
      <c r="BM637" s="485"/>
      <c r="BN637" s="485"/>
      <c r="BO637" s="485"/>
      <c r="BP637" s="485"/>
      <c r="BQ637" s="485"/>
      <c r="BR637" s="485"/>
      <c r="BS637" s="485"/>
      <c r="BT637" s="485"/>
      <c r="BU637" s="485"/>
      <c r="BV637" s="485"/>
      <c r="BW637" s="485"/>
      <c r="BX637" s="485"/>
      <c r="BY637" s="485"/>
      <c r="BZ637" s="485"/>
      <c r="CA637" s="485"/>
      <c r="CB637" s="485"/>
      <c r="CC637" s="485"/>
      <c r="CD637" s="485"/>
      <c r="CE637" s="485"/>
      <c r="CF637" s="485"/>
      <c r="CG637" s="485"/>
      <c r="CH637" s="485"/>
      <c r="CI637" s="485"/>
      <c r="CJ637" s="485"/>
      <c r="CK637" s="485"/>
      <c r="CL637" s="485"/>
      <c r="CM637" s="485"/>
      <c r="CN637" s="485"/>
      <c r="CO637" s="485"/>
      <c r="CP637" s="485"/>
      <c r="CQ637" s="485"/>
      <c r="CR637" s="485"/>
      <c r="CS637" s="485"/>
      <c r="CT637" s="485"/>
      <c r="CU637" s="485"/>
      <c r="CV637" s="485"/>
      <c r="CW637" s="485"/>
      <c r="CX637" s="485"/>
      <c r="CY637" s="485"/>
      <c r="CZ637" s="485"/>
      <c r="DA637" s="485"/>
      <c r="DB637" s="485"/>
      <c r="DC637" s="485"/>
      <c r="DD637" s="485"/>
      <c r="DE637" s="485"/>
      <c r="DF637" s="485"/>
      <c r="DG637" s="485"/>
      <c r="DH637" s="485"/>
      <c r="DI637" s="485"/>
      <c r="DJ637" s="485"/>
      <c r="DK637" s="485"/>
      <c r="DL637" s="485"/>
      <c r="DM637" s="485"/>
      <c r="DN637" s="485"/>
      <c r="DO637" s="485"/>
      <c r="DP637" s="485"/>
      <c r="DQ637" s="485"/>
      <c r="DR637" s="485"/>
      <c r="DS637" s="485"/>
      <c r="DT637" s="485"/>
      <c r="DU637" s="485"/>
      <c r="DV637" s="485"/>
      <c r="DW637" s="485"/>
      <c r="DX637" s="485"/>
      <c r="DY637" s="485"/>
      <c r="DZ637" s="485"/>
      <c r="EA637" s="485"/>
      <c r="EB637" s="485"/>
      <c r="EC637" s="485"/>
      <c r="ED637" s="485"/>
      <c r="EE637" s="485"/>
      <c r="EF637" s="485"/>
      <c r="EG637" s="485"/>
      <c r="EH637" s="485"/>
      <c r="EI637" s="485"/>
      <c r="EJ637" s="485"/>
      <c r="EK637" s="485"/>
      <c r="EL637" s="485"/>
      <c r="EM637" s="485"/>
      <c r="EN637" s="485"/>
      <c r="EO637" s="485"/>
      <c r="EP637" s="485"/>
    </row>
    <row r="638" spans="1:146">
      <c r="A638" s="485"/>
      <c r="B638" s="485"/>
      <c r="C638" s="485"/>
      <c r="D638" s="485"/>
      <c r="E638" s="485"/>
      <c r="F638" s="485"/>
      <c r="G638" s="485"/>
      <c r="H638" s="485"/>
      <c r="I638" s="485"/>
      <c r="J638" s="485"/>
      <c r="K638" s="485"/>
      <c r="L638" s="485"/>
      <c r="M638" s="485"/>
      <c r="P638" s="485"/>
      <c r="Q638" s="485"/>
      <c r="R638" s="485"/>
      <c r="S638" s="485"/>
      <c r="T638" s="485"/>
      <c r="U638" s="485"/>
      <c r="V638" s="485"/>
      <c r="W638" s="485"/>
      <c r="X638" s="485"/>
      <c r="Y638" s="485"/>
      <c r="Z638" s="485"/>
      <c r="AA638" s="485"/>
      <c r="AB638" s="485"/>
      <c r="AC638" s="485"/>
      <c r="AD638" s="485"/>
      <c r="AE638" s="485"/>
      <c r="AF638" s="485"/>
      <c r="AG638" s="485"/>
      <c r="AH638" s="485"/>
      <c r="AI638" s="485"/>
      <c r="AJ638" s="485"/>
      <c r="AK638" s="485"/>
      <c r="AL638" s="485"/>
      <c r="AM638" s="485"/>
      <c r="AN638" s="485"/>
      <c r="AO638" s="485"/>
      <c r="AP638" s="485"/>
      <c r="AQ638" s="485"/>
      <c r="AR638" s="485"/>
      <c r="AS638" s="485"/>
      <c r="AT638" s="485"/>
      <c r="AU638" s="485"/>
      <c r="AV638" s="485"/>
      <c r="AW638" s="485"/>
      <c r="AX638" s="485"/>
      <c r="AY638" s="485"/>
      <c r="AZ638" s="485"/>
      <c r="BA638" s="485"/>
      <c r="BB638" s="485"/>
      <c r="BC638" s="485"/>
      <c r="BD638" s="485"/>
      <c r="BE638" s="485"/>
      <c r="BF638" s="485"/>
      <c r="BG638" s="485"/>
      <c r="BH638" s="485"/>
      <c r="BI638" s="485"/>
      <c r="BJ638" s="485"/>
      <c r="BK638" s="485"/>
      <c r="BL638" s="485"/>
      <c r="BM638" s="485"/>
      <c r="BN638" s="485"/>
      <c r="BO638" s="485"/>
      <c r="BP638" s="485"/>
      <c r="BQ638" s="485"/>
      <c r="BR638" s="485"/>
      <c r="BS638" s="485"/>
      <c r="BT638" s="485"/>
      <c r="BU638" s="485"/>
      <c r="BV638" s="485"/>
      <c r="BW638" s="485"/>
      <c r="BX638" s="485"/>
      <c r="BY638" s="485"/>
      <c r="BZ638" s="485"/>
      <c r="CA638" s="485"/>
      <c r="CB638" s="485"/>
      <c r="CC638" s="485"/>
      <c r="CD638" s="485"/>
      <c r="CE638" s="485"/>
      <c r="CF638" s="485"/>
      <c r="CG638" s="485"/>
      <c r="CH638" s="485"/>
      <c r="CI638" s="485"/>
      <c r="CJ638" s="485"/>
      <c r="CK638" s="485"/>
      <c r="CL638" s="485"/>
      <c r="CM638" s="485"/>
      <c r="CN638" s="485"/>
      <c r="CO638" s="485"/>
      <c r="CP638" s="485"/>
      <c r="CQ638" s="485"/>
      <c r="CR638" s="485"/>
      <c r="CS638" s="485"/>
      <c r="CT638" s="485"/>
      <c r="CU638" s="485"/>
      <c r="CV638" s="485"/>
      <c r="CW638" s="485"/>
      <c r="CX638" s="485"/>
      <c r="CY638" s="485"/>
      <c r="CZ638" s="485"/>
      <c r="DA638" s="485"/>
      <c r="DB638" s="485"/>
      <c r="DC638" s="485"/>
      <c r="DD638" s="485"/>
      <c r="DE638" s="485"/>
      <c r="DF638" s="485"/>
      <c r="DG638" s="485"/>
      <c r="DH638" s="485"/>
      <c r="DI638" s="485"/>
      <c r="DJ638" s="485"/>
      <c r="DK638" s="485"/>
      <c r="DL638" s="485"/>
      <c r="DM638" s="485"/>
      <c r="DN638" s="485"/>
      <c r="DO638" s="485"/>
      <c r="DP638" s="485"/>
      <c r="DQ638" s="485"/>
      <c r="DR638" s="485"/>
      <c r="DS638" s="485"/>
      <c r="DT638" s="485"/>
      <c r="DU638" s="485"/>
      <c r="DV638" s="485"/>
      <c r="DW638" s="485"/>
      <c r="DX638" s="485"/>
      <c r="DY638" s="485"/>
      <c r="DZ638" s="485"/>
      <c r="EA638" s="485"/>
      <c r="EB638" s="485"/>
      <c r="EC638" s="485"/>
      <c r="ED638" s="485"/>
      <c r="EE638" s="485"/>
      <c r="EF638" s="485"/>
      <c r="EG638" s="485"/>
      <c r="EH638" s="485"/>
      <c r="EI638" s="485"/>
      <c r="EJ638" s="485"/>
      <c r="EK638" s="485"/>
      <c r="EL638" s="485"/>
      <c r="EM638" s="485"/>
      <c r="EN638" s="485"/>
      <c r="EO638" s="485"/>
      <c r="EP638" s="485"/>
    </row>
    <row r="639" spans="1:146">
      <c r="A639" s="485"/>
      <c r="B639" s="485"/>
      <c r="C639" s="485"/>
      <c r="D639" s="485"/>
      <c r="E639" s="485"/>
      <c r="F639" s="485"/>
      <c r="G639" s="485"/>
      <c r="H639" s="485"/>
      <c r="I639" s="485"/>
      <c r="J639" s="485"/>
      <c r="K639" s="485"/>
      <c r="L639" s="485"/>
      <c r="M639" s="485"/>
      <c r="P639" s="485"/>
      <c r="Q639" s="485"/>
      <c r="R639" s="485"/>
      <c r="S639" s="485"/>
      <c r="T639" s="485"/>
      <c r="U639" s="485"/>
      <c r="V639" s="485"/>
      <c r="W639" s="485"/>
      <c r="X639" s="485"/>
      <c r="Y639" s="485"/>
      <c r="Z639" s="485"/>
      <c r="AA639" s="485"/>
      <c r="AB639" s="485"/>
      <c r="AC639" s="485"/>
      <c r="AD639" s="485"/>
      <c r="AE639" s="485"/>
      <c r="AF639" s="485"/>
      <c r="AG639" s="485"/>
      <c r="AH639" s="485"/>
      <c r="AI639" s="485"/>
      <c r="AJ639" s="485"/>
      <c r="AK639" s="485"/>
      <c r="AL639" s="485"/>
      <c r="AM639" s="485"/>
      <c r="AN639" s="485"/>
      <c r="AO639" s="485"/>
      <c r="AP639" s="485"/>
      <c r="AQ639" s="485"/>
      <c r="AR639" s="485"/>
      <c r="AS639" s="485"/>
      <c r="AT639" s="485"/>
      <c r="AU639" s="485"/>
      <c r="AV639" s="485"/>
      <c r="AW639" s="485"/>
      <c r="AX639" s="485"/>
      <c r="AY639" s="485"/>
      <c r="AZ639" s="485"/>
      <c r="BA639" s="485"/>
      <c r="BB639" s="485"/>
      <c r="BC639" s="485"/>
      <c r="BD639" s="485"/>
      <c r="BE639" s="485"/>
      <c r="BF639" s="485"/>
      <c r="BG639" s="485"/>
      <c r="BH639" s="485"/>
      <c r="BI639" s="485"/>
      <c r="BJ639" s="485"/>
      <c r="BK639" s="485"/>
      <c r="BL639" s="485"/>
      <c r="BM639" s="485"/>
      <c r="BN639" s="485"/>
      <c r="BO639" s="485"/>
      <c r="BP639" s="485"/>
      <c r="BQ639" s="485"/>
      <c r="BR639" s="485"/>
      <c r="BS639" s="485"/>
      <c r="BT639" s="485"/>
      <c r="BU639" s="485"/>
      <c r="BV639" s="485"/>
      <c r="BW639" s="485"/>
      <c r="BX639" s="485"/>
      <c r="BY639" s="485"/>
      <c r="BZ639" s="485"/>
      <c r="CA639" s="485"/>
      <c r="CB639" s="485"/>
      <c r="CC639" s="485"/>
      <c r="CD639" s="485"/>
      <c r="CE639" s="485"/>
      <c r="CF639" s="485"/>
      <c r="CG639" s="485"/>
      <c r="CH639" s="485"/>
      <c r="CI639" s="485"/>
      <c r="CJ639" s="485"/>
      <c r="CK639" s="485"/>
      <c r="CL639" s="485"/>
      <c r="CM639" s="485"/>
      <c r="CN639" s="485"/>
      <c r="CO639" s="485"/>
      <c r="CP639" s="485"/>
      <c r="CQ639" s="485"/>
      <c r="CR639" s="485"/>
      <c r="CS639" s="485"/>
      <c r="CT639" s="485"/>
      <c r="CU639" s="485"/>
      <c r="CV639" s="485"/>
      <c r="CW639" s="485"/>
      <c r="CX639" s="485"/>
      <c r="CY639" s="485"/>
      <c r="CZ639" s="485"/>
      <c r="DA639" s="485"/>
      <c r="DB639" s="485"/>
      <c r="DC639" s="485"/>
      <c r="DD639" s="485"/>
      <c r="DE639" s="485"/>
      <c r="DF639" s="485"/>
      <c r="DG639" s="485"/>
      <c r="DH639" s="485"/>
      <c r="DI639" s="485"/>
      <c r="DJ639" s="485"/>
      <c r="DK639" s="485"/>
      <c r="DL639" s="485"/>
      <c r="DM639" s="485"/>
      <c r="DN639" s="485"/>
      <c r="DO639" s="485"/>
      <c r="DP639" s="485"/>
      <c r="DQ639" s="485"/>
      <c r="DR639" s="485"/>
      <c r="DS639" s="485"/>
      <c r="DT639" s="485"/>
      <c r="DU639" s="485"/>
      <c r="DV639" s="485"/>
      <c r="DW639" s="485"/>
      <c r="DX639" s="485"/>
      <c r="DY639" s="485"/>
      <c r="DZ639" s="485"/>
      <c r="EA639" s="485"/>
      <c r="EB639" s="485"/>
      <c r="EC639" s="485"/>
      <c r="ED639" s="485"/>
      <c r="EE639" s="485"/>
      <c r="EF639" s="485"/>
      <c r="EG639" s="485"/>
      <c r="EH639" s="485"/>
      <c r="EI639" s="485"/>
      <c r="EJ639" s="485"/>
      <c r="EK639" s="485"/>
      <c r="EL639" s="485"/>
      <c r="EM639" s="485"/>
      <c r="EN639" s="485"/>
      <c r="EO639" s="485"/>
      <c r="EP639" s="485"/>
    </row>
    <row r="640" spans="1:146">
      <c r="A640" s="485"/>
      <c r="B640" s="485"/>
      <c r="C640" s="485"/>
      <c r="D640" s="485"/>
      <c r="E640" s="485"/>
      <c r="F640" s="485"/>
      <c r="G640" s="485"/>
      <c r="H640" s="485"/>
      <c r="I640" s="485"/>
      <c r="J640" s="485"/>
      <c r="K640" s="485"/>
      <c r="L640" s="485"/>
      <c r="M640" s="485"/>
      <c r="P640" s="485"/>
      <c r="Q640" s="485"/>
      <c r="R640" s="485"/>
      <c r="S640" s="485"/>
      <c r="T640" s="485"/>
      <c r="U640" s="485"/>
      <c r="V640" s="485"/>
      <c r="W640" s="485"/>
      <c r="X640" s="485"/>
      <c r="Y640" s="485"/>
      <c r="Z640" s="485"/>
      <c r="AA640" s="485"/>
      <c r="AB640" s="485"/>
      <c r="AC640" s="485"/>
      <c r="AD640" s="485"/>
      <c r="AE640" s="485"/>
      <c r="AF640" s="485"/>
      <c r="AG640" s="485"/>
      <c r="AH640" s="485"/>
      <c r="AI640" s="485"/>
      <c r="AJ640" s="485"/>
      <c r="AK640" s="485"/>
      <c r="AL640" s="485"/>
      <c r="AM640" s="485"/>
      <c r="AN640" s="485"/>
      <c r="AO640" s="485"/>
      <c r="AP640" s="485"/>
      <c r="AQ640" s="485"/>
      <c r="AR640" s="485"/>
      <c r="AS640" s="485"/>
      <c r="AT640" s="485"/>
      <c r="AU640" s="485"/>
      <c r="AV640" s="485"/>
      <c r="AW640" s="485"/>
      <c r="AX640" s="485"/>
      <c r="AY640" s="485"/>
      <c r="AZ640" s="485"/>
      <c r="BA640" s="485"/>
      <c r="BB640" s="485"/>
      <c r="BC640" s="485"/>
      <c r="BD640" s="485"/>
      <c r="BE640" s="485"/>
      <c r="BF640" s="485"/>
      <c r="BG640" s="485"/>
      <c r="BH640" s="485"/>
      <c r="BI640" s="485"/>
      <c r="BJ640" s="485"/>
      <c r="BK640" s="485"/>
      <c r="BL640" s="485"/>
      <c r="BM640" s="485"/>
      <c r="BN640" s="485"/>
      <c r="BO640" s="485"/>
      <c r="BP640" s="485"/>
      <c r="BQ640" s="485"/>
      <c r="BR640" s="485"/>
      <c r="BS640" s="485"/>
      <c r="BT640" s="485"/>
      <c r="BU640" s="485"/>
      <c r="BV640" s="485"/>
      <c r="BW640" s="485"/>
      <c r="BX640" s="485"/>
      <c r="BY640" s="485"/>
      <c r="BZ640" s="485"/>
      <c r="CA640" s="485"/>
      <c r="CB640" s="485"/>
      <c r="CC640" s="485"/>
      <c r="CD640" s="485"/>
      <c r="CE640" s="485"/>
      <c r="CF640" s="485"/>
      <c r="CG640" s="485"/>
      <c r="CH640" s="485"/>
      <c r="CI640" s="485"/>
      <c r="CJ640" s="485"/>
      <c r="CK640" s="485"/>
      <c r="CL640" s="485"/>
      <c r="CM640" s="485"/>
      <c r="CN640" s="485"/>
      <c r="CO640" s="485"/>
      <c r="CP640" s="485"/>
      <c r="CQ640" s="485"/>
      <c r="CR640" s="485"/>
      <c r="CS640" s="485"/>
      <c r="CT640" s="485"/>
      <c r="CU640" s="485"/>
      <c r="CV640" s="485"/>
      <c r="CW640" s="485"/>
      <c r="CX640" s="485"/>
      <c r="CY640" s="485"/>
      <c r="CZ640" s="485"/>
      <c r="DA640" s="485"/>
      <c r="DB640" s="485"/>
      <c r="DC640" s="485"/>
      <c r="DD640" s="485"/>
      <c r="DE640" s="485"/>
      <c r="DF640" s="485"/>
      <c r="DG640" s="485"/>
      <c r="DH640" s="485"/>
      <c r="DI640" s="485"/>
      <c r="DJ640" s="485"/>
      <c r="DK640" s="485"/>
      <c r="DL640" s="485"/>
      <c r="DM640" s="485"/>
      <c r="DN640" s="485"/>
      <c r="DO640" s="485"/>
      <c r="DP640" s="485"/>
      <c r="DQ640" s="485"/>
      <c r="DR640" s="485"/>
      <c r="DS640" s="485"/>
      <c r="DT640" s="485"/>
      <c r="DU640" s="485"/>
      <c r="DV640" s="485"/>
      <c r="DW640" s="485"/>
      <c r="DX640" s="485"/>
      <c r="DY640" s="485"/>
      <c r="DZ640" s="485"/>
      <c r="EA640" s="485"/>
      <c r="EB640" s="485"/>
      <c r="EC640" s="485"/>
      <c r="ED640" s="485"/>
      <c r="EE640" s="485"/>
      <c r="EF640" s="485"/>
      <c r="EG640" s="485"/>
      <c r="EH640" s="485"/>
      <c r="EI640" s="485"/>
      <c r="EJ640" s="485"/>
      <c r="EK640" s="485"/>
      <c r="EL640" s="485"/>
      <c r="EM640" s="485"/>
      <c r="EN640" s="485"/>
      <c r="EO640" s="485"/>
      <c r="EP640" s="485"/>
    </row>
    <row r="641" spans="1:146">
      <c r="A641" s="485"/>
      <c r="B641" s="485"/>
      <c r="C641" s="485"/>
      <c r="D641" s="485"/>
      <c r="E641" s="485"/>
      <c r="F641" s="485"/>
      <c r="G641" s="485"/>
      <c r="H641" s="485"/>
      <c r="I641" s="485"/>
      <c r="J641" s="485"/>
      <c r="K641" s="485"/>
      <c r="L641" s="485"/>
      <c r="M641" s="485"/>
      <c r="P641" s="485"/>
      <c r="Q641" s="485"/>
      <c r="R641" s="485"/>
      <c r="S641" s="485"/>
      <c r="T641" s="485"/>
      <c r="U641" s="485"/>
      <c r="V641" s="485"/>
      <c r="W641" s="485"/>
      <c r="X641" s="485"/>
      <c r="Y641" s="485"/>
      <c r="Z641" s="485"/>
      <c r="AA641" s="485"/>
      <c r="AB641" s="485"/>
      <c r="AC641" s="485"/>
      <c r="AD641" s="485"/>
      <c r="AE641" s="485"/>
      <c r="AF641" s="485"/>
      <c r="AG641" s="485"/>
      <c r="AH641" s="485"/>
      <c r="AI641" s="485"/>
      <c r="AJ641" s="485"/>
      <c r="AK641" s="485"/>
      <c r="AL641" s="485"/>
      <c r="AM641" s="485"/>
      <c r="AN641" s="485"/>
      <c r="AO641" s="485"/>
      <c r="AP641" s="485"/>
      <c r="AQ641" s="485"/>
      <c r="AR641" s="485"/>
      <c r="AS641" s="485"/>
      <c r="AT641" s="485"/>
      <c r="AU641" s="485"/>
      <c r="AV641" s="485"/>
      <c r="AW641" s="485"/>
      <c r="AX641" s="485"/>
      <c r="AY641" s="485"/>
      <c r="AZ641" s="485"/>
      <c r="BA641" s="485"/>
      <c r="BB641" s="485"/>
      <c r="BC641" s="485"/>
      <c r="BD641" s="485"/>
      <c r="BE641" s="485"/>
      <c r="BF641" s="485"/>
      <c r="BG641" s="485"/>
      <c r="BH641" s="485"/>
      <c r="BI641" s="485"/>
      <c r="BJ641" s="485"/>
      <c r="BK641" s="485"/>
      <c r="BL641" s="485"/>
      <c r="BM641" s="485"/>
      <c r="BN641" s="485"/>
      <c r="BO641" s="485"/>
      <c r="BP641" s="485"/>
      <c r="BQ641" s="485"/>
      <c r="BR641" s="485"/>
      <c r="BS641" s="485"/>
      <c r="BT641" s="485"/>
      <c r="BU641" s="485"/>
      <c r="BV641" s="485"/>
      <c r="BW641" s="485"/>
      <c r="BX641" s="485"/>
      <c r="BY641" s="485"/>
      <c r="BZ641" s="485"/>
      <c r="CA641" s="485"/>
      <c r="CB641" s="485"/>
      <c r="CC641" s="485"/>
      <c r="CD641" s="485"/>
      <c r="CE641" s="485"/>
      <c r="CF641" s="485"/>
      <c r="CG641" s="485"/>
      <c r="CH641" s="485"/>
      <c r="CI641" s="485"/>
      <c r="CJ641" s="485"/>
      <c r="CK641" s="485"/>
      <c r="CL641" s="485"/>
      <c r="CM641" s="485"/>
      <c r="CN641" s="485"/>
      <c r="CO641" s="485"/>
      <c r="CP641" s="485"/>
      <c r="CQ641" s="485"/>
      <c r="CR641" s="485"/>
      <c r="CS641" s="485"/>
      <c r="CT641" s="485"/>
      <c r="CU641" s="485"/>
      <c r="CV641" s="485"/>
      <c r="CW641" s="485"/>
      <c r="CX641" s="485"/>
      <c r="CY641" s="485"/>
      <c r="CZ641" s="485"/>
      <c r="DA641" s="485"/>
      <c r="DB641" s="485"/>
      <c r="DC641" s="485"/>
      <c r="DD641" s="485"/>
      <c r="DE641" s="485"/>
      <c r="DF641" s="485"/>
      <c r="DG641" s="485"/>
      <c r="DH641" s="485"/>
      <c r="DI641" s="485"/>
      <c r="DJ641" s="485"/>
      <c r="DK641" s="485"/>
      <c r="DL641" s="485"/>
      <c r="DM641" s="485"/>
      <c r="DN641" s="485"/>
      <c r="DO641" s="485"/>
      <c r="DP641" s="485"/>
      <c r="DQ641" s="485"/>
      <c r="DR641" s="485"/>
      <c r="DS641" s="485"/>
      <c r="DT641" s="485"/>
      <c r="DU641" s="485"/>
      <c r="DV641" s="485"/>
      <c r="DW641" s="485"/>
      <c r="DX641" s="485"/>
      <c r="DY641" s="485"/>
      <c r="DZ641" s="485"/>
      <c r="EA641" s="485"/>
      <c r="EB641" s="485"/>
      <c r="EC641" s="485"/>
      <c r="ED641" s="485"/>
      <c r="EE641" s="485"/>
      <c r="EF641" s="485"/>
      <c r="EG641" s="485"/>
      <c r="EH641" s="485"/>
      <c r="EI641" s="485"/>
      <c r="EJ641" s="485"/>
      <c r="EK641" s="485"/>
      <c r="EL641" s="485"/>
      <c r="EM641" s="485"/>
      <c r="EN641" s="485"/>
      <c r="EO641" s="485"/>
      <c r="EP641" s="485"/>
    </row>
    <row r="642" spans="1:146">
      <c r="A642" s="485"/>
      <c r="B642" s="485"/>
      <c r="C642" s="485"/>
      <c r="D642" s="485"/>
      <c r="E642" s="485"/>
      <c r="F642" s="485"/>
      <c r="G642" s="485"/>
      <c r="H642" s="485"/>
      <c r="I642" s="485"/>
      <c r="J642" s="485"/>
      <c r="K642" s="485"/>
      <c r="L642" s="485"/>
      <c r="M642" s="485"/>
      <c r="P642" s="485"/>
      <c r="Q642" s="485"/>
      <c r="R642" s="485"/>
      <c r="S642" s="485"/>
      <c r="T642" s="485"/>
      <c r="U642" s="485"/>
      <c r="V642" s="485"/>
      <c r="W642" s="485"/>
      <c r="X642" s="485"/>
      <c r="Y642" s="485"/>
      <c r="Z642" s="485"/>
      <c r="AA642" s="485"/>
      <c r="AB642" s="485"/>
      <c r="AC642" s="485"/>
      <c r="AD642" s="485"/>
      <c r="AE642" s="485"/>
      <c r="AF642" s="485"/>
      <c r="AG642" s="485"/>
      <c r="AH642" s="485"/>
      <c r="AI642" s="485"/>
      <c r="AJ642" s="485"/>
      <c r="AK642" s="485"/>
      <c r="AL642" s="485"/>
      <c r="AM642" s="485"/>
      <c r="AN642" s="485"/>
      <c r="AO642" s="485"/>
      <c r="AP642" s="485"/>
      <c r="AQ642" s="485"/>
      <c r="AR642" s="485"/>
      <c r="AS642" s="485"/>
      <c r="AT642" s="485"/>
      <c r="AU642" s="485"/>
      <c r="AV642" s="485"/>
      <c r="AW642" s="485"/>
      <c r="AX642" s="485"/>
      <c r="AY642" s="485"/>
      <c r="AZ642" s="485"/>
      <c r="BA642" s="485"/>
      <c r="BB642" s="485"/>
      <c r="BC642" s="485"/>
      <c r="BD642" s="485"/>
      <c r="BE642" s="485"/>
      <c r="BF642" s="485"/>
      <c r="BG642" s="485"/>
      <c r="BH642" s="485"/>
      <c r="BI642" s="485"/>
      <c r="BJ642" s="485"/>
      <c r="BK642" s="485"/>
      <c r="BL642" s="485"/>
      <c r="BM642" s="485"/>
      <c r="BN642" s="485"/>
      <c r="BO642" s="485"/>
      <c r="BP642" s="485"/>
      <c r="BQ642" s="485"/>
      <c r="BR642" s="485"/>
      <c r="BS642" s="485"/>
      <c r="BT642" s="485"/>
      <c r="BU642" s="485"/>
      <c r="BV642" s="485"/>
      <c r="BW642" s="485"/>
      <c r="BX642" s="485"/>
      <c r="BY642" s="485"/>
      <c r="BZ642" s="485"/>
      <c r="CA642" s="485"/>
      <c r="CB642" s="485"/>
      <c r="CC642" s="485"/>
      <c r="CD642" s="485"/>
      <c r="CE642" s="485"/>
      <c r="CF642" s="485"/>
      <c r="CG642" s="485"/>
      <c r="CH642" s="485"/>
      <c r="CI642" s="485"/>
      <c r="CJ642" s="485"/>
      <c r="CK642" s="485"/>
      <c r="CL642" s="485"/>
      <c r="CM642" s="485"/>
      <c r="CN642" s="485"/>
      <c r="CO642" s="485"/>
      <c r="CP642" s="485"/>
      <c r="CQ642" s="485"/>
      <c r="CR642" s="485"/>
      <c r="CS642" s="485"/>
      <c r="CT642" s="485"/>
      <c r="CU642" s="485"/>
      <c r="CV642" s="485"/>
      <c r="CW642" s="485"/>
      <c r="CX642" s="485"/>
      <c r="CY642" s="485"/>
      <c r="CZ642" s="485"/>
      <c r="DA642" s="485"/>
      <c r="DB642" s="485"/>
      <c r="DC642" s="485"/>
      <c r="DD642" s="485"/>
      <c r="DE642" s="485"/>
      <c r="DF642" s="485"/>
      <c r="DG642" s="485"/>
      <c r="DH642" s="485"/>
      <c r="DI642" s="485"/>
      <c r="DJ642" s="485"/>
      <c r="DK642" s="485"/>
      <c r="DL642" s="485"/>
      <c r="DM642" s="485"/>
      <c r="DN642" s="485"/>
      <c r="DO642" s="485"/>
      <c r="DP642" s="485"/>
      <c r="DQ642" s="485"/>
      <c r="DR642" s="485"/>
      <c r="DS642" s="485"/>
      <c r="DT642" s="485"/>
      <c r="DU642" s="485"/>
      <c r="DV642" s="485"/>
      <c r="DW642" s="485"/>
      <c r="DX642" s="485"/>
      <c r="DY642" s="485"/>
      <c r="DZ642" s="485"/>
      <c r="EA642" s="485"/>
      <c r="EB642" s="485"/>
      <c r="EC642" s="485"/>
      <c r="ED642" s="485"/>
      <c r="EE642" s="485"/>
      <c r="EF642" s="485"/>
      <c r="EG642" s="485"/>
      <c r="EH642" s="485"/>
      <c r="EI642" s="485"/>
      <c r="EJ642" s="485"/>
      <c r="EK642" s="485"/>
      <c r="EL642" s="485"/>
      <c r="EM642" s="485"/>
      <c r="EN642" s="485"/>
      <c r="EO642" s="485"/>
      <c r="EP642" s="485"/>
    </row>
    <row r="643" spans="1:146">
      <c r="A643" s="485"/>
      <c r="B643" s="485"/>
      <c r="C643" s="485"/>
      <c r="D643" s="485"/>
      <c r="E643" s="485"/>
      <c r="F643" s="485"/>
      <c r="G643" s="485"/>
      <c r="H643" s="485"/>
      <c r="I643" s="485"/>
      <c r="J643" s="485"/>
      <c r="K643" s="485"/>
      <c r="L643" s="485"/>
      <c r="M643" s="485"/>
      <c r="P643" s="485"/>
      <c r="Q643" s="485"/>
      <c r="R643" s="485"/>
      <c r="S643" s="485"/>
      <c r="T643" s="485"/>
      <c r="U643" s="485"/>
      <c r="V643" s="485"/>
      <c r="W643" s="485"/>
      <c r="X643" s="485"/>
      <c r="Y643" s="485"/>
      <c r="Z643" s="485"/>
      <c r="AA643" s="485"/>
      <c r="AB643" s="485"/>
      <c r="AC643" s="485"/>
      <c r="AD643" s="485"/>
      <c r="AE643" s="485"/>
      <c r="AF643" s="485"/>
      <c r="AG643" s="485"/>
      <c r="AH643" s="485"/>
      <c r="AI643" s="485"/>
      <c r="AJ643" s="485"/>
      <c r="AK643" s="485"/>
      <c r="AL643" s="485"/>
      <c r="AM643" s="485"/>
      <c r="AN643" s="485"/>
      <c r="AO643" s="485"/>
      <c r="AP643" s="485"/>
      <c r="AQ643" s="485"/>
      <c r="AR643" s="485"/>
      <c r="AS643" s="485"/>
      <c r="AT643" s="485"/>
      <c r="AU643" s="485"/>
      <c r="AV643" s="485"/>
      <c r="AW643" s="485"/>
      <c r="AX643" s="485"/>
      <c r="AY643" s="485"/>
      <c r="AZ643" s="485"/>
      <c r="BA643" s="485"/>
      <c r="BB643" s="485"/>
      <c r="BC643" s="485"/>
      <c r="BD643" s="485"/>
      <c r="BE643" s="485"/>
      <c r="BF643" s="485"/>
      <c r="BG643" s="485"/>
      <c r="BH643" s="485"/>
      <c r="BI643" s="485"/>
      <c r="BJ643" s="485"/>
      <c r="BK643" s="485"/>
      <c r="BL643" s="485"/>
      <c r="BM643" s="485"/>
      <c r="BN643" s="485"/>
      <c r="BO643" s="485"/>
      <c r="BP643" s="485"/>
      <c r="BQ643" s="485"/>
      <c r="BR643" s="485"/>
      <c r="BS643" s="485"/>
      <c r="BT643" s="485"/>
      <c r="BU643" s="485"/>
      <c r="BV643" s="485"/>
      <c r="BW643" s="485"/>
      <c r="BX643" s="485"/>
      <c r="BY643" s="485"/>
      <c r="BZ643" s="485"/>
      <c r="CA643" s="485"/>
      <c r="CB643" s="485"/>
      <c r="CC643" s="485"/>
      <c r="CD643" s="485"/>
      <c r="CE643" s="485"/>
      <c r="CF643" s="485"/>
      <c r="CG643" s="485"/>
      <c r="CH643" s="485"/>
      <c r="CI643" s="485"/>
      <c r="CJ643" s="485"/>
      <c r="CK643" s="485"/>
      <c r="CL643" s="485"/>
      <c r="CM643" s="485"/>
      <c r="CN643" s="485"/>
      <c r="CO643" s="485"/>
      <c r="CP643" s="485"/>
      <c r="CQ643" s="485"/>
      <c r="CR643" s="485"/>
      <c r="CS643" s="485"/>
      <c r="CT643" s="485"/>
      <c r="CU643" s="485"/>
      <c r="CV643" s="485"/>
      <c r="CW643" s="485"/>
      <c r="CX643" s="485"/>
      <c r="CY643" s="485"/>
      <c r="CZ643" s="485"/>
      <c r="DA643" s="485"/>
      <c r="DB643" s="485"/>
      <c r="DC643" s="485"/>
      <c r="DD643" s="485"/>
      <c r="DE643" s="485"/>
      <c r="DF643" s="485"/>
      <c r="DG643" s="485"/>
      <c r="DH643" s="485"/>
      <c r="DI643" s="485"/>
      <c r="DJ643" s="485"/>
      <c r="DK643" s="485"/>
      <c r="DL643" s="485"/>
      <c r="DM643" s="485"/>
      <c r="DN643" s="485"/>
      <c r="DO643" s="485"/>
      <c r="DP643" s="485"/>
      <c r="DQ643" s="485"/>
      <c r="DR643" s="485"/>
      <c r="DS643" s="485"/>
      <c r="DT643" s="485"/>
      <c r="DU643" s="485"/>
      <c r="DV643" s="485"/>
      <c r="DW643" s="485"/>
      <c r="DX643" s="485"/>
      <c r="DY643" s="485"/>
      <c r="DZ643" s="485"/>
      <c r="EA643" s="485"/>
      <c r="EB643" s="485"/>
      <c r="EC643" s="485"/>
      <c r="ED643" s="485"/>
      <c r="EE643" s="485"/>
      <c r="EF643" s="485"/>
      <c r="EG643" s="485"/>
      <c r="EH643" s="485"/>
      <c r="EI643" s="485"/>
      <c r="EJ643" s="485"/>
      <c r="EK643" s="485"/>
      <c r="EL643" s="485"/>
      <c r="EM643" s="485"/>
      <c r="EN643" s="485"/>
      <c r="EO643" s="485"/>
      <c r="EP643" s="485"/>
    </row>
    <row r="644" spans="1:146">
      <c r="A644" s="485"/>
      <c r="B644" s="485"/>
      <c r="C644" s="485"/>
      <c r="D644" s="485"/>
      <c r="E644" s="485"/>
      <c r="F644" s="485"/>
      <c r="G644" s="485"/>
      <c r="H644" s="485"/>
      <c r="I644" s="485"/>
      <c r="J644" s="485"/>
      <c r="K644" s="485"/>
      <c r="L644" s="485"/>
      <c r="M644" s="485"/>
      <c r="P644" s="485"/>
      <c r="Q644" s="485"/>
      <c r="R644" s="485"/>
      <c r="S644" s="485"/>
      <c r="T644" s="485"/>
      <c r="U644" s="485"/>
      <c r="V644" s="485"/>
      <c r="W644" s="485"/>
      <c r="X644" s="485"/>
      <c r="Y644" s="485"/>
      <c r="Z644" s="485"/>
      <c r="AA644" s="485"/>
      <c r="AB644" s="485"/>
      <c r="AC644" s="485"/>
      <c r="AD644" s="485"/>
      <c r="AE644" s="485"/>
      <c r="AF644" s="485"/>
      <c r="AG644" s="485"/>
      <c r="AH644" s="485"/>
      <c r="AI644" s="485"/>
      <c r="AJ644" s="485"/>
      <c r="AK644" s="485"/>
      <c r="AL644" s="485"/>
      <c r="AM644" s="485"/>
      <c r="AN644" s="485"/>
      <c r="AO644" s="485"/>
      <c r="AP644" s="485"/>
      <c r="AQ644" s="485"/>
      <c r="AR644" s="485"/>
      <c r="AS644" s="485"/>
      <c r="AT644" s="485"/>
      <c r="AU644" s="485"/>
      <c r="AV644" s="485"/>
      <c r="AW644" s="485"/>
      <c r="AX644" s="485"/>
      <c r="AY644" s="485"/>
      <c r="AZ644" s="485"/>
      <c r="BA644" s="485"/>
      <c r="BB644" s="485"/>
      <c r="BC644" s="485"/>
      <c r="BD644" s="485"/>
      <c r="BE644" s="485"/>
      <c r="BF644" s="485"/>
      <c r="BG644" s="485"/>
      <c r="BH644" s="485"/>
      <c r="BI644" s="485"/>
      <c r="BJ644" s="485"/>
      <c r="BK644" s="485"/>
      <c r="BL644" s="485"/>
      <c r="BM644" s="485"/>
      <c r="BN644" s="485"/>
      <c r="BO644" s="485"/>
      <c r="BP644" s="485"/>
      <c r="BQ644" s="485"/>
      <c r="BR644" s="485"/>
      <c r="BS644" s="485"/>
      <c r="BT644" s="485"/>
      <c r="BU644" s="485"/>
      <c r="BV644" s="485"/>
      <c r="BW644" s="485"/>
      <c r="BX644" s="485"/>
      <c r="BY644" s="485"/>
      <c r="BZ644" s="485"/>
      <c r="CA644" s="485"/>
      <c r="CB644" s="485"/>
      <c r="CC644" s="485"/>
      <c r="CD644" s="485"/>
      <c r="CE644" s="485"/>
      <c r="CF644" s="485"/>
      <c r="CG644" s="485"/>
      <c r="CH644" s="485"/>
      <c r="CI644" s="485"/>
      <c r="CJ644" s="485"/>
      <c r="CK644" s="485"/>
      <c r="CL644" s="485"/>
      <c r="CM644" s="485"/>
      <c r="CN644" s="485"/>
      <c r="CO644" s="485"/>
      <c r="CP644" s="485"/>
      <c r="CQ644" s="485"/>
      <c r="CR644" s="485"/>
      <c r="CS644" s="485"/>
      <c r="CT644" s="485"/>
      <c r="CU644" s="485"/>
      <c r="CV644" s="485"/>
      <c r="CW644" s="485"/>
      <c r="CX644" s="485"/>
      <c r="CY644" s="485"/>
      <c r="CZ644" s="485"/>
      <c r="DA644" s="485"/>
      <c r="DB644" s="485"/>
      <c r="DC644" s="485"/>
      <c r="DD644" s="485"/>
      <c r="DE644" s="485"/>
      <c r="DF644" s="485"/>
      <c r="DG644" s="485"/>
      <c r="DH644" s="485"/>
      <c r="DI644" s="485"/>
      <c r="DJ644" s="485"/>
      <c r="DK644" s="485"/>
      <c r="DL644" s="485"/>
      <c r="DM644" s="485"/>
      <c r="DN644" s="485"/>
      <c r="DO644" s="485"/>
      <c r="DP644" s="485"/>
      <c r="DQ644" s="485"/>
      <c r="DR644" s="485"/>
      <c r="DS644" s="485"/>
      <c r="DT644" s="485"/>
      <c r="DU644" s="485"/>
      <c r="DV644" s="485"/>
      <c r="DW644" s="485"/>
      <c r="DX644" s="485"/>
      <c r="DY644" s="485"/>
      <c r="DZ644" s="485"/>
      <c r="EA644" s="485"/>
      <c r="EB644" s="485"/>
      <c r="EC644" s="485"/>
      <c r="ED644" s="485"/>
      <c r="EE644" s="485"/>
      <c r="EF644" s="485"/>
      <c r="EG644" s="485"/>
      <c r="EH644" s="485"/>
      <c r="EI644" s="485"/>
      <c r="EJ644" s="485"/>
      <c r="EK644" s="485"/>
      <c r="EL644" s="485"/>
      <c r="EM644" s="485"/>
      <c r="EN644" s="485"/>
      <c r="EO644" s="485"/>
      <c r="EP644" s="485"/>
    </row>
    <row r="645" spans="1:146">
      <c r="A645" s="485"/>
      <c r="B645" s="485"/>
      <c r="C645" s="485"/>
      <c r="D645" s="485"/>
      <c r="E645" s="485"/>
      <c r="F645" s="485"/>
      <c r="G645" s="485"/>
      <c r="H645" s="485"/>
      <c r="I645" s="485"/>
      <c r="J645" s="485"/>
      <c r="K645" s="485"/>
      <c r="L645" s="485"/>
      <c r="M645" s="485"/>
      <c r="P645" s="485"/>
      <c r="Q645" s="485"/>
      <c r="R645" s="485"/>
      <c r="S645" s="485"/>
      <c r="T645" s="485"/>
      <c r="U645" s="485"/>
      <c r="V645" s="485"/>
      <c r="W645" s="485"/>
      <c r="X645" s="485"/>
      <c r="Y645" s="485"/>
      <c r="Z645" s="485"/>
      <c r="AA645" s="485"/>
      <c r="AB645" s="485"/>
      <c r="AC645" s="485"/>
      <c r="AD645" s="485"/>
      <c r="AE645" s="485"/>
      <c r="AF645" s="485"/>
      <c r="AG645" s="485"/>
      <c r="AH645" s="485"/>
      <c r="AI645" s="485"/>
      <c r="AJ645" s="485"/>
      <c r="AK645" s="485"/>
      <c r="AL645" s="485"/>
      <c r="AM645" s="485"/>
      <c r="AN645" s="485"/>
      <c r="AO645" s="485"/>
      <c r="AP645" s="485"/>
      <c r="AQ645" s="485"/>
      <c r="AR645" s="485"/>
      <c r="AS645" s="485"/>
      <c r="AT645" s="485"/>
      <c r="AU645" s="485"/>
      <c r="AV645" s="485"/>
      <c r="AW645" s="485"/>
      <c r="AX645" s="485"/>
      <c r="AY645" s="485"/>
      <c r="AZ645" s="485"/>
      <c r="BA645" s="485"/>
      <c r="BB645" s="485"/>
      <c r="BC645" s="485"/>
      <c r="BD645" s="485"/>
      <c r="BE645" s="485"/>
      <c r="BF645" s="485"/>
      <c r="BG645" s="485"/>
      <c r="BH645" s="485"/>
      <c r="BI645" s="485"/>
      <c r="BJ645" s="485"/>
      <c r="BK645" s="485"/>
      <c r="BL645" s="485"/>
      <c r="BM645" s="485"/>
      <c r="BN645" s="485"/>
      <c r="BO645" s="485"/>
      <c r="BP645" s="485"/>
      <c r="BQ645" s="485"/>
      <c r="BR645" s="485"/>
      <c r="BS645" s="485"/>
      <c r="BT645" s="485"/>
      <c r="BU645" s="485"/>
      <c r="BV645" s="485"/>
      <c r="BW645" s="485"/>
      <c r="BX645" s="485"/>
      <c r="BY645" s="485"/>
      <c r="BZ645" s="485"/>
      <c r="CA645" s="485"/>
      <c r="CB645" s="485"/>
      <c r="CC645" s="485"/>
      <c r="CD645" s="485"/>
      <c r="CE645" s="485"/>
      <c r="CF645" s="485"/>
      <c r="CG645" s="485"/>
      <c r="CH645" s="485"/>
      <c r="CI645" s="485"/>
      <c r="CJ645" s="485"/>
      <c r="CK645" s="485"/>
      <c r="CL645" s="485"/>
      <c r="CM645" s="485"/>
      <c r="CN645" s="485"/>
      <c r="CO645" s="485"/>
      <c r="CP645" s="485"/>
      <c r="CQ645" s="485"/>
      <c r="CR645" s="485"/>
      <c r="CS645" s="485"/>
      <c r="CT645" s="485"/>
      <c r="CU645" s="485"/>
      <c r="CV645" s="485"/>
      <c r="CW645" s="485"/>
      <c r="CX645" s="485"/>
      <c r="CY645" s="485"/>
      <c r="CZ645" s="485"/>
      <c r="DA645" s="485"/>
      <c r="DB645" s="485"/>
      <c r="DC645" s="485"/>
      <c r="DD645" s="485"/>
      <c r="DE645" s="485"/>
      <c r="DF645" s="485"/>
      <c r="DG645" s="485"/>
      <c r="DH645" s="485"/>
      <c r="DI645" s="485"/>
      <c r="DJ645" s="485"/>
      <c r="DK645" s="485"/>
      <c r="DL645" s="485"/>
      <c r="DM645" s="485"/>
      <c r="DN645" s="485"/>
      <c r="DO645" s="485"/>
      <c r="DP645" s="485"/>
      <c r="DQ645" s="485"/>
      <c r="DR645" s="485"/>
      <c r="DS645" s="485"/>
      <c r="DT645" s="485"/>
      <c r="DU645" s="485"/>
      <c r="DV645" s="485"/>
      <c r="DW645" s="485"/>
      <c r="DX645" s="485"/>
      <c r="DY645" s="485"/>
      <c r="DZ645" s="485"/>
      <c r="EA645" s="485"/>
      <c r="EB645" s="485"/>
      <c r="EC645" s="485"/>
      <c r="ED645" s="485"/>
      <c r="EE645" s="485"/>
      <c r="EF645" s="485"/>
      <c r="EG645" s="485"/>
      <c r="EH645" s="485"/>
      <c r="EI645" s="485"/>
      <c r="EJ645" s="485"/>
      <c r="EK645" s="485"/>
      <c r="EL645" s="485"/>
      <c r="EM645" s="485"/>
      <c r="EN645" s="485"/>
      <c r="EO645" s="485"/>
      <c r="EP645" s="485"/>
    </row>
    <row r="646" spans="1:146">
      <c r="A646" s="485"/>
      <c r="B646" s="485"/>
      <c r="C646" s="485"/>
      <c r="D646" s="485"/>
      <c r="E646" s="485"/>
      <c r="F646" s="485"/>
      <c r="G646" s="485"/>
      <c r="H646" s="485"/>
      <c r="I646" s="485"/>
      <c r="J646" s="485"/>
      <c r="K646" s="485"/>
      <c r="L646" s="485"/>
      <c r="M646" s="485"/>
      <c r="P646" s="485"/>
      <c r="Q646" s="485"/>
      <c r="R646" s="485"/>
      <c r="S646" s="485"/>
      <c r="T646" s="485"/>
      <c r="U646" s="485"/>
      <c r="V646" s="485"/>
      <c r="W646" s="485"/>
      <c r="X646" s="485"/>
      <c r="Y646" s="485"/>
      <c r="Z646" s="485"/>
      <c r="AA646" s="485"/>
      <c r="AB646" s="485"/>
      <c r="AC646" s="485"/>
      <c r="AD646" s="485"/>
      <c r="AE646" s="485"/>
      <c r="AF646" s="485"/>
      <c r="AG646" s="485"/>
      <c r="AH646" s="485"/>
      <c r="AI646" s="485"/>
      <c r="AJ646" s="485"/>
      <c r="AK646" s="485"/>
      <c r="AL646" s="485"/>
      <c r="AM646" s="485"/>
      <c r="AN646" s="485"/>
      <c r="AO646" s="485"/>
      <c r="AP646" s="485"/>
      <c r="AQ646" s="485"/>
      <c r="AR646" s="485"/>
      <c r="AS646" s="485"/>
      <c r="AT646" s="485"/>
      <c r="AU646" s="485"/>
      <c r="AV646" s="485"/>
      <c r="AW646" s="485"/>
      <c r="AX646" s="485"/>
      <c r="AY646" s="485"/>
      <c r="AZ646" s="485"/>
      <c r="BA646" s="485"/>
      <c r="BB646" s="485"/>
      <c r="BC646" s="485"/>
      <c r="BD646" s="485"/>
      <c r="BE646" s="485"/>
      <c r="BF646" s="485"/>
      <c r="BG646" s="485"/>
      <c r="BH646" s="485"/>
      <c r="BI646" s="485"/>
      <c r="BJ646" s="485"/>
      <c r="BK646" s="485"/>
      <c r="BL646" s="485"/>
      <c r="BM646" s="485"/>
      <c r="BN646" s="485"/>
      <c r="BO646" s="485"/>
      <c r="BP646" s="485"/>
      <c r="BQ646" s="485"/>
      <c r="BR646" s="485"/>
      <c r="BS646" s="485"/>
      <c r="BT646" s="485"/>
      <c r="BU646" s="485"/>
      <c r="BV646" s="485"/>
      <c r="BW646" s="485"/>
      <c r="BX646" s="485"/>
      <c r="BY646" s="485"/>
      <c r="BZ646" s="485"/>
      <c r="CA646" s="485"/>
      <c r="CB646" s="485"/>
      <c r="CC646" s="485"/>
      <c r="CD646" s="485"/>
      <c r="CE646" s="485"/>
      <c r="CF646" s="485"/>
      <c r="CG646" s="485"/>
      <c r="CH646" s="485"/>
      <c r="CI646" s="485"/>
      <c r="CJ646" s="485"/>
      <c r="CK646" s="485"/>
      <c r="CL646" s="485"/>
      <c r="CM646" s="485"/>
      <c r="CN646" s="485"/>
      <c r="CO646" s="485"/>
      <c r="CP646" s="485"/>
      <c r="CQ646" s="485"/>
      <c r="CR646" s="485"/>
      <c r="CS646" s="485"/>
      <c r="CT646" s="485"/>
      <c r="CU646" s="485"/>
      <c r="CV646" s="485"/>
      <c r="CW646" s="485"/>
      <c r="CX646" s="485"/>
      <c r="CY646" s="485"/>
      <c r="CZ646" s="485"/>
      <c r="DA646" s="485"/>
      <c r="DB646" s="485"/>
      <c r="DC646" s="485"/>
      <c r="DD646" s="485"/>
      <c r="DE646" s="485"/>
      <c r="DF646" s="485"/>
      <c r="DG646" s="485"/>
      <c r="DH646" s="485"/>
      <c r="DI646" s="485"/>
      <c r="DJ646" s="485"/>
      <c r="DK646" s="485"/>
      <c r="DL646" s="485"/>
      <c r="DM646" s="485"/>
      <c r="DN646" s="485"/>
      <c r="DO646" s="485"/>
      <c r="DP646" s="485"/>
      <c r="DQ646" s="485"/>
      <c r="DR646" s="485"/>
      <c r="DS646" s="485"/>
      <c r="DT646" s="485"/>
      <c r="DU646" s="485"/>
      <c r="DV646" s="485"/>
      <c r="DW646" s="485"/>
      <c r="DX646" s="485"/>
      <c r="DY646" s="485"/>
      <c r="DZ646" s="485"/>
      <c r="EA646" s="485"/>
      <c r="EB646" s="485"/>
      <c r="EC646" s="485"/>
      <c r="ED646" s="485"/>
      <c r="EE646" s="485"/>
      <c r="EF646" s="485"/>
      <c r="EG646" s="485"/>
      <c r="EH646" s="485"/>
      <c r="EI646" s="485"/>
      <c r="EJ646" s="485"/>
      <c r="EK646" s="485"/>
      <c r="EL646" s="485"/>
      <c r="EM646" s="485"/>
      <c r="EN646" s="485"/>
      <c r="EO646" s="485"/>
      <c r="EP646" s="485"/>
    </row>
    <row r="647" spans="1:146">
      <c r="A647" s="485"/>
      <c r="B647" s="485"/>
      <c r="C647" s="485"/>
      <c r="D647" s="485"/>
      <c r="E647" s="485"/>
      <c r="F647" s="485"/>
      <c r="G647" s="485"/>
      <c r="H647" s="485"/>
      <c r="I647" s="485"/>
      <c r="J647" s="485"/>
      <c r="K647" s="485"/>
      <c r="L647" s="485"/>
      <c r="M647" s="485"/>
      <c r="P647" s="485"/>
      <c r="Q647" s="485"/>
      <c r="R647" s="485"/>
      <c r="S647" s="485"/>
      <c r="T647" s="485"/>
      <c r="U647" s="485"/>
      <c r="V647" s="485"/>
      <c r="W647" s="485"/>
      <c r="X647" s="485"/>
      <c r="Y647" s="485"/>
      <c r="Z647" s="485"/>
      <c r="AA647" s="485"/>
      <c r="AB647" s="485"/>
      <c r="AC647" s="485"/>
      <c r="AD647" s="485"/>
      <c r="AE647" s="485"/>
      <c r="AF647" s="485"/>
      <c r="AG647" s="485"/>
      <c r="AH647" s="485"/>
      <c r="AI647" s="485"/>
      <c r="AJ647" s="485"/>
      <c r="AK647" s="485"/>
      <c r="AL647" s="485"/>
      <c r="AM647" s="485"/>
      <c r="AN647" s="485"/>
      <c r="AO647" s="485"/>
      <c r="AP647" s="485"/>
      <c r="AQ647" s="485"/>
      <c r="AR647" s="485"/>
      <c r="AS647" s="485"/>
      <c r="AT647" s="485"/>
      <c r="AU647" s="485"/>
      <c r="AV647" s="485"/>
      <c r="AW647" s="485"/>
      <c r="AX647" s="485"/>
      <c r="AY647" s="485"/>
      <c r="AZ647" s="485"/>
      <c r="BA647" s="485"/>
      <c r="BB647" s="485"/>
      <c r="BC647" s="485"/>
      <c r="BD647" s="485"/>
      <c r="BE647" s="485"/>
      <c r="BF647" s="485"/>
      <c r="BG647" s="485"/>
      <c r="BH647" s="485"/>
      <c r="BI647" s="485"/>
      <c r="BJ647" s="485"/>
      <c r="BK647" s="485"/>
      <c r="BL647" s="485"/>
      <c r="BM647" s="485"/>
      <c r="BN647" s="485"/>
      <c r="BO647" s="485"/>
      <c r="BP647" s="485"/>
      <c r="BQ647" s="485"/>
      <c r="BR647" s="485"/>
      <c r="BS647" s="485"/>
      <c r="BT647" s="485"/>
      <c r="BU647" s="485"/>
      <c r="BV647" s="485"/>
      <c r="BW647" s="485"/>
      <c r="BX647" s="485"/>
      <c r="BY647" s="485"/>
      <c r="BZ647" s="485"/>
      <c r="CA647" s="485"/>
      <c r="CB647" s="485"/>
      <c r="CC647" s="485"/>
      <c r="CD647" s="485"/>
      <c r="CE647" s="485"/>
      <c r="CF647" s="485"/>
      <c r="CG647" s="485"/>
      <c r="CH647" s="485"/>
      <c r="CI647" s="485"/>
      <c r="CJ647" s="485"/>
      <c r="CK647" s="485"/>
      <c r="CL647" s="485"/>
      <c r="CM647" s="485"/>
      <c r="CN647" s="485"/>
      <c r="CO647" s="485"/>
      <c r="CP647" s="485"/>
      <c r="CQ647" s="485"/>
      <c r="CR647" s="485"/>
      <c r="CS647" s="485"/>
      <c r="CT647" s="485"/>
      <c r="CU647" s="485"/>
      <c r="CV647" s="485"/>
      <c r="CW647" s="485"/>
      <c r="CX647" s="485"/>
      <c r="CY647" s="485"/>
      <c r="CZ647" s="485"/>
      <c r="DA647" s="485"/>
      <c r="DB647" s="485"/>
      <c r="DC647" s="485"/>
      <c r="DD647" s="485"/>
      <c r="DE647" s="485"/>
      <c r="DF647" s="485"/>
      <c r="DG647" s="485"/>
      <c r="DH647" s="485"/>
      <c r="DI647" s="485"/>
      <c r="DJ647" s="485"/>
      <c r="DK647" s="485"/>
      <c r="DL647" s="485"/>
      <c r="DM647" s="485"/>
      <c r="DN647" s="485"/>
      <c r="DO647" s="485"/>
      <c r="DP647" s="485"/>
      <c r="DQ647" s="485"/>
      <c r="DR647" s="485"/>
      <c r="DS647" s="485"/>
      <c r="DT647" s="485"/>
      <c r="DU647" s="485"/>
      <c r="DV647" s="485"/>
      <c r="DW647" s="485"/>
      <c r="DX647" s="485"/>
      <c r="DY647" s="485"/>
      <c r="DZ647" s="485"/>
      <c r="EA647" s="485"/>
      <c r="EB647" s="485"/>
      <c r="EC647" s="485"/>
      <c r="ED647" s="485"/>
      <c r="EE647" s="485"/>
      <c r="EF647" s="485"/>
      <c r="EG647" s="485"/>
      <c r="EH647" s="485"/>
      <c r="EI647" s="485"/>
      <c r="EJ647" s="485"/>
      <c r="EK647" s="485"/>
      <c r="EL647" s="485"/>
      <c r="EM647" s="485"/>
      <c r="EN647" s="485"/>
      <c r="EO647" s="485"/>
      <c r="EP647" s="485"/>
    </row>
    <row r="648" spans="1:146">
      <c r="A648" s="485"/>
      <c r="B648" s="485"/>
      <c r="C648" s="485"/>
      <c r="D648" s="485"/>
      <c r="E648" s="485"/>
      <c r="F648" s="485"/>
      <c r="G648" s="485"/>
      <c r="H648" s="485"/>
      <c r="I648" s="485"/>
      <c r="J648" s="485"/>
      <c r="K648" s="485"/>
      <c r="L648" s="485"/>
      <c r="M648" s="485"/>
      <c r="P648" s="485"/>
      <c r="Q648" s="485"/>
      <c r="R648" s="485"/>
      <c r="S648" s="485"/>
      <c r="T648" s="485"/>
      <c r="U648" s="485"/>
      <c r="V648" s="485"/>
      <c r="W648" s="485"/>
      <c r="X648" s="485"/>
      <c r="Y648" s="485"/>
      <c r="Z648" s="485"/>
      <c r="AA648" s="485"/>
      <c r="AB648" s="485"/>
      <c r="AC648" s="485"/>
      <c r="AD648" s="485"/>
      <c r="AE648" s="485"/>
      <c r="AF648" s="485"/>
      <c r="AG648" s="485"/>
      <c r="AH648" s="485"/>
      <c r="AI648" s="485"/>
      <c r="AJ648" s="485"/>
      <c r="AK648" s="485"/>
      <c r="AL648" s="485"/>
      <c r="AM648" s="485"/>
      <c r="AN648" s="485"/>
      <c r="AO648" s="485"/>
      <c r="AP648" s="485"/>
      <c r="AQ648" s="485"/>
      <c r="AR648" s="485"/>
      <c r="AS648" s="485"/>
      <c r="AT648" s="485"/>
      <c r="AU648" s="485"/>
      <c r="AV648" s="485"/>
      <c r="AW648" s="485"/>
      <c r="AX648" s="485"/>
      <c r="AY648" s="485"/>
      <c r="AZ648" s="485"/>
      <c r="BA648" s="485"/>
      <c r="BB648" s="485"/>
      <c r="BC648" s="485"/>
      <c r="BD648" s="485"/>
      <c r="BE648" s="485"/>
      <c r="BF648" s="485"/>
      <c r="BG648" s="485"/>
      <c r="BH648" s="485"/>
      <c r="BI648" s="485"/>
      <c r="BJ648" s="485"/>
      <c r="BK648" s="485"/>
      <c r="BL648" s="485"/>
      <c r="BM648" s="485"/>
      <c r="BN648" s="485"/>
      <c r="BO648" s="485"/>
      <c r="BP648" s="485"/>
      <c r="BQ648" s="485"/>
      <c r="BR648" s="485"/>
      <c r="BS648" s="485"/>
      <c r="BT648" s="485"/>
      <c r="BU648" s="485"/>
      <c r="BV648" s="485"/>
      <c r="BW648" s="485"/>
      <c r="BX648" s="485"/>
      <c r="BY648" s="485"/>
      <c r="BZ648" s="485"/>
      <c r="CA648" s="485"/>
      <c r="CB648" s="485"/>
      <c r="CC648" s="485"/>
      <c r="CD648" s="485"/>
      <c r="CE648" s="485"/>
      <c r="CF648" s="485"/>
      <c r="CG648" s="485"/>
      <c r="CH648" s="485"/>
      <c r="CI648" s="485"/>
      <c r="CJ648" s="485"/>
      <c r="CK648" s="485"/>
      <c r="CL648" s="485"/>
      <c r="CM648" s="485"/>
      <c r="CN648" s="485"/>
      <c r="CO648" s="485"/>
      <c r="CP648" s="485"/>
      <c r="CQ648" s="485"/>
      <c r="CR648" s="485"/>
      <c r="CS648" s="485"/>
      <c r="CT648" s="485"/>
      <c r="CU648" s="485"/>
      <c r="CV648" s="485"/>
      <c r="CW648" s="485"/>
      <c r="CX648" s="485"/>
      <c r="CY648" s="485"/>
      <c r="CZ648" s="485"/>
      <c r="DA648" s="485"/>
      <c r="DB648" s="485"/>
      <c r="DC648" s="485"/>
      <c r="DD648" s="485"/>
      <c r="DE648" s="485"/>
      <c r="DF648" s="485"/>
      <c r="DG648" s="485"/>
      <c r="DH648" s="485"/>
      <c r="DI648" s="485"/>
      <c r="DJ648" s="485"/>
      <c r="DK648" s="485"/>
      <c r="DL648" s="485"/>
      <c r="DM648" s="485"/>
      <c r="DN648" s="485"/>
      <c r="DO648" s="485"/>
      <c r="DP648" s="485"/>
      <c r="DQ648" s="485"/>
      <c r="DR648" s="485"/>
      <c r="DS648" s="485"/>
      <c r="DT648" s="485"/>
      <c r="DU648" s="485"/>
      <c r="DV648" s="485"/>
      <c r="DW648" s="485"/>
      <c r="DX648" s="485"/>
      <c r="DY648" s="485"/>
      <c r="DZ648" s="485"/>
      <c r="EA648" s="485"/>
      <c r="EB648" s="485"/>
      <c r="EC648" s="485"/>
      <c r="ED648" s="485"/>
      <c r="EE648" s="485"/>
      <c r="EF648" s="485"/>
      <c r="EG648" s="485"/>
      <c r="EH648" s="485"/>
      <c r="EI648" s="485"/>
      <c r="EJ648" s="485"/>
      <c r="EK648" s="485"/>
      <c r="EL648" s="485"/>
      <c r="EM648" s="485"/>
      <c r="EN648" s="485"/>
      <c r="EO648" s="485"/>
      <c r="EP648" s="485"/>
    </row>
    <row r="649" spans="1:146">
      <c r="A649" s="485"/>
      <c r="B649" s="485"/>
      <c r="C649" s="485"/>
      <c r="D649" s="485"/>
      <c r="E649" s="485"/>
      <c r="F649" s="485"/>
      <c r="G649" s="485"/>
      <c r="H649" s="485"/>
      <c r="I649" s="485"/>
      <c r="J649" s="485"/>
      <c r="K649" s="485"/>
      <c r="L649" s="485"/>
      <c r="M649" s="485"/>
      <c r="P649" s="485"/>
      <c r="Q649" s="485"/>
      <c r="R649" s="485"/>
      <c r="S649" s="485"/>
      <c r="T649" s="485"/>
      <c r="U649" s="485"/>
      <c r="V649" s="485"/>
      <c r="W649" s="485"/>
      <c r="X649" s="485"/>
      <c r="Y649" s="485"/>
      <c r="Z649" s="485"/>
      <c r="AA649" s="485"/>
      <c r="AB649" s="485"/>
      <c r="AC649" s="485"/>
      <c r="AD649" s="485"/>
      <c r="AE649" s="485"/>
      <c r="AF649" s="485"/>
      <c r="AG649" s="485"/>
      <c r="AH649" s="485"/>
      <c r="AI649" s="485"/>
      <c r="AJ649" s="485"/>
      <c r="AK649" s="485"/>
      <c r="AL649" s="485"/>
      <c r="AM649" s="485"/>
      <c r="AN649" s="485"/>
      <c r="AO649" s="485"/>
      <c r="AP649" s="485"/>
      <c r="AQ649" s="485"/>
      <c r="AR649" s="485"/>
      <c r="AS649" s="485"/>
      <c r="AT649" s="485"/>
      <c r="AU649" s="485"/>
      <c r="AV649" s="485"/>
      <c r="AW649" s="485"/>
      <c r="AX649" s="485"/>
      <c r="AY649" s="485"/>
      <c r="AZ649" s="485"/>
      <c r="BA649" s="485"/>
      <c r="BB649" s="485"/>
      <c r="BC649" s="485"/>
      <c r="BD649" s="485"/>
      <c r="BE649" s="485"/>
      <c r="BF649" s="485"/>
      <c r="BG649" s="485"/>
      <c r="BH649" s="485"/>
      <c r="BI649" s="485"/>
      <c r="BJ649" s="485"/>
      <c r="BK649" s="485"/>
      <c r="BL649" s="485"/>
      <c r="BM649" s="485"/>
      <c r="BN649" s="485"/>
      <c r="BO649" s="485"/>
      <c r="BP649" s="485"/>
      <c r="BQ649" s="485"/>
      <c r="BR649" s="485"/>
      <c r="BS649" s="485"/>
      <c r="BT649" s="485"/>
      <c r="BU649" s="485"/>
      <c r="BV649" s="485"/>
      <c r="BW649" s="485"/>
      <c r="BX649" s="485"/>
      <c r="BY649" s="485"/>
      <c r="BZ649" s="485"/>
      <c r="CA649" s="485"/>
      <c r="CB649" s="485"/>
      <c r="CC649" s="485"/>
      <c r="CD649" s="485"/>
      <c r="CE649" s="485"/>
      <c r="CF649" s="485"/>
      <c r="CG649" s="485"/>
      <c r="CH649" s="485"/>
      <c r="CI649" s="485"/>
      <c r="CJ649" s="485"/>
      <c r="CK649" s="485"/>
      <c r="CL649" s="485"/>
      <c r="CM649" s="485"/>
      <c r="CN649" s="485"/>
      <c r="CO649" s="485"/>
      <c r="CP649" s="485"/>
      <c r="CQ649" s="485"/>
      <c r="CR649" s="485"/>
      <c r="CS649" s="485"/>
      <c r="CT649" s="485"/>
      <c r="CU649" s="485"/>
      <c r="CV649" s="485"/>
      <c r="CW649" s="485"/>
      <c r="CX649" s="485"/>
      <c r="CY649" s="485"/>
      <c r="CZ649" s="485"/>
      <c r="DA649" s="485"/>
      <c r="DB649" s="485"/>
      <c r="DC649" s="485"/>
      <c r="DD649" s="485"/>
      <c r="DE649" s="485"/>
      <c r="DF649" s="485"/>
      <c r="DG649" s="485"/>
      <c r="DH649" s="485"/>
      <c r="DI649" s="485"/>
      <c r="DJ649" s="485"/>
      <c r="DK649" s="485"/>
      <c r="DL649" s="485"/>
      <c r="DM649" s="485"/>
      <c r="DN649" s="485"/>
      <c r="DO649" s="485"/>
      <c r="DP649" s="485"/>
      <c r="DQ649" s="485"/>
      <c r="DR649" s="485"/>
      <c r="DS649" s="485"/>
      <c r="DT649" s="485"/>
      <c r="DU649" s="485"/>
      <c r="DV649" s="485"/>
      <c r="DW649" s="485"/>
      <c r="DX649" s="485"/>
      <c r="DY649" s="485"/>
      <c r="DZ649" s="485"/>
      <c r="EA649" s="485"/>
      <c r="EB649" s="485"/>
      <c r="EC649" s="485"/>
      <c r="ED649" s="485"/>
      <c r="EE649" s="485"/>
      <c r="EF649" s="485"/>
      <c r="EG649" s="485"/>
      <c r="EH649" s="485"/>
      <c r="EI649" s="485"/>
      <c r="EJ649" s="485"/>
      <c r="EK649" s="485"/>
      <c r="EL649" s="485"/>
      <c r="EM649" s="485"/>
      <c r="EN649" s="485"/>
      <c r="EO649" s="485"/>
      <c r="EP649" s="485"/>
    </row>
    <row r="650" spans="1:146">
      <c r="A650" s="485"/>
      <c r="B650" s="485"/>
      <c r="C650" s="485"/>
      <c r="D650" s="485"/>
      <c r="E650" s="485"/>
      <c r="F650" s="485"/>
      <c r="G650" s="485"/>
      <c r="H650" s="485"/>
      <c r="I650" s="485"/>
      <c r="J650" s="485"/>
      <c r="K650" s="485"/>
      <c r="L650" s="485"/>
      <c r="M650" s="485"/>
      <c r="P650" s="485"/>
      <c r="Q650" s="485"/>
      <c r="R650" s="485"/>
      <c r="S650" s="485"/>
      <c r="T650" s="485"/>
      <c r="U650" s="485"/>
      <c r="V650" s="485"/>
      <c r="W650" s="485"/>
      <c r="X650" s="485"/>
      <c r="Y650" s="485"/>
      <c r="Z650" s="485"/>
      <c r="AA650" s="485"/>
      <c r="AB650" s="485"/>
      <c r="AC650" s="485"/>
      <c r="AD650" s="485"/>
      <c r="AE650" s="485"/>
      <c r="AF650" s="485"/>
      <c r="AG650" s="485"/>
      <c r="AH650" s="485"/>
      <c r="AI650" s="485"/>
      <c r="AJ650" s="485"/>
      <c r="AK650" s="485"/>
      <c r="AL650" s="485"/>
      <c r="AM650" s="485"/>
      <c r="AN650" s="485"/>
      <c r="AO650" s="485"/>
      <c r="AP650" s="485"/>
      <c r="AQ650" s="485"/>
      <c r="AR650" s="485"/>
      <c r="AS650" s="485"/>
      <c r="AT650" s="485"/>
      <c r="AU650" s="485"/>
      <c r="AV650" s="485"/>
      <c r="AW650" s="485"/>
      <c r="AX650" s="485"/>
      <c r="AY650" s="485"/>
      <c r="AZ650" s="485"/>
      <c r="BA650" s="485"/>
      <c r="BB650" s="485"/>
      <c r="BC650" s="485"/>
      <c r="BD650" s="485"/>
      <c r="BE650" s="485"/>
      <c r="BF650" s="485"/>
      <c r="BG650" s="485"/>
      <c r="BH650" s="485"/>
      <c r="BI650" s="485"/>
      <c r="BJ650" s="485"/>
      <c r="BK650" s="485"/>
      <c r="BL650" s="485"/>
      <c r="BM650" s="485"/>
      <c r="BN650" s="485"/>
      <c r="BO650" s="485"/>
      <c r="BP650" s="485"/>
      <c r="BQ650" s="485"/>
      <c r="BR650" s="485"/>
      <c r="BS650" s="485"/>
      <c r="BT650" s="485"/>
      <c r="BU650" s="485"/>
      <c r="BV650" s="485"/>
      <c r="BW650" s="485"/>
      <c r="BX650" s="485"/>
      <c r="BY650" s="485"/>
      <c r="BZ650" s="485"/>
      <c r="CA650" s="485"/>
      <c r="CB650" s="485"/>
      <c r="CC650" s="485"/>
      <c r="CD650" s="485"/>
      <c r="CE650" s="485"/>
      <c r="CF650" s="485"/>
      <c r="CG650" s="485"/>
      <c r="CH650" s="485"/>
      <c r="CI650" s="485"/>
      <c r="CJ650" s="485"/>
      <c r="CK650" s="485"/>
      <c r="CL650" s="485"/>
      <c r="CM650" s="485"/>
      <c r="CN650" s="485"/>
      <c r="CO650" s="485"/>
      <c r="CP650" s="485"/>
      <c r="CQ650" s="485"/>
      <c r="CR650" s="485"/>
      <c r="CS650" s="485"/>
      <c r="CT650" s="485"/>
      <c r="CU650" s="485"/>
      <c r="CV650" s="485"/>
      <c r="CW650" s="485"/>
      <c r="CX650" s="485"/>
      <c r="CY650" s="485"/>
      <c r="CZ650" s="485"/>
      <c r="DA650" s="485"/>
      <c r="DB650" s="485"/>
      <c r="DC650" s="485"/>
      <c r="DD650" s="485"/>
      <c r="DE650" s="485"/>
      <c r="DF650" s="485"/>
      <c r="DG650" s="485"/>
      <c r="DH650" s="485"/>
      <c r="DI650" s="485"/>
      <c r="DJ650" s="485"/>
      <c r="DK650" s="485"/>
      <c r="DL650" s="485"/>
      <c r="DM650" s="485"/>
      <c r="DN650" s="485"/>
      <c r="DO650" s="485"/>
      <c r="DP650" s="485"/>
      <c r="DQ650" s="485"/>
      <c r="DR650" s="485"/>
      <c r="DS650" s="485"/>
      <c r="DT650" s="485"/>
      <c r="DU650" s="485"/>
      <c r="DV650" s="485"/>
      <c r="DW650" s="485"/>
      <c r="DX650" s="485"/>
      <c r="DY650" s="485"/>
      <c r="DZ650" s="485"/>
      <c r="EA650" s="485"/>
      <c r="EB650" s="485"/>
      <c r="EC650" s="485"/>
      <c r="ED650" s="485"/>
      <c r="EE650" s="485"/>
      <c r="EF650" s="485"/>
      <c r="EG650" s="485"/>
      <c r="EH650" s="485"/>
      <c r="EI650" s="485"/>
      <c r="EJ650" s="485"/>
      <c r="EK650" s="485"/>
      <c r="EL650" s="485"/>
      <c r="EM650" s="485"/>
      <c r="EN650" s="485"/>
      <c r="EO650" s="485"/>
      <c r="EP650" s="485"/>
    </row>
    <row r="651" spans="1:146">
      <c r="A651" s="485"/>
      <c r="B651" s="485"/>
      <c r="C651" s="485"/>
      <c r="D651" s="485"/>
      <c r="E651" s="485"/>
      <c r="F651" s="485"/>
      <c r="G651" s="485"/>
      <c r="H651" s="485"/>
      <c r="I651" s="485"/>
      <c r="J651" s="485"/>
      <c r="K651" s="485"/>
      <c r="L651" s="485"/>
      <c r="M651" s="485"/>
      <c r="P651" s="485"/>
      <c r="Q651" s="485"/>
      <c r="R651" s="485"/>
      <c r="S651" s="485"/>
      <c r="T651" s="485"/>
      <c r="U651" s="485"/>
      <c r="V651" s="485"/>
      <c r="W651" s="485"/>
      <c r="X651" s="485"/>
      <c r="Y651" s="485"/>
      <c r="Z651" s="485"/>
      <c r="AA651" s="485"/>
      <c r="AB651" s="485"/>
      <c r="AC651" s="485"/>
      <c r="AD651" s="485"/>
      <c r="AE651" s="485"/>
      <c r="AF651" s="485"/>
      <c r="AG651" s="485"/>
      <c r="AH651" s="485"/>
      <c r="AI651" s="485"/>
      <c r="AJ651" s="485"/>
      <c r="AK651" s="485"/>
      <c r="AL651" s="485"/>
      <c r="AM651" s="485"/>
      <c r="AN651" s="485"/>
      <c r="AO651" s="485"/>
      <c r="AP651" s="485"/>
      <c r="AQ651" s="485"/>
      <c r="AR651" s="485"/>
      <c r="AS651" s="485"/>
      <c r="AT651" s="485"/>
      <c r="AU651" s="485"/>
      <c r="AV651" s="485"/>
      <c r="AW651" s="485"/>
      <c r="AX651" s="485"/>
      <c r="AY651" s="485"/>
      <c r="AZ651" s="485"/>
      <c r="BA651" s="485"/>
      <c r="BB651" s="485"/>
      <c r="BC651" s="485"/>
      <c r="BD651" s="485"/>
      <c r="BE651" s="485"/>
      <c r="BF651" s="485"/>
      <c r="BG651" s="485"/>
      <c r="BH651" s="485"/>
      <c r="BI651" s="485"/>
      <c r="BJ651" s="485"/>
      <c r="BK651" s="485"/>
      <c r="BL651" s="485"/>
      <c r="BM651" s="485"/>
      <c r="BN651" s="485"/>
      <c r="BO651" s="485"/>
      <c r="BP651" s="485"/>
      <c r="BQ651" s="485"/>
      <c r="BR651" s="485"/>
      <c r="BS651" s="485"/>
      <c r="BT651" s="485"/>
      <c r="BU651" s="485"/>
      <c r="BV651" s="485"/>
      <c r="BW651" s="485"/>
      <c r="BX651" s="485"/>
      <c r="BY651" s="485"/>
      <c r="BZ651" s="485"/>
      <c r="CA651" s="485"/>
      <c r="CB651" s="485"/>
      <c r="CC651" s="485"/>
      <c r="CD651" s="485"/>
      <c r="CE651" s="485"/>
      <c r="CF651" s="485"/>
      <c r="CG651" s="485"/>
      <c r="CH651" s="485"/>
      <c r="CI651" s="485"/>
      <c r="CJ651" s="485"/>
      <c r="CK651" s="485"/>
      <c r="CL651" s="485"/>
      <c r="CM651" s="485"/>
      <c r="CN651" s="485"/>
      <c r="CO651" s="485"/>
      <c r="CP651" s="485"/>
      <c r="CQ651" s="485"/>
      <c r="CR651" s="485"/>
      <c r="CS651" s="485"/>
      <c r="CT651" s="485"/>
      <c r="CU651" s="485"/>
      <c r="CV651" s="485"/>
      <c r="CW651" s="485"/>
      <c r="CX651" s="485"/>
      <c r="CY651" s="485"/>
      <c r="CZ651" s="485"/>
      <c r="DA651" s="485"/>
      <c r="DB651" s="485"/>
      <c r="DC651" s="485"/>
      <c r="DD651" s="485"/>
      <c r="DE651" s="485"/>
      <c r="DF651" s="485"/>
      <c r="DG651" s="485"/>
      <c r="DH651" s="485"/>
      <c r="DI651" s="485"/>
      <c r="DJ651" s="485"/>
      <c r="DK651" s="485"/>
      <c r="DL651" s="485"/>
      <c r="DM651" s="485"/>
      <c r="DN651" s="485"/>
      <c r="DO651" s="485"/>
      <c r="DP651" s="485"/>
      <c r="DQ651" s="485"/>
      <c r="DR651" s="485"/>
      <c r="DS651" s="485"/>
      <c r="DT651" s="485"/>
      <c r="DU651" s="485"/>
      <c r="DV651" s="485"/>
      <c r="DW651" s="485"/>
      <c r="DX651" s="485"/>
      <c r="DY651" s="485"/>
      <c r="DZ651" s="485"/>
      <c r="EA651" s="485"/>
      <c r="EB651" s="485"/>
      <c r="EC651" s="485"/>
      <c r="ED651" s="485"/>
      <c r="EE651" s="485"/>
      <c r="EF651" s="485"/>
      <c r="EG651" s="485"/>
      <c r="EH651" s="485"/>
      <c r="EI651" s="485"/>
      <c r="EJ651" s="485"/>
      <c r="EK651" s="485"/>
      <c r="EL651" s="485"/>
      <c r="EM651" s="485"/>
      <c r="EN651" s="485"/>
      <c r="EO651" s="485"/>
      <c r="EP651" s="485"/>
    </row>
    <row r="652" spans="1:146">
      <c r="A652" s="485"/>
      <c r="B652" s="485"/>
      <c r="C652" s="485"/>
      <c r="D652" s="485"/>
      <c r="E652" s="485"/>
      <c r="F652" s="485"/>
      <c r="G652" s="485"/>
      <c r="H652" s="485"/>
      <c r="I652" s="485"/>
      <c r="J652" s="485"/>
      <c r="K652" s="485"/>
      <c r="L652" s="485"/>
      <c r="M652" s="485"/>
      <c r="P652" s="485"/>
      <c r="Q652" s="485"/>
      <c r="R652" s="485"/>
      <c r="S652" s="485"/>
      <c r="T652" s="485"/>
      <c r="U652" s="485"/>
      <c r="V652" s="485"/>
      <c r="W652" s="485"/>
      <c r="X652" s="485"/>
      <c r="Y652" s="485"/>
      <c r="Z652" s="485"/>
      <c r="AA652" s="485"/>
      <c r="AB652" s="485"/>
      <c r="AC652" s="485"/>
      <c r="AD652" s="485"/>
      <c r="AE652" s="485"/>
      <c r="AF652" s="485"/>
      <c r="AG652" s="485"/>
      <c r="AH652" s="485"/>
      <c r="AI652" s="485"/>
      <c r="AJ652" s="485"/>
      <c r="AK652" s="485"/>
      <c r="AL652" s="485"/>
      <c r="AM652" s="485"/>
      <c r="AN652" s="485"/>
      <c r="AO652" s="485"/>
      <c r="AP652" s="485"/>
      <c r="AQ652" s="485"/>
      <c r="AR652" s="485"/>
      <c r="AS652" s="485"/>
      <c r="AT652" s="485"/>
      <c r="AU652" s="485"/>
      <c r="AV652" s="485"/>
      <c r="AW652" s="485"/>
      <c r="AX652" s="485"/>
      <c r="AY652" s="485"/>
      <c r="AZ652" s="485"/>
      <c r="BA652" s="485"/>
      <c r="BB652" s="485"/>
      <c r="BC652" s="485"/>
      <c r="BD652" s="485"/>
      <c r="BE652" s="485"/>
      <c r="BF652" s="485"/>
      <c r="BG652" s="485"/>
      <c r="BH652" s="485"/>
      <c r="BI652" s="485"/>
      <c r="BJ652" s="485"/>
      <c r="BK652" s="485"/>
      <c r="BL652" s="485"/>
      <c r="BM652" s="485"/>
      <c r="BN652" s="485"/>
      <c r="BO652" s="485"/>
      <c r="BP652" s="485"/>
      <c r="BQ652" s="485"/>
      <c r="BR652" s="485"/>
      <c r="BS652" s="485"/>
      <c r="BT652" s="485"/>
      <c r="BU652" s="485"/>
      <c r="BV652" s="485"/>
      <c r="BW652" s="485"/>
      <c r="BX652" s="485"/>
      <c r="BY652" s="485"/>
      <c r="BZ652" s="485"/>
      <c r="CA652" s="485"/>
      <c r="CB652" s="485"/>
      <c r="CC652" s="485"/>
      <c r="CD652" s="485"/>
      <c r="CE652" s="485"/>
      <c r="CF652" s="485"/>
      <c r="CG652" s="485"/>
      <c r="CH652" s="485"/>
      <c r="CI652" s="485"/>
      <c r="CJ652" s="485"/>
      <c r="CK652" s="485"/>
      <c r="CL652" s="485"/>
      <c r="CM652" s="485"/>
      <c r="CN652" s="485"/>
      <c r="CO652" s="485"/>
      <c r="CP652" s="485"/>
      <c r="CQ652" s="485"/>
      <c r="CR652" s="485"/>
      <c r="CS652" s="485"/>
      <c r="CT652" s="485"/>
      <c r="CU652" s="485"/>
      <c r="CV652" s="485"/>
      <c r="CW652" s="485"/>
      <c r="CX652" s="485"/>
      <c r="CY652" s="485"/>
      <c r="CZ652" s="485"/>
      <c r="DA652" s="485"/>
      <c r="DB652" s="485"/>
      <c r="DC652" s="485"/>
      <c r="DD652" s="485"/>
      <c r="DE652" s="485"/>
      <c r="DF652" s="485"/>
      <c r="DG652" s="485"/>
      <c r="DH652" s="485"/>
      <c r="DI652" s="485"/>
      <c r="DJ652" s="485"/>
      <c r="DK652" s="485"/>
      <c r="DL652" s="485"/>
      <c r="DM652" s="485"/>
      <c r="DN652" s="485"/>
      <c r="DO652" s="485"/>
      <c r="DP652" s="485"/>
      <c r="DQ652" s="485"/>
      <c r="DR652" s="485"/>
      <c r="DS652" s="485"/>
      <c r="DT652" s="485"/>
      <c r="DU652" s="485"/>
      <c r="DV652" s="485"/>
      <c r="DW652" s="485"/>
      <c r="DX652" s="485"/>
      <c r="DY652" s="485"/>
      <c r="DZ652" s="485"/>
      <c r="EA652" s="485"/>
      <c r="EB652" s="485"/>
      <c r="EC652" s="485"/>
      <c r="ED652" s="485"/>
      <c r="EE652" s="485"/>
      <c r="EF652" s="485"/>
      <c r="EG652" s="485"/>
      <c r="EH652" s="485"/>
      <c r="EI652" s="485"/>
      <c r="EJ652" s="485"/>
      <c r="EK652" s="485"/>
      <c r="EL652" s="485"/>
      <c r="EM652" s="485"/>
      <c r="EN652" s="485"/>
      <c r="EO652" s="485"/>
      <c r="EP652" s="485"/>
    </row>
    <row r="653" spans="1:146">
      <c r="A653" s="485"/>
      <c r="B653" s="485"/>
      <c r="C653" s="485"/>
      <c r="D653" s="485"/>
      <c r="E653" s="485"/>
      <c r="F653" s="485"/>
      <c r="G653" s="485"/>
      <c r="H653" s="485"/>
      <c r="I653" s="485"/>
      <c r="J653" s="485"/>
      <c r="K653" s="485"/>
      <c r="L653" s="485"/>
      <c r="M653" s="485"/>
      <c r="P653" s="485"/>
      <c r="Q653" s="485"/>
      <c r="R653" s="485"/>
      <c r="S653" s="485"/>
      <c r="T653" s="485"/>
      <c r="U653" s="485"/>
      <c r="V653" s="485"/>
      <c r="W653" s="485"/>
      <c r="X653" s="485"/>
      <c r="Y653" s="485"/>
      <c r="Z653" s="485"/>
      <c r="AA653" s="485"/>
      <c r="AB653" s="485"/>
      <c r="AC653" s="485"/>
      <c r="AD653" s="485"/>
      <c r="AE653" s="485"/>
      <c r="AF653" s="485"/>
      <c r="AG653" s="485"/>
      <c r="AH653" s="485"/>
      <c r="AI653" s="485"/>
      <c r="AJ653" s="485"/>
      <c r="AK653" s="485"/>
      <c r="AL653" s="485"/>
      <c r="AM653" s="485"/>
      <c r="AN653" s="485"/>
      <c r="AO653" s="485"/>
      <c r="AP653" s="485"/>
      <c r="AQ653" s="485"/>
      <c r="AR653" s="485"/>
      <c r="AS653" s="485"/>
      <c r="AT653" s="485"/>
      <c r="AU653" s="485"/>
      <c r="AV653" s="485"/>
      <c r="AW653" s="485"/>
      <c r="AX653" s="485"/>
      <c r="AY653" s="485"/>
      <c r="AZ653" s="485"/>
      <c r="BA653" s="485"/>
      <c r="BB653" s="485"/>
      <c r="BC653" s="485"/>
      <c r="BD653" s="485"/>
      <c r="BE653" s="485"/>
      <c r="BF653" s="485"/>
      <c r="BG653" s="485"/>
      <c r="BH653" s="485"/>
      <c r="BI653" s="485"/>
      <c r="BJ653" s="485"/>
      <c r="BK653" s="485"/>
      <c r="BL653" s="485"/>
      <c r="BM653" s="485"/>
      <c r="BN653" s="485"/>
      <c r="BO653" s="485"/>
      <c r="BP653" s="485"/>
      <c r="BQ653" s="485"/>
      <c r="BR653" s="485"/>
      <c r="BS653" s="485"/>
      <c r="BT653" s="485"/>
      <c r="BU653" s="485"/>
      <c r="BV653" s="485"/>
      <c r="BW653" s="485"/>
      <c r="BX653" s="485"/>
      <c r="BY653" s="485"/>
      <c r="BZ653" s="485"/>
      <c r="CA653" s="485"/>
      <c r="CB653" s="485"/>
      <c r="CC653" s="485"/>
      <c r="CD653" s="485"/>
      <c r="CE653" s="485"/>
      <c r="CF653" s="485"/>
      <c r="CG653" s="485"/>
      <c r="CH653" s="485"/>
      <c r="CI653" s="485"/>
      <c r="CJ653" s="485"/>
      <c r="CK653" s="485"/>
      <c r="CL653" s="485"/>
      <c r="CM653" s="485"/>
      <c r="CN653" s="485"/>
      <c r="CO653" s="485"/>
      <c r="CP653" s="485"/>
      <c r="CQ653" s="485"/>
      <c r="CR653" s="485"/>
      <c r="CS653" s="485"/>
      <c r="CT653" s="485"/>
      <c r="CU653" s="485"/>
      <c r="CV653" s="485"/>
      <c r="CW653" s="485"/>
      <c r="CX653" s="485"/>
      <c r="CY653" s="485"/>
      <c r="CZ653" s="485"/>
      <c r="DA653" s="485"/>
      <c r="DB653" s="485"/>
      <c r="DC653" s="485"/>
      <c r="DD653" s="485"/>
      <c r="DE653" s="485"/>
      <c r="DF653" s="485"/>
      <c r="DG653" s="485"/>
      <c r="DH653" s="485"/>
      <c r="DI653" s="485"/>
      <c r="DJ653" s="485"/>
      <c r="DK653" s="485"/>
      <c r="DL653" s="485"/>
      <c r="DM653" s="485"/>
      <c r="DN653" s="485"/>
      <c r="DO653" s="485"/>
      <c r="DP653" s="485"/>
      <c r="DQ653" s="485"/>
      <c r="DR653" s="485"/>
      <c r="DS653" s="485"/>
      <c r="DT653" s="485"/>
      <c r="DU653" s="485"/>
      <c r="DV653" s="485"/>
      <c r="DW653" s="485"/>
      <c r="DX653" s="485"/>
      <c r="DY653" s="485"/>
      <c r="DZ653" s="485"/>
      <c r="EA653" s="485"/>
      <c r="EB653" s="485"/>
      <c r="EC653" s="485"/>
      <c r="ED653" s="485"/>
      <c r="EE653" s="485"/>
      <c r="EF653" s="485"/>
      <c r="EG653" s="485"/>
      <c r="EH653" s="485"/>
      <c r="EI653" s="485"/>
      <c r="EJ653" s="485"/>
      <c r="EK653" s="485"/>
      <c r="EL653" s="485"/>
      <c r="EM653" s="485"/>
      <c r="EN653" s="485"/>
      <c r="EO653" s="485"/>
      <c r="EP653" s="485"/>
    </row>
    <row r="654" spans="1:146">
      <c r="A654" s="485"/>
      <c r="B654" s="485"/>
      <c r="C654" s="485"/>
      <c r="D654" s="485"/>
      <c r="E654" s="485"/>
      <c r="F654" s="485"/>
      <c r="G654" s="485"/>
      <c r="H654" s="485"/>
      <c r="I654" s="485"/>
      <c r="J654" s="485"/>
      <c r="K654" s="485"/>
      <c r="L654" s="485"/>
      <c r="M654" s="485"/>
      <c r="P654" s="485"/>
      <c r="Q654" s="485"/>
      <c r="R654" s="485"/>
      <c r="S654" s="485"/>
      <c r="T654" s="485"/>
      <c r="U654" s="485"/>
      <c r="V654" s="485"/>
      <c r="W654" s="485"/>
      <c r="X654" s="485"/>
      <c r="Y654" s="485"/>
      <c r="Z654" s="485"/>
      <c r="AA654" s="485"/>
      <c r="AB654" s="485"/>
      <c r="AC654" s="485"/>
      <c r="AD654" s="485"/>
      <c r="AE654" s="485"/>
      <c r="AF654" s="485"/>
      <c r="AG654" s="485"/>
      <c r="AH654" s="485"/>
      <c r="AI654" s="485"/>
      <c r="AJ654" s="485"/>
      <c r="AK654" s="485"/>
      <c r="AL654" s="485"/>
      <c r="AM654" s="485"/>
      <c r="AN654" s="485"/>
      <c r="AO654" s="485"/>
      <c r="AP654" s="485"/>
      <c r="AQ654" s="485"/>
      <c r="AR654" s="485"/>
      <c r="AS654" s="485"/>
      <c r="AT654" s="485"/>
      <c r="AU654" s="485"/>
      <c r="AV654" s="485"/>
      <c r="AW654" s="485"/>
      <c r="AX654" s="485"/>
      <c r="AY654" s="485"/>
      <c r="AZ654" s="485"/>
      <c r="BA654" s="485"/>
      <c r="BB654" s="485"/>
      <c r="BC654" s="485"/>
      <c r="BD654" s="485"/>
      <c r="BE654" s="485"/>
      <c r="BF654" s="485"/>
      <c r="BG654" s="485"/>
      <c r="BH654" s="485"/>
      <c r="BI654" s="485"/>
      <c r="BJ654" s="485"/>
      <c r="BK654" s="485"/>
      <c r="BL654" s="485"/>
      <c r="BM654" s="485"/>
      <c r="BN654" s="485"/>
      <c r="BO654" s="485"/>
      <c r="BP654" s="485"/>
      <c r="BQ654" s="485"/>
      <c r="BR654" s="485"/>
      <c r="BS654" s="485"/>
      <c r="BT654" s="485"/>
      <c r="BU654" s="485"/>
      <c r="BV654" s="485"/>
      <c r="BW654" s="485"/>
      <c r="BX654" s="485"/>
      <c r="BY654" s="485"/>
      <c r="BZ654" s="485"/>
      <c r="CA654" s="485"/>
      <c r="CB654" s="485"/>
      <c r="CC654" s="485"/>
      <c r="CD654" s="485"/>
      <c r="CE654" s="485"/>
      <c r="CF654" s="485"/>
      <c r="CG654" s="485"/>
      <c r="CH654" s="485"/>
      <c r="CI654" s="485"/>
      <c r="CJ654" s="485"/>
      <c r="CK654" s="485"/>
      <c r="CL654" s="485"/>
      <c r="CM654" s="485"/>
      <c r="CN654" s="485"/>
      <c r="CO654" s="485"/>
      <c r="CP654" s="485"/>
      <c r="CQ654" s="485"/>
      <c r="CR654" s="485"/>
      <c r="CS654" s="485"/>
      <c r="CT654" s="485"/>
      <c r="CU654" s="485"/>
      <c r="CV654" s="485"/>
      <c r="CW654" s="485"/>
      <c r="CX654" s="485"/>
      <c r="CY654" s="485"/>
      <c r="CZ654" s="485"/>
      <c r="DA654" s="485"/>
      <c r="DB654" s="485"/>
      <c r="DC654" s="485"/>
      <c r="DD654" s="485"/>
      <c r="DE654" s="485"/>
      <c r="DF654" s="485"/>
      <c r="DG654" s="485"/>
      <c r="DH654" s="485"/>
      <c r="DI654" s="485"/>
      <c r="DJ654" s="485"/>
      <c r="DK654" s="485"/>
      <c r="DL654" s="485"/>
      <c r="DM654" s="485"/>
      <c r="DN654" s="485"/>
      <c r="DO654" s="485"/>
      <c r="DP654" s="485"/>
      <c r="DQ654" s="485"/>
      <c r="DR654" s="485"/>
      <c r="DS654" s="485"/>
      <c r="DT654" s="485"/>
      <c r="DU654" s="485"/>
      <c r="DV654" s="485"/>
      <c r="DW654" s="485"/>
      <c r="DX654" s="485"/>
      <c r="DY654" s="485"/>
      <c r="DZ654" s="485"/>
      <c r="EA654" s="485"/>
      <c r="EB654" s="485"/>
      <c r="EC654" s="485"/>
      <c r="ED654" s="485"/>
      <c r="EE654" s="485"/>
      <c r="EF654" s="485"/>
      <c r="EG654" s="485"/>
      <c r="EH654" s="485"/>
      <c r="EI654" s="485"/>
      <c r="EJ654" s="485"/>
      <c r="EK654" s="485"/>
      <c r="EL654" s="485"/>
      <c r="EM654" s="485"/>
      <c r="EN654" s="485"/>
      <c r="EO654" s="485"/>
      <c r="EP654" s="485"/>
    </row>
    <row r="655" spans="1:146">
      <c r="A655" s="485"/>
      <c r="B655" s="485"/>
      <c r="C655" s="485"/>
      <c r="D655" s="485"/>
      <c r="E655" s="485"/>
      <c r="F655" s="485"/>
      <c r="G655" s="485"/>
      <c r="H655" s="485"/>
      <c r="I655" s="485"/>
      <c r="J655" s="485"/>
      <c r="K655" s="485"/>
      <c r="L655" s="485"/>
      <c r="M655" s="485"/>
      <c r="P655" s="485"/>
      <c r="Q655" s="485"/>
      <c r="R655" s="485"/>
      <c r="S655" s="485"/>
      <c r="T655" s="485"/>
      <c r="U655" s="485"/>
      <c r="V655" s="485"/>
      <c r="W655" s="485"/>
      <c r="X655" s="485"/>
      <c r="Y655" s="485"/>
      <c r="Z655" s="485"/>
      <c r="AA655" s="485"/>
      <c r="AB655" s="485"/>
      <c r="AC655" s="485"/>
      <c r="AD655" s="485"/>
      <c r="AE655" s="485"/>
      <c r="AF655" s="485"/>
      <c r="AG655" s="485"/>
      <c r="AH655" s="485"/>
      <c r="AI655" s="485"/>
      <c r="AJ655" s="485"/>
      <c r="AK655" s="485"/>
      <c r="AL655" s="485"/>
      <c r="AM655" s="485"/>
      <c r="AN655" s="485"/>
      <c r="AO655" s="485"/>
      <c r="AP655" s="485"/>
      <c r="AQ655" s="485"/>
      <c r="AR655" s="485"/>
      <c r="AS655" s="485"/>
      <c r="AT655" s="485"/>
      <c r="AU655" s="485"/>
      <c r="AV655" s="485"/>
      <c r="AW655" s="485"/>
      <c r="AX655" s="485"/>
      <c r="AY655" s="485"/>
      <c r="AZ655" s="485"/>
      <c r="BA655" s="485"/>
      <c r="BB655" s="485"/>
      <c r="BC655" s="485"/>
      <c r="BD655" s="485"/>
      <c r="BE655" s="485"/>
      <c r="BF655" s="485"/>
      <c r="BG655" s="485"/>
      <c r="BH655" s="485"/>
      <c r="BI655" s="485"/>
      <c r="BJ655" s="485"/>
      <c r="BK655" s="485"/>
      <c r="BL655" s="485"/>
      <c r="BM655" s="485"/>
      <c r="BN655" s="485"/>
      <c r="BO655" s="485"/>
      <c r="BP655" s="485"/>
      <c r="BQ655" s="485"/>
      <c r="BR655" s="485"/>
      <c r="BS655" s="485"/>
      <c r="BT655" s="485"/>
      <c r="BU655" s="485"/>
      <c r="BV655" s="485"/>
      <c r="BW655" s="485"/>
      <c r="BX655" s="485"/>
      <c r="BY655" s="485"/>
      <c r="BZ655" s="485"/>
      <c r="CA655" s="485"/>
      <c r="CB655" s="485"/>
      <c r="CC655" s="485"/>
      <c r="CD655" s="485"/>
      <c r="CE655" s="485"/>
      <c r="CF655" s="485"/>
      <c r="CG655" s="485"/>
      <c r="CH655" s="485"/>
      <c r="CI655" s="485"/>
      <c r="CJ655" s="485"/>
      <c r="CK655" s="485"/>
      <c r="CL655" s="485"/>
      <c r="CM655" s="485"/>
      <c r="CN655" s="485"/>
      <c r="CO655" s="485"/>
      <c r="CP655" s="485"/>
      <c r="CQ655" s="485"/>
      <c r="CR655" s="485"/>
      <c r="CS655" s="485"/>
      <c r="CT655" s="485"/>
      <c r="CU655" s="485"/>
      <c r="CV655" s="485"/>
      <c r="CW655" s="485"/>
      <c r="CX655" s="485"/>
      <c r="CY655" s="485"/>
      <c r="CZ655" s="485"/>
      <c r="DA655" s="485"/>
      <c r="DB655" s="485"/>
      <c r="DC655" s="485"/>
      <c r="DD655" s="485"/>
      <c r="DE655" s="485"/>
      <c r="DF655" s="485"/>
      <c r="DG655" s="485"/>
      <c r="DH655" s="485"/>
      <c r="DI655" s="485"/>
      <c r="DJ655" s="485"/>
      <c r="DK655" s="485"/>
      <c r="DL655" s="485"/>
      <c r="DM655" s="485"/>
      <c r="DN655" s="485"/>
      <c r="DO655" s="485"/>
      <c r="DP655" s="485"/>
      <c r="DQ655" s="485"/>
      <c r="DR655" s="485"/>
      <c r="DS655" s="485"/>
      <c r="DT655" s="485"/>
      <c r="DU655" s="485"/>
      <c r="DV655" s="485"/>
      <c r="DW655" s="485"/>
      <c r="DX655" s="485"/>
      <c r="DY655" s="485"/>
      <c r="DZ655" s="485"/>
      <c r="EA655" s="485"/>
      <c r="EB655" s="485"/>
      <c r="EC655" s="485"/>
      <c r="ED655" s="485"/>
      <c r="EE655" s="485"/>
      <c r="EF655" s="485"/>
      <c r="EG655" s="485"/>
      <c r="EH655" s="485"/>
      <c r="EI655" s="485"/>
      <c r="EJ655" s="485"/>
      <c r="EK655" s="485"/>
      <c r="EL655" s="485"/>
      <c r="EM655" s="485"/>
      <c r="EN655" s="485"/>
      <c r="EO655" s="485"/>
      <c r="EP655" s="485"/>
    </row>
    <row r="656" spans="1:146">
      <c r="A656" s="485"/>
      <c r="B656" s="485"/>
      <c r="C656" s="485"/>
      <c r="D656" s="485"/>
      <c r="E656" s="485"/>
      <c r="F656" s="485"/>
      <c r="G656" s="485"/>
      <c r="H656" s="485"/>
      <c r="I656" s="485"/>
      <c r="J656" s="485"/>
      <c r="K656" s="485"/>
      <c r="L656" s="485"/>
      <c r="M656" s="485"/>
      <c r="P656" s="485"/>
      <c r="Q656" s="485"/>
      <c r="R656" s="485"/>
      <c r="S656" s="485"/>
      <c r="T656" s="485"/>
      <c r="U656" s="485"/>
      <c r="V656" s="485"/>
      <c r="W656" s="485"/>
      <c r="X656" s="485"/>
      <c r="Y656" s="485"/>
      <c r="Z656" s="485"/>
      <c r="AA656" s="485"/>
      <c r="AB656" s="485"/>
      <c r="AC656" s="485"/>
      <c r="AD656" s="485"/>
      <c r="AE656" s="485"/>
      <c r="AF656" s="485"/>
      <c r="AG656" s="485"/>
      <c r="AH656" s="485"/>
      <c r="AI656" s="485"/>
      <c r="AJ656" s="485"/>
      <c r="AK656" s="485"/>
      <c r="AL656" s="485"/>
      <c r="AM656" s="485"/>
      <c r="AN656" s="485"/>
      <c r="AO656" s="485"/>
      <c r="AP656" s="485"/>
      <c r="AQ656" s="485"/>
      <c r="AR656" s="485"/>
      <c r="AS656" s="485"/>
      <c r="AT656" s="485"/>
      <c r="AU656" s="485"/>
      <c r="AV656" s="485"/>
      <c r="AW656" s="485"/>
      <c r="AX656" s="485"/>
      <c r="AY656" s="485"/>
      <c r="AZ656" s="485"/>
      <c r="BA656" s="485"/>
      <c r="BB656" s="485"/>
      <c r="BC656" s="485"/>
      <c r="BD656" s="485"/>
      <c r="BE656" s="485"/>
      <c r="BF656" s="485"/>
      <c r="BG656" s="485"/>
      <c r="BH656" s="485"/>
      <c r="BI656" s="485"/>
      <c r="BJ656" s="485"/>
      <c r="BK656" s="485"/>
      <c r="BL656" s="485"/>
      <c r="BM656" s="485"/>
      <c r="BN656" s="485"/>
      <c r="BO656" s="485"/>
      <c r="BP656" s="485"/>
      <c r="BQ656" s="485"/>
      <c r="BR656" s="485"/>
      <c r="BS656" s="485"/>
      <c r="BT656" s="485"/>
      <c r="BU656" s="485"/>
      <c r="BV656" s="485"/>
      <c r="BW656" s="485"/>
      <c r="BX656" s="485"/>
      <c r="BY656" s="485"/>
      <c r="BZ656" s="485"/>
      <c r="CA656" s="485"/>
      <c r="CB656" s="485"/>
      <c r="CC656" s="485"/>
      <c r="CD656" s="485"/>
      <c r="CE656" s="485"/>
      <c r="CF656" s="485"/>
      <c r="CG656" s="485"/>
      <c r="CH656" s="485"/>
      <c r="CI656" s="485"/>
      <c r="CJ656" s="485"/>
      <c r="CK656" s="485"/>
      <c r="CL656" s="485"/>
      <c r="CM656" s="485"/>
      <c r="CN656" s="485"/>
      <c r="CO656" s="485"/>
      <c r="CP656" s="485"/>
      <c r="CQ656" s="485"/>
      <c r="CR656" s="485"/>
      <c r="CS656" s="485"/>
      <c r="CT656" s="485"/>
      <c r="CU656" s="485"/>
      <c r="CV656" s="485"/>
      <c r="CW656" s="485"/>
      <c r="CX656" s="485"/>
      <c r="CY656" s="485"/>
      <c r="CZ656" s="485"/>
      <c r="DA656" s="485"/>
      <c r="DB656" s="485"/>
      <c r="DC656" s="485"/>
      <c r="DD656" s="485"/>
      <c r="DE656" s="485"/>
      <c r="DF656" s="485"/>
      <c r="DG656" s="485"/>
      <c r="DH656" s="485"/>
      <c r="DI656" s="485"/>
      <c r="DJ656" s="485"/>
      <c r="DK656" s="485"/>
      <c r="DL656" s="485"/>
      <c r="DM656" s="485"/>
      <c r="DN656" s="485"/>
      <c r="DO656" s="485"/>
      <c r="DP656" s="485"/>
      <c r="DQ656" s="485"/>
      <c r="DR656" s="485"/>
      <c r="DS656" s="485"/>
      <c r="DT656" s="485"/>
      <c r="DU656" s="485"/>
      <c r="DV656" s="485"/>
      <c r="DW656" s="485"/>
      <c r="DX656" s="485"/>
      <c r="DY656" s="485"/>
      <c r="DZ656" s="485"/>
      <c r="EA656" s="485"/>
      <c r="EB656" s="485"/>
      <c r="EC656" s="485"/>
      <c r="ED656" s="485"/>
      <c r="EE656" s="485"/>
      <c r="EF656" s="485"/>
      <c r="EG656" s="485"/>
      <c r="EH656" s="485"/>
      <c r="EI656" s="485"/>
      <c r="EJ656" s="485"/>
      <c r="EK656" s="485"/>
      <c r="EL656" s="485"/>
      <c r="EM656" s="485"/>
      <c r="EN656" s="485"/>
      <c r="EO656" s="485"/>
      <c r="EP656" s="485"/>
    </row>
    <row r="657" spans="1:146">
      <c r="A657" s="485"/>
      <c r="B657" s="485"/>
      <c r="C657" s="485"/>
      <c r="D657" s="485"/>
      <c r="E657" s="485"/>
      <c r="F657" s="485"/>
      <c r="G657" s="485"/>
      <c r="H657" s="485"/>
      <c r="I657" s="485"/>
      <c r="J657" s="485"/>
      <c r="K657" s="485"/>
      <c r="L657" s="485"/>
      <c r="M657" s="485"/>
      <c r="P657" s="485"/>
      <c r="Q657" s="485"/>
      <c r="R657" s="485"/>
      <c r="S657" s="485"/>
      <c r="T657" s="485"/>
      <c r="U657" s="485"/>
      <c r="V657" s="485"/>
      <c r="W657" s="485"/>
      <c r="X657" s="485"/>
      <c r="Y657" s="485"/>
      <c r="Z657" s="485"/>
      <c r="AA657" s="485"/>
      <c r="AB657" s="485"/>
      <c r="AC657" s="485"/>
      <c r="AD657" s="485"/>
      <c r="AE657" s="485"/>
      <c r="AF657" s="485"/>
      <c r="AG657" s="485"/>
      <c r="AH657" s="485"/>
      <c r="AI657" s="485"/>
      <c r="AJ657" s="485"/>
      <c r="AK657" s="485"/>
      <c r="AL657" s="485"/>
      <c r="AM657" s="485"/>
      <c r="AN657" s="485"/>
      <c r="AO657" s="485"/>
      <c r="AP657" s="485"/>
      <c r="AQ657" s="485"/>
      <c r="AR657" s="485"/>
      <c r="AS657" s="485"/>
      <c r="AT657" s="485"/>
      <c r="AU657" s="485"/>
      <c r="AV657" s="485"/>
      <c r="AW657" s="485"/>
      <c r="AX657" s="485"/>
      <c r="AY657" s="485"/>
      <c r="AZ657" s="485"/>
      <c r="BA657" s="485"/>
      <c r="BB657" s="485"/>
      <c r="BC657" s="485"/>
      <c r="BD657" s="485"/>
      <c r="BE657" s="485"/>
      <c r="BF657" s="485"/>
      <c r="BG657" s="485"/>
      <c r="BH657" s="485"/>
      <c r="BI657" s="485"/>
      <c r="BJ657" s="485"/>
      <c r="BK657" s="485"/>
      <c r="BL657" s="485"/>
      <c r="BM657" s="485"/>
      <c r="BN657" s="485"/>
      <c r="BO657" s="485"/>
      <c r="BP657" s="485"/>
      <c r="BQ657" s="485"/>
      <c r="BR657" s="485"/>
      <c r="BS657" s="485"/>
      <c r="BT657" s="485"/>
      <c r="BU657" s="485"/>
      <c r="BV657" s="485"/>
      <c r="BW657" s="485"/>
      <c r="BX657" s="485"/>
      <c r="BY657" s="485"/>
      <c r="BZ657" s="485"/>
      <c r="CA657" s="485"/>
      <c r="CB657" s="485"/>
      <c r="CC657" s="485"/>
      <c r="CD657" s="485"/>
      <c r="CE657" s="485"/>
      <c r="CF657" s="485"/>
      <c r="CG657" s="485"/>
      <c r="CH657" s="485"/>
      <c r="CI657" s="485"/>
      <c r="CJ657" s="485"/>
      <c r="CK657" s="485"/>
      <c r="CL657" s="485"/>
      <c r="CM657" s="485"/>
      <c r="CN657" s="485"/>
      <c r="CO657" s="485"/>
      <c r="CP657" s="485"/>
      <c r="CQ657" s="485"/>
      <c r="CR657" s="485"/>
      <c r="CS657" s="485"/>
      <c r="CT657" s="485"/>
      <c r="CU657" s="485"/>
      <c r="CV657" s="485"/>
      <c r="CW657" s="485"/>
      <c r="CX657" s="485"/>
      <c r="CY657" s="485"/>
      <c r="CZ657" s="485"/>
      <c r="DA657" s="485"/>
      <c r="DB657" s="485"/>
      <c r="DC657" s="485"/>
      <c r="DD657" s="485"/>
      <c r="DE657" s="485"/>
      <c r="DF657" s="485"/>
      <c r="DG657" s="485"/>
      <c r="DH657" s="485"/>
      <c r="DI657" s="485"/>
      <c r="DJ657" s="485"/>
      <c r="DK657" s="485"/>
      <c r="DL657" s="485"/>
      <c r="DM657" s="485"/>
      <c r="DN657" s="485"/>
      <c r="DO657" s="485"/>
      <c r="DP657" s="485"/>
      <c r="DQ657" s="485"/>
      <c r="DR657" s="485"/>
      <c r="DS657" s="485"/>
      <c r="DT657" s="485"/>
      <c r="DU657" s="485"/>
      <c r="DV657" s="485"/>
      <c r="DW657" s="485"/>
      <c r="DX657" s="485"/>
      <c r="DY657" s="485"/>
      <c r="DZ657" s="485"/>
      <c r="EA657" s="485"/>
      <c r="EB657" s="485"/>
      <c r="EC657" s="485"/>
      <c r="ED657" s="485"/>
      <c r="EE657" s="485"/>
      <c r="EF657" s="485"/>
      <c r="EG657" s="485"/>
      <c r="EH657" s="485"/>
      <c r="EI657" s="485"/>
      <c r="EJ657" s="485"/>
      <c r="EK657" s="485"/>
      <c r="EL657" s="485"/>
      <c r="EM657" s="485"/>
      <c r="EN657" s="485"/>
      <c r="EO657" s="485"/>
      <c r="EP657" s="485"/>
    </row>
    <row r="658" spans="1:146">
      <c r="A658" s="485"/>
      <c r="B658" s="485"/>
      <c r="C658" s="485"/>
      <c r="D658" s="485"/>
      <c r="E658" s="485"/>
      <c r="F658" s="485"/>
      <c r="G658" s="485"/>
      <c r="H658" s="485"/>
      <c r="I658" s="485"/>
      <c r="J658" s="485"/>
      <c r="K658" s="485"/>
      <c r="L658" s="485"/>
      <c r="M658" s="485"/>
      <c r="P658" s="485"/>
      <c r="Q658" s="485"/>
      <c r="R658" s="485"/>
      <c r="S658" s="485"/>
      <c r="T658" s="485"/>
      <c r="U658" s="485"/>
      <c r="V658" s="485"/>
      <c r="W658" s="485"/>
      <c r="X658" s="485"/>
      <c r="Y658" s="485"/>
      <c r="Z658" s="485"/>
      <c r="AA658" s="485"/>
      <c r="AB658" s="485"/>
      <c r="AC658" s="485"/>
      <c r="AD658" s="485"/>
      <c r="AE658" s="485"/>
      <c r="AF658" s="485"/>
      <c r="AG658" s="485"/>
      <c r="AH658" s="485"/>
      <c r="AI658" s="485"/>
      <c r="AJ658" s="485"/>
      <c r="AK658" s="485"/>
      <c r="AL658" s="485"/>
      <c r="AM658" s="485"/>
      <c r="AN658" s="485"/>
      <c r="AO658" s="485"/>
      <c r="AP658" s="485"/>
      <c r="AQ658" s="485"/>
      <c r="AR658" s="485"/>
      <c r="AS658" s="485"/>
      <c r="AT658" s="485"/>
      <c r="AU658" s="485"/>
      <c r="AV658" s="485"/>
      <c r="AW658" s="485"/>
      <c r="AX658" s="485"/>
      <c r="AY658" s="485"/>
      <c r="AZ658" s="485"/>
      <c r="BA658" s="485"/>
      <c r="BB658" s="485"/>
      <c r="BC658" s="485"/>
      <c r="BD658" s="485"/>
      <c r="BE658" s="485"/>
      <c r="BF658" s="485"/>
      <c r="BG658" s="485"/>
      <c r="BH658" s="485"/>
      <c r="BI658" s="485"/>
      <c r="BJ658" s="485"/>
      <c r="BK658" s="485"/>
      <c r="BL658" s="485"/>
      <c r="BM658" s="485"/>
      <c r="BN658" s="485"/>
      <c r="BO658" s="485"/>
      <c r="BP658" s="485"/>
      <c r="BQ658" s="485"/>
      <c r="BR658" s="485"/>
      <c r="BS658" s="485"/>
      <c r="BT658" s="485"/>
      <c r="BU658" s="485"/>
      <c r="BV658" s="485"/>
      <c r="BW658" s="485"/>
      <c r="BX658" s="485"/>
      <c r="BY658" s="485"/>
      <c r="BZ658" s="485"/>
      <c r="CA658" s="485"/>
      <c r="CB658" s="485"/>
      <c r="CC658" s="485"/>
      <c r="CD658" s="485"/>
      <c r="CE658" s="485"/>
      <c r="CF658" s="485"/>
      <c r="CG658" s="485"/>
      <c r="CH658" s="485"/>
      <c r="CI658" s="485"/>
      <c r="CJ658" s="485"/>
      <c r="CK658" s="485"/>
      <c r="CL658" s="485"/>
      <c r="CM658" s="485"/>
      <c r="CN658" s="485"/>
      <c r="CO658" s="485"/>
      <c r="CP658" s="485"/>
      <c r="CQ658" s="485"/>
      <c r="CR658" s="485"/>
      <c r="CS658" s="485"/>
      <c r="CT658" s="485"/>
      <c r="CU658" s="485"/>
      <c r="CV658" s="485"/>
      <c r="CW658" s="485"/>
      <c r="CX658" s="485"/>
      <c r="CY658" s="485"/>
      <c r="CZ658" s="485"/>
      <c r="DA658" s="485"/>
      <c r="DB658" s="485"/>
      <c r="DC658" s="485"/>
      <c r="DD658" s="485"/>
      <c r="DE658" s="485"/>
      <c r="DF658" s="485"/>
      <c r="DG658" s="485"/>
      <c r="DH658" s="485"/>
      <c r="DI658" s="485"/>
      <c r="DJ658" s="485"/>
      <c r="DK658" s="485"/>
      <c r="DL658" s="485"/>
      <c r="DM658" s="485"/>
      <c r="DN658" s="485"/>
      <c r="DO658" s="485"/>
      <c r="DP658" s="485"/>
      <c r="DQ658" s="485"/>
      <c r="DR658" s="485"/>
      <c r="DS658" s="485"/>
      <c r="DT658" s="485"/>
      <c r="DU658" s="485"/>
      <c r="DV658" s="485"/>
      <c r="DW658" s="485"/>
      <c r="DX658" s="485"/>
      <c r="DY658" s="485"/>
      <c r="DZ658" s="485"/>
      <c r="EA658" s="485"/>
      <c r="EB658" s="485"/>
      <c r="EC658" s="485"/>
      <c r="ED658" s="485"/>
      <c r="EE658" s="485"/>
      <c r="EF658" s="485"/>
      <c r="EG658" s="485"/>
      <c r="EH658" s="485"/>
      <c r="EI658" s="485"/>
      <c r="EJ658" s="485"/>
      <c r="EK658" s="485"/>
      <c r="EL658" s="485"/>
      <c r="EM658" s="485"/>
      <c r="EN658" s="485"/>
      <c r="EO658" s="485"/>
      <c r="EP658" s="485"/>
    </row>
    <row r="659" spans="1:146">
      <c r="A659" s="485"/>
      <c r="B659" s="485"/>
      <c r="C659" s="485"/>
      <c r="D659" s="485"/>
      <c r="E659" s="485"/>
      <c r="F659" s="485"/>
      <c r="G659" s="485"/>
      <c r="H659" s="485"/>
      <c r="I659" s="485"/>
      <c r="J659" s="485"/>
      <c r="K659" s="485"/>
      <c r="L659" s="485"/>
      <c r="M659" s="485"/>
      <c r="P659" s="485"/>
      <c r="Q659" s="485"/>
      <c r="R659" s="485"/>
      <c r="S659" s="485"/>
      <c r="T659" s="485"/>
      <c r="U659" s="485"/>
      <c r="V659" s="485"/>
      <c r="W659" s="485"/>
      <c r="X659" s="485"/>
      <c r="Y659" s="485"/>
      <c r="Z659" s="485"/>
      <c r="AA659" s="485"/>
      <c r="AB659" s="485"/>
      <c r="AC659" s="485"/>
      <c r="AD659" s="485"/>
      <c r="AE659" s="485"/>
      <c r="AF659" s="485"/>
      <c r="AG659" s="485"/>
      <c r="AH659" s="485"/>
      <c r="AI659" s="485"/>
      <c r="AJ659" s="485"/>
      <c r="AK659" s="485"/>
      <c r="AL659" s="485"/>
      <c r="AM659" s="485"/>
      <c r="AN659" s="485"/>
      <c r="AO659" s="485"/>
      <c r="AP659" s="485"/>
      <c r="AQ659" s="485"/>
      <c r="AR659" s="485"/>
      <c r="AS659" s="485"/>
      <c r="AT659" s="485"/>
      <c r="AU659" s="485"/>
      <c r="AV659" s="485"/>
      <c r="AW659" s="485"/>
      <c r="AX659" s="485"/>
      <c r="AY659" s="485"/>
      <c r="AZ659" s="485"/>
      <c r="BA659" s="485"/>
      <c r="BB659" s="485"/>
      <c r="BC659" s="485"/>
      <c r="BD659" s="485"/>
      <c r="BE659" s="485"/>
      <c r="BF659" s="485"/>
      <c r="BG659" s="485"/>
      <c r="BH659" s="485"/>
      <c r="BI659" s="485"/>
      <c r="BJ659" s="485"/>
      <c r="BK659" s="485"/>
      <c r="BL659" s="485"/>
      <c r="BM659" s="485"/>
      <c r="BN659" s="485"/>
      <c r="BO659" s="485"/>
      <c r="BP659" s="485"/>
      <c r="BQ659" s="485"/>
      <c r="BR659" s="485"/>
      <c r="BS659" s="485"/>
      <c r="BT659" s="485"/>
      <c r="BU659" s="485"/>
      <c r="BV659" s="485"/>
      <c r="BW659" s="485"/>
      <c r="BX659" s="485"/>
      <c r="BY659" s="485"/>
      <c r="BZ659" s="485"/>
      <c r="CA659" s="485"/>
      <c r="CB659" s="485"/>
      <c r="CC659" s="485"/>
      <c r="CD659" s="485"/>
      <c r="CE659" s="485"/>
      <c r="CF659" s="485"/>
      <c r="CG659" s="485"/>
      <c r="CH659" s="485"/>
      <c r="CI659" s="485"/>
      <c r="CJ659" s="485"/>
      <c r="CK659" s="485"/>
      <c r="CL659" s="485"/>
      <c r="CM659" s="485"/>
      <c r="CN659" s="485"/>
      <c r="CO659" s="485"/>
      <c r="CP659" s="485"/>
      <c r="CQ659" s="485"/>
      <c r="CR659" s="485"/>
      <c r="CS659" s="485"/>
      <c r="CT659" s="485"/>
      <c r="CU659" s="485"/>
      <c r="CV659" s="485"/>
      <c r="CW659" s="485"/>
      <c r="CX659" s="485"/>
      <c r="CY659" s="485"/>
      <c r="CZ659" s="485"/>
      <c r="DA659" s="485"/>
      <c r="DB659" s="485"/>
      <c r="DC659" s="485"/>
      <c r="DD659" s="485"/>
      <c r="DE659" s="485"/>
      <c r="DF659" s="485"/>
      <c r="DG659" s="485"/>
      <c r="DH659" s="485"/>
      <c r="DI659" s="485"/>
      <c r="DJ659" s="485"/>
      <c r="DK659" s="485"/>
      <c r="DL659" s="485"/>
      <c r="DM659" s="485"/>
      <c r="DN659" s="485"/>
      <c r="DO659" s="485"/>
      <c r="DP659" s="485"/>
      <c r="DQ659" s="485"/>
      <c r="DR659" s="485"/>
      <c r="DS659" s="485"/>
      <c r="DT659" s="485"/>
      <c r="DU659" s="485"/>
      <c r="DV659" s="485"/>
      <c r="DW659" s="485"/>
      <c r="DX659" s="485"/>
      <c r="DY659" s="485"/>
      <c r="DZ659" s="485"/>
      <c r="EA659" s="485"/>
      <c r="EB659" s="485"/>
      <c r="EC659" s="485"/>
      <c r="ED659" s="485"/>
      <c r="EE659" s="485"/>
      <c r="EF659" s="485"/>
      <c r="EG659" s="485"/>
      <c r="EH659" s="485"/>
      <c r="EI659" s="485"/>
      <c r="EJ659" s="485"/>
      <c r="EK659" s="485"/>
      <c r="EL659" s="485"/>
      <c r="EM659" s="485"/>
      <c r="EN659" s="485"/>
      <c r="EO659" s="485"/>
      <c r="EP659" s="485"/>
    </row>
    <row r="660" spans="1:146">
      <c r="A660" s="485"/>
      <c r="B660" s="485"/>
      <c r="C660" s="485"/>
      <c r="D660" s="485"/>
      <c r="E660" s="485"/>
      <c r="F660" s="485"/>
      <c r="G660" s="485"/>
      <c r="H660" s="485"/>
      <c r="I660" s="485"/>
      <c r="J660" s="485"/>
      <c r="K660" s="485"/>
      <c r="L660" s="485"/>
      <c r="M660" s="485"/>
      <c r="P660" s="485"/>
      <c r="Q660" s="485"/>
      <c r="R660" s="485"/>
      <c r="S660" s="485"/>
      <c r="T660" s="485"/>
      <c r="U660" s="485"/>
      <c r="V660" s="485"/>
      <c r="W660" s="485"/>
      <c r="X660" s="485"/>
      <c r="Y660" s="485"/>
      <c r="Z660" s="485"/>
      <c r="AA660" s="485"/>
      <c r="AB660" s="485"/>
      <c r="AC660" s="485"/>
      <c r="AD660" s="485"/>
      <c r="AE660" s="485"/>
      <c r="AF660" s="485"/>
      <c r="AG660" s="485"/>
      <c r="AH660" s="485"/>
      <c r="AI660" s="485"/>
      <c r="AJ660" s="485"/>
      <c r="AK660" s="485"/>
      <c r="AL660" s="485"/>
      <c r="AM660" s="485"/>
      <c r="AN660" s="485"/>
      <c r="AO660" s="485"/>
      <c r="AP660" s="485"/>
      <c r="AQ660" s="485"/>
      <c r="AR660" s="485"/>
      <c r="AS660" s="485"/>
      <c r="AT660" s="485"/>
      <c r="AU660" s="485"/>
      <c r="AV660" s="485"/>
      <c r="AW660" s="485"/>
      <c r="AX660" s="485"/>
      <c r="AY660" s="485"/>
      <c r="AZ660" s="485"/>
      <c r="BA660" s="485"/>
      <c r="BB660" s="485"/>
      <c r="BC660" s="485"/>
      <c r="BD660" s="485"/>
      <c r="BE660" s="485"/>
      <c r="BF660" s="485"/>
      <c r="BG660" s="485"/>
      <c r="BH660" s="485"/>
      <c r="BI660" s="485"/>
      <c r="BJ660" s="485"/>
      <c r="BK660" s="485"/>
      <c r="BL660" s="485"/>
      <c r="BM660" s="485"/>
      <c r="BN660" s="485"/>
      <c r="BO660" s="485"/>
      <c r="BP660" s="485"/>
      <c r="BQ660" s="485"/>
      <c r="BR660" s="485"/>
      <c r="BS660" s="485"/>
      <c r="BT660" s="485"/>
      <c r="BU660" s="485"/>
      <c r="BV660" s="485"/>
      <c r="BW660" s="485"/>
      <c r="BX660" s="485"/>
      <c r="BY660" s="485"/>
      <c r="BZ660" s="485"/>
      <c r="CA660" s="485"/>
      <c r="CB660" s="485"/>
      <c r="CC660" s="485"/>
      <c r="CD660" s="485"/>
      <c r="CE660" s="485"/>
      <c r="CF660" s="485"/>
      <c r="CG660" s="485"/>
      <c r="CH660" s="485"/>
      <c r="CI660" s="485"/>
      <c r="CJ660" s="485"/>
      <c r="CK660" s="485"/>
      <c r="CL660" s="485"/>
      <c r="CM660" s="485"/>
      <c r="CN660" s="485"/>
      <c r="CO660" s="485"/>
      <c r="CP660" s="485"/>
      <c r="CQ660" s="485"/>
      <c r="CR660" s="485"/>
      <c r="CS660" s="485"/>
      <c r="CT660" s="485"/>
      <c r="CU660" s="485"/>
      <c r="CV660" s="485"/>
      <c r="CW660" s="485"/>
      <c r="CX660" s="485"/>
      <c r="CY660" s="485"/>
      <c r="CZ660" s="485"/>
      <c r="DA660" s="485"/>
      <c r="DB660" s="485"/>
      <c r="DC660" s="485"/>
      <c r="DD660" s="485"/>
      <c r="DE660" s="485"/>
      <c r="DF660" s="485"/>
      <c r="DG660" s="485"/>
      <c r="DH660" s="485"/>
      <c r="DI660" s="485"/>
      <c r="DJ660" s="485"/>
      <c r="DK660" s="485"/>
      <c r="DL660" s="485"/>
      <c r="DM660" s="485"/>
      <c r="DN660" s="485"/>
      <c r="DO660" s="485"/>
      <c r="DP660" s="485"/>
      <c r="DQ660" s="485"/>
      <c r="DR660" s="485"/>
      <c r="DS660" s="485"/>
      <c r="DT660" s="485"/>
      <c r="DU660" s="485"/>
      <c r="DV660" s="485"/>
      <c r="DW660" s="485"/>
      <c r="DX660" s="485"/>
      <c r="DY660" s="485"/>
      <c r="DZ660" s="485"/>
      <c r="EA660" s="485"/>
      <c r="EB660" s="485"/>
      <c r="EC660" s="485"/>
      <c r="ED660" s="485"/>
      <c r="EE660" s="485"/>
      <c r="EF660" s="485"/>
      <c r="EG660" s="485"/>
      <c r="EH660" s="485"/>
      <c r="EI660" s="485"/>
      <c r="EJ660" s="485"/>
      <c r="EK660" s="485"/>
      <c r="EL660" s="485"/>
      <c r="EM660" s="485"/>
      <c r="EN660" s="485"/>
      <c r="EO660" s="485"/>
      <c r="EP660" s="485"/>
    </row>
    <row r="661" spans="1:146">
      <c r="A661" s="485"/>
      <c r="B661" s="485"/>
      <c r="C661" s="485"/>
      <c r="D661" s="485"/>
      <c r="E661" s="485"/>
      <c r="F661" s="485"/>
      <c r="G661" s="485"/>
      <c r="H661" s="485"/>
      <c r="I661" s="485"/>
      <c r="J661" s="485"/>
      <c r="K661" s="485"/>
      <c r="L661" s="485"/>
      <c r="M661" s="485"/>
      <c r="P661" s="485"/>
      <c r="Q661" s="485"/>
      <c r="R661" s="485"/>
      <c r="S661" s="485"/>
      <c r="T661" s="485"/>
      <c r="U661" s="485"/>
      <c r="V661" s="485"/>
      <c r="W661" s="485"/>
      <c r="X661" s="485"/>
      <c r="Y661" s="485"/>
      <c r="Z661" s="485"/>
      <c r="AA661" s="485"/>
      <c r="AB661" s="485"/>
      <c r="AC661" s="485"/>
      <c r="AD661" s="485"/>
      <c r="AE661" s="485"/>
      <c r="AF661" s="485"/>
      <c r="AG661" s="485"/>
      <c r="AH661" s="485"/>
      <c r="AI661" s="485"/>
      <c r="AJ661" s="485"/>
      <c r="AK661" s="485"/>
      <c r="AL661" s="485"/>
      <c r="AM661" s="485"/>
      <c r="AN661" s="485"/>
      <c r="AO661" s="485"/>
      <c r="AP661" s="485"/>
      <c r="AQ661" s="485"/>
      <c r="AR661" s="485"/>
      <c r="AS661" s="485"/>
      <c r="AT661" s="485"/>
      <c r="AU661" s="485"/>
      <c r="AV661" s="485"/>
      <c r="AW661" s="485"/>
      <c r="AX661" s="485"/>
      <c r="AY661" s="485"/>
      <c r="AZ661" s="485"/>
      <c r="BA661" s="485"/>
      <c r="BB661" s="485"/>
      <c r="BC661" s="485"/>
      <c r="BD661" s="485"/>
      <c r="BE661" s="485"/>
      <c r="BF661" s="485"/>
      <c r="BG661" s="485"/>
      <c r="BH661" s="485"/>
      <c r="BI661" s="485"/>
      <c r="BJ661" s="485"/>
      <c r="BK661" s="485"/>
      <c r="BL661" s="485"/>
      <c r="BM661" s="485"/>
      <c r="BN661" s="485"/>
      <c r="BO661" s="485"/>
      <c r="BP661" s="485"/>
      <c r="BQ661" s="485"/>
      <c r="BR661" s="485"/>
      <c r="BS661" s="485"/>
      <c r="BT661" s="485"/>
      <c r="BU661" s="485"/>
      <c r="BV661" s="485"/>
      <c r="BW661" s="485"/>
      <c r="BX661" s="485"/>
      <c r="BY661" s="485"/>
      <c r="BZ661" s="485"/>
      <c r="CA661" s="485"/>
      <c r="CB661" s="485"/>
      <c r="CC661" s="485"/>
      <c r="CD661" s="485"/>
      <c r="CE661" s="485"/>
      <c r="CF661" s="485"/>
      <c r="CG661" s="485"/>
      <c r="CH661" s="485"/>
      <c r="CI661" s="485"/>
      <c r="CJ661" s="485"/>
      <c r="CK661" s="485"/>
      <c r="CL661" s="485"/>
      <c r="CM661" s="485"/>
      <c r="CN661" s="485"/>
      <c r="CO661" s="485"/>
      <c r="CP661" s="485"/>
      <c r="CQ661" s="485"/>
      <c r="CR661" s="485"/>
      <c r="CS661" s="485"/>
      <c r="CT661" s="485"/>
      <c r="CU661" s="485"/>
      <c r="CV661" s="485"/>
      <c r="CW661" s="485"/>
      <c r="CX661" s="485"/>
      <c r="CY661" s="485"/>
      <c r="CZ661" s="485"/>
      <c r="DA661" s="485"/>
      <c r="DB661" s="485"/>
      <c r="DC661" s="485"/>
      <c r="DD661" s="485"/>
      <c r="DE661" s="485"/>
      <c r="DF661" s="485"/>
      <c r="DG661" s="485"/>
      <c r="DH661" s="485"/>
      <c r="DI661" s="485"/>
      <c r="DJ661" s="485"/>
      <c r="DK661" s="485"/>
      <c r="DL661" s="485"/>
      <c r="DM661" s="485"/>
      <c r="DN661" s="485"/>
      <c r="DO661" s="485"/>
      <c r="DP661" s="485"/>
      <c r="DQ661" s="485"/>
      <c r="DR661" s="485"/>
      <c r="DS661" s="485"/>
      <c r="DT661" s="485"/>
      <c r="DU661" s="485"/>
      <c r="DV661" s="485"/>
      <c r="DW661" s="485"/>
      <c r="DX661" s="485"/>
      <c r="DY661" s="485"/>
      <c r="DZ661" s="485"/>
      <c r="EA661" s="485"/>
      <c r="EB661" s="485"/>
      <c r="EC661" s="485"/>
      <c r="ED661" s="485"/>
      <c r="EE661" s="485"/>
      <c r="EF661" s="485"/>
      <c r="EG661" s="485"/>
      <c r="EH661" s="485"/>
      <c r="EI661" s="485"/>
      <c r="EJ661" s="485"/>
      <c r="EK661" s="485"/>
      <c r="EL661" s="485"/>
      <c r="EM661" s="485"/>
      <c r="EN661" s="485"/>
      <c r="EO661" s="485"/>
      <c r="EP661" s="485"/>
    </row>
    <row r="662" spans="1:146">
      <c r="A662" s="485"/>
      <c r="B662" s="485"/>
      <c r="C662" s="485"/>
      <c r="D662" s="485"/>
      <c r="E662" s="485"/>
      <c r="F662" s="485"/>
      <c r="G662" s="485"/>
      <c r="H662" s="485"/>
      <c r="I662" s="485"/>
      <c r="J662" s="485"/>
      <c r="K662" s="485"/>
      <c r="L662" s="485"/>
      <c r="M662" s="485"/>
      <c r="P662" s="485"/>
      <c r="Q662" s="485"/>
      <c r="R662" s="485"/>
      <c r="S662" s="485"/>
      <c r="T662" s="485"/>
      <c r="U662" s="485"/>
      <c r="V662" s="485"/>
      <c r="W662" s="485"/>
      <c r="X662" s="485"/>
      <c r="Y662" s="485"/>
      <c r="Z662" s="485"/>
      <c r="AA662" s="485"/>
      <c r="AB662" s="485"/>
      <c r="AC662" s="485"/>
      <c r="AD662" s="485"/>
      <c r="AE662" s="485"/>
      <c r="AF662" s="485"/>
      <c r="AG662" s="485"/>
      <c r="AH662" s="485"/>
      <c r="AI662" s="485"/>
      <c r="AJ662" s="485"/>
      <c r="AK662" s="485"/>
      <c r="AL662" s="485"/>
      <c r="AM662" s="485"/>
      <c r="AN662" s="485"/>
      <c r="AO662" s="485"/>
      <c r="AP662" s="485"/>
      <c r="AQ662" s="485"/>
      <c r="AR662" s="485"/>
      <c r="AS662" s="485"/>
      <c r="AT662" s="485"/>
      <c r="AU662" s="485"/>
      <c r="AV662" s="485"/>
      <c r="AW662" s="485"/>
      <c r="AX662" s="485"/>
      <c r="AY662" s="485"/>
      <c r="AZ662" s="485"/>
      <c r="BA662" s="485"/>
      <c r="BB662" s="485"/>
      <c r="BC662" s="485"/>
      <c r="BD662" s="485"/>
      <c r="BE662" s="485"/>
      <c r="BF662" s="485"/>
      <c r="BG662" s="485"/>
      <c r="BH662" s="485"/>
      <c r="BI662" s="485"/>
      <c r="BJ662" s="485"/>
      <c r="BK662" s="485"/>
      <c r="BL662" s="485"/>
      <c r="BM662" s="485"/>
      <c r="BN662" s="485"/>
      <c r="BO662" s="485"/>
      <c r="BP662" s="485"/>
      <c r="BQ662" s="485"/>
      <c r="BR662" s="485"/>
      <c r="BS662" s="485"/>
      <c r="BT662" s="485"/>
      <c r="BU662" s="485"/>
      <c r="BV662" s="485"/>
      <c r="BW662" s="485"/>
      <c r="BX662" s="485"/>
      <c r="BY662" s="485"/>
      <c r="BZ662" s="485"/>
      <c r="CA662" s="485"/>
      <c r="CB662" s="485"/>
      <c r="CC662" s="485"/>
      <c r="CD662" s="485"/>
      <c r="CE662" s="485"/>
      <c r="CF662" s="485"/>
      <c r="CG662" s="485"/>
      <c r="CH662" s="485"/>
      <c r="CI662" s="485"/>
      <c r="CJ662" s="485"/>
      <c r="CK662" s="485"/>
      <c r="CL662" s="485"/>
      <c r="CM662" s="485"/>
      <c r="CN662" s="485"/>
      <c r="CO662" s="485"/>
      <c r="CP662" s="485"/>
      <c r="CQ662" s="485"/>
      <c r="CR662" s="485"/>
      <c r="CS662" s="485"/>
      <c r="CT662" s="485"/>
      <c r="CU662" s="485"/>
      <c r="CV662" s="485"/>
      <c r="CW662" s="485"/>
      <c r="CX662" s="485"/>
      <c r="CY662" s="485"/>
      <c r="CZ662" s="485"/>
      <c r="DA662" s="485"/>
      <c r="DB662" s="485"/>
      <c r="DC662" s="485"/>
      <c r="DD662" s="485"/>
      <c r="DE662" s="485"/>
      <c r="DF662" s="485"/>
      <c r="DG662" s="485"/>
      <c r="DH662" s="485"/>
      <c r="DI662" s="485"/>
      <c r="DJ662" s="485"/>
      <c r="DK662" s="485"/>
      <c r="DL662" s="485"/>
      <c r="DM662" s="485"/>
      <c r="DN662" s="485"/>
      <c r="DO662" s="485"/>
      <c r="DP662" s="485"/>
      <c r="DQ662" s="485"/>
      <c r="DR662" s="485"/>
      <c r="DS662" s="485"/>
      <c r="DT662" s="485"/>
      <c r="DU662" s="485"/>
      <c r="DV662" s="485"/>
      <c r="DW662" s="485"/>
      <c r="DX662" s="485"/>
      <c r="DY662" s="485"/>
      <c r="DZ662" s="485"/>
      <c r="EA662" s="485"/>
      <c r="EB662" s="485"/>
      <c r="EC662" s="485"/>
      <c r="ED662" s="485"/>
      <c r="EE662" s="485"/>
      <c r="EF662" s="485"/>
      <c r="EG662" s="485"/>
      <c r="EH662" s="485"/>
      <c r="EI662" s="485"/>
      <c r="EJ662" s="485"/>
      <c r="EK662" s="485"/>
      <c r="EL662" s="485"/>
      <c r="EM662" s="485"/>
      <c r="EN662" s="485"/>
      <c r="EO662" s="485"/>
      <c r="EP662" s="485"/>
    </row>
    <row r="663" spans="1:146">
      <c r="A663" s="485"/>
      <c r="B663" s="485"/>
      <c r="C663" s="485"/>
      <c r="D663" s="485"/>
      <c r="E663" s="485"/>
      <c r="F663" s="485"/>
      <c r="G663" s="485"/>
      <c r="H663" s="485"/>
      <c r="I663" s="485"/>
      <c r="J663" s="485"/>
      <c r="K663" s="485"/>
      <c r="L663" s="485"/>
      <c r="M663" s="485"/>
      <c r="P663" s="485"/>
      <c r="Q663" s="485"/>
      <c r="R663" s="485"/>
      <c r="S663" s="485"/>
      <c r="T663" s="485"/>
      <c r="U663" s="485"/>
      <c r="V663" s="485"/>
      <c r="W663" s="485"/>
      <c r="X663" s="485"/>
      <c r="Y663" s="485"/>
      <c r="Z663" s="485"/>
      <c r="AA663" s="485"/>
      <c r="AB663" s="485"/>
      <c r="AC663" s="485"/>
      <c r="AD663" s="485"/>
      <c r="AE663" s="485"/>
      <c r="AF663" s="485"/>
      <c r="AG663" s="485"/>
      <c r="AH663" s="485"/>
      <c r="AI663" s="485"/>
      <c r="AJ663" s="485"/>
      <c r="AK663" s="485"/>
      <c r="AL663" s="485"/>
      <c r="AM663" s="485"/>
      <c r="AN663" s="485"/>
      <c r="AO663" s="485"/>
      <c r="AP663" s="485"/>
      <c r="AQ663" s="485"/>
      <c r="AR663" s="485"/>
      <c r="AS663" s="485"/>
      <c r="AT663" s="485"/>
      <c r="AU663" s="485"/>
      <c r="AV663" s="485"/>
      <c r="AW663" s="485"/>
      <c r="AX663" s="485"/>
      <c r="AY663" s="485"/>
      <c r="AZ663" s="485"/>
      <c r="BA663" s="485"/>
      <c r="BB663" s="485"/>
      <c r="BC663" s="485"/>
      <c r="BD663" s="485"/>
      <c r="BE663" s="485"/>
      <c r="BF663" s="485"/>
      <c r="BG663" s="485"/>
      <c r="BH663" s="485"/>
      <c r="BI663" s="485"/>
      <c r="BJ663" s="485"/>
      <c r="BK663" s="485"/>
      <c r="BL663" s="485"/>
      <c r="BM663" s="485"/>
      <c r="BN663" s="485"/>
      <c r="BO663" s="485"/>
      <c r="BP663" s="485"/>
      <c r="BQ663" s="485"/>
      <c r="BR663" s="485"/>
      <c r="BS663" s="485"/>
      <c r="BT663" s="485"/>
      <c r="BU663" s="485"/>
      <c r="BV663" s="485"/>
      <c r="BW663" s="485"/>
      <c r="BX663" s="485"/>
      <c r="BY663" s="485"/>
      <c r="BZ663" s="485"/>
      <c r="CA663" s="485"/>
      <c r="CB663" s="485"/>
      <c r="CC663" s="485"/>
      <c r="CD663" s="485"/>
      <c r="CE663" s="485"/>
      <c r="CF663" s="485"/>
      <c r="CG663" s="485"/>
      <c r="CH663" s="485"/>
      <c r="CI663" s="485"/>
      <c r="CJ663" s="485"/>
      <c r="CK663" s="485"/>
      <c r="CL663" s="485"/>
      <c r="CM663" s="485"/>
      <c r="CN663" s="485"/>
      <c r="CO663" s="485"/>
      <c r="CP663" s="485"/>
      <c r="CQ663" s="485"/>
      <c r="CR663" s="485"/>
      <c r="CS663" s="485"/>
      <c r="CT663" s="485"/>
      <c r="CU663" s="485"/>
      <c r="CV663" s="485"/>
      <c r="CW663" s="485"/>
      <c r="CX663" s="485"/>
      <c r="CY663" s="485"/>
      <c r="CZ663" s="485"/>
      <c r="DA663" s="485"/>
      <c r="DB663" s="485"/>
      <c r="DC663" s="485"/>
      <c r="DD663" s="485"/>
      <c r="DE663" s="485"/>
      <c r="DF663" s="485"/>
      <c r="DG663" s="485"/>
      <c r="DH663" s="485"/>
      <c r="DI663" s="485"/>
      <c r="DJ663" s="485"/>
      <c r="DK663" s="485"/>
      <c r="DL663" s="485"/>
      <c r="DM663" s="485"/>
      <c r="DN663" s="485"/>
      <c r="DO663" s="485"/>
      <c r="DP663" s="485"/>
      <c r="DQ663" s="485"/>
      <c r="DR663" s="485"/>
      <c r="DS663" s="485"/>
      <c r="DT663" s="485"/>
      <c r="DU663" s="485"/>
      <c r="DV663" s="485"/>
      <c r="DW663" s="485"/>
      <c r="DX663" s="485"/>
      <c r="DY663" s="485"/>
      <c r="DZ663" s="485"/>
      <c r="EA663" s="485"/>
      <c r="EB663" s="485"/>
      <c r="EC663" s="485"/>
      <c r="ED663" s="485"/>
      <c r="EE663" s="485"/>
      <c r="EF663" s="485"/>
      <c r="EG663" s="485"/>
      <c r="EH663" s="485"/>
      <c r="EI663" s="485"/>
      <c r="EJ663" s="485"/>
      <c r="EK663" s="485"/>
      <c r="EL663" s="485"/>
      <c r="EM663" s="485"/>
      <c r="EN663" s="485"/>
      <c r="EO663" s="485"/>
      <c r="EP663" s="485"/>
    </row>
    <row r="664" spans="1:146">
      <c r="A664" s="485"/>
      <c r="B664" s="485"/>
      <c r="C664" s="485"/>
      <c r="D664" s="485"/>
      <c r="E664" s="485"/>
      <c r="F664" s="485"/>
      <c r="G664" s="485"/>
      <c r="H664" s="485"/>
      <c r="I664" s="485"/>
      <c r="J664" s="485"/>
      <c r="K664" s="485"/>
      <c r="L664" s="485"/>
      <c r="M664" s="485"/>
      <c r="P664" s="485"/>
      <c r="Q664" s="485"/>
      <c r="R664" s="485"/>
      <c r="S664" s="485"/>
      <c r="T664" s="485"/>
      <c r="U664" s="485"/>
      <c r="V664" s="485"/>
      <c r="W664" s="485"/>
      <c r="X664" s="485"/>
      <c r="Y664" s="485"/>
      <c r="Z664" s="485"/>
      <c r="AA664" s="485"/>
      <c r="AB664" s="485"/>
      <c r="AC664" s="485"/>
      <c r="AD664" s="485"/>
      <c r="AE664" s="485"/>
      <c r="AF664" s="485"/>
      <c r="AG664" s="485"/>
      <c r="AH664" s="485"/>
      <c r="AI664" s="485"/>
      <c r="AJ664" s="485"/>
      <c r="AK664" s="485"/>
      <c r="AL664" s="485"/>
      <c r="AM664" s="485"/>
      <c r="AN664" s="485"/>
      <c r="AO664" s="485"/>
      <c r="AP664" s="485"/>
      <c r="AQ664" s="485"/>
      <c r="AR664" s="485"/>
      <c r="AS664" s="485"/>
      <c r="AT664" s="485"/>
      <c r="AU664" s="485"/>
      <c r="AV664" s="485"/>
      <c r="AW664" s="485"/>
      <c r="AX664" s="485"/>
      <c r="AY664" s="485"/>
      <c r="AZ664" s="485"/>
      <c r="BA664" s="485"/>
      <c r="BB664" s="485"/>
      <c r="BC664" s="485"/>
      <c r="BD664" s="485"/>
      <c r="BE664" s="485"/>
      <c r="BF664" s="485"/>
      <c r="BG664" s="485"/>
      <c r="BH664" s="485"/>
      <c r="BI664" s="485"/>
      <c r="BJ664" s="485"/>
      <c r="BK664" s="485"/>
      <c r="BL664" s="485"/>
      <c r="BM664" s="485"/>
      <c r="BN664" s="485"/>
      <c r="BO664" s="485"/>
      <c r="BP664" s="485"/>
      <c r="BQ664" s="485"/>
      <c r="BR664" s="485"/>
      <c r="BS664" s="485"/>
      <c r="BT664" s="485"/>
      <c r="BU664" s="485"/>
      <c r="BV664" s="485"/>
      <c r="BW664" s="485"/>
      <c r="BX664" s="485"/>
      <c r="BY664" s="485"/>
      <c r="BZ664" s="485"/>
      <c r="CA664" s="485"/>
      <c r="CB664" s="485"/>
      <c r="CC664" s="485"/>
      <c r="CD664" s="485"/>
      <c r="CE664" s="485"/>
      <c r="CF664" s="485"/>
      <c r="CG664" s="485"/>
      <c r="CH664" s="485"/>
      <c r="CI664" s="485"/>
      <c r="CJ664" s="485"/>
      <c r="CK664" s="485"/>
      <c r="CL664" s="485"/>
      <c r="CM664" s="485"/>
      <c r="CN664" s="485"/>
      <c r="CO664" s="485"/>
      <c r="CP664" s="485"/>
      <c r="CQ664" s="485"/>
      <c r="CR664" s="485"/>
      <c r="CS664" s="485"/>
      <c r="CT664" s="485"/>
      <c r="CU664" s="485"/>
      <c r="CV664" s="485"/>
      <c r="CW664" s="485"/>
      <c r="CX664" s="485"/>
      <c r="CY664" s="485"/>
      <c r="CZ664" s="485"/>
      <c r="DA664" s="485"/>
      <c r="DB664" s="485"/>
      <c r="DC664" s="485"/>
      <c r="DD664" s="485"/>
      <c r="DE664" s="485"/>
      <c r="DF664" s="485"/>
      <c r="DG664" s="485"/>
      <c r="DH664" s="485"/>
      <c r="DI664" s="485"/>
      <c r="DJ664" s="485"/>
      <c r="DK664" s="485"/>
      <c r="DL664" s="485"/>
      <c r="DM664" s="485"/>
      <c r="DN664" s="485"/>
      <c r="DO664" s="485"/>
      <c r="DP664" s="485"/>
      <c r="DQ664" s="485"/>
      <c r="DR664" s="485"/>
      <c r="DS664" s="485"/>
      <c r="DT664" s="485"/>
      <c r="DU664" s="485"/>
      <c r="DV664" s="485"/>
      <c r="DW664" s="485"/>
      <c r="DX664" s="485"/>
      <c r="DY664" s="485"/>
      <c r="DZ664" s="485"/>
      <c r="EA664" s="485"/>
      <c r="EB664" s="485"/>
      <c r="EC664" s="485"/>
      <c r="ED664" s="485"/>
      <c r="EE664" s="485"/>
      <c r="EF664" s="485"/>
      <c r="EG664" s="485"/>
      <c r="EH664" s="485"/>
      <c r="EI664" s="485"/>
      <c r="EJ664" s="485"/>
      <c r="EK664" s="485"/>
      <c r="EL664" s="485"/>
      <c r="EM664" s="485"/>
      <c r="EN664" s="485"/>
      <c r="EO664" s="485"/>
      <c r="EP664" s="485"/>
    </row>
    <row r="665" spans="1:146">
      <c r="A665" s="485"/>
      <c r="B665" s="485"/>
      <c r="C665" s="485"/>
      <c r="D665" s="485"/>
      <c r="E665" s="485"/>
      <c r="F665" s="485"/>
      <c r="G665" s="485"/>
      <c r="H665" s="485"/>
      <c r="I665" s="485"/>
      <c r="J665" s="485"/>
      <c r="K665" s="485"/>
      <c r="L665" s="485"/>
      <c r="M665" s="485"/>
      <c r="P665" s="485"/>
      <c r="Q665" s="485"/>
      <c r="R665" s="485"/>
      <c r="S665" s="485"/>
      <c r="T665" s="485"/>
      <c r="U665" s="485"/>
      <c r="V665" s="485"/>
      <c r="W665" s="485"/>
      <c r="X665" s="485"/>
      <c r="Y665" s="485"/>
      <c r="Z665" s="485"/>
      <c r="AA665" s="485"/>
      <c r="AB665" s="485"/>
      <c r="AC665" s="485"/>
      <c r="AD665" s="485"/>
      <c r="AE665" s="485"/>
      <c r="AF665" s="485"/>
      <c r="AG665" s="485"/>
      <c r="AH665" s="485"/>
      <c r="AI665" s="485"/>
      <c r="AJ665" s="485"/>
      <c r="AK665" s="485"/>
      <c r="AL665" s="485"/>
      <c r="AM665" s="485"/>
      <c r="AN665" s="485"/>
      <c r="AO665" s="485"/>
      <c r="AP665" s="485"/>
      <c r="AQ665" s="485"/>
      <c r="AR665" s="485"/>
      <c r="AS665" s="485"/>
      <c r="AT665" s="485"/>
      <c r="AU665" s="485"/>
      <c r="AV665" s="485"/>
      <c r="AW665" s="485"/>
      <c r="AX665" s="485"/>
      <c r="AY665" s="485"/>
      <c r="AZ665" s="485"/>
      <c r="BA665" s="485"/>
      <c r="BB665" s="485"/>
      <c r="BC665" s="485"/>
      <c r="BD665" s="485"/>
      <c r="BE665" s="485"/>
      <c r="BF665" s="485"/>
      <c r="BG665" s="485"/>
      <c r="BH665" s="485"/>
      <c r="BI665" s="485"/>
      <c r="BJ665" s="485"/>
      <c r="BK665" s="485"/>
      <c r="BL665" s="485"/>
      <c r="BM665" s="485"/>
      <c r="BN665" s="485"/>
      <c r="BO665" s="485"/>
      <c r="BP665" s="485"/>
      <c r="BQ665" s="485"/>
      <c r="BR665" s="485"/>
      <c r="BS665" s="485"/>
      <c r="BT665" s="485"/>
      <c r="BU665" s="485"/>
      <c r="BV665" s="485"/>
      <c r="BW665" s="485"/>
      <c r="BX665" s="485"/>
      <c r="BY665" s="485"/>
      <c r="BZ665" s="485"/>
      <c r="CA665" s="485"/>
      <c r="CB665" s="485"/>
      <c r="CC665" s="485"/>
      <c r="CD665" s="485"/>
      <c r="CE665" s="485"/>
      <c r="CF665" s="485"/>
      <c r="CG665" s="485"/>
      <c r="CH665" s="485"/>
      <c r="CI665" s="485"/>
      <c r="CJ665" s="485"/>
      <c r="CK665" s="485"/>
      <c r="CL665" s="485"/>
      <c r="CM665" s="485"/>
      <c r="CN665" s="485"/>
      <c r="CO665" s="485"/>
      <c r="CP665" s="485"/>
      <c r="CQ665" s="485"/>
      <c r="CR665" s="485"/>
      <c r="CS665" s="485"/>
      <c r="CT665" s="485"/>
      <c r="CU665" s="485"/>
      <c r="CV665" s="485"/>
      <c r="CW665" s="485"/>
      <c r="CX665" s="485"/>
      <c r="CY665" s="485"/>
      <c r="CZ665" s="485"/>
      <c r="DA665" s="485"/>
      <c r="DB665" s="485"/>
      <c r="DC665" s="485"/>
      <c r="DD665" s="485"/>
      <c r="DE665" s="485"/>
      <c r="DF665" s="485"/>
      <c r="DG665" s="485"/>
      <c r="DH665" s="485"/>
      <c r="DI665" s="485"/>
      <c r="DJ665" s="485"/>
      <c r="DK665" s="485"/>
      <c r="DL665" s="485"/>
      <c r="DM665" s="485"/>
      <c r="DN665" s="485"/>
      <c r="DO665" s="485"/>
      <c r="DP665" s="485"/>
      <c r="DQ665" s="485"/>
      <c r="DR665" s="485"/>
      <c r="DS665" s="485"/>
      <c r="DT665" s="485"/>
      <c r="DU665" s="485"/>
      <c r="DV665" s="485"/>
      <c r="DW665" s="485"/>
      <c r="DX665" s="485"/>
      <c r="DY665" s="485"/>
      <c r="DZ665" s="485"/>
      <c r="EA665" s="485"/>
      <c r="EB665" s="485"/>
      <c r="EC665" s="485"/>
      <c r="ED665" s="485"/>
      <c r="EE665" s="485"/>
      <c r="EF665" s="485"/>
      <c r="EG665" s="485"/>
      <c r="EH665" s="485"/>
      <c r="EI665" s="485"/>
      <c r="EJ665" s="485"/>
      <c r="EK665" s="485"/>
      <c r="EL665" s="485"/>
      <c r="EM665" s="485"/>
      <c r="EN665" s="485"/>
      <c r="EO665" s="485"/>
      <c r="EP665" s="485"/>
    </row>
    <row r="666" spans="1:146">
      <c r="A666" s="485"/>
      <c r="B666" s="485"/>
      <c r="C666" s="485"/>
      <c r="D666" s="485"/>
      <c r="E666" s="485"/>
      <c r="F666" s="485"/>
      <c r="G666" s="485"/>
      <c r="H666" s="485"/>
      <c r="I666" s="485"/>
      <c r="J666" s="485"/>
      <c r="K666" s="485"/>
      <c r="L666" s="485"/>
      <c r="M666" s="485"/>
      <c r="P666" s="485"/>
      <c r="Q666" s="485"/>
      <c r="R666" s="485"/>
      <c r="S666" s="485"/>
      <c r="T666" s="485"/>
      <c r="U666" s="485"/>
      <c r="V666" s="485"/>
      <c r="W666" s="485"/>
      <c r="X666" s="485"/>
      <c r="Y666" s="485"/>
      <c r="Z666" s="485"/>
      <c r="AA666" s="485"/>
      <c r="AB666" s="485"/>
      <c r="AC666" s="485"/>
      <c r="AD666" s="485"/>
      <c r="AE666" s="485"/>
      <c r="AF666" s="485"/>
      <c r="AG666" s="485"/>
      <c r="AH666" s="485"/>
      <c r="AI666" s="485"/>
      <c r="AJ666" s="485"/>
      <c r="AK666" s="485"/>
      <c r="AL666" s="485"/>
      <c r="AM666" s="485"/>
      <c r="AN666" s="485"/>
      <c r="AO666" s="485"/>
      <c r="AP666" s="485"/>
      <c r="AQ666" s="485"/>
      <c r="AR666" s="485"/>
      <c r="AS666" s="485"/>
      <c r="AT666" s="485"/>
      <c r="AU666" s="485"/>
      <c r="AV666" s="485"/>
      <c r="AW666" s="485"/>
      <c r="AX666" s="485"/>
      <c r="AY666" s="485"/>
      <c r="AZ666" s="485"/>
      <c r="BA666" s="485"/>
      <c r="BB666" s="485"/>
      <c r="BC666" s="485"/>
      <c r="BD666" s="485"/>
      <c r="BE666" s="485"/>
      <c r="BF666" s="485"/>
      <c r="BG666" s="485"/>
      <c r="BH666" s="485"/>
      <c r="BI666" s="485"/>
      <c r="BJ666" s="485"/>
      <c r="BK666" s="485"/>
      <c r="BL666" s="485"/>
      <c r="BM666" s="485"/>
      <c r="BN666" s="485"/>
      <c r="BO666" s="485"/>
      <c r="BP666" s="485"/>
      <c r="BQ666" s="485"/>
      <c r="BR666" s="485"/>
      <c r="BS666" s="485"/>
      <c r="BT666" s="485"/>
      <c r="BU666" s="485"/>
      <c r="BV666" s="485"/>
      <c r="BW666" s="485"/>
      <c r="BX666" s="485"/>
      <c r="BY666" s="485"/>
      <c r="BZ666" s="485"/>
      <c r="CA666" s="485"/>
      <c r="CB666" s="485"/>
      <c r="CC666" s="485"/>
      <c r="CD666" s="485"/>
      <c r="CE666" s="485"/>
      <c r="CF666" s="485"/>
      <c r="CG666" s="485"/>
      <c r="CH666" s="485"/>
      <c r="CI666" s="485"/>
      <c r="CJ666" s="485"/>
      <c r="CK666" s="485"/>
      <c r="CL666" s="485"/>
      <c r="CM666" s="485"/>
      <c r="CN666" s="485"/>
      <c r="CO666" s="485"/>
      <c r="CP666" s="485"/>
      <c r="CQ666" s="485"/>
      <c r="CR666" s="485"/>
      <c r="CS666" s="485"/>
      <c r="CT666" s="485"/>
      <c r="CU666" s="485"/>
      <c r="CV666" s="485"/>
      <c r="CW666" s="485"/>
      <c r="CX666" s="485"/>
      <c r="CY666" s="485"/>
      <c r="CZ666" s="485"/>
      <c r="DA666" s="485"/>
      <c r="DB666" s="485"/>
      <c r="DC666" s="485"/>
      <c r="DD666" s="485"/>
      <c r="DE666" s="485"/>
      <c r="DF666" s="485"/>
      <c r="DG666" s="485"/>
      <c r="DH666" s="485"/>
      <c r="DI666" s="485"/>
      <c r="DJ666" s="485"/>
      <c r="DK666" s="485"/>
      <c r="DL666" s="485"/>
      <c r="DM666" s="485"/>
      <c r="DN666" s="485"/>
      <c r="DO666" s="485"/>
      <c r="DP666" s="485"/>
      <c r="DQ666" s="485"/>
      <c r="DR666" s="485"/>
      <c r="DS666" s="485"/>
      <c r="DT666" s="485"/>
      <c r="DU666" s="485"/>
      <c r="DV666" s="485"/>
      <c r="DW666" s="485"/>
      <c r="DX666" s="485"/>
      <c r="DY666" s="485"/>
      <c r="DZ666" s="485"/>
      <c r="EA666" s="485"/>
      <c r="EB666" s="485"/>
      <c r="EC666" s="485"/>
      <c r="ED666" s="485"/>
      <c r="EE666" s="485"/>
      <c r="EF666" s="485"/>
      <c r="EG666" s="485"/>
      <c r="EH666" s="485"/>
      <c r="EI666" s="485"/>
      <c r="EJ666" s="485"/>
      <c r="EK666" s="485"/>
      <c r="EL666" s="485"/>
      <c r="EM666" s="485"/>
      <c r="EN666" s="485"/>
      <c r="EO666" s="485"/>
      <c r="EP666" s="485"/>
    </row>
    <row r="667" spans="1:146">
      <c r="A667" s="485"/>
      <c r="B667" s="485"/>
      <c r="C667" s="485"/>
      <c r="D667" s="485"/>
      <c r="E667" s="485"/>
      <c r="F667" s="485"/>
      <c r="G667" s="485"/>
      <c r="H667" s="485"/>
      <c r="I667" s="485"/>
      <c r="J667" s="485"/>
      <c r="K667" s="485"/>
      <c r="L667" s="485"/>
      <c r="M667" s="485"/>
      <c r="P667" s="485"/>
      <c r="Q667" s="485"/>
      <c r="R667" s="485"/>
      <c r="S667" s="485"/>
      <c r="T667" s="485"/>
      <c r="U667" s="485"/>
      <c r="V667" s="485"/>
      <c r="W667" s="485"/>
      <c r="X667" s="485"/>
      <c r="Y667" s="485"/>
      <c r="Z667" s="485"/>
      <c r="AA667" s="485"/>
      <c r="AB667" s="485"/>
      <c r="AC667" s="485"/>
      <c r="AD667" s="485"/>
      <c r="AE667" s="485"/>
      <c r="AF667" s="485"/>
      <c r="AG667" s="485"/>
      <c r="AH667" s="485"/>
      <c r="AI667" s="485"/>
      <c r="AJ667" s="485"/>
      <c r="AK667" s="485"/>
      <c r="AL667" s="485"/>
      <c r="AM667" s="485"/>
      <c r="AN667" s="485"/>
      <c r="AO667" s="485"/>
      <c r="AP667" s="485"/>
      <c r="AQ667" s="485"/>
      <c r="AR667" s="485"/>
      <c r="AS667" s="485"/>
      <c r="AT667" s="485"/>
      <c r="AU667" s="485"/>
      <c r="AV667" s="485"/>
      <c r="AW667" s="485"/>
      <c r="AX667" s="485"/>
      <c r="AY667" s="485"/>
      <c r="AZ667" s="485"/>
      <c r="BA667" s="485"/>
      <c r="BB667" s="485"/>
      <c r="BC667" s="485"/>
      <c r="BD667" s="485"/>
      <c r="BE667" s="485"/>
      <c r="BF667" s="485"/>
      <c r="BG667" s="485"/>
      <c r="BH667" s="485"/>
      <c r="BI667" s="485"/>
      <c r="BJ667" s="485"/>
      <c r="BK667" s="485"/>
      <c r="BL667" s="485"/>
      <c r="BM667" s="485"/>
      <c r="BN667" s="485"/>
      <c r="BO667" s="485"/>
      <c r="BP667" s="485"/>
      <c r="BQ667" s="485"/>
      <c r="BR667" s="485"/>
      <c r="BS667" s="485"/>
      <c r="BT667" s="485"/>
      <c r="BU667" s="485"/>
      <c r="BV667" s="485"/>
      <c r="BW667" s="485"/>
      <c r="BX667" s="485"/>
      <c r="BY667" s="485"/>
      <c r="BZ667" s="485"/>
      <c r="CA667" s="485"/>
      <c r="CB667" s="485"/>
      <c r="CC667" s="485"/>
      <c r="CD667" s="485"/>
      <c r="CE667" s="485"/>
      <c r="CF667" s="485"/>
      <c r="CG667" s="485"/>
      <c r="CH667" s="485"/>
      <c r="CI667" s="485"/>
      <c r="CJ667" s="485"/>
      <c r="CK667" s="485"/>
      <c r="CL667" s="485"/>
      <c r="CM667" s="485"/>
      <c r="CN667" s="485"/>
      <c r="CO667" s="485"/>
      <c r="CP667" s="485"/>
      <c r="CQ667" s="485"/>
      <c r="CR667" s="485"/>
      <c r="CS667" s="485"/>
      <c r="CT667" s="485"/>
      <c r="CU667" s="485"/>
      <c r="CV667" s="485"/>
      <c r="CW667" s="485"/>
      <c r="CX667" s="485"/>
      <c r="CY667" s="485"/>
      <c r="CZ667" s="485"/>
      <c r="DA667" s="485"/>
      <c r="DB667" s="485"/>
      <c r="DC667" s="485"/>
      <c r="DD667" s="485"/>
      <c r="DE667" s="485"/>
      <c r="DF667" s="485"/>
      <c r="DG667" s="485"/>
      <c r="DH667" s="485"/>
      <c r="DI667" s="485"/>
      <c r="DJ667" s="485"/>
      <c r="DK667" s="485"/>
      <c r="DL667" s="485"/>
      <c r="DM667" s="485"/>
      <c r="DN667" s="485"/>
      <c r="DO667" s="485"/>
      <c r="DP667" s="485"/>
      <c r="DQ667" s="485"/>
      <c r="DR667" s="485"/>
      <c r="DS667" s="485"/>
      <c r="DT667" s="485"/>
      <c r="DU667" s="485"/>
      <c r="DV667" s="485"/>
      <c r="DW667" s="485"/>
      <c r="DX667" s="485"/>
      <c r="DY667" s="485"/>
      <c r="DZ667" s="485"/>
      <c r="EA667" s="485"/>
      <c r="EB667" s="485"/>
      <c r="EC667" s="485"/>
      <c r="ED667" s="485"/>
      <c r="EE667" s="485"/>
      <c r="EF667" s="485"/>
      <c r="EG667" s="485"/>
      <c r="EH667" s="485"/>
      <c r="EI667" s="485"/>
      <c r="EJ667" s="485"/>
      <c r="EK667" s="485"/>
      <c r="EL667" s="485"/>
      <c r="EM667" s="485"/>
      <c r="EN667" s="485"/>
      <c r="EO667" s="485"/>
      <c r="EP667" s="485"/>
    </row>
    <row r="668" spans="1:146">
      <c r="A668" s="485"/>
      <c r="B668" s="485"/>
      <c r="C668" s="485"/>
      <c r="D668" s="485"/>
      <c r="E668" s="485"/>
      <c r="F668" s="485"/>
      <c r="G668" s="485"/>
      <c r="H668" s="485"/>
      <c r="I668" s="485"/>
      <c r="J668" s="485"/>
      <c r="K668" s="485"/>
      <c r="L668" s="485"/>
      <c r="M668" s="485"/>
      <c r="P668" s="485"/>
      <c r="Q668" s="485"/>
      <c r="R668" s="485"/>
      <c r="S668" s="485"/>
      <c r="T668" s="485"/>
      <c r="U668" s="485"/>
      <c r="V668" s="485"/>
      <c r="W668" s="485"/>
      <c r="X668" s="485"/>
      <c r="Y668" s="485"/>
      <c r="Z668" s="485"/>
      <c r="AA668" s="485"/>
      <c r="AB668" s="485"/>
      <c r="AC668" s="485"/>
      <c r="AD668" s="485"/>
      <c r="AE668" s="485"/>
      <c r="AF668" s="485"/>
      <c r="AG668" s="485"/>
      <c r="AH668" s="485"/>
      <c r="AI668" s="485"/>
      <c r="AJ668" s="485"/>
      <c r="AK668" s="485"/>
      <c r="AL668" s="485"/>
      <c r="AM668" s="485"/>
      <c r="AN668" s="485"/>
      <c r="AO668" s="485"/>
      <c r="AP668" s="485"/>
      <c r="AQ668" s="485"/>
      <c r="AR668" s="485"/>
      <c r="AS668" s="485"/>
      <c r="AT668" s="485"/>
      <c r="AU668" s="485"/>
      <c r="AV668" s="485"/>
      <c r="AW668" s="485"/>
      <c r="AX668" s="485"/>
      <c r="AY668" s="485"/>
      <c r="AZ668" s="485"/>
      <c r="BA668" s="485"/>
      <c r="BB668" s="485"/>
      <c r="BC668" s="485"/>
      <c r="BD668" s="485"/>
      <c r="BE668" s="485"/>
      <c r="BF668" s="485"/>
      <c r="BG668" s="485"/>
      <c r="BH668" s="485"/>
      <c r="BI668" s="485"/>
      <c r="BJ668" s="485"/>
      <c r="BK668" s="485"/>
      <c r="BL668" s="485"/>
      <c r="BM668" s="485"/>
      <c r="BN668" s="485"/>
      <c r="BO668" s="485"/>
      <c r="BP668" s="485"/>
      <c r="BQ668" s="485"/>
      <c r="BR668" s="485"/>
      <c r="BS668" s="485"/>
      <c r="BT668" s="485"/>
      <c r="BU668" s="485"/>
      <c r="BV668" s="485"/>
      <c r="BW668" s="485"/>
      <c r="BX668" s="485"/>
      <c r="BY668" s="485"/>
      <c r="BZ668" s="485"/>
      <c r="CA668" s="485"/>
      <c r="CB668" s="485"/>
      <c r="CC668" s="485"/>
      <c r="CD668" s="485"/>
      <c r="CE668" s="485"/>
      <c r="CF668" s="485"/>
      <c r="CG668" s="485"/>
      <c r="CH668" s="485"/>
      <c r="CI668" s="485"/>
      <c r="CJ668" s="485"/>
      <c r="CK668" s="485"/>
      <c r="CL668" s="485"/>
      <c r="CM668" s="485"/>
      <c r="CN668" s="485"/>
      <c r="CO668" s="485"/>
      <c r="CP668" s="485"/>
      <c r="CQ668" s="485"/>
      <c r="CR668" s="485"/>
      <c r="CS668" s="485"/>
      <c r="CT668" s="485"/>
      <c r="CU668" s="485"/>
      <c r="CV668" s="485"/>
      <c r="CW668" s="485"/>
      <c r="CX668" s="485"/>
      <c r="CY668" s="485"/>
      <c r="CZ668" s="485"/>
      <c r="DA668" s="485"/>
      <c r="DB668" s="485"/>
      <c r="DC668" s="485"/>
      <c r="DD668" s="485"/>
      <c r="DE668" s="485"/>
      <c r="DF668" s="485"/>
      <c r="DG668" s="485"/>
      <c r="DH668" s="485"/>
      <c r="DI668" s="485"/>
      <c r="DJ668" s="485"/>
      <c r="DK668" s="485"/>
      <c r="DL668" s="485"/>
      <c r="DM668" s="485"/>
      <c r="DN668" s="485"/>
      <c r="DO668" s="485"/>
      <c r="DP668" s="485"/>
      <c r="DQ668" s="485"/>
      <c r="DR668" s="485"/>
      <c r="DS668" s="485"/>
      <c r="DT668" s="485"/>
      <c r="DU668" s="485"/>
      <c r="DV668" s="485"/>
      <c r="DW668" s="485"/>
      <c r="DX668" s="485"/>
      <c r="DY668" s="485"/>
      <c r="DZ668" s="485"/>
      <c r="EA668" s="485"/>
      <c r="EB668" s="485"/>
      <c r="EC668" s="485"/>
      <c r="ED668" s="485"/>
      <c r="EE668" s="485"/>
      <c r="EF668" s="485"/>
      <c r="EG668" s="485"/>
      <c r="EH668" s="485"/>
      <c r="EI668" s="485"/>
      <c r="EJ668" s="485"/>
      <c r="EK668" s="485"/>
      <c r="EL668" s="485"/>
      <c r="EM668" s="485"/>
      <c r="EN668" s="485"/>
      <c r="EO668" s="485"/>
      <c r="EP668" s="485"/>
    </row>
    <row r="669" spans="1:146">
      <c r="A669" s="485"/>
      <c r="B669" s="485"/>
      <c r="C669" s="485"/>
      <c r="D669" s="485"/>
      <c r="E669" s="485"/>
      <c r="F669" s="485"/>
      <c r="G669" s="485"/>
      <c r="H669" s="485"/>
      <c r="I669" s="485"/>
      <c r="J669" s="485"/>
      <c r="K669" s="485"/>
      <c r="L669" s="485"/>
      <c r="M669" s="485"/>
      <c r="P669" s="485"/>
      <c r="Q669" s="485"/>
      <c r="R669" s="485"/>
      <c r="S669" s="485"/>
      <c r="T669" s="485"/>
      <c r="U669" s="485"/>
      <c r="V669" s="485"/>
      <c r="W669" s="485"/>
      <c r="X669" s="485"/>
      <c r="Y669" s="485"/>
      <c r="Z669" s="485"/>
      <c r="AA669" s="485"/>
      <c r="AB669" s="485"/>
      <c r="AC669" s="485"/>
      <c r="AD669" s="485"/>
      <c r="AE669" s="485"/>
      <c r="AF669" s="485"/>
      <c r="AG669" s="485"/>
      <c r="AH669" s="485"/>
      <c r="AI669" s="485"/>
      <c r="AJ669" s="485"/>
      <c r="AK669" s="485"/>
      <c r="AL669" s="485"/>
      <c r="AM669" s="485"/>
      <c r="AN669" s="485"/>
      <c r="AO669" s="485"/>
      <c r="AP669" s="485"/>
      <c r="AQ669" s="485"/>
      <c r="AR669" s="485"/>
      <c r="AS669" s="485"/>
      <c r="AT669" s="485"/>
      <c r="AU669" s="485"/>
      <c r="AV669" s="485"/>
      <c r="AW669" s="485"/>
      <c r="AX669" s="485"/>
      <c r="AY669" s="485"/>
      <c r="AZ669" s="485"/>
      <c r="BA669" s="485"/>
      <c r="BB669" s="485"/>
      <c r="BC669" s="485"/>
      <c r="BD669" s="485"/>
      <c r="BE669" s="485"/>
      <c r="BF669" s="485"/>
      <c r="BG669" s="485"/>
      <c r="BH669" s="485"/>
      <c r="BI669" s="485"/>
      <c r="BJ669" s="485"/>
      <c r="BK669" s="485"/>
      <c r="BL669" s="485"/>
      <c r="BM669" s="485"/>
      <c r="BN669" s="485"/>
      <c r="BO669" s="485"/>
      <c r="BP669" s="485"/>
      <c r="BQ669" s="485"/>
      <c r="BR669" s="485"/>
      <c r="BS669" s="485"/>
      <c r="BT669" s="485"/>
      <c r="BU669" s="485"/>
      <c r="BV669" s="485"/>
      <c r="BW669" s="485"/>
      <c r="BX669" s="485"/>
      <c r="BY669" s="485"/>
      <c r="BZ669" s="485"/>
      <c r="CA669" s="485"/>
      <c r="CB669" s="485"/>
      <c r="CC669" s="485"/>
      <c r="CD669" s="485"/>
      <c r="CE669" s="485"/>
      <c r="CF669" s="485"/>
      <c r="CG669" s="485"/>
      <c r="CH669" s="485"/>
      <c r="CI669" s="485"/>
      <c r="CJ669" s="485"/>
      <c r="CK669" s="485"/>
      <c r="CL669" s="485"/>
      <c r="CM669" s="485"/>
      <c r="CN669" s="485"/>
      <c r="CO669" s="485"/>
      <c r="CP669" s="485"/>
      <c r="CQ669" s="485"/>
      <c r="CR669" s="485"/>
      <c r="CS669" s="485"/>
      <c r="CT669" s="485"/>
      <c r="CU669" s="485"/>
      <c r="CV669" s="485"/>
      <c r="CW669" s="485"/>
      <c r="CX669" s="485"/>
      <c r="CY669" s="485"/>
      <c r="CZ669" s="485"/>
      <c r="DA669" s="485"/>
      <c r="DB669" s="485"/>
      <c r="DC669" s="485"/>
      <c r="DD669" s="485"/>
      <c r="DE669" s="485"/>
      <c r="DF669" s="485"/>
      <c r="DG669" s="485"/>
      <c r="DH669" s="485"/>
      <c r="DI669" s="485"/>
      <c r="DJ669" s="485"/>
      <c r="DK669" s="485"/>
      <c r="DL669" s="485"/>
      <c r="DM669" s="485"/>
      <c r="DN669" s="485"/>
      <c r="DO669" s="485"/>
      <c r="DP669" s="485"/>
      <c r="DQ669" s="485"/>
      <c r="DR669" s="485"/>
      <c r="DS669" s="485"/>
      <c r="DT669" s="485"/>
      <c r="DU669" s="485"/>
      <c r="DV669" s="485"/>
      <c r="DW669" s="485"/>
      <c r="DX669" s="485"/>
      <c r="DY669" s="485"/>
      <c r="DZ669" s="485"/>
      <c r="EA669" s="485"/>
      <c r="EB669" s="485"/>
      <c r="EC669" s="485"/>
      <c r="ED669" s="485"/>
      <c r="EE669" s="485"/>
      <c r="EF669" s="485"/>
      <c r="EG669" s="485"/>
      <c r="EH669" s="485"/>
      <c r="EI669" s="485"/>
      <c r="EJ669" s="485"/>
      <c r="EK669" s="485"/>
      <c r="EL669" s="485"/>
      <c r="EM669" s="485"/>
      <c r="EN669" s="485"/>
      <c r="EO669" s="485"/>
      <c r="EP669" s="485"/>
    </row>
    <row r="670" spans="1:146">
      <c r="A670" s="485"/>
      <c r="B670" s="485"/>
      <c r="C670" s="485"/>
      <c r="D670" s="485"/>
      <c r="E670" s="485"/>
      <c r="F670" s="485"/>
      <c r="G670" s="485"/>
      <c r="H670" s="485"/>
      <c r="I670" s="485"/>
      <c r="J670" s="485"/>
      <c r="K670" s="485"/>
      <c r="L670" s="485"/>
      <c r="M670" s="485"/>
      <c r="P670" s="485"/>
      <c r="Q670" s="485"/>
      <c r="R670" s="485"/>
      <c r="S670" s="485"/>
      <c r="T670" s="485"/>
      <c r="U670" s="485"/>
      <c r="V670" s="485"/>
      <c r="W670" s="485"/>
      <c r="X670" s="485"/>
      <c r="Y670" s="485"/>
      <c r="Z670" s="485"/>
      <c r="AA670" s="485"/>
      <c r="AB670" s="485"/>
      <c r="AC670" s="485"/>
      <c r="AD670" s="485"/>
      <c r="AE670" s="485"/>
      <c r="AF670" s="485"/>
      <c r="AG670" s="485"/>
      <c r="AH670" s="485"/>
      <c r="AI670" s="485"/>
      <c r="AJ670" s="485"/>
      <c r="AK670" s="485"/>
      <c r="AL670" s="485"/>
      <c r="AM670" s="485"/>
      <c r="AN670" s="485"/>
      <c r="AO670" s="485"/>
      <c r="AP670" s="485"/>
      <c r="AQ670" s="485"/>
      <c r="AR670" s="485"/>
      <c r="AS670" s="485"/>
      <c r="AT670" s="485"/>
      <c r="AU670" s="485"/>
      <c r="AV670" s="485"/>
      <c r="AW670" s="485"/>
      <c r="AX670" s="485"/>
      <c r="AY670" s="485"/>
      <c r="AZ670" s="485"/>
      <c r="BA670" s="485"/>
      <c r="BB670" s="485"/>
      <c r="BC670" s="485"/>
      <c r="BD670" s="485"/>
      <c r="BE670" s="485"/>
      <c r="BF670" s="485"/>
      <c r="BG670" s="485"/>
      <c r="BH670" s="485"/>
      <c r="BI670" s="485"/>
      <c r="BJ670" s="485"/>
      <c r="BK670" s="485"/>
      <c r="BL670" s="485"/>
      <c r="BM670" s="485"/>
      <c r="BN670" s="485"/>
      <c r="BO670" s="485"/>
      <c r="BP670" s="485"/>
      <c r="BQ670" s="485"/>
      <c r="BR670" s="485"/>
      <c r="BS670" s="485"/>
      <c r="BT670" s="485"/>
      <c r="BU670" s="485"/>
      <c r="BV670" s="485"/>
      <c r="BW670" s="485"/>
      <c r="BX670" s="485"/>
      <c r="BY670" s="485"/>
      <c r="BZ670" s="485"/>
      <c r="CA670" s="485"/>
      <c r="CB670" s="485"/>
      <c r="CC670" s="485"/>
      <c r="CD670" s="485"/>
      <c r="CE670" s="485"/>
      <c r="CF670" s="485"/>
      <c r="CG670" s="485"/>
      <c r="CH670" s="485"/>
      <c r="CI670" s="485"/>
      <c r="CJ670" s="485"/>
      <c r="CK670" s="485"/>
      <c r="CL670" s="485"/>
      <c r="CM670" s="485"/>
      <c r="CN670" s="485"/>
      <c r="CO670" s="485"/>
      <c r="CP670" s="485"/>
      <c r="CQ670" s="485"/>
      <c r="CR670" s="485"/>
      <c r="CS670" s="485"/>
      <c r="CT670" s="485"/>
      <c r="CU670" s="485"/>
      <c r="CV670" s="485"/>
      <c r="CW670" s="485"/>
      <c r="CX670" s="485"/>
      <c r="CY670" s="485"/>
      <c r="CZ670" s="485"/>
      <c r="DA670" s="485"/>
      <c r="DB670" s="485"/>
      <c r="DC670" s="485"/>
      <c r="DD670" s="485"/>
      <c r="DE670" s="485"/>
      <c r="DF670" s="485"/>
      <c r="DG670" s="485"/>
      <c r="DH670" s="485"/>
      <c r="DI670" s="485"/>
      <c r="DJ670" s="485"/>
      <c r="DK670" s="485"/>
      <c r="DL670" s="485"/>
      <c r="DM670" s="485"/>
      <c r="DN670" s="485"/>
      <c r="DO670" s="485"/>
      <c r="DP670" s="485"/>
      <c r="DQ670" s="485"/>
      <c r="DR670" s="485"/>
      <c r="DS670" s="485"/>
      <c r="DT670" s="485"/>
      <c r="DU670" s="485"/>
      <c r="DV670" s="485"/>
      <c r="DW670" s="485"/>
      <c r="DX670" s="485"/>
      <c r="DY670" s="485"/>
      <c r="DZ670" s="485"/>
      <c r="EA670" s="485"/>
      <c r="EB670" s="485"/>
      <c r="EC670" s="485"/>
      <c r="ED670" s="485"/>
      <c r="EE670" s="485"/>
      <c r="EF670" s="485"/>
      <c r="EG670" s="485"/>
      <c r="EH670" s="485"/>
      <c r="EI670" s="485"/>
      <c r="EJ670" s="485"/>
      <c r="EK670" s="485"/>
      <c r="EL670" s="485"/>
      <c r="EM670" s="485"/>
      <c r="EN670" s="485"/>
      <c r="EO670" s="485"/>
      <c r="EP670" s="485"/>
    </row>
    <row r="671" spans="1:146">
      <c r="A671" s="485"/>
      <c r="B671" s="485"/>
      <c r="C671" s="485"/>
      <c r="D671" s="485"/>
      <c r="E671" s="485"/>
      <c r="F671" s="485"/>
      <c r="G671" s="485"/>
      <c r="H671" s="485"/>
      <c r="I671" s="485"/>
      <c r="J671" s="485"/>
      <c r="K671" s="485"/>
      <c r="L671" s="485"/>
      <c r="M671" s="485"/>
      <c r="P671" s="485"/>
      <c r="Q671" s="485"/>
      <c r="R671" s="485"/>
      <c r="S671" s="485"/>
      <c r="T671" s="485"/>
      <c r="U671" s="485"/>
      <c r="V671" s="485"/>
      <c r="W671" s="485"/>
      <c r="X671" s="485"/>
      <c r="Y671" s="485"/>
      <c r="Z671" s="485"/>
      <c r="AA671" s="485"/>
      <c r="AB671" s="485"/>
      <c r="AC671" s="485"/>
      <c r="AD671" s="485"/>
      <c r="AE671" s="485"/>
      <c r="AF671" s="485"/>
      <c r="AG671" s="485"/>
      <c r="AH671" s="485"/>
      <c r="AI671" s="485"/>
      <c r="AJ671" s="485"/>
      <c r="AK671" s="485"/>
      <c r="AL671" s="485"/>
      <c r="AM671" s="485"/>
      <c r="AN671" s="485"/>
      <c r="AO671" s="485"/>
      <c r="AP671" s="485"/>
      <c r="AQ671" s="485"/>
      <c r="AR671" s="485"/>
      <c r="AS671" s="485"/>
      <c r="AT671" s="485"/>
      <c r="AU671" s="485"/>
      <c r="AV671" s="485"/>
      <c r="AW671" s="485"/>
      <c r="AX671" s="485"/>
      <c r="AY671" s="485"/>
      <c r="AZ671" s="485"/>
      <c r="BA671" s="485"/>
      <c r="BB671" s="485"/>
      <c r="BC671" s="485"/>
      <c r="BD671" s="485"/>
      <c r="BE671" s="485"/>
      <c r="BF671" s="485"/>
      <c r="BG671" s="485"/>
      <c r="BH671" s="485"/>
      <c r="BI671" s="485"/>
      <c r="BJ671" s="485"/>
      <c r="BK671" s="485"/>
      <c r="BL671" s="485"/>
      <c r="BM671" s="485"/>
      <c r="BN671" s="485"/>
      <c r="BO671" s="485"/>
      <c r="BP671" s="485"/>
      <c r="BQ671" s="485"/>
      <c r="BR671" s="485"/>
      <c r="BS671" s="485"/>
      <c r="BT671" s="485"/>
      <c r="BU671" s="485"/>
      <c r="BV671" s="485"/>
      <c r="BW671" s="485"/>
      <c r="BX671" s="485"/>
      <c r="BY671" s="485"/>
      <c r="BZ671" s="485"/>
      <c r="CA671" s="485"/>
      <c r="CB671" s="485"/>
      <c r="CC671" s="485"/>
      <c r="CD671" s="485"/>
      <c r="CE671" s="485"/>
      <c r="CF671" s="485"/>
      <c r="CG671" s="485"/>
      <c r="CH671" s="485"/>
      <c r="CI671" s="485"/>
      <c r="CJ671" s="485"/>
      <c r="CK671" s="485"/>
      <c r="CL671" s="485"/>
      <c r="CM671" s="485"/>
      <c r="CN671" s="485"/>
      <c r="CO671" s="485"/>
      <c r="CP671" s="485"/>
      <c r="CQ671" s="485"/>
      <c r="CR671" s="485"/>
      <c r="CS671" s="485"/>
      <c r="CT671" s="485"/>
      <c r="CU671" s="485"/>
      <c r="CV671" s="485"/>
      <c r="CW671" s="485"/>
      <c r="CX671" s="485"/>
      <c r="CY671" s="485"/>
      <c r="CZ671" s="485"/>
      <c r="DA671" s="485"/>
      <c r="DB671" s="485"/>
      <c r="DC671" s="485"/>
      <c r="DD671" s="485"/>
      <c r="DE671" s="485"/>
      <c r="DF671" s="485"/>
      <c r="DG671" s="485"/>
      <c r="DH671" s="485"/>
      <c r="DI671" s="485"/>
      <c r="DJ671" s="485"/>
      <c r="DK671" s="485"/>
      <c r="DL671" s="485"/>
      <c r="DM671" s="485"/>
      <c r="DN671" s="485"/>
      <c r="DO671" s="485"/>
      <c r="DP671" s="485"/>
      <c r="DQ671" s="485"/>
      <c r="DR671" s="485"/>
      <c r="DS671" s="485"/>
      <c r="DT671" s="485"/>
      <c r="DU671" s="485"/>
      <c r="DV671" s="485"/>
      <c r="DW671" s="485"/>
      <c r="DX671" s="485"/>
      <c r="DY671" s="485"/>
      <c r="DZ671" s="485"/>
      <c r="EA671" s="485"/>
      <c r="EB671" s="485"/>
      <c r="EC671" s="485"/>
      <c r="ED671" s="485"/>
      <c r="EE671" s="485"/>
      <c r="EF671" s="485"/>
      <c r="EG671" s="485"/>
      <c r="EH671" s="485"/>
      <c r="EI671" s="485"/>
      <c r="EJ671" s="485"/>
      <c r="EK671" s="485"/>
      <c r="EL671" s="485"/>
      <c r="EM671" s="485"/>
      <c r="EN671" s="485"/>
      <c r="EO671" s="485"/>
      <c r="EP671" s="485"/>
    </row>
    <row r="672" spans="1:146">
      <c r="A672" s="485"/>
      <c r="B672" s="485"/>
      <c r="C672" s="485"/>
      <c r="D672" s="485"/>
      <c r="E672" s="485"/>
      <c r="F672" s="485"/>
      <c r="G672" s="485"/>
      <c r="H672" s="485"/>
      <c r="I672" s="485"/>
      <c r="J672" s="485"/>
      <c r="K672" s="485"/>
      <c r="L672" s="485"/>
      <c r="M672" s="485"/>
      <c r="P672" s="485"/>
      <c r="Q672" s="485"/>
      <c r="R672" s="485"/>
      <c r="S672" s="485"/>
      <c r="T672" s="485"/>
      <c r="U672" s="485"/>
      <c r="V672" s="485"/>
      <c r="W672" s="485"/>
      <c r="X672" s="485"/>
      <c r="Y672" s="485"/>
      <c r="Z672" s="485"/>
      <c r="AA672" s="485"/>
      <c r="AB672" s="485"/>
      <c r="AC672" s="485"/>
      <c r="AD672" s="485"/>
      <c r="AE672" s="485"/>
      <c r="AF672" s="485"/>
      <c r="AG672" s="485"/>
      <c r="AH672" s="485"/>
      <c r="AI672" s="485"/>
      <c r="AJ672" s="485"/>
      <c r="AK672" s="485"/>
      <c r="AL672" s="485"/>
      <c r="AM672" s="485"/>
      <c r="AN672" s="485"/>
      <c r="AO672" s="485"/>
      <c r="AP672" s="485"/>
      <c r="AQ672" s="485"/>
      <c r="AR672" s="485"/>
      <c r="AS672" s="485"/>
      <c r="AT672" s="485"/>
      <c r="AU672" s="485"/>
      <c r="AV672" s="485"/>
      <c r="AW672" s="485"/>
      <c r="AX672" s="485"/>
      <c r="AY672" s="485"/>
      <c r="AZ672" s="485"/>
      <c r="BA672" s="485"/>
      <c r="BB672" s="485"/>
      <c r="BC672" s="485"/>
      <c r="BD672" s="485"/>
      <c r="BE672" s="485"/>
      <c r="BF672" s="485"/>
      <c r="BG672" s="485"/>
      <c r="BH672" s="485"/>
      <c r="BI672" s="485"/>
      <c r="BJ672" s="485"/>
      <c r="BK672" s="485"/>
      <c r="BL672" s="485"/>
      <c r="BM672" s="485"/>
      <c r="BN672" s="485"/>
      <c r="BO672" s="485"/>
      <c r="BP672" s="485"/>
      <c r="BQ672" s="485"/>
      <c r="BR672" s="485"/>
      <c r="BS672" s="485"/>
      <c r="BT672" s="485"/>
      <c r="BU672" s="485"/>
      <c r="BV672" s="485"/>
      <c r="BW672" s="485"/>
      <c r="BX672" s="485"/>
      <c r="BY672" s="485"/>
      <c r="BZ672" s="485"/>
      <c r="CA672" s="485"/>
      <c r="CB672" s="485"/>
      <c r="CC672" s="485"/>
      <c r="CD672" s="485"/>
      <c r="CE672" s="485"/>
      <c r="CF672" s="485"/>
      <c r="CG672" s="485"/>
      <c r="CH672" s="485"/>
      <c r="CI672" s="485"/>
      <c r="CJ672" s="485"/>
      <c r="CK672" s="485"/>
      <c r="CL672" s="485"/>
      <c r="CM672" s="485"/>
      <c r="CN672" s="485"/>
      <c r="CO672" s="485"/>
      <c r="CP672" s="485"/>
      <c r="CQ672" s="485"/>
      <c r="CR672" s="485"/>
      <c r="CS672" s="485"/>
      <c r="CT672" s="485"/>
      <c r="CU672" s="485"/>
      <c r="CV672" s="485"/>
      <c r="CW672" s="485"/>
      <c r="CX672" s="485"/>
      <c r="CY672" s="485"/>
      <c r="CZ672" s="485"/>
      <c r="DA672" s="485"/>
      <c r="DB672" s="485"/>
      <c r="DC672" s="485"/>
      <c r="DD672" s="485"/>
      <c r="DE672" s="485"/>
      <c r="DF672" s="485"/>
      <c r="DG672" s="485"/>
      <c r="DH672" s="485"/>
      <c r="DI672" s="485"/>
      <c r="DJ672" s="485"/>
      <c r="DK672" s="485"/>
      <c r="DL672" s="485"/>
      <c r="DM672" s="485"/>
      <c r="DN672" s="485"/>
      <c r="DO672" s="485"/>
      <c r="DP672" s="485"/>
      <c r="DQ672" s="485"/>
      <c r="DR672" s="485"/>
      <c r="DS672" s="485"/>
      <c r="DT672" s="485"/>
      <c r="DU672" s="485"/>
      <c r="DV672" s="485"/>
      <c r="DW672" s="485"/>
      <c r="DX672" s="485"/>
      <c r="DY672" s="485"/>
      <c r="DZ672" s="485"/>
      <c r="EA672" s="485"/>
      <c r="EB672" s="485"/>
      <c r="EC672" s="485"/>
      <c r="ED672" s="485"/>
      <c r="EE672" s="485"/>
      <c r="EF672" s="485"/>
      <c r="EG672" s="485"/>
      <c r="EH672" s="485"/>
      <c r="EI672" s="485"/>
      <c r="EJ672" s="485"/>
      <c r="EK672" s="485"/>
      <c r="EL672" s="485"/>
      <c r="EM672" s="485"/>
      <c r="EN672" s="485"/>
      <c r="EO672" s="485"/>
      <c r="EP672" s="485"/>
    </row>
    <row r="673" spans="1:146">
      <c r="A673" s="485"/>
      <c r="B673" s="485"/>
      <c r="C673" s="485"/>
      <c r="D673" s="485"/>
      <c r="E673" s="485"/>
      <c r="F673" s="485"/>
      <c r="G673" s="485"/>
      <c r="H673" s="485"/>
      <c r="I673" s="485"/>
      <c r="J673" s="485"/>
      <c r="K673" s="485"/>
      <c r="L673" s="485"/>
      <c r="M673" s="485"/>
      <c r="P673" s="485"/>
      <c r="Q673" s="485"/>
      <c r="R673" s="485"/>
      <c r="S673" s="485"/>
      <c r="T673" s="485"/>
      <c r="U673" s="485"/>
      <c r="V673" s="485"/>
      <c r="W673" s="485"/>
      <c r="X673" s="485"/>
      <c r="Y673" s="485"/>
      <c r="Z673" s="485"/>
      <c r="AA673" s="485"/>
      <c r="AB673" s="485"/>
      <c r="AC673" s="485"/>
      <c r="AD673" s="485"/>
      <c r="AE673" s="485"/>
      <c r="AF673" s="485"/>
      <c r="AG673" s="485"/>
      <c r="AH673" s="485"/>
      <c r="AI673" s="485"/>
      <c r="AJ673" s="485"/>
      <c r="AK673" s="485"/>
      <c r="AL673" s="485"/>
      <c r="AM673" s="485"/>
      <c r="AN673" s="485"/>
      <c r="AO673" s="485"/>
      <c r="AP673" s="485"/>
      <c r="AQ673" s="485"/>
      <c r="AR673" s="485"/>
      <c r="AS673" s="485"/>
      <c r="AT673" s="485"/>
      <c r="AU673" s="485"/>
      <c r="AV673" s="485"/>
      <c r="AW673" s="485"/>
      <c r="AX673" s="485"/>
      <c r="AY673" s="485"/>
      <c r="AZ673" s="485"/>
      <c r="BA673" s="485"/>
      <c r="BB673" s="485"/>
      <c r="BC673" s="485"/>
      <c r="BD673" s="485"/>
      <c r="BE673" s="485"/>
      <c r="BF673" s="485"/>
      <c r="BG673" s="485"/>
      <c r="BH673" s="485"/>
      <c r="BI673" s="485"/>
      <c r="BJ673" s="485"/>
      <c r="BK673" s="485"/>
      <c r="BL673" s="485"/>
      <c r="BM673" s="485"/>
      <c r="BN673" s="485"/>
      <c r="BO673" s="485"/>
      <c r="BP673" s="485"/>
      <c r="BQ673" s="485"/>
      <c r="BR673" s="485"/>
      <c r="BS673" s="485"/>
      <c r="BT673" s="485"/>
      <c r="BU673" s="485"/>
      <c r="BV673" s="485"/>
      <c r="BW673" s="485"/>
      <c r="BX673" s="485"/>
      <c r="BY673" s="485"/>
      <c r="BZ673" s="485"/>
      <c r="CA673" s="485"/>
      <c r="CB673" s="485"/>
      <c r="CC673" s="485"/>
      <c r="CD673" s="485"/>
      <c r="CE673" s="485"/>
      <c r="CF673" s="485"/>
      <c r="CG673" s="485"/>
      <c r="CH673" s="485"/>
      <c r="CI673" s="485"/>
      <c r="CJ673" s="485"/>
      <c r="CK673" s="485"/>
      <c r="CL673" s="485"/>
      <c r="CM673" s="485"/>
      <c r="CN673" s="485"/>
      <c r="CO673" s="485"/>
      <c r="CP673" s="485"/>
      <c r="CQ673" s="485"/>
      <c r="CR673" s="485"/>
      <c r="CS673" s="485"/>
      <c r="CT673" s="485"/>
      <c r="CU673" s="485"/>
      <c r="CV673" s="485"/>
      <c r="CW673" s="485"/>
      <c r="CX673" s="485"/>
      <c r="CY673" s="485"/>
      <c r="CZ673" s="485"/>
      <c r="DA673" s="485"/>
      <c r="DB673" s="485"/>
      <c r="DC673" s="485"/>
      <c r="DD673" s="485"/>
      <c r="DE673" s="485"/>
      <c r="DF673" s="485"/>
      <c r="DG673" s="485"/>
      <c r="DH673" s="485"/>
      <c r="DI673" s="485"/>
      <c r="DJ673" s="485"/>
      <c r="DK673" s="485"/>
      <c r="DL673" s="485"/>
      <c r="DM673" s="485"/>
      <c r="DN673" s="485"/>
      <c r="DO673" s="485"/>
      <c r="DP673" s="485"/>
      <c r="DQ673" s="485"/>
      <c r="DR673" s="485"/>
      <c r="DS673" s="485"/>
      <c r="DT673" s="485"/>
      <c r="DU673" s="485"/>
      <c r="DV673" s="485"/>
      <c r="DW673" s="485"/>
      <c r="DX673" s="485"/>
      <c r="DY673" s="485"/>
      <c r="DZ673" s="485"/>
      <c r="EA673" s="485"/>
      <c r="EB673" s="485"/>
      <c r="EC673" s="485"/>
      <c r="ED673" s="485"/>
      <c r="EE673" s="485"/>
      <c r="EF673" s="485"/>
      <c r="EG673" s="485"/>
      <c r="EH673" s="485"/>
      <c r="EI673" s="485"/>
      <c r="EJ673" s="485"/>
      <c r="EK673" s="485"/>
      <c r="EL673" s="485"/>
      <c r="EM673" s="485"/>
      <c r="EN673" s="485"/>
      <c r="EO673" s="485"/>
      <c r="EP673" s="485"/>
    </row>
    <row r="674" spans="1:146">
      <c r="A674" s="485"/>
      <c r="B674" s="485"/>
      <c r="C674" s="485"/>
      <c r="D674" s="485"/>
      <c r="E674" s="485"/>
      <c r="F674" s="485"/>
      <c r="G674" s="485"/>
      <c r="H674" s="485"/>
      <c r="I674" s="485"/>
      <c r="J674" s="485"/>
      <c r="K674" s="485"/>
      <c r="L674" s="485"/>
      <c r="M674" s="485"/>
      <c r="P674" s="485"/>
      <c r="Q674" s="485"/>
      <c r="R674" s="485"/>
      <c r="S674" s="485"/>
      <c r="T674" s="485"/>
      <c r="U674" s="485"/>
      <c r="V674" s="485"/>
      <c r="W674" s="485"/>
      <c r="X674" s="485"/>
      <c r="Y674" s="485"/>
      <c r="Z674" s="485"/>
      <c r="AA674" s="485"/>
      <c r="AB674" s="485"/>
      <c r="AC674" s="485"/>
      <c r="AD674" s="485"/>
      <c r="AE674" s="485"/>
      <c r="AF674" s="485"/>
      <c r="AG674" s="485"/>
      <c r="AH674" s="485"/>
      <c r="AI674" s="485"/>
      <c r="AJ674" s="485"/>
      <c r="AK674" s="485"/>
      <c r="AL674" s="485"/>
      <c r="AM674" s="485"/>
      <c r="AN674" s="485"/>
      <c r="AO674" s="485"/>
      <c r="AP674" s="485"/>
      <c r="AQ674" s="485"/>
      <c r="AR674" s="485"/>
      <c r="AS674" s="485"/>
      <c r="AT674" s="485"/>
      <c r="AU674" s="485"/>
      <c r="AV674" s="485"/>
      <c r="AW674" s="485"/>
      <c r="AX674" s="485"/>
      <c r="AY674" s="485"/>
      <c r="AZ674" s="485"/>
      <c r="BA674" s="485"/>
      <c r="BB674" s="485"/>
      <c r="BC674" s="485"/>
      <c r="BD674" s="485"/>
      <c r="BE674" s="485"/>
      <c r="BF674" s="485"/>
      <c r="BG674" s="485"/>
      <c r="BH674" s="485"/>
      <c r="BI674" s="485"/>
      <c r="BJ674" s="485"/>
      <c r="BK674" s="485"/>
      <c r="BL674" s="485"/>
      <c r="BM674" s="485"/>
      <c r="BN674" s="485"/>
      <c r="BO674" s="485"/>
      <c r="BP674" s="485"/>
      <c r="BQ674" s="485"/>
      <c r="BR674" s="485"/>
      <c r="BS674" s="485"/>
      <c r="BT674" s="485"/>
      <c r="BU674" s="485"/>
      <c r="BV674" s="485"/>
      <c r="BW674" s="485"/>
      <c r="BX674" s="485"/>
      <c r="BY674" s="485"/>
      <c r="BZ674" s="485"/>
      <c r="CA674" s="485"/>
      <c r="CB674" s="485"/>
      <c r="CC674" s="485"/>
      <c r="CD674" s="485"/>
      <c r="CE674" s="485"/>
      <c r="CF674" s="485"/>
      <c r="CG674" s="485"/>
      <c r="CH674" s="485"/>
      <c r="CI674" s="485"/>
      <c r="CJ674" s="485"/>
      <c r="CK674" s="485"/>
      <c r="CL674" s="485"/>
      <c r="CM674" s="485"/>
      <c r="CN674" s="485"/>
      <c r="CO674" s="485"/>
      <c r="CP674" s="485"/>
      <c r="CQ674" s="485"/>
      <c r="CR674" s="485"/>
      <c r="CS674" s="485"/>
      <c r="CT674" s="485"/>
      <c r="CU674" s="485"/>
      <c r="CV674" s="485"/>
      <c r="CW674" s="485"/>
      <c r="CX674" s="485"/>
      <c r="CY674" s="485"/>
      <c r="CZ674" s="485"/>
      <c r="DA674" s="485"/>
      <c r="DB674" s="485"/>
      <c r="DC674" s="485"/>
      <c r="DD674" s="485"/>
      <c r="DE674" s="485"/>
      <c r="DF674" s="485"/>
      <c r="DG674" s="485"/>
      <c r="DH674" s="485"/>
      <c r="DI674" s="485"/>
      <c r="DJ674" s="485"/>
      <c r="DK674" s="485"/>
      <c r="DL674" s="485"/>
      <c r="DM674" s="485"/>
      <c r="DN674" s="485"/>
      <c r="DO674" s="485"/>
      <c r="DP674" s="485"/>
      <c r="DQ674" s="485"/>
      <c r="DR674" s="485"/>
      <c r="DS674" s="485"/>
      <c r="DT674" s="485"/>
      <c r="DU674" s="485"/>
      <c r="DV674" s="485"/>
      <c r="DW674" s="485"/>
      <c r="DX674" s="485"/>
      <c r="DY674" s="485"/>
      <c r="DZ674" s="485"/>
      <c r="EA674" s="485"/>
      <c r="EB674" s="485"/>
      <c r="EC674" s="485"/>
      <c r="ED674" s="485"/>
      <c r="EE674" s="485"/>
      <c r="EF674" s="485"/>
      <c r="EG674" s="485"/>
      <c r="EH674" s="485"/>
      <c r="EI674" s="485"/>
      <c r="EJ674" s="485"/>
      <c r="EK674" s="485"/>
      <c r="EL674" s="485"/>
      <c r="EM674" s="485"/>
      <c r="EN674" s="485"/>
      <c r="EO674" s="485"/>
      <c r="EP674" s="485"/>
    </row>
    <row r="675" spans="1:146">
      <c r="A675" s="485"/>
      <c r="B675" s="485"/>
      <c r="C675" s="485"/>
      <c r="D675" s="485"/>
      <c r="E675" s="485"/>
      <c r="F675" s="485"/>
      <c r="G675" s="485"/>
      <c r="H675" s="485"/>
      <c r="I675" s="485"/>
      <c r="J675" s="485"/>
      <c r="K675" s="485"/>
      <c r="L675" s="485"/>
      <c r="M675" s="485"/>
      <c r="P675" s="485"/>
      <c r="Q675" s="485"/>
      <c r="R675" s="485"/>
      <c r="S675" s="485"/>
      <c r="T675" s="485"/>
      <c r="U675" s="485"/>
      <c r="V675" s="485"/>
      <c r="W675" s="485"/>
      <c r="X675" s="485"/>
      <c r="Y675" s="485"/>
      <c r="Z675" s="485"/>
      <c r="AA675" s="485"/>
      <c r="AB675" s="485"/>
      <c r="AC675" s="485"/>
      <c r="AD675" s="485"/>
      <c r="AE675" s="485"/>
      <c r="AF675" s="485"/>
      <c r="AG675" s="485"/>
      <c r="AH675" s="485"/>
      <c r="AI675" s="485"/>
      <c r="AJ675" s="485"/>
      <c r="AK675" s="485"/>
      <c r="AL675" s="485"/>
      <c r="AM675" s="485"/>
      <c r="AN675" s="485"/>
      <c r="AO675" s="485"/>
      <c r="AP675" s="485"/>
      <c r="AQ675" s="485"/>
      <c r="AR675" s="485"/>
      <c r="AS675" s="485"/>
      <c r="AT675" s="485"/>
      <c r="AU675" s="485"/>
      <c r="AV675" s="485"/>
      <c r="AW675" s="485"/>
      <c r="AX675" s="485"/>
      <c r="AY675" s="485"/>
      <c r="AZ675" s="485"/>
      <c r="BA675" s="485"/>
      <c r="BB675" s="485"/>
      <c r="BC675" s="485"/>
      <c r="BD675" s="485"/>
      <c r="BE675" s="485"/>
      <c r="BF675" s="485"/>
      <c r="BG675" s="485"/>
      <c r="BH675" s="485"/>
      <c r="BI675" s="485"/>
      <c r="BJ675" s="485"/>
      <c r="BK675" s="485"/>
      <c r="BL675" s="485"/>
      <c r="BM675" s="485"/>
      <c r="BN675" s="485"/>
      <c r="BO675" s="485"/>
      <c r="BP675" s="485"/>
      <c r="BQ675" s="485"/>
      <c r="BR675" s="485"/>
      <c r="BS675" s="485"/>
      <c r="BT675" s="485"/>
      <c r="BU675" s="485"/>
      <c r="BV675" s="485"/>
      <c r="BW675" s="485"/>
      <c r="BX675" s="485"/>
      <c r="BY675" s="485"/>
      <c r="BZ675" s="485"/>
      <c r="CA675" s="485"/>
      <c r="CB675" s="485"/>
      <c r="CC675" s="485"/>
      <c r="CD675" s="485"/>
      <c r="CE675" s="485"/>
      <c r="CF675" s="485"/>
      <c r="CG675" s="485"/>
      <c r="CH675" s="485"/>
      <c r="CI675" s="485"/>
      <c r="CJ675" s="485"/>
      <c r="CK675" s="485"/>
      <c r="CL675" s="485"/>
      <c r="CM675" s="485"/>
      <c r="CN675" s="485"/>
      <c r="CO675" s="485"/>
      <c r="CP675" s="485"/>
      <c r="CQ675" s="485"/>
      <c r="CR675" s="485"/>
      <c r="CS675" s="485"/>
      <c r="CT675" s="485"/>
      <c r="CU675" s="485"/>
      <c r="CV675" s="485"/>
      <c r="CW675" s="485"/>
      <c r="CX675" s="485"/>
      <c r="CY675" s="485"/>
      <c r="CZ675" s="485"/>
      <c r="DA675" s="485"/>
      <c r="DB675" s="485"/>
      <c r="DC675" s="485"/>
      <c r="DD675" s="485"/>
      <c r="DE675" s="485"/>
      <c r="DF675" s="485"/>
      <c r="DG675" s="485"/>
      <c r="DH675" s="485"/>
      <c r="DI675" s="485"/>
      <c r="DJ675" s="485"/>
      <c r="DK675" s="485"/>
      <c r="DL675" s="485"/>
      <c r="DM675" s="485"/>
      <c r="DN675" s="485"/>
      <c r="DO675" s="485"/>
      <c r="DP675" s="485"/>
      <c r="DQ675" s="485"/>
      <c r="DR675" s="485"/>
      <c r="DS675" s="485"/>
      <c r="DT675" s="485"/>
      <c r="DU675" s="485"/>
      <c r="DV675" s="485"/>
      <c r="DW675" s="485"/>
      <c r="DX675" s="485"/>
      <c r="DY675" s="485"/>
      <c r="DZ675" s="485"/>
      <c r="EA675" s="485"/>
      <c r="EB675" s="485"/>
      <c r="EC675" s="485"/>
      <c r="ED675" s="485"/>
      <c r="EE675" s="485"/>
      <c r="EF675" s="485"/>
      <c r="EG675" s="485"/>
      <c r="EH675" s="485"/>
      <c r="EI675" s="485"/>
      <c r="EJ675" s="485"/>
      <c r="EK675" s="485"/>
      <c r="EL675" s="485"/>
      <c r="EM675" s="485"/>
      <c r="EN675" s="485"/>
      <c r="EO675" s="485"/>
      <c r="EP675" s="485"/>
    </row>
    <row r="676" spans="1:146">
      <c r="A676" s="485"/>
      <c r="B676" s="485"/>
      <c r="C676" s="485"/>
      <c r="D676" s="485"/>
      <c r="E676" s="485"/>
      <c r="F676" s="485"/>
      <c r="G676" s="485"/>
      <c r="H676" s="485"/>
      <c r="I676" s="485"/>
      <c r="J676" s="485"/>
      <c r="K676" s="485"/>
      <c r="L676" s="485"/>
      <c r="M676" s="485"/>
      <c r="P676" s="485"/>
      <c r="Q676" s="485"/>
      <c r="R676" s="485"/>
      <c r="S676" s="485"/>
      <c r="T676" s="485"/>
      <c r="U676" s="485"/>
      <c r="V676" s="485"/>
      <c r="W676" s="485"/>
      <c r="X676" s="485"/>
      <c r="Y676" s="485"/>
      <c r="Z676" s="485"/>
      <c r="AA676" s="485"/>
      <c r="AB676" s="485"/>
      <c r="AC676" s="485"/>
      <c r="AD676" s="485"/>
      <c r="AE676" s="485"/>
      <c r="AF676" s="485"/>
      <c r="AG676" s="485"/>
      <c r="AH676" s="485"/>
      <c r="AI676" s="485"/>
      <c r="AJ676" s="485"/>
      <c r="AK676" s="485"/>
      <c r="AL676" s="485"/>
      <c r="AM676" s="485"/>
      <c r="AN676" s="485"/>
      <c r="AO676" s="485"/>
      <c r="AP676" s="485"/>
      <c r="AQ676" s="485"/>
      <c r="AR676" s="485"/>
      <c r="AS676" s="485"/>
      <c r="AT676" s="485"/>
      <c r="AU676" s="485"/>
      <c r="AV676" s="485"/>
      <c r="AW676" s="485"/>
      <c r="AX676" s="485"/>
      <c r="AY676" s="485"/>
      <c r="AZ676" s="485"/>
      <c r="BA676" s="485"/>
      <c r="BB676" s="485"/>
      <c r="BC676" s="485"/>
      <c r="BD676" s="485"/>
      <c r="BE676" s="485"/>
      <c r="BF676" s="485"/>
      <c r="BG676" s="485"/>
      <c r="BH676" s="485"/>
      <c r="BI676" s="485"/>
      <c r="BJ676" s="485"/>
      <c r="BK676" s="485"/>
      <c r="BL676" s="485"/>
      <c r="BM676" s="485"/>
      <c r="BN676" s="485"/>
      <c r="BO676" s="485"/>
      <c r="BP676" s="485"/>
      <c r="BQ676" s="485"/>
      <c r="BR676" s="485"/>
      <c r="BS676" s="485"/>
      <c r="BT676" s="485"/>
      <c r="BU676" s="485"/>
      <c r="BV676" s="485"/>
      <c r="BW676" s="485"/>
      <c r="BX676" s="485"/>
      <c r="BY676" s="485"/>
      <c r="BZ676" s="485"/>
      <c r="CA676" s="485"/>
      <c r="CB676" s="485"/>
      <c r="CC676" s="485"/>
      <c r="CD676" s="485"/>
      <c r="CE676" s="485"/>
      <c r="CF676" s="485"/>
      <c r="CG676" s="485"/>
      <c r="CH676" s="485"/>
      <c r="CI676" s="485"/>
      <c r="CJ676" s="485"/>
      <c r="CK676" s="485"/>
      <c r="CL676" s="485"/>
      <c r="CM676" s="485"/>
      <c r="CN676" s="485"/>
      <c r="CO676" s="485"/>
      <c r="CP676" s="485"/>
      <c r="CQ676" s="485"/>
      <c r="CR676" s="485"/>
      <c r="CS676" s="485"/>
      <c r="CT676" s="485"/>
      <c r="CU676" s="485"/>
      <c r="CV676" s="485"/>
      <c r="CW676" s="485"/>
      <c r="CX676" s="485"/>
      <c r="CY676" s="485"/>
      <c r="CZ676" s="485"/>
      <c r="DA676" s="485"/>
      <c r="DB676" s="485"/>
      <c r="DC676" s="485"/>
      <c r="DD676" s="485"/>
      <c r="DE676" s="485"/>
      <c r="DF676" s="485"/>
      <c r="DG676" s="485"/>
      <c r="DH676" s="485"/>
      <c r="DI676" s="485"/>
      <c r="DJ676" s="485"/>
      <c r="DK676" s="485"/>
      <c r="DL676" s="485"/>
      <c r="DM676" s="485"/>
      <c r="DN676" s="485"/>
      <c r="DO676" s="485"/>
      <c r="DP676" s="485"/>
      <c r="DQ676" s="485"/>
      <c r="DR676" s="485"/>
      <c r="DS676" s="485"/>
      <c r="DT676" s="485"/>
      <c r="DU676" s="485"/>
      <c r="DV676" s="485"/>
      <c r="DW676" s="485"/>
      <c r="DX676" s="485"/>
      <c r="DY676" s="485"/>
      <c r="DZ676" s="485"/>
      <c r="EA676" s="485"/>
      <c r="EB676" s="485"/>
      <c r="EC676" s="485"/>
      <c r="ED676" s="485"/>
      <c r="EE676" s="485"/>
      <c r="EF676" s="485"/>
      <c r="EG676" s="485"/>
      <c r="EH676" s="485"/>
      <c r="EI676" s="485"/>
      <c r="EJ676" s="485"/>
      <c r="EK676" s="485"/>
      <c r="EL676" s="485"/>
      <c r="EM676" s="485"/>
      <c r="EN676" s="485"/>
      <c r="EO676" s="485"/>
      <c r="EP676" s="485"/>
    </row>
    <row r="677" spans="1:146">
      <c r="A677" s="485"/>
      <c r="B677" s="485"/>
      <c r="C677" s="485"/>
      <c r="D677" s="485"/>
      <c r="E677" s="485"/>
      <c r="F677" s="485"/>
      <c r="G677" s="485"/>
      <c r="H677" s="485"/>
      <c r="I677" s="485"/>
      <c r="J677" s="485"/>
      <c r="K677" s="485"/>
      <c r="L677" s="485"/>
      <c r="M677" s="485"/>
      <c r="P677" s="485"/>
      <c r="Q677" s="485"/>
      <c r="R677" s="485"/>
      <c r="S677" s="485"/>
      <c r="T677" s="485"/>
      <c r="U677" s="485"/>
      <c r="V677" s="485"/>
      <c r="W677" s="485"/>
      <c r="X677" s="485"/>
      <c r="Y677" s="485"/>
      <c r="Z677" s="485"/>
      <c r="AA677" s="485"/>
      <c r="AB677" s="485"/>
      <c r="AC677" s="485"/>
      <c r="AD677" s="485"/>
      <c r="AE677" s="485"/>
      <c r="AF677" s="485"/>
      <c r="AG677" s="485"/>
      <c r="AH677" s="485"/>
      <c r="AI677" s="485"/>
      <c r="AJ677" s="485"/>
      <c r="AK677" s="485"/>
      <c r="AL677" s="485"/>
      <c r="AM677" s="485"/>
      <c r="AN677" s="485"/>
      <c r="AO677" s="485"/>
      <c r="AP677" s="485"/>
      <c r="AQ677" s="485"/>
      <c r="AR677" s="485"/>
      <c r="AS677" s="485"/>
      <c r="AT677" s="485"/>
      <c r="AU677" s="485"/>
      <c r="AV677" s="485"/>
      <c r="AW677" s="485"/>
      <c r="AX677" s="485"/>
      <c r="AY677" s="485"/>
      <c r="AZ677" s="485"/>
      <c r="BA677" s="485"/>
      <c r="BB677" s="485"/>
      <c r="BC677" s="485"/>
      <c r="BD677" s="485"/>
      <c r="BE677" s="485"/>
      <c r="BF677" s="485"/>
      <c r="BG677" s="485"/>
      <c r="BH677" s="485"/>
      <c r="BI677" s="485"/>
      <c r="BJ677" s="485"/>
      <c r="BK677" s="485"/>
      <c r="BL677" s="485"/>
      <c r="BM677" s="485"/>
      <c r="BN677" s="485"/>
      <c r="BO677" s="485"/>
      <c r="BP677" s="485"/>
      <c r="BQ677" s="485"/>
      <c r="BR677" s="485"/>
      <c r="BS677" s="485"/>
      <c r="BT677" s="485"/>
      <c r="BU677" s="485"/>
      <c r="BV677" s="485"/>
      <c r="BW677" s="485"/>
      <c r="BX677" s="485"/>
      <c r="BY677" s="485"/>
      <c r="BZ677" s="485"/>
      <c r="CA677" s="485"/>
      <c r="CB677" s="485"/>
      <c r="CC677" s="485"/>
      <c r="CD677" s="485"/>
      <c r="CE677" s="485"/>
      <c r="CF677" s="485"/>
      <c r="CG677" s="485"/>
      <c r="CH677" s="485"/>
      <c r="CI677" s="485"/>
      <c r="CJ677" s="485"/>
      <c r="CK677" s="485"/>
      <c r="CL677" s="485"/>
      <c r="CM677" s="485"/>
      <c r="CN677" s="485"/>
      <c r="CO677" s="485"/>
      <c r="CP677" s="485"/>
      <c r="CQ677" s="485"/>
      <c r="CR677" s="485"/>
      <c r="CS677" s="485"/>
      <c r="CT677" s="485"/>
      <c r="CU677" s="485"/>
      <c r="CV677" s="485"/>
      <c r="CW677" s="485"/>
      <c r="CX677" s="485"/>
      <c r="CY677" s="485"/>
      <c r="CZ677" s="485"/>
      <c r="DA677" s="485"/>
      <c r="DB677" s="485"/>
      <c r="DC677" s="485"/>
      <c r="DD677" s="485"/>
      <c r="DE677" s="485"/>
      <c r="DF677" s="485"/>
      <c r="DG677" s="485"/>
      <c r="DH677" s="485"/>
      <c r="DI677" s="485"/>
      <c r="DJ677" s="485"/>
      <c r="DK677" s="485"/>
      <c r="DL677" s="485"/>
      <c r="DM677" s="485"/>
      <c r="DN677" s="485"/>
      <c r="DO677" s="485"/>
      <c r="DP677" s="485"/>
      <c r="DQ677" s="485"/>
      <c r="DR677" s="485"/>
      <c r="DS677" s="485"/>
      <c r="DT677" s="485"/>
      <c r="DU677" s="485"/>
      <c r="DV677" s="485"/>
      <c r="DW677" s="485"/>
      <c r="DX677" s="485"/>
      <c r="DY677" s="485"/>
      <c r="DZ677" s="485"/>
      <c r="EA677" s="485"/>
      <c r="EB677" s="485"/>
      <c r="EC677" s="485"/>
      <c r="ED677" s="485"/>
      <c r="EE677" s="485"/>
      <c r="EF677" s="485"/>
      <c r="EG677" s="485"/>
      <c r="EH677" s="485"/>
      <c r="EI677" s="485"/>
      <c r="EJ677" s="485"/>
      <c r="EK677" s="485"/>
      <c r="EL677" s="485"/>
      <c r="EM677" s="485"/>
      <c r="EN677" s="485"/>
      <c r="EO677" s="485"/>
      <c r="EP677" s="485"/>
    </row>
    <row r="678" spans="1:146">
      <c r="A678" s="485"/>
      <c r="B678" s="485"/>
      <c r="C678" s="485"/>
      <c r="D678" s="485"/>
      <c r="E678" s="485"/>
      <c r="F678" s="485"/>
      <c r="G678" s="485"/>
      <c r="H678" s="485"/>
      <c r="I678" s="485"/>
      <c r="J678" s="485"/>
      <c r="K678" s="485"/>
      <c r="L678" s="485"/>
      <c r="M678" s="485"/>
      <c r="P678" s="485"/>
      <c r="Q678" s="485"/>
      <c r="R678" s="485"/>
      <c r="S678" s="485"/>
      <c r="T678" s="485"/>
      <c r="U678" s="485"/>
      <c r="V678" s="485"/>
      <c r="W678" s="485"/>
      <c r="X678" s="485"/>
      <c r="Y678" s="485"/>
      <c r="Z678" s="485"/>
      <c r="AA678" s="485"/>
      <c r="AB678" s="485"/>
      <c r="AC678" s="485"/>
      <c r="AD678" s="485"/>
      <c r="AE678" s="485"/>
      <c r="AF678" s="485"/>
      <c r="AG678" s="485"/>
      <c r="AH678" s="485"/>
      <c r="AI678" s="485"/>
      <c r="AJ678" s="485"/>
      <c r="AK678" s="485"/>
      <c r="AL678" s="485"/>
      <c r="AM678" s="485"/>
      <c r="AN678" s="485"/>
      <c r="AO678" s="485"/>
      <c r="AP678" s="485"/>
      <c r="AQ678" s="485"/>
      <c r="AR678" s="485"/>
      <c r="AS678" s="485"/>
      <c r="AT678" s="485"/>
      <c r="AU678" s="485"/>
      <c r="AV678" s="485"/>
      <c r="AW678" s="485"/>
      <c r="AX678" s="485"/>
      <c r="AY678" s="485"/>
      <c r="AZ678" s="485"/>
      <c r="BA678" s="485"/>
      <c r="BB678" s="485"/>
      <c r="BC678" s="485"/>
      <c r="BD678" s="485"/>
      <c r="BE678" s="485"/>
      <c r="BF678" s="485"/>
      <c r="BG678" s="485"/>
      <c r="BH678" s="485"/>
      <c r="BI678" s="485"/>
      <c r="BJ678" s="485"/>
      <c r="BK678" s="485"/>
      <c r="BL678" s="485"/>
      <c r="BM678" s="485"/>
      <c r="BN678" s="485"/>
      <c r="BO678" s="485"/>
      <c r="BP678" s="485"/>
      <c r="BQ678" s="485"/>
      <c r="BR678" s="485"/>
      <c r="BS678" s="485"/>
      <c r="BT678" s="485"/>
      <c r="BU678" s="485"/>
      <c r="BV678" s="485"/>
      <c r="BW678" s="485"/>
      <c r="BX678" s="485"/>
      <c r="BY678" s="485"/>
      <c r="BZ678" s="485"/>
      <c r="CA678" s="485"/>
      <c r="CB678" s="485"/>
      <c r="CC678" s="485"/>
      <c r="CD678" s="485"/>
      <c r="CE678" s="485"/>
      <c r="CF678" s="485"/>
      <c r="CG678" s="485"/>
      <c r="CH678" s="485"/>
      <c r="CI678" s="485"/>
      <c r="CJ678" s="485"/>
      <c r="CK678" s="485"/>
      <c r="CL678" s="485"/>
      <c r="CM678" s="485"/>
      <c r="CN678" s="485"/>
      <c r="CO678" s="485"/>
      <c r="CP678" s="485"/>
      <c r="CQ678" s="485"/>
      <c r="CR678" s="485"/>
      <c r="CS678" s="485"/>
      <c r="CT678" s="485"/>
      <c r="CU678" s="485"/>
      <c r="CV678" s="485"/>
      <c r="CW678" s="485"/>
      <c r="CX678" s="485"/>
      <c r="CY678" s="485"/>
      <c r="CZ678" s="485"/>
      <c r="DA678" s="485"/>
      <c r="DB678" s="485"/>
      <c r="DC678" s="485"/>
      <c r="DD678" s="485"/>
      <c r="DE678" s="485"/>
      <c r="DF678" s="485"/>
      <c r="DG678" s="485"/>
      <c r="DH678" s="485"/>
      <c r="DI678" s="485"/>
      <c r="DJ678" s="485"/>
      <c r="DK678" s="485"/>
      <c r="DL678" s="485"/>
      <c r="DM678" s="485"/>
      <c r="DN678" s="485"/>
      <c r="DO678" s="485"/>
      <c r="DP678" s="485"/>
      <c r="DQ678" s="485"/>
      <c r="DR678" s="485"/>
      <c r="DS678" s="485"/>
      <c r="DT678" s="485"/>
      <c r="DU678" s="485"/>
      <c r="DV678" s="485"/>
      <c r="DW678" s="485"/>
      <c r="DX678" s="485"/>
      <c r="DY678" s="485"/>
      <c r="DZ678" s="485"/>
      <c r="EA678" s="485"/>
      <c r="EB678" s="485"/>
      <c r="EC678" s="485"/>
      <c r="ED678" s="485"/>
      <c r="EE678" s="485"/>
      <c r="EF678" s="485"/>
      <c r="EG678" s="485"/>
      <c r="EH678" s="485"/>
      <c r="EI678" s="485"/>
      <c r="EJ678" s="485"/>
      <c r="EK678" s="485"/>
      <c r="EL678" s="485"/>
      <c r="EM678" s="485"/>
      <c r="EN678" s="485"/>
      <c r="EO678" s="485"/>
      <c r="EP678" s="485"/>
    </row>
    <row r="679" spans="1:146">
      <c r="A679" s="485"/>
      <c r="B679" s="485"/>
      <c r="C679" s="485"/>
      <c r="D679" s="485"/>
      <c r="E679" s="485"/>
      <c r="F679" s="485"/>
      <c r="G679" s="485"/>
      <c r="H679" s="485"/>
      <c r="I679" s="485"/>
      <c r="J679" s="485"/>
      <c r="K679" s="485"/>
      <c r="L679" s="485"/>
      <c r="M679" s="485"/>
      <c r="P679" s="485"/>
      <c r="Q679" s="485"/>
      <c r="R679" s="485"/>
      <c r="S679" s="485"/>
      <c r="T679" s="485"/>
      <c r="U679" s="485"/>
      <c r="V679" s="485"/>
      <c r="W679" s="485"/>
      <c r="X679" s="485"/>
      <c r="Y679" s="485"/>
      <c r="Z679" s="485"/>
      <c r="AA679" s="485"/>
      <c r="AB679" s="485"/>
      <c r="AC679" s="485"/>
      <c r="AD679" s="485"/>
      <c r="AE679" s="485"/>
      <c r="AF679" s="485"/>
      <c r="AG679" s="485"/>
      <c r="AH679" s="485"/>
      <c r="AI679" s="485"/>
      <c r="AJ679" s="485"/>
      <c r="AK679" s="485"/>
      <c r="AL679" s="485"/>
      <c r="AM679" s="485"/>
      <c r="AN679" s="485"/>
      <c r="AO679" s="485"/>
      <c r="AP679" s="485"/>
      <c r="AQ679" s="485"/>
      <c r="AR679" s="485"/>
      <c r="AS679" s="485"/>
      <c r="AT679" s="485"/>
      <c r="AU679" s="485"/>
      <c r="AV679" s="485"/>
      <c r="AW679" s="485"/>
      <c r="AX679" s="485"/>
      <c r="AY679" s="485"/>
      <c r="AZ679" s="485"/>
      <c r="BA679" s="485"/>
      <c r="BB679" s="485"/>
      <c r="BC679" s="485"/>
      <c r="BD679" s="485"/>
      <c r="BE679" s="485"/>
      <c r="BF679" s="485"/>
      <c r="BG679" s="485"/>
      <c r="BH679" s="485"/>
      <c r="BI679" s="485"/>
      <c r="BJ679" s="485"/>
      <c r="BK679" s="485"/>
      <c r="BL679" s="485"/>
      <c r="BM679" s="485"/>
      <c r="BN679" s="485"/>
      <c r="BO679" s="485"/>
      <c r="BP679" s="485"/>
      <c r="BQ679" s="485"/>
      <c r="BR679" s="485"/>
      <c r="BS679" s="485"/>
      <c r="BT679" s="485"/>
      <c r="BU679" s="485"/>
      <c r="BV679" s="485"/>
      <c r="BW679" s="485"/>
      <c r="BX679" s="485"/>
      <c r="BY679" s="485"/>
      <c r="BZ679" s="485"/>
      <c r="CA679" s="485"/>
      <c r="CB679" s="485"/>
      <c r="CC679" s="485"/>
      <c r="CD679" s="485"/>
      <c r="CE679" s="485"/>
      <c r="CF679" s="485"/>
      <c r="CG679" s="485"/>
      <c r="CH679" s="485"/>
      <c r="CI679" s="485"/>
      <c r="CJ679" s="485"/>
      <c r="CK679" s="485"/>
      <c r="CL679" s="485"/>
      <c r="CM679" s="485"/>
      <c r="CN679" s="485"/>
      <c r="CO679" s="485"/>
      <c r="CP679" s="485"/>
      <c r="CQ679" s="485"/>
      <c r="CR679" s="485"/>
      <c r="CS679" s="485"/>
      <c r="CT679" s="485"/>
      <c r="CU679" s="485"/>
      <c r="CV679" s="485"/>
      <c r="CW679" s="485"/>
      <c r="CX679" s="485"/>
      <c r="CY679" s="485"/>
      <c r="CZ679" s="485"/>
      <c r="DA679" s="485"/>
      <c r="DB679" s="485"/>
      <c r="DC679" s="485"/>
      <c r="DD679" s="485"/>
      <c r="DE679" s="485"/>
      <c r="DF679" s="485"/>
      <c r="DG679" s="485"/>
      <c r="DH679" s="485"/>
      <c r="DI679" s="485"/>
      <c r="DJ679" s="485"/>
      <c r="DK679" s="485"/>
      <c r="DL679" s="485"/>
      <c r="DM679" s="485"/>
      <c r="DN679" s="485"/>
      <c r="DO679" s="485"/>
      <c r="DP679" s="485"/>
      <c r="DQ679" s="485"/>
      <c r="DR679" s="485"/>
      <c r="DS679" s="485"/>
      <c r="DT679" s="485"/>
      <c r="DU679" s="485"/>
      <c r="DV679" s="485"/>
      <c r="DW679" s="485"/>
      <c r="DX679" s="485"/>
      <c r="DY679" s="485"/>
      <c r="DZ679" s="485"/>
      <c r="EA679" s="485"/>
      <c r="EB679" s="485"/>
      <c r="EC679" s="485"/>
      <c r="ED679" s="485"/>
      <c r="EE679" s="485"/>
      <c r="EF679" s="485"/>
      <c r="EG679" s="485"/>
      <c r="EH679" s="485"/>
      <c r="EI679" s="485"/>
      <c r="EJ679" s="485"/>
      <c r="EK679" s="485"/>
      <c r="EL679" s="485"/>
      <c r="EM679" s="485"/>
      <c r="EN679" s="485"/>
      <c r="EO679" s="485"/>
      <c r="EP679" s="485"/>
    </row>
    <row r="680" spans="1:146">
      <c r="A680" s="485"/>
      <c r="B680" s="485"/>
      <c r="C680" s="485"/>
      <c r="D680" s="485"/>
      <c r="E680" s="485"/>
      <c r="F680" s="485"/>
      <c r="G680" s="485"/>
      <c r="H680" s="485"/>
      <c r="I680" s="485"/>
      <c r="J680" s="485"/>
      <c r="K680" s="485"/>
      <c r="L680" s="485"/>
      <c r="M680" s="485"/>
      <c r="P680" s="485"/>
      <c r="Q680" s="485"/>
      <c r="R680" s="485"/>
      <c r="S680" s="485"/>
      <c r="T680" s="485"/>
      <c r="U680" s="485"/>
      <c r="V680" s="485"/>
      <c r="W680" s="485"/>
      <c r="X680" s="485"/>
      <c r="Y680" s="485"/>
      <c r="Z680" s="485"/>
      <c r="AA680" s="485"/>
      <c r="AB680" s="485"/>
      <c r="AC680" s="485"/>
      <c r="AD680" s="485"/>
      <c r="AE680" s="485"/>
      <c r="AF680" s="485"/>
      <c r="AG680" s="485"/>
      <c r="AH680" s="485"/>
      <c r="AI680" s="485"/>
      <c r="AJ680" s="485"/>
      <c r="AK680" s="485"/>
      <c r="AL680" s="485"/>
      <c r="AM680" s="485"/>
      <c r="AN680" s="485"/>
      <c r="AO680" s="485"/>
      <c r="AP680" s="485"/>
      <c r="AQ680" s="485"/>
      <c r="AR680" s="485"/>
      <c r="AS680" s="485"/>
      <c r="AT680" s="485"/>
      <c r="AU680" s="485"/>
      <c r="AV680" s="485"/>
      <c r="AW680" s="485"/>
      <c r="AX680" s="485"/>
      <c r="AY680" s="485"/>
      <c r="AZ680" s="485"/>
      <c r="BA680" s="485"/>
      <c r="BB680" s="485"/>
      <c r="BC680" s="485"/>
      <c r="BD680" s="485"/>
      <c r="BE680" s="485"/>
      <c r="BF680" s="485"/>
      <c r="BG680" s="485"/>
      <c r="BH680" s="485"/>
      <c r="BI680" s="485"/>
      <c r="BJ680" s="485"/>
      <c r="BK680" s="485"/>
      <c r="BL680" s="485"/>
      <c r="BM680" s="485"/>
      <c r="BN680" s="485"/>
      <c r="BO680" s="485"/>
      <c r="BP680" s="485"/>
      <c r="BQ680" s="485"/>
      <c r="BR680" s="485"/>
      <c r="BS680" s="485"/>
      <c r="BT680" s="485"/>
      <c r="BU680" s="485"/>
      <c r="BV680" s="485"/>
      <c r="BW680" s="485"/>
      <c r="BX680" s="485"/>
      <c r="BY680" s="485"/>
      <c r="BZ680" s="485"/>
      <c r="CA680" s="485"/>
      <c r="CB680" s="485"/>
      <c r="CC680" s="485"/>
      <c r="CD680" s="485"/>
      <c r="CE680" s="485"/>
      <c r="CF680" s="485"/>
      <c r="CG680" s="485"/>
      <c r="CH680" s="485"/>
      <c r="CI680" s="485"/>
      <c r="CJ680" s="485"/>
      <c r="CK680" s="485"/>
      <c r="CL680" s="485"/>
      <c r="CM680" s="485"/>
      <c r="CN680" s="485"/>
      <c r="CO680" s="485"/>
      <c r="CP680" s="485"/>
      <c r="CQ680" s="485"/>
      <c r="CR680" s="485"/>
      <c r="CS680" s="485"/>
      <c r="CT680" s="485"/>
      <c r="CU680" s="485"/>
      <c r="CV680" s="485"/>
      <c r="CW680" s="485"/>
      <c r="CX680" s="485"/>
      <c r="CY680" s="485"/>
      <c r="CZ680" s="485"/>
      <c r="DA680" s="485"/>
      <c r="DB680" s="485"/>
      <c r="DC680" s="485"/>
      <c r="DD680" s="485"/>
      <c r="DE680" s="485"/>
      <c r="DF680" s="485"/>
      <c r="DG680" s="485"/>
      <c r="DH680" s="485"/>
      <c r="DI680" s="485"/>
      <c r="DJ680" s="485"/>
      <c r="DK680" s="485"/>
      <c r="DL680" s="485"/>
      <c r="DM680" s="485"/>
      <c r="DN680" s="485"/>
      <c r="DO680" s="485"/>
      <c r="DP680" s="485"/>
      <c r="DQ680" s="485"/>
      <c r="DR680" s="485"/>
      <c r="DS680" s="485"/>
      <c r="DT680" s="485"/>
      <c r="DU680" s="485"/>
      <c r="DV680" s="485"/>
      <c r="DW680" s="485"/>
      <c r="DX680" s="485"/>
      <c r="DY680" s="485"/>
      <c r="DZ680" s="485"/>
      <c r="EA680" s="485"/>
      <c r="EB680" s="485"/>
      <c r="EC680" s="485"/>
      <c r="ED680" s="485"/>
      <c r="EE680" s="485"/>
      <c r="EF680" s="485"/>
      <c r="EG680" s="485"/>
      <c r="EH680" s="485"/>
      <c r="EI680" s="485"/>
      <c r="EJ680" s="485"/>
      <c r="EK680" s="485"/>
      <c r="EL680" s="485"/>
      <c r="EM680" s="485"/>
      <c r="EN680" s="485"/>
      <c r="EO680" s="485"/>
      <c r="EP680" s="485"/>
    </row>
    <row r="681" spans="1:146">
      <c r="A681" s="485"/>
      <c r="B681" s="485"/>
      <c r="C681" s="485"/>
      <c r="D681" s="485"/>
      <c r="E681" s="485"/>
      <c r="F681" s="485"/>
      <c r="G681" s="485"/>
      <c r="H681" s="485"/>
      <c r="I681" s="485"/>
      <c r="J681" s="485"/>
      <c r="K681" s="485"/>
      <c r="L681" s="485"/>
      <c r="M681" s="485"/>
      <c r="P681" s="485"/>
      <c r="Q681" s="485"/>
      <c r="R681" s="485"/>
      <c r="S681" s="485"/>
      <c r="T681" s="485"/>
      <c r="U681" s="485"/>
      <c r="V681" s="485"/>
      <c r="W681" s="485"/>
      <c r="X681" s="485"/>
      <c r="Y681" s="485"/>
      <c r="Z681" s="485"/>
      <c r="AA681" s="485"/>
      <c r="AB681" s="485"/>
      <c r="AC681" s="485"/>
      <c r="AD681" s="485"/>
      <c r="AE681" s="485"/>
      <c r="AF681" s="485"/>
      <c r="AG681" s="485"/>
      <c r="AH681" s="485"/>
      <c r="AI681" s="485"/>
      <c r="AJ681" s="485"/>
      <c r="AK681" s="485"/>
      <c r="AL681" s="485"/>
      <c r="AM681" s="485"/>
      <c r="AN681" s="485"/>
      <c r="AO681" s="485"/>
      <c r="AP681" s="485"/>
      <c r="AQ681" s="485"/>
      <c r="AR681" s="485"/>
      <c r="AS681" s="485"/>
      <c r="AT681" s="485"/>
      <c r="AU681" s="485"/>
      <c r="AV681" s="485"/>
      <c r="AW681" s="485"/>
      <c r="AX681" s="485"/>
      <c r="AY681" s="485"/>
      <c r="AZ681" s="485"/>
      <c r="BA681" s="485"/>
      <c r="BB681" s="485"/>
      <c r="BC681" s="485"/>
      <c r="BD681" s="485"/>
      <c r="BE681" s="485"/>
      <c r="BF681" s="485"/>
      <c r="BG681" s="485"/>
      <c r="BH681" s="485"/>
      <c r="BI681" s="485"/>
      <c r="BJ681" s="485"/>
      <c r="BK681" s="485"/>
      <c r="BL681" s="485"/>
      <c r="BM681" s="485"/>
      <c r="BN681" s="485"/>
      <c r="BO681" s="485"/>
      <c r="BP681" s="485"/>
      <c r="BQ681" s="485"/>
      <c r="BR681" s="485"/>
      <c r="BS681" s="485"/>
      <c r="BT681" s="485"/>
      <c r="BU681" s="485"/>
      <c r="BV681" s="485"/>
      <c r="BW681" s="485"/>
      <c r="BX681" s="485"/>
      <c r="BY681" s="485"/>
      <c r="BZ681" s="485"/>
      <c r="CA681" s="485"/>
      <c r="CB681" s="485"/>
      <c r="CC681" s="485"/>
      <c r="CD681" s="485"/>
      <c r="CE681" s="485"/>
      <c r="CF681" s="485"/>
      <c r="CG681" s="485"/>
      <c r="CH681" s="485"/>
      <c r="CI681" s="485"/>
      <c r="CJ681" s="485"/>
      <c r="CK681" s="485"/>
      <c r="CL681" s="485"/>
      <c r="CM681" s="485"/>
      <c r="CN681" s="485"/>
      <c r="CO681" s="485"/>
      <c r="CP681" s="485"/>
      <c r="CQ681" s="485"/>
      <c r="CR681" s="485"/>
      <c r="CS681" s="485"/>
      <c r="CT681" s="485"/>
      <c r="CU681" s="485"/>
      <c r="CV681" s="485"/>
      <c r="CW681" s="485"/>
      <c r="CX681" s="485"/>
      <c r="CY681" s="485"/>
      <c r="CZ681" s="485"/>
      <c r="DA681" s="485"/>
      <c r="DB681" s="485"/>
      <c r="DC681" s="485"/>
      <c r="DD681" s="485"/>
      <c r="DE681" s="485"/>
      <c r="DF681" s="485"/>
      <c r="DG681" s="485"/>
      <c r="DH681" s="485"/>
      <c r="DI681" s="485"/>
      <c r="DJ681" s="485"/>
      <c r="DK681" s="485"/>
      <c r="DL681" s="485"/>
      <c r="DM681" s="485"/>
      <c r="DN681" s="485"/>
      <c r="DO681" s="485"/>
      <c r="DP681" s="485"/>
      <c r="DQ681" s="485"/>
      <c r="DR681" s="485"/>
      <c r="DS681" s="485"/>
      <c r="DT681" s="485"/>
      <c r="DU681" s="485"/>
      <c r="DV681" s="485"/>
      <c r="DW681" s="485"/>
      <c r="DX681" s="485"/>
      <c r="DY681" s="485"/>
      <c r="DZ681" s="485"/>
      <c r="EA681" s="485"/>
      <c r="EB681" s="485"/>
      <c r="EC681" s="485"/>
      <c r="ED681" s="485"/>
      <c r="EE681" s="485"/>
      <c r="EF681" s="485"/>
      <c r="EG681" s="485"/>
      <c r="EH681" s="485"/>
      <c r="EI681" s="485"/>
      <c r="EJ681" s="485"/>
      <c r="EK681" s="485"/>
      <c r="EL681" s="485"/>
      <c r="EM681" s="485"/>
      <c r="EN681" s="485"/>
      <c r="EO681" s="485"/>
      <c r="EP681" s="485"/>
    </row>
    <row r="682" spans="1:146">
      <c r="A682" s="485"/>
      <c r="B682" s="485"/>
      <c r="C682" s="485"/>
      <c r="D682" s="485"/>
      <c r="E682" s="485"/>
      <c r="F682" s="485"/>
      <c r="G682" s="485"/>
      <c r="H682" s="485"/>
      <c r="I682" s="485"/>
      <c r="J682" s="485"/>
      <c r="K682" s="485"/>
      <c r="L682" s="485"/>
      <c r="M682" s="485"/>
      <c r="P682" s="485"/>
      <c r="Q682" s="485"/>
      <c r="R682" s="485"/>
      <c r="S682" s="485"/>
      <c r="T682" s="485"/>
      <c r="U682" s="485"/>
      <c r="V682" s="485"/>
      <c r="W682" s="485"/>
      <c r="X682" s="485"/>
      <c r="Y682" s="485"/>
      <c r="Z682" s="485"/>
      <c r="AA682" s="485"/>
      <c r="AB682" s="485"/>
      <c r="AC682" s="485"/>
      <c r="AD682" s="485"/>
      <c r="AE682" s="485"/>
      <c r="AF682" s="485"/>
      <c r="AG682" s="485"/>
      <c r="AH682" s="485"/>
      <c r="AI682" s="485"/>
      <c r="AJ682" s="485"/>
      <c r="AK682" s="485"/>
      <c r="AL682" s="485"/>
      <c r="AM682" s="485"/>
      <c r="AN682" s="485"/>
      <c r="AO682" s="485"/>
      <c r="AP682" s="485"/>
      <c r="AQ682" s="485"/>
      <c r="AR682" s="485"/>
      <c r="AS682" s="485"/>
      <c r="AT682" s="485"/>
      <c r="AU682" s="485"/>
      <c r="AV682" s="485"/>
      <c r="AW682" s="485"/>
      <c r="AX682" s="485"/>
      <c r="AY682" s="485"/>
      <c r="AZ682" s="485"/>
      <c r="BA682" s="485"/>
      <c r="BB682" s="485"/>
      <c r="BC682" s="485"/>
      <c r="BD682" s="485"/>
      <c r="BE682" s="485"/>
      <c r="BF682" s="485"/>
      <c r="BG682" s="485"/>
      <c r="BH682" s="485"/>
      <c r="BI682" s="485"/>
      <c r="BJ682" s="485"/>
      <c r="BK682" s="485"/>
      <c r="BL682" s="485"/>
      <c r="BM682" s="485"/>
      <c r="BN682" s="485"/>
      <c r="BO682" s="485"/>
      <c r="BP682" s="485"/>
      <c r="BQ682" s="485"/>
      <c r="BR682" s="485"/>
      <c r="BS682" s="485"/>
      <c r="BT682" s="485"/>
      <c r="BU682" s="485"/>
      <c r="BV682" s="485"/>
      <c r="BW682" s="485"/>
      <c r="BX682" s="485"/>
      <c r="BY682" s="485"/>
      <c r="BZ682" s="485"/>
      <c r="CA682" s="485"/>
      <c r="CB682" s="485"/>
      <c r="CC682" s="485"/>
      <c r="CD682" s="485"/>
      <c r="CE682" s="485"/>
      <c r="CF682" s="485"/>
      <c r="CG682" s="485"/>
      <c r="CH682" s="485"/>
      <c r="CI682" s="485"/>
      <c r="CJ682" s="485"/>
      <c r="CK682" s="485"/>
      <c r="CL682" s="485"/>
      <c r="CM682" s="485"/>
      <c r="CN682" s="485"/>
      <c r="CO682" s="485"/>
      <c r="CP682" s="485"/>
      <c r="CQ682" s="485"/>
      <c r="CR682" s="485"/>
      <c r="CS682" s="485"/>
      <c r="CT682" s="485"/>
      <c r="CU682" s="485"/>
      <c r="CV682" s="485"/>
      <c r="CW682" s="485"/>
      <c r="CX682" s="485"/>
      <c r="CY682" s="485"/>
      <c r="CZ682" s="485"/>
      <c r="DA682" s="485"/>
      <c r="DB682" s="485"/>
      <c r="DC682" s="485"/>
      <c r="DD682" s="485"/>
      <c r="DE682" s="485"/>
      <c r="DF682" s="485"/>
      <c r="DG682" s="485"/>
      <c r="DH682" s="485"/>
      <c r="DI682" s="485"/>
      <c r="DJ682" s="485"/>
      <c r="DK682" s="485"/>
      <c r="DL682" s="485"/>
      <c r="DM682" s="485"/>
      <c r="DN682" s="485"/>
      <c r="DO682" s="485"/>
      <c r="DP682" s="485"/>
      <c r="DQ682" s="485"/>
      <c r="DR682" s="485"/>
      <c r="DS682" s="485"/>
      <c r="DT682" s="485"/>
      <c r="DU682" s="485"/>
      <c r="DV682" s="485"/>
      <c r="DW682" s="485"/>
      <c r="DX682" s="485"/>
      <c r="DY682" s="485"/>
      <c r="DZ682" s="485"/>
      <c r="EA682" s="485"/>
      <c r="EB682" s="485"/>
      <c r="EC682" s="485"/>
      <c r="ED682" s="485"/>
      <c r="EE682" s="485"/>
      <c r="EF682" s="485"/>
      <c r="EG682" s="485"/>
      <c r="EH682" s="485"/>
      <c r="EI682" s="485"/>
      <c r="EJ682" s="485"/>
      <c r="EK682" s="485"/>
      <c r="EL682" s="485"/>
      <c r="EM682" s="485"/>
      <c r="EN682" s="485"/>
      <c r="EO682" s="485"/>
      <c r="EP682" s="485"/>
    </row>
    <row r="683" spans="1:146">
      <c r="A683" s="485"/>
      <c r="B683" s="485"/>
      <c r="C683" s="485"/>
      <c r="D683" s="485"/>
      <c r="E683" s="485"/>
      <c r="F683" s="485"/>
      <c r="G683" s="485"/>
      <c r="H683" s="485"/>
      <c r="I683" s="485"/>
      <c r="J683" s="485"/>
      <c r="K683" s="485"/>
      <c r="L683" s="485"/>
      <c r="M683" s="485"/>
      <c r="P683" s="485"/>
      <c r="Q683" s="485"/>
      <c r="R683" s="485"/>
      <c r="S683" s="485"/>
      <c r="T683" s="485"/>
      <c r="U683" s="485"/>
      <c r="V683" s="485"/>
      <c r="W683" s="485"/>
      <c r="X683" s="485"/>
      <c r="Y683" s="485"/>
      <c r="Z683" s="485"/>
      <c r="AA683" s="485"/>
      <c r="AB683" s="485"/>
      <c r="AC683" s="485"/>
      <c r="AD683" s="485"/>
      <c r="AE683" s="485"/>
      <c r="AF683" s="485"/>
      <c r="AG683" s="485"/>
      <c r="AH683" s="485"/>
      <c r="AI683" s="485"/>
      <c r="AJ683" s="485"/>
      <c r="AK683" s="485"/>
      <c r="AL683" s="485"/>
      <c r="AM683" s="485"/>
      <c r="AN683" s="485"/>
      <c r="AO683" s="485"/>
      <c r="AP683" s="485"/>
      <c r="AQ683" s="485"/>
      <c r="AR683" s="485"/>
      <c r="AS683" s="485"/>
      <c r="AT683" s="485"/>
      <c r="AU683" s="485"/>
      <c r="AV683" s="485"/>
      <c r="AW683" s="485"/>
      <c r="AX683" s="485"/>
      <c r="AY683" s="485"/>
      <c r="AZ683" s="485"/>
      <c r="BA683" s="485"/>
      <c r="BB683" s="485"/>
      <c r="BC683" s="485"/>
      <c r="BD683" s="485"/>
      <c r="BE683" s="485"/>
      <c r="BF683" s="485"/>
      <c r="BG683" s="485"/>
      <c r="BH683" s="485"/>
      <c r="BI683" s="485"/>
      <c r="BJ683" s="485"/>
      <c r="BK683" s="485"/>
      <c r="BL683" s="485"/>
      <c r="BM683" s="485"/>
      <c r="BN683" s="485"/>
      <c r="BO683" s="485"/>
      <c r="BP683" s="485"/>
      <c r="BQ683" s="485"/>
      <c r="BR683" s="485"/>
      <c r="BS683" s="485"/>
      <c r="BT683" s="485"/>
      <c r="BU683" s="485"/>
      <c r="BV683" s="485"/>
      <c r="BW683" s="485"/>
      <c r="BX683" s="485"/>
      <c r="BY683" s="485"/>
      <c r="BZ683" s="485"/>
      <c r="CA683" s="485"/>
      <c r="CB683" s="485"/>
      <c r="CC683" s="485"/>
      <c r="CD683" s="485"/>
      <c r="CE683" s="485"/>
      <c r="CF683" s="485"/>
      <c r="CG683" s="485"/>
      <c r="CH683" s="485"/>
      <c r="CI683" s="485"/>
      <c r="CJ683" s="485"/>
      <c r="CK683" s="485"/>
      <c r="CL683" s="485"/>
      <c r="CM683" s="485"/>
      <c r="CN683" s="485"/>
      <c r="CO683" s="485"/>
      <c r="CP683" s="485"/>
      <c r="CQ683" s="485"/>
      <c r="CR683" s="485"/>
      <c r="CS683" s="485"/>
      <c r="CT683" s="485"/>
      <c r="CU683" s="485"/>
      <c r="CV683" s="485"/>
      <c r="CW683" s="485"/>
      <c r="CX683" s="485"/>
      <c r="CY683" s="485"/>
      <c r="CZ683" s="485"/>
      <c r="DA683" s="485"/>
      <c r="DB683" s="485"/>
      <c r="DC683" s="485"/>
      <c r="DD683" s="485"/>
      <c r="DE683" s="485"/>
      <c r="DF683" s="485"/>
      <c r="DG683" s="485"/>
      <c r="DH683" s="485"/>
      <c r="DI683" s="485"/>
      <c r="DJ683" s="485"/>
      <c r="DK683" s="485"/>
      <c r="DL683" s="485"/>
      <c r="DM683" s="485"/>
      <c r="DN683" s="485"/>
      <c r="DO683" s="485"/>
      <c r="DP683" s="485"/>
      <c r="DQ683" s="485"/>
      <c r="DR683" s="485"/>
      <c r="DS683" s="485"/>
      <c r="DT683" s="485"/>
      <c r="DU683" s="485"/>
      <c r="DV683" s="485"/>
      <c r="DW683" s="485"/>
      <c r="DX683" s="485"/>
      <c r="DY683" s="485"/>
      <c r="DZ683" s="485"/>
      <c r="EA683" s="485"/>
      <c r="EB683" s="485"/>
      <c r="EC683" s="485"/>
      <c r="ED683" s="485"/>
      <c r="EE683" s="485"/>
      <c r="EF683" s="485"/>
      <c r="EG683" s="485"/>
      <c r="EH683" s="485"/>
      <c r="EI683" s="485"/>
      <c r="EJ683" s="485"/>
      <c r="EK683" s="485"/>
      <c r="EL683" s="485"/>
      <c r="EM683" s="485"/>
      <c r="EN683" s="485"/>
      <c r="EO683" s="485"/>
      <c r="EP683" s="485"/>
    </row>
    <row r="684" spans="1:146">
      <c r="A684" s="485"/>
      <c r="B684" s="485"/>
      <c r="C684" s="485"/>
      <c r="D684" s="485"/>
      <c r="E684" s="485"/>
      <c r="F684" s="485"/>
      <c r="G684" s="485"/>
      <c r="H684" s="485"/>
      <c r="I684" s="485"/>
      <c r="J684" s="485"/>
      <c r="K684" s="485"/>
      <c r="L684" s="485"/>
      <c r="M684" s="485"/>
      <c r="P684" s="485"/>
      <c r="Q684" s="485"/>
      <c r="R684" s="485"/>
      <c r="S684" s="485"/>
      <c r="T684" s="485"/>
      <c r="U684" s="485"/>
      <c r="V684" s="485"/>
      <c r="W684" s="485"/>
      <c r="X684" s="485"/>
      <c r="Y684" s="485"/>
      <c r="Z684" s="485"/>
      <c r="AA684" s="485"/>
      <c r="AB684" s="485"/>
      <c r="AC684" s="485"/>
      <c r="AD684" s="485"/>
      <c r="AE684" s="485"/>
      <c r="AF684" s="485"/>
      <c r="AG684" s="485"/>
      <c r="AH684" s="485"/>
      <c r="AI684" s="485"/>
      <c r="AJ684" s="485"/>
      <c r="AK684" s="485"/>
      <c r="AL684" s="485"/>
      <c r="AM684" s="485"/>
      <c r="AN684" s="485"/>
      <c r="AO684" s="485"/>
      <c r="AP684" s="485"/>
      <c r="AQ684" s="485"/>
      <c r="AR684" s="485"/>
      <c r="AS684" s="485"/>
      <c r="AT684" s="485"/>
      <c r="AU684" s="485"/>
      <c r="AV684" s="485"/>
      <c r="AW684" s="485"/>
      <c r="AX684" s="485"/>
      <c r="AY684" s="485"/>
      <c r="AZ684" s="485"/>
      <c r="BA684" s="485"/>
      <c r="BB684" s="485"/>
      <c r="BC684" s="485"/>
      <c r="BD684" s="485"/>
      <c r="BE684" s="485"/>
      <c r="BF684" s="485"/>
      <c r="BG684" s="485"/>
      <c r="BH684" s="485"/>
      <c r="BI684" s="485"/>
      <c r="BJ684" s="485"/>
      <c r="BK684" s="485"/>
      <c r="BL684" s="485"/>
      <c r="BM684" s="485"/>
      <c r="BN684" s="485"/>
      <c r="BO684" s="485"/>
      <c r="BP684" s="485"/>
      <c r="BQ684" s="485"/>
      <c r="BR684" s="485"/>
      <c r="BS684" s="485"/>
      <c r="BT684" s="485"/>
      <c r="BU684" s="485"/>
      <c r="BV684" s="485"/>
      <c r="BW684" s="485"/>
      <c r="BX684" s="485"/>
      <c r="BY684" s="485"/>
      <c r="BZ684" s="485"/>
      <c r="CA684" s="485"/>
      <c r="CB684" s="485"/>
      <c r="CC684" s="485"/>
      <c r="CD684" s="485"/>
      <c r="CE684" s="485"/>
      <c r="CF684" s="485"/>
      <c r="CG684" s="485"/>
      <c r="CH684" s="485"/>
      <c r="CI684" s="485"/>
      <c r="CJ684" s="485"/>
      <c r="CK684" s="485"/>
      <c r="CL684" s="485"/>
      <c r="CM684" s="485"/>
      <c r="CN684" s="485"/>
      <c r="CO684" s="485"/>
      <c r="CP684" s="485"/>
      <c r="CQ684" s="485"/>
      <c r="CR684" s="485"/>
      <c r="CS684" s="485"/>
      <c r="CT684" s="485"/>
      <c r="CU684" s="485"/>
      <c r="CV684" s="485"/>
      <c r="CW684" s="485"/>
      <c r="CX684" s="485"/>
      <c r="CY684" s="485"/>
      <c r="CZ684" s="485"/>
      <c r="DA684" s="485"/>
      <c r="DB684" s="485"/>
      <c r="DC684" s="485"/>
      <c r="DD684" s="485"/>
      <c r="DE684" s="485"/>
      <c r="DF684" s="485"/>
      <c r="DG684" s="485"/>
      <c r="DH684" s="485"/>
      <c r="DI684" s="485"/>
      <c r="DJ684" s="485"/>
      <c r="DK684" s="485"/>
      <c r="DL684" s="485"/>
      <c r="DM684" s="485"/>
      <c r="DN684" s="485"/>
      <c r="DO684" s="485"/>
      <c r="DP684" s="485"/>
      <c r="DQ684" s="485"/>
      <c r="DR684" s="485"/>
      <c r="DS684" s="485"/>
      <c r="DT684" s="485"/>
      <c r="DU684" s="485"/>
      <c r="DV684" s="485"/>
      <c r="DW684" s="485"/>
      <c r="DX684" s="485"/>
      <c r="DY684" s="485"/>
      <c r="DZ684" s="485"/>
      <c r="EA684" s="485"/>
      <c r="EB684" s="485"/>
      <c r="EC684" s="485"/>
      <c r="ED684" s="485"/>
      <c r="EE684" s="485"/>
      <c r="EF684" s="485"/>
      <c r="EG684" s="485"/>
      <c r="EH684" s="485"/>
      <c r="EI684" s="485"/>
      <c r="EJ684" s="485"/>
      <c r="EK684" s="485"/>
      <c r="EL684" s="485"/>
      <c r="EM684" s="485"/>
      <c r="EN684" s="485"/>
      <c r="EO684" s="485"/>
      <c r="EP684" s="485"/>
    </row>
    <row r="685" spans="1:146">
      <c r="A685" s="485"/>
      <c r="B685" s="485"/>
      <c r="C685" s="485"/>
      <c r="D685" s="485"/>
      <c r="E685" s="485"/>
      <c r="F685" s="485"/>
      <c r="G685" s="485"/>
      <c r="H685" s="485"/>
      <c r="I685" s="485"/>
      <c r="J685" s="485"/>
      <c r="K685" s="485"/>
      <c r="L685" s="485"/>
      <c r="M685" s="485"/>
      <c r="P685" s="485"/>
      <c r="Q685" s="485"/>
      <c r="R685" s="485"/>
      <c r="S685" s="485"/>
      <c r="T685" s="485"/>
      <c r="U685" s="485"/>
      <c r="V685" s="485"/>
      <c r="W685" s="485"/>
      <c r="X685" s="485"/>
      <c r="Y685" s="485"/>
      <c r="Z685" s="485"/>
      <c r="AA685" s="485"/>
      <c r="AB685" s="485"/>
      <c r="AC685" s="485"/>
      <c r="AD685" s="485"/>
      <c r="AE685" s="485"/>
      <c r="AF685" s="485"/>
      <c r="AG685" s="485"/>
      <c r="AH685" s="485"/>
      <c r="AI685" s="485"/>
      <c r="AJ685" s="485"/>
      <c r="AK685" s="485"/>
      <c r="AL685" s="485"/>
      <c r="AM685" s="485"/>
      <c r="AN685" s="485"/>
      <c r="AO685" s="485"/>
      <c r="AP685" s="485"/>
      <c r="AQ685" s="485"/>
      <c r="AR685" s="485"/>
      <c r="AS685" s="485"/>
      <c r="AT685" s="485"/>
      <c r="AU685" s="485"/>
      <c r="AV685" s="485"/>
      <c r="AW685" s="485"/>
      <c r="AX685" s="485"/>
      <c r="AY685" s="485"/>
      <c r="AZ685" s="485"/>
      <c r="BA685" s="485"/>
      <c r="BB685" s="485"/>
      <c r="BC685" s="485"/>
      <c r="BD685" s="485"/>
      <c r="BE685" s="485"/>
      <c r="BF685" s="485"/>
      <c r="BG685" s="485"/>
      <c r="BH685" s="485"/>
      <c r="BI685" s="485"/>
      <c r="BJ685" s="485"/>
      <c r="BK685" s="485"/>
      <c r="BL685" s="485"/>
      <c r="BM685" s="485"/>
      <c r="BN685" s="485"/>
      <c r="BO685" s="485"/>
      <c r="BP685" s="485"/>
      <c r="BQ685" s="485"/>
      <c r="BR685" s="485"/>
      <c r="BS685" s="485"/>
      <c r="BT685" s="485"/>
      <c r="BU685" s="485"/>
      <c r="BV685" s="485"/>
      <c r="BW685" s="485"/>
      <c r="BX685" s="485"/>
      <c r="BY685" s="485"/>
      <c r="BZ685" s="485"/>
      <c r="CA685" s="485"/>
      <c r="CB685" s="485"/>
      <c r="CC685" s="485"/>
      <c r="CD685" s="485"/>
      <c r="CE685" s="485"/>
      <c r="CF685" s="485"/>
      <c r="CG685" s="485"/>
      <c r="CH685" s="485"/>
      <c r="CI685" s="485"/>
      <c r="CJ685" s="485"/>
      <c r="CK685" s="485"/>
      <c r="CL685" s="485"/>
      <c r="CM685" s="485"/>
      <c r="CN685" s="485"/>
      <c r="CO685" s="485"/>
      <c r="CP685" s="485"/>
      <c r="CQ685" s="485"/>
      <c r="CR685" s="485"/>
      <c r="CS685" s="485"/>
      <c r="CT685" s="485"/>
      <c r="CU685" s="485"/>
      <c r="CV685" s="485"/>
      <c r="CW685" s="485"/>
      <c r="CX685" s="485"/>
      <c r="CY685" s="485"/>
      <c r="CZ685" s="485"/>
      <c r="DA685" s="485"/>
      <c r="DB685" s="485"/>
      <c r="DC685" s="485"/>
      <c r="DD685" s="485"/>
      <c r="DE685" s="485"/>
      <c r="DF685" s="485"/>
      <c r="DG685" s="485"/>
      <c r="DH685" s="485"/>
      <c r="DI685" s="485"/>
      <c r="DJ685" s="485"/>
      <c r="DK685" s="485"/>
      <c r="DL685" s="485"/>
      <c r="DM685" s="485"/>
      <c r="DN685" s="485"/>
      <c r="DO685" s="485"/>
      <c r="DP685" s="485"/>
      <c r="DQ685" s="485"/>
      <c r="DR685" s="485"/>
      <c r="DS685" s="485"/>
      <c r="DT685" s="485"/>
      <c r="DU685" s="485"/>
      <c r="DV685" s="485"/>
      <c r="DW685" s="485"/>
      <c r="DX685" s="485"/>
      <c r="DY685" s="485"/>
      <c r="DZ685" s="485"/>
      <c r="EA685" s="485"/>
      <c r="EB685" s="485"/>
      <c r="EC685" s="485"/>
      <c r="ED685" s="485"/>
      <c r="EE685" s="485"/>
      <c r="EF685" s="485"/>
      <c r="EG685" s="485"/>
      <c r="EH685" s="485"/>
      <c r="EI685" s="485"/>
      <c r="EJ685" s="485"/>
      <c r="EK685" s="485"/>
      <c r="EL685" s="485"/>
      <c r="EM685" s="485"/>
      <c r="EN685" s="485"/>
      <c r="EO685" s="485"/>
      <c r="EP685" s="485"/>
    </row>
    <row r="686" spans="1:146">
      <c r="A686" s="485"/>
      <c r="B686" s="485"/>
      <c r="C686" s="485"/>
      <c r="D686" s="485"/>
      <c r="E686" s="485"/>
      <c r="F686" s="485"/>
      <c r="G686" s="485"/>
      <c r="H686" s="485"/>
      <c r="I686" s="485"/>
      <c r="J686" s="485"/>
      <c r="K686" s="485"/>
      <c r="L686" s="485"/>
      <c r="M686" s="485"/>
      <c r="P686" s="485"/>
      <c r="Q686" s="485"/>
      <c r="R686" s="485"/>
      <c r="S686" s="485"/>
      <c r="T686" s="485"/>
      <c r="U686" s="485"/>
      <c r="V686" s="485"/>
      <c r="W686" s="485"/>
      <c r="X686" s="485"/>
      <c r="Y686" s="485"/>
      <c r="Z686" s="485"/>
      <c r="AA686" s="485"/>
      <c r="AB686" s="485"/>
      <c r="AC686" s="485"/>
      <c r="AD686" s="485"/>
      <c r="AE686" s="485"/>
      <c r="AF686" s="485"/>
      <c r="AG686" s="485"/>
      <c r="AH686" s="485"/>
      <c r="AI686" s="485"/>
      <c r="AJ686" s="485"/>
      <c r="AK686" s="485"/>
      <c r="AL686" s="485"/>
      <c r="AM686" s="485"/>
      <c r="AN686" s="485"/>
      <c r="AO686" s="485"/>
      <c r="AP686" s="485"/>
      <c r="AQ686" s="485"/>
      <c r="AR686" s="485"/>
      <c r="AS686" s="485"/>
      <c r="AT686" s="485"/>
      <c r="AU686" s="485"/>
      <c r="AV686" s="485"/>
      <c r="AW686" s="485"/>
      <c r="AX686" s="485"/>
      <c r="AY686" s="485"/>
      <c r="AZ686" s="485"/>
      <c r="BA686" s="485"/>
      <c r="BB686" s="485"/>
      <c r="BC686" s="485"/>
      <c r="BD686" s="485"/>
      <c r="BE686" s="485"/>
      <c r="BF686" s="485"/>
      <c r="BG686" s="485"/>
      <c r="BH686" s="485"/>
      <c r="BI686" s="485"/>
      <c r="BJ686" s="485"/>
      <c r="BK686" s="485"/>
      <c r="BL686" s="485"/>
      <c r="BM686" s="485"/>
      <c r="BN686" s="485"/>
      <c r="BO686" s="485"/>
      <c r="BP686" s="485"/>
      <c r="BQ686" s="485"/>
      <c r="BR686" s="485"/>
      <c r="BS686" s="485"/>
      <c r="BT686" s="485"/>
      <c r="BU686" s="485"/>
      <c r="BV686" s="485"/>
      <c r="BW686" s="485"/>
      <c r="BX686" s="485"/>
      <c r="BY686" s="485"/>
      <c r="BZ686" s="485"/>
      <c r="CA686" s="485"/>
      <c r="CB686" s="485"/>
      <c r="CC686" s="485"/>
      <c r="CD686" s="485"/>
      <c r="CE686" s="485"/>
      <c r="CF686" s="485"/>
      <c r="CG686" s="485"/>
      <c r="CH686" s="485"/>
      <c r="CI686" s="485"/>
      <c r="CJ686" s="485"/>
      <c r="CK686" s="485"/>
      <c r="CL686" s="485"/>
      <c r="CM686" s="485"/>
      <c r="CN686" s="485"/>
      <c r="CO686" s="485"/>
      <c r="CP686" s="485"/>
      <c r="CQ686" s="485"/>
      <c r="CR686" s="485"/>
      <c r="CS686" s="485"/>
      <c r="CT686" s="485"/>
      <c r="CU686" s="485"/>
      <c r="CV686" s="485"/>
      <c r="CW686" s="485"/>
      <c r="CX686" s="485"/>
      <c r="CY686" s="485"/>
      <c r="CZ686" s="485"/>
      <c r="DA686" s="485"/>
      <c r="DB686" s="485"/>
      <c r="DC686" s="485"/>
      <c r="DD686" s="485"/>
      <c r="DE686" s="485"/>
      <c r="DF686" s="485"/>
      <c r="DG686" s="485"/>
      <c r="DH686" s="485"/>
      <c r="DI686" s="485"/>
      <c r="DJ686" s="485"/>
      <c r="DK686" s="485"/>
      <c r="DL686" s="485"/>
      <c r="DM686" s="485"/>
      <c r="DN686" s="485"/>
      <c r="DO686" s="485"/>
      <c r="DP686" s="485"/>
      <c r="DQ686" s="485"/>
      <c r="DR686" s="485"/>
      <c r="DS686" s="485"/>
      <c r="DT686" s="485"/>
      <c r="DU686" s="485"/>
      <c r="DV686" s="485"/>
      <c r="DW686" s="485"/>
      <c r="DX686" s="485"/>
      <c r="DY686" s="485"/>
      <c r="DZ686" s="485"/>
      <c r="EA686" s="485"/>
      <c r="EB686" s="485"/>
      <c r="EC686" s="485"/>
      <c r="ED686" s="485"/>
      <c r="EE686" s="485"/>
      <c r="EF686" s="485"/>
      <c r="EG686" s="485"/>
      <c r="EH686" s="485"/>
      <c r="EI686" s="485"/>
      <c r="EJ686" s="485"/>
      <c r="EK686" s="485"/>
      <c r="EL686" s="485"/>
      <c r="EM686" s="485"/>
      <c r="EN686" s="485"/>
      <c r="EO686" s="485"/>
      <c r="EP686" s="485"/>
    </row>
    <row r="687" spans="1:146">
      <c r="A687" s="485"/>
      <c r="B687" s="485"/>
      <c r="C687" s="485"/>
      <c r="D687" s="485"/>
      <c r="E687" s="485"/>
      <c r="F687" s="485"/>
      <c r="G687" s="485"/>
      <c r="H687" s="485"/>
      <c r="I687" s="485"/>
      <c r="J687" s="485"/>
      <c r="K687" s="485"/>
      <c r="L687" s="485"/>
      <c r="M687" s="485"/>
      <c r="P687" s="485"/>
      <c r="Q687" s="485"/>
      <c r="R687" s="485"/>
      <c r="S687" s="485"/>
      <c r="T687" s="485"/>
      <c r="U687" s="485"/>
      <c r="V687" s="485"/>
      <c r="W687" s="485"/>
      <c r="X687" s="485"/>
      <c r="Y687" s="485"/>
      <c r="Z687" s="485"/>
      <c r="AA687" s="485"/>
      <c r="AB687" s="485"/>
      <c r="AC687" s="485"/>
      <c r="AD687" s="485"/>
      <c r="AE687" s="485"/>
      <c r="AF687" s="485"/>
      <c r="AG687" s="485"/>
      <c r="AH687" s="485"/>
      <c r="AI687" s="485"/>
      <c r="AJ687" s="485"/>
      <c r="AK687" s="485"/>
      <c r="AL687" s="485"/>
      <c r="AM687" s="485"/>
      <c r="AN687" s="485"/>
      <c r="AO687" s="485"/>
      <c r="AP687" s="485"/>
      <c r="AQ687" s="485"/>
      <c r="AR687" s="485"/>
      <c r="AS687" s="485"/>
      <c r="AT687" s="485"/>
      <c r="AU687" s="485"/>
      <c r="AV687" s="485"/>
      <c r="AW687" s="485"/>
      <c r="AX687" s="485"/>
      <c r="AY687" s="485"/>
      <c r="AZ687" s="485"/>
      <c r="BA687" s="485"/>
      <c r="BB687" s="485"/>
      <c r="BC687" s="485"/>
      <c r="BD687" s="485"/>
      <c r="BE687" s="485"/>
      <c r="BF687" s="485"/>
      <c r="BG687" s="485"/>
      <c r="BH687" s="485"/>
      <c r="BI687" s="485"/>
      <c r="BJ687" s="485"/>
      <c r="BK687" s="485"/>
      <c r="BL687" s="485"/>
      <c r="BM687" s="485"/>
      <c r="BN687" s="485"/>
      <c r="BO687" s="485"/>
      <c r="BP687" s="485"/>
      <c r="BQ687" s="485"/>
      <c r="BR687" s="485"/>
      <c r="BS687" s="485"/>
      <c r="BT687" s="485"/>
      <c r="BU687" s="485"/>
      <c r="BV687" s="485"/>
      <c r="BW687" s="485"/>
      <c r="BX687" s="485"/>
      <c r="BY687" s="485"/>
      <c r="BZ687" s="485"/>
      <c r="CA687" s="485"/>
      <c r="CB687" s="485"/>
      <c r="CC687" s="485"/>
      <c r="CD687" s="485"/>
      <c r="CE687" s="485"/>
      <c r="CF687" s="485"/>
      <c r="CG687" s="485"/>
      <c r="CH687" s="485"/>
      <c r="CI687" s="485"/>
      <c r="CJ687" s="485"/>
      <c r="CK687" s="485"/>
      <c r="CL687" s="485"/>
      <c r="CM687" s="485"/>
      <c r="CN687" s="485"/>
      <c r="CO687" s="485"/>
      <c r="CP687" s="485"/>
      <c r="CQ687" s="485"/>
      <c r="CR687" s="485"/>
      <c r="CS687" s="485"/>
      <c r="CT687" s="485"/>
      <c r="CU687" s="485"/>
      <c r="CV687" s="485"/>
      <c r="CW687" s="485"/>
      <c r="CX687" s="485"/>
      <c r="CY687" s="485"/>
      <c r="CZ687" s="485"/>
      <c r="DA687" s="485"/>
      <c r="DB687" s="485"/>
      <c r="DC687" s="485"/>
      <c r="DD687" s="485"/>
      <c r="DE687" s="485"/>
      <c r="DF687" s="485"/>
      <c r="DG687" s="485"/>
      <c r="DH687" s="485"/>
      <c r="DI687" s="485"/>
      <c r="DJ687" s="485"/>
      <c r="DK687" s="485"/>
      <c r="DL687" s="485"/>
      <c r="DM687" s="485"/>
      <c r="DN687" s="485"/>
      <c r="DO687" s="485"/>
      <c r="DP687" s="485"/>
      <c r="DQ687" s="485"/>
      <c r="DR687" s="485"/>
      <c r="DS687" s="485"/>
      <c r="DT687" s="485"/>
      <c r="DU687" s="485"/>
      <c r="DV687" s="485"/>
      <c r="DW687" s="485"/>
      <c r="DX687" s="485"/>
      <c r="DY687" s="485"/>
      <c r="DZ687" s="485"/>
      <c r="EA687" s="485"/>
      <c r="EB687" s="485"/>
      <c r="EC687" s="485"/>
      <c r="ED687" s="485"/>
      <c r="EE687" s="485"/>
      <c r="EF687" s="485"/>
      <c r="EG687" s="485"/>
      <c r="EH687" s="485"/>
      <c r="EI687" s="485"/>
      <c r="EJ687" s="485"/>
      <c r="EK687" s="485"/>
      <c r="EL687" s="485"/>
      <c r="EM687" s="485"/>
      <c r="EN687" s="485"/>
      <c r="EO687" s="485"/>
      <c r="EP687" s="485"/>
    </row>
    <row r="688" spans="1:146">
      <c r="A688" s="485"/>
      <c r="B688" s="485"/>
      <c r="C688" s="485"/>
      <c r="D688" s="485"/>
      <c r="E688" s="485"/>
      <c r="F688" s="485"/>
      <c r="G688" s="485"/>
      <c r="H688" s="485"/>
      <c r="I688" s="485"/>
      <c r="J688" s="485"/>
      <c r="K688" s="485"/>
      <c r="L688" s="485"/>
      <c r="M688" s="485"/>
      <c r="P688" s="485"/>
      <c r="Q688" s="485"/>
      <c r="R688" s="485"/>
      <c r="S688" s="485"/>
      <c r="T688" s="485"/>
      <c r="U688" s="485"/>
      <c r="V688" s="485"/>
      <c r="W688" s="485"/>
      <c r="X688" s="485"/>
      <c r="Y688" s="485"/>
      <c r="Z688" s="485"/>
      <c r="AA688" s="485"/>
      <c r="AB688" s="485"/>
      <c r="AC688" s="485"/>
      <c r="AD688" s="485"/>
      <c r="AE688" s="485"/>
      <c r="AF688" s="485"/>
      <c r="AG688" s="485"/>
      <c r="AH688" s="485"/>
      <c r="AI688" s="485"/>
      <c r="AJ688" s="485"/>
      <c r="AK688" s="485"/>
      <c r="AL688" s="485"/>
      <c r="AM688" s="485"/>
      <c r="AN688" s="485"/>
      <c r="AO688" s="485"/>
      <c r="AP688" s="485"/>
      <c r="AQ688" s="485"/>
      <c r="AR688" s="485"/>
      <c r="AS688" s="485"/>
      <c r="AT688" s="485"/>
      <c r="AU688" s="485"/>
      <c r="AV688" s="485"/>
      <c r="AW688" s="485"/>
      <c r="AX688" s="485"/>
      <c r="AY688" s="485"/>
      <c r="AZ688" s="485"/>
      <c r="BA688" s="485"/>
      <c r="BB688" s="485"/>
      <c r="BC688" s="485"/>
      <c r="BD688" s="485"/>
      <c r="BE688" s="485"/>
      <c r="BF688" s="485"/>
      <c r="BG688" s="485"/>
      <c r="BH688" s="485"/>
      <c r="BI688" s="485"/>
      <c r="BJ688" s="485"/>
      <c r="BK688" s="485"/>
      <c r="BL688" s="485"/>
      <c r="BM688" s="485"/>
      <c r="BN688" s="485"/>
      <c r="BO688" s="485"/>
      <c r="BP688" s="485"/>
      <c r="BQ688" s="485"/>
      <c r="BR688" s="485"/>
      <c r="BS688" s="485"/>
      <c r="BT688" s="485"/>
      <c r="BU688" s="485"/>
      <c r="BV688" s="485"/>
      <c r="BW688" s="485"/>
      <c r="BX688" s="485"/>
      <c r="BY688" s="485"/>
      <c r="BZ688" s="485"/>
      <c r="CA688" s="485"/>
      <c r="CB688" s="485"/>
      <c r="CC688" s="485"/>
      <c r="CD688" s="485"/>
      <c r="CE688" s="485"/>
      <c r="CF688" s="485"/>
      <c r="CG688" s="485"/>
      <c r="CH688" s="485"/>
      <c r="CI688" s="485"/>
      <c r="CJ688" s="485"/>
      <c r="CK688" s="485"/>
      <c r="CL688" s="485"/>
      <c r="CM688" s="485"/>
      <c r="CN688" s="485"/>
      <c r="CO688" s="485"/>
      <c r="CP688" s="485"/>
      <c r="CQ688" s="485"/>
      <c r="CR688" s="485"/>
      <c r="CS688" s="485"/>
      <c r="CT688" s="485"/>
      <c r="CU688" s="485"/>
      <c r="CV688" s="485"/>
      <c r="CW688" s="485"/>
      <c r="CX688" s="485"/>
      <c r="CY688" s="485"/>
      <c r="CZ688" s="485"/>
      <c r="DA688" s="485"/>
      <c r="DB688" s="485"/>
      <c r="DC688" s="485"/>
      <c r="DD688" s="485"/>
      <c r="DE688" s="485"/>
      <c r="DF688" s="485"/>
      <c r="DG688" s="485"/>
      <c r="DH688" s="485"/>
      <c r="DI688" s="485"/>
      <c r="DJ688" s="485"/>
      <c r="DK688" s="485"/>
      <c r="DL688" s="485"/>
      <c r="DM688" s="485"/>
      <c r="DN688" s="485"/>
      <c r="DO688" s="485"/>
      <c r="DP688" s="485"/>
      <c r="DQ688" s="485"/>
      <c r="DR688" s="485"/>
      <c r="DS688" s="485"/>
      <c r="DT688" s="485"/>
      <c r="DU688" s="485"/>
      <c r="DV688" s="485"/>
      <c r="DW688" s="485"/>
      <c r="DX688" s="485"/>
      <c r="DY688" s="485"/>
      <c r="DZ688" s="485"/>
      <c r="EA688" s="485"/>
      <c r="EB688" s="485"/>
      <c r="EC688" s="485"/>
      <c r="ED688" s="485"/>
      <c r="EE688" s="485"/>
      <c r="EF688" s="485"/>
      <c r="EG688" s="485"/>
      <c r="EH688" s="485"/>
      <c r="EI688" s="485"/>
      <c r="EJ688" s="485"/>
      <c r="EK688" s="485"/>
      <c r="EL688" s="485"/>
      <c r="EM688" s="485"/>
      <c r="EN688" s="485"/>
      <c r="EO688" s="485"/>
      <c r="EP688" s="485"/>
    </row>
    <row r="689" spans="1:146">
      <c r="A689" s="485"/>
      <c r="B689" s="485"/>
      <c r="C689" s="485"/>
      <c r="D689" s="485"/>
      <c r="E689" s="485"/>
      <c r="F689" s="485"/>
      <c r="G689" s="485"/>
      <c r="H689" s="485"/>
      <c r="I689" s="485"/>
      <c r="J689" s="485"/>
      <c r="K689" s="485"/>
      <c r="L689" s="485"/>
      <c r="M689" s="485"/>
      <c r="P689" s="485"/>
      <c r="Q689" s="485"/>
      <c r="R689" s="485"/>
      <c r="S689" s="485"/>
      <c r="T689" s="485"/>
      <c r="U689" s="485"/>
      <c r="V689" s="485"/>
      <c r="W689" s="485"/>
      <c r="X689" s="485"/>
      <c r="Y689" s="485"/>
      <c r="Z689" s="485"/>
      <c r="AA689" s="485"/>
      <c r="AB689" s="485"/>
      <c r="AC689" s="485"/>
      <c r="AD689" s="485"/>
      <c r="AE689" s="485"/>
      <c r="AF689" s="485"/>
      <c r="AG689" s="485"/>
      <c r="AH689" s="485"/>
      <c r="AI689" s="485"/>
      <c r="AJ689" s="485"/>
      <c r="AK689" s="485"/>
      <c r="AL689" s="485"/>
      <c r="AM689" s="485"/>
      <c r="AN689" s="485"/>
      <c r="AO689" s="485"/>
      <c r="AP689" s="485"/>
      <c r="AQ689" s="485"/>
      <c r="AR689" s="485"/>
      <c r="AS689" s="485"/>
      <c r="AT689" s="485"/>
      <c r="AU689" s="485"/>
      <c r="AV689" s="485"/>
      <c r="AW689" s="485"/>
      <c r="AX689" s="485"/>
      <c r="AY689" s="485"/>
      <c r="AZ689" s="485"/>
      <c r="BA689" s="485"/>
      <c r="BB689" s="485"/>
      <c r="BC689" s="485"/>
      <c r="BD689" s="485"/>
      <c r="BE689" s="485"/>
      <c r="BF689" s="485"/>
      <c r="BG689" s="485"/>
      <c r="BH689" s="485"/>
      <c r="BI689" s="485"/>
      <c r="BJ689" s="485"/>
      <c r="BK689" s="485"/>
      <c r="BL689" s="485"/>
      <c r="BM689" s="485"/>
      <c r="BN689" s="485"/>
      <c r="BO689" s="485"/>
      <c r="BP689" s="485"/>
      <c r="BQ689" s="485"/>
      <c r="BR689" s="485"/>
      <c r="BS689" s="485"/>
      <c r="BT689" s="485"/>
      <c r="BU689" s="485"/>
      <c r="BV689" s="485"/>
      <c r="BW689" s="485"/>
      <c r="BX689" s="485"/>
      <c r="BY689" s="485"/>
      <c r="BZ689" s="485"/>
      <c r="CA689" s="485"/>
      <c r="CB689" s="485"/>
      <c r="CC689" s="485"/>
      <c r="CD689" s="485"/>
      <c r="CE689" s="485"/>
      <c r="CF689" s="485"/>
      <c r="CG689" s="485"/>
      <c r="CH689" s="485"/>
      <c r="CI689" s="485"/>
      <c r="CJ689" s="485"/>
      <c r="CK689" s="485"/>
      <c r="CL689" s="485"/>
      <c r="CM689" s="485"/>
      <c r="CN689" s="485"/>
      <c r="CO689" s="485"/>
      <c r="CP689" s="485"/>
      <c r="CQ689" s="485"/>
      <c r="CR689" s="485"/>
      <c r="CS689" s="485"/>
      <c r="CT689" s="485"/>
      <c r="CU689" s="485"/>
      <c r="CV689" s="485"/>
      <c r="CW689" s="485"/>
      <c r="CX689" s="485"/>
      <c r="CY689" s="485"/>
      <c r="CZ689" s="485"/>
      <c r="DA689" s="485"/>
      <c r="DB689" s="485"/>
      <c r="DC689" s="485"/>
      <c r="DD689" s="485"/>
      <c r="DE689" s="485"/>
      <c r="DF689" s="485"/>
      <c r="DG689" s="485"/>
      <c r="DH689" s="485"/>
      <c r="DI689" s="485"/>
      <c r="DJ689" s="485"/>
      <c r="DK689" s="485"/>
      <c r="DL689" s="485"/>
      <c r="DM689" s="485"/>
      <c r="DN689" s="485"/>
      <c r="DO689" s="485"/>
      <c r="DP689" s="485"/>
      <c r="DQ689" s="485"/>
      <c r="DR689" s="485"/>
      <c r="DS689" s="485"/>
      <c r="DT689" s="485"/>
      <c r="DU689" s="485"/>
      <c r="DV689" s="485"/>
      <c r="DW689" s="485"/>
      <c r="DX689" s="485"/>
      <c r="DY689" s="485"/>
      <c r="DZ689" s="485"/>
      <c r="EA689" s="485"/>
      <c r="EB689" s="485"/>
      <c r="EC689" s="485"/>
      <c r="ED689" s="485"/>
      <c r="EE689" s="485"/>
      <c r="EF689" s="485"/>
      <c r="EG689" s="485"/>
      <c r="EH689" s="485"/>
      <c r="EI689" s="485"/>
      <c r="EJ689" s="485"/>
      <c r="EK689" s="485"/>
      <c r="EL689" s="485"/>
      <c r="EM689" s="485"/>
      <c r="EN689" s="485"/>
      <c r="EO689" s="485"/>
      <c r="EP689" s="485"/>
    </row>
    <row r="690" spans="1:146">
      <c r="A690" s="485"/>
      <c r="B690" s="485"/>
      <c r="C690" s="485"/>
      <c r="D690" s="485"/>
      <c r="E690" s="485"/>
      <c r="F690" s="485"/>
      <c r="G690" s="485"/>
      <c r="H690" s="485"/>
      <c r="I690" s="485"/>
      <c r="J690" s="485"/>
      <c r="K690" s="485"/>
      <c r="L690" s="485"/>
      <c r="M690" s="485"/>
      <c r="P690" s="485"/>
      <c r="Q690" s="485"/>
      <c r="R690" s="485"/>
      <c r="S690" s="485"/>
      <c r="T690" s="485"/>
      <c r="U690" s="485"/>
      <c r="V690" s="485"/>
      <c r="W690" s="485"/>
      <c r="X690" s="485"/>
      <c r="Y690" s="485"/>
      <c r="Z690" s="485"/>
      <c r="AA690" s="485"/>
      <c r="AB690" s="485"/>
      <c r="AC690" s="485"/>
      <c r="AD690" s="485"/>
      <c r="AE690" s="485"/>
      <c r="AF690" s="485"/>
      <c r="AG690" s="485"/>
      <c r="AH690" s="485"/>
      <c r="AI690" s="485"/>
      <c r="AJ690" s="485"/>
      <c r="AK690" s="485"/>
      <c r="AL690" s="485"/>
      <c r="AM690" s="485"/>
      <c r="AN690" s="485"/>
      <c r="AO690" s="485"/>
      <c r="AP690" s="485"/>
      <c r="AQ690" s="485"/>
      <c r="AR690" s="485"/>
      <c r="AS690" s="485"/>
      <c r="AT690" s="485"/>
      <c r="AU690" s="485"/>
      <c r="AV690" s="485"/>
      <c r="AW690" s="485"/>
      <c r="AX690" s="485"/>
      <c r="AY690" s="485"/>
      <c r="AZ690" s="485"/>
      <c r="BA690" s="485"/>
      <c r="BB690" s="485"/>
      <c r="BC690" s="485"/>
      <c r="BD690" s="485"/>
      <c r="BE690" s="485"/>
      <c r="BF690" s="485"/>
      <c r="BG690" s="485"/>
      <c r="BH690" s="485"/>
      <c r="BI690" s="485"/>
      <c r="BJ690" s="485"/>
      <c r="BK690" s="485"/>
      <c r="BL690" s="485"/>
      <c r="BM690" s="485"/>
      <c r="BN690" s="485"/>
      <c r="BO690" s="485"/>
      <c r="BP690" s="485"/>
      <c r="BQ690" s="485"/>
      <c r="BR690" s="485"/>
      <c r="BS690" s="485"/>
      <c r="BT690" s="485"/>
      <c r="BU690" s="485"/>
      <c r="BV690" s="485"/>
      <c r="BW690" s="485"/>
      <c r="BX690" s="485"/>
      <c r="BY690" s="485"/>
      <c r="BZ690" s="485"/>
      <c r="CA690" s="485"/>
      <c r="CB690" s="485"/>
      <c r="CC690" s="485"/>
      <c r="CD690" s="485"/>
      <c r="CE690" s="485"/>
      <c r="CF690" s="485"/>
      <c r="CG690" s="485"/>
      <c r="CH690" s="485"/>
      <c r="CI690" s="485"/>
      <c r="CJ690" s="485"/>
      <c r="CK690" s="485"/>
      <c r="CL690" s="485"/>
      <c r="CM690" s="485"/>
      <c r="CN690" s="485"/>
      <c r="CO690" s="485"/>
      <c r="CP690" s="485"/>
      <c r="CQ690" s="485"/>
      <c r="CR690" s="485"/>
      <c r="CS690" s="485"/>
      <c r="CT690" s="485"/>
      <c r="CU690" s="485"/>
      <c r="CV690" s="485"/>
      <c r="CW690" s="485"/>
      <c r="CX690" s="485"/>
      <c r="CY690" s="485"/>
      <c r="CZ690" s="485"/>
      <c r="DA690" s="485"/>
      <c r="DB690" s="485"/>
      <c r="DC690" s="485"/>
      <c r="DD690" s="485"/>
      <c r="DE690" s="485"/>
      <c r="DF690" s="485"/>
      <c r="DG690" s="485"/>
      <c r="DH690" s="485"/>
      <c r="DI690" s="485"/>
      <c r="DJ690" s="485"/>
      <c r="DK690" s="485"/>
      <c r="DL690" s="485"/>
      <c r="DM690" s="485"/>
      <c r="DN690" s="485"/>
      <c r="DO690" s="485"/>
      <c r="DP690" s="485"/>
      <c r="DQ690" s="485"/>
      <c r="DR690" s="485"/>
      <c r="DS690" s="485"/>
      <c r="DT690" s="485"/>
      <c r="DU690" s="485"/>
      <c r="DV690" s="485"/>
      <c r="DW690" s="485"/>
      <c r="DX690" s="485"/>
      <c r="DY690" s="485"/>
      <c r="DZ690" s="485"/>
      <c r="EA690" s="485"/>
      <c r="EB690" s="485"/>
      <c r="EC690" s="485"/>
      <c r="ED690" s="485"/>
      <c r="EE690" s="485"/>
      <c r="EF690" s="485"/>
      <c r="EG690" s="485"/>
      <c r="EH690" s="485"/>
      <c r="EI690" s="485"/>
      <c r="EJ690" s="485"/>
      <c r="EK690" s="485"/>
      <c r="EL690" s="485"/>
      <c r="EM690" s="485"/>
      <c r="EN690" s="485"/>
      <c r="EO690" s="485"/>
      <c r="EP690" s="485"/>
    </row>
    <row r="691" spans="1:146">
      <c r="A691" s="485"/>
      <c r="B691" s="485"/>
      <c r="C691" s="485"/>
      <c r="D691" s="485"/>
      <c r="E691" s="485"/>
      <c r="F691" s="485"/>
      <c r="G691" s="485"/>
      <c r="H691" s="485"/>
      <c r="I691" s="485"/>
      <c r="J691" s="485"/>
      <c r="K691" s="485"/>
      <c r="L691" s="485"/>
      <c r="M691" s="485"/>
      <c r="P691" s="485"/>
      <c r="Q691" s="485"/>
      <c r="R691" s="485"/>
      <c r="S691" s="485"/>
      <c r="T691" s="485"/>
      <c r="U691" s="485"/>
      <c r="V691" s="485"/>
      <c r="W691" s="485"/>
      <c r="X691" s="485"/>
      <c r="Y691" s="485"/>
      <c r="Z691" s="485"/>
      <c r="AA691" s="485"/>
      <c r="AB691" s="485"/>
      <c r="AC691" s="485"/>
      <c r="AD691" s="485"/>
      <c r="AE691" s="485"/>
      <c r="AF691" s="485"/>
      <c r="AG691" s="485"/>
      <c r="AH691" s="485"/>
      <c r="AI691" s="485"/>
      <c r="AJ691" s="485"/>
      <c r="AK691" s="485"/>
      <c r="AL691" s="485"/>
      <c r="AM691" s="485"/>
      <c r="AN691" s="485"/>
      <c r="AO691" s="485"/>
      <c r="AP691" s="485"/>
      <c r="AQ691" s="485"/>
      <c r="AR691" s="485"/>
      <c r="AS691" s="485"/>
      <c r="AT691" s="485"/>
      <c r="AU691" s="485"/>
      <c r="AV691" s="485"/>
      <c r="AW691" s="485"/>
      <c r="AX691" s="485"/>
      <c r="AY691" s="485"/>
      <c r="AZ691" s="485"/>
      <c r="BA691" s="485"/>
      <c r="BB691" s="485"/>
      <c r="BC691" s="485"/>
      <c r="BD691" s="485"/>
      <c r="BE691" s="485"/>
      <c r="BF691" s="485"/>
      <c r="BG691" s="485"/>
      <c r="BH691" s="485"/>
      <c r="BI691" s="485"/>
      <c r="BJ691" s="485"/>
      <c r="BK691" s="485"/>
      <c r="BL691" s="485"/>
      <c r="BM691" s="485"/>
      <c r="BN691" s="485"/>
      <c r="BO691" s="485"/>
      <c r="BP691" s="485"/>
      <c r="BQ691" s="485"/>
      <c r="BR691" s="485"/>
      <c r="BS691" s="485"/>
      <c r="BT691" s="485"/>
      <c r="BU691" s="485"/>
      <c r="BV691" s="485"/>
      <c r="BW691" s="485"/>
      <c r="BX691" s="485"/>
      <c r="BY691" s="485"/>
      <c r="BZ691" s="485"/>
      <c r="CA691" s="485"/>
      <c r="CB691" s="485"/>
      <c r="CC691" s="485"/>
      <c r="CD691" s="485"/>
      <c r="CE691" s="485"/>
      <c r="CF691" s="485"/>
      <c r="CG691" s="485"/>
      <c r="CH691" s="485"/>
      <c r="CI691" s="485"/>
      <c r="CJ691" s="485"/>
      <c r="CK691" s="485"/>
      <c r="CL691" s="485"/>
      <c r="CM691" s="485"/>
      <c r="CN691" s="485"/>
      <c r="CO691" s="485"/>
      <c r="CP691" s="485"/>
      <c r="CQ691" s="485"/>
      <c r="CR691" s="485"/>
      <c r="CS691" s="485"/>
      <c r="CT691" s="485"/>
      <c r="CU691" s="485"/>
      <c r="CV691" s="485"/>
      <c r="CW691" s="485"/>
      <c r="CX691" s="485"/>
      <c r="CY691" s="485"/>
      <c r="CZ691" s="485"/>
      <c r="DA691" s="485"/>
      <c r="DB691" s="485"/>
      <c r="DC691" s="485"/>
      <c r="DD691" s="485"/>
      <c r="DE691" s="485"/>
      <c r="DF691" s="485"/>
      <c r="DG691" s="485"/>
      <c r="DH691" s="485"/>
      <c r="DI691" s="485"/>
      <c r="DJ691" s="485"/>
      <c r="DK691" s="485"/>
      <c r="DL691" s="485"/>
      <c r="DM691" s="485"/>
      <c r="DN691" s="485"/>
      <c r="DO691" s="485"/>
      <c r="DP691" s="485"/>
      <c r="DQ691" s="485"/>
      <c r="DR691" s="485"/>
      <c r="DS691" s="485"/>
      <c r="DT691" s="485"/>
      <c r="DU691" s="485"/>
      <c r="DV691" s="485"/>
      <c r="DW691" s="485"/>
      <c r="DX691" s="485"/>
      <c r="DY691" s="485"/>
      <c r="DZ691" s="485"/>
      <c r="EA691" s="485"/>
      <c r="EB691" s="485"/>
      <c r="EC691" s="485"/>
      <c r="ED691" s="485"/>
      <c r="EE691" s="485"/>
      <c r="EF691" s="485"/>
      <c r="EG691" s="485"/>
      <c r="EH691" s="485"/>
      <c r="EI691" s="485"/>
      <c r="EJ691" s="485"/>
      <c r="EK691" s="485"/>
      <c r="EL691" s="485"/>
      <c r="EM691" s="485"/>
      <c r="EN691" s="485"/>
      <c r="EO691" s="485"/>
      <c r="EP691" s="485"/>
    </row>
    <row r="692" spans="1:146">
      <c r="A692" s="485"/>
      <c r="B692" s="485"/>
      <c r="C692" s="485"/>
      <c r="D692" s="485"/>
      <c r="E692" s="485"/>
      <c r="F692" s="485"/>
      <c r="G692" s="485"/>
      <c r="H692" s="485"/>
      <c r="I692" s="485"/>
      <c r="J692" s="485"/>
      <c r="K692" s="485"/>
      <c r="L692" s="485"/>
      <c r="M692" s="485"/>
      <c r="P692" s="485"/>
      <c r="Q692" s="485"/>
      <c r="R692" s="485"/>
      <c r="S692" s="485"/>
      <c r="T692" s="485"/>
      <c r="U692" s="485"/>
      <c r="V692" s="485"/>
      <c r="W692" s="485"/>
      <c r="X692" s="485"/>
      <c r="Y692" s="485"/>
      <c r="Z692" s="485"/>
      <c r="AA692" s="485"/>
      <c r="AB692" s="485"/>
      <c r="AC692" s="485"/>
      <c r="AD692" s="485"/>
      <c r="AE692" s="485"/>
      <c r="AF692" s="485"/>
      <c r="AG692" s="485"/>
      <c r="AH692" s="485"/>
      <c r="AI692" s="485"/>
      <c r="AJ692" s="485"/>
      <c r="AK692" s="485"/>
      <c r="AL692" s="485"/>
      <c r="AM692" s="485"/>
      <c r="AN692" s="485"/>
      <c r="AO692" s="485"/>
      <c r="AP692" s="485"/>
      <c r="AQ692" s="485"/>
      <c r="AR692" s="485"/>
      <c r="AS692" s="485"/>
      <c r="AT692" s="485"/>
      <c r="AU692" s="485"/>
      <c r="AV692" s="485"/>
      <c r="AW692" s="485"/>
      <c r="AX692" s="485"/>
      <c r="AY692" s="485"/>
      <c r="AZ692" s="485"/>
      <c r="BA692" s="485"/>
      <c r="BB692" s="485"/>
      <c r="BC692" s="485"/>
      <c r="BD692" s="485"/>
      <c r="BE692" s="485"/>
      <c r="BF692" s="485"/>
      <c r="BG692" s="485"/>
      <c r="BH692" s="485"/>
      <c r="BI692" s="485"/>
      <c r="BJ692" s="485"/>
      <c r="BK692" s="485"/>
      <c r="BL692" s="485"/>
      <c r="BM692" s="485"/>
      <c r="BN692" s="485"/>
      <c r="BO692" s="485"/>
      <c r="BP692" s="485"/>
      <c r="BQ692" s="485"/>
      <c r="BR692" s="485"/>
      <c r="BS692" s="485"/>
      <c r="BT692" s="485"/>
      <c r="BU692" s="485"/>
      <c r="BV692" s="485"/>
      <c r="BW692" s="485"/>
      <c r="BX692" s="485"/>
      <c r="BY692" s="485"/>
      <c r="BZ692" s="485"/>
      <c r="CA692" s="485"/>
      <c r="CB692" s="485"/>
      <c r="CC692" s="485"/>
      <c r="CD692" s="485"/>
      <c r="CE692" s="485"/>
      <c r="CF692" s="485"/>
      <c r="CG692" s="485"/>
      <c r="CH692" s="485"/>
      <c r="CI692" s="485"/>
      <c r="CJ692" s="485"/>
      <c r="CK692" s="485"/>
      <c r="CL692" s="485"/>
      <c r="CM692" s="485"/>
      <c r="CN692" s="485"/>
      <c r="CO692" s="485"/>
      <c r="CP692" s="485"/>
      <c r="CQ692" s="485"/>
      <c r="CR692" s="485"/>
      <c r="CS692" s="485"/>
      <c r="CT692" s="485"/>
      <c r="CU692" s="485"/>
      <c r="CV692" s="485"/>
      <c r="CW692" s="485"/>
      <c r="CX692" s="485"/>
      <c r="CY692" s="485"/>
      <c r="CZ692" s="485"/>
      <c r="DA692" s="485"/>
      <c r="DB692" s="485"/>
      <c r="DC692" s="485"/>
      <c r="DD692" s="485"/>
      <c r="DE692" s="485"/>
      <c r="DF692" s="485"/>
      <c r="DG692" s="485"/>
      <c r="DH692" s="485"/>
      <c r="DI692" s="485"/>
      <c r="DJ692" s="485"/>
      <c r="DK692" s="485"/>
      <c r="DL692" s="485"/>
      <c r="DM692" s="485"/>
      <c r="DN692" s="485"/>
      <c r="DO692" s="485"/>
      <c r="DP692" s="485"/>
      <c r="DQ692" s="485"/>
      <c r="DR692" s="485"/>
      <c r="DS692" s="485"/>
      <c r="DT692" s="485"/>
      <c r="DU692" s="485"/>
      <c r="DV692" s="485"/>
      <c r="DW692" s="485"/>
      <c r="DX692" s="485"/>
      <c r="DY692" s="485"/>
      <c r="DZ692" s="485"/>
      <c r="EA692" s="485"/>
      <c r="EB692" s="485"/>
      <c r="EC692" s="485"/>
      <c r="ED692" s="485"/>
      <c r="EE692" s="485"/>
      <c r="EF692" s="485"/>
      <c r="EG692" s="485"/>
      <c r="EH692" s="485"/>
      <c r="EI692" s="485"/>
      <c r="EJ692" s="485"/>
      <c r="EK692" s="485"/>
      <c r="EL692" s="485"/>
      <c r="EM692" s="485"/>
      <c r="EN692" s="485"/>
      <c r="EO692" s="485"/>
      <c r="EP692" s="485"/>
    </row>
    <row r="693" spans="1:146">
      <c r="A693" s="485"/>
      <c r="B693" s="485"/>
      <c r="C693" s="485"/>
      <c r="D693" s="485"/>
      <c r="E693" s="485"/>
      <c r="F693" s="485"/>
      <c r="G693" s="485"/>
      <c r="H693" s="485"/>
      <c r="I693" s="485"/>
      <c r="J693" s="485"/>
      <c r="K693" s="485"/>
      <c r="L693" s="485"/>
      <c r="M693" s="485"/>
      <c r="P693" s="485"/>
      <c r="Q693" s="485"/>
      <c r="R693" s="485"/>
      <c r="S693" s="485"/>
      <c r="T693" s="485"/>
      <c r="U693" s="485"/>
      <c r="V693" s="485"/>
      <c r="W693" s="485"/>
      <c r="X693" s="485"/>
      <c r="Y693" s="485"/>
      <c r="Z693" s="485"/>
      <c r="AA693" s="485"/>
      <c r="AB693" s="485"/>
      <c r="AC693" s="485"/>
      <c r="AD693" s="485"/>
      <c r="AE693" s="485"/>
      <c r="AF693" s="485"/>
      <c r="AG693" s="485"/>
      <c r="AH693" s="485"/>
      <c r="AI693" s="485"/>
      <c r="AJ693" s="485"/>
      <c r="AK693" s="485"/>
      <c r="AL693" s="485"/>
      <c r="AM693" s="485"/>
      <c r="AN693" s="485"/>
      <c r="AO693" s="485"/>
      <c r="AP693" s="485"/>
      <c r="AQ693" s="485"/>
      <c r="AR693" s="485"/>
      <c r="AS693" s="485"/>
      <c r="AT693" s="485"/>
      <c r="AU693" s="485"/>
      <c r="AV693" s="485"/>
      <c r="AW693" s="485"/>
      <c r="AX693" s="485"/>
      <c r="AY693" s="485"/>
      <c r="AZ693" s="485"/>
      <c r="BA693" s="485"/>
      <c r="BB693" s="485"/>
      <c r="BC693" s="485"/>
      <c r="BD693" s="485"/>
      <c r="BE693" s="485"/>
      <c r="BF693" s="485"/>
      <c r="BG693" s="485"/>
      <c r="BH693" s="485"/>
      <c r="BI693" s="485"/>
      <c r="BJ693" s="485"/>
      <c r="BK693" s="485"/>
      <c r="BL693" s="485"/>
      <c r="BM693" s="485"/>
      <c r="BN693" s="485"/>
      <c r="BO693" s="485"/>
      <c r="BP693" s="485"/>
      <c r="BQ693" s="485"/>
      <c r="BR693" s="485"/>
      <c r="BS693" s="485"/>
      <c r="BT693" s="485"/>
      <c r="BU693" s="485"/>
      <c r="BV693" s="485"/>
      <c r="BW693" s="485"/>
      <c r="BX693" s="485"/>
      <c r="BY693" s="485"/>
      <c r="BZ693" s="485"/>
      <c r="CA693" s="485"/>
      <c r="CB693" s="485"/>
      <c r="CC693" s="485"/>
      <c r="CD693" s="485"/>
      <c r="CE693" s="485"/>
      <c r="CF693" s="485"/>
      <c r="CG693" s="485"/>
      <c r="CH693" s="485"/>
      <c r="CI693" s="485"/>
      <c r="CJ693" s="485"/>
      <c r="CK693" s="485"/>
      <c r="CL693" s="485"/>
      <c r="CM693" s="485"/>
      <c r="CN693" s="485"/>
      <c r="CO693" s="485"/>
      <c r="CP693" s="485"/>
      <c r="CQ693" s="485"/>
      <c r="CR693" s="485"/>
      <c r="CS693" s="485"/>
      <c r="CT693" s="485"/>
      <c r="CU693" s="485"/>
      <c r="CV693" s="485"/>
      <c r="CW693" s="485"/>
      <c r="CX693" s="485"/>
      <c r="CY693" s="485"/>
      <c r="CZ693" s="485"/>
      <c r="DA693" s="485"/>
      <c r="DB693" s="485"/>
      <c r="DC693" s="485"/>
      <c r="DD693" s="485"/>
      <c r="DE693" s="485"/>
      <c r="DF693" s="485"/>
      <c r="DG693" s="485"/>
      <c r="DH693" s="485"/>
      <c r="DI693" s="485"/>
      <c r="DJ693" s="485"/>
      <c r="DK693" s="485"/>
      <c r="DL693" s="485"/>
      <c r="DM693" s="485"/>
      <c r="DN693" s="485"/>
      <c r="DO693" s="485"/>
      <c r="DP693" s="485"/>
      <c r="DQ693" s="485"/>
      <c r="DR693" s="485"/>
      <c r="DS693" s="485"/>
      <c r="DT693" s="485"/>
      <c r="DU693" s="485"/>
      <c r="DV693" s="485"/>
      <c r="DW693" s="485"/>
      <c r="DX693" s="485"/>
      <c r="DY693" s="485"/>
      <c r="DZ693" s="485"/>
      <c r="EA693" s="485"/>
      <c r="EB693" s="485"/>
      <c r="EC693" s="485"/>
      <c r="ED693" s="485"/>
      <c r="EE693" s="485"/>
      <c r="EF693" s="485"/>
      <c r="EG693" s="485"/>
      <c r="EH693" s="485"/>
      <c r="EI693" s="485"/>
      <c r="EJ693" s="485"/>
      <c r="EK693" s="485"/>
      <c r="EL693" s="485"/>
      <c r="EM693" s="485"/>
      <c r="EN693" s="485"/>
      <c r="EO693" s="485"/>
      <c r="EP693" s="485"/>
    </row>
    <row r="694" spans="1:146">
      <c r="A694" s="485"/>
      <c r="B694" s="485"/>
      <c r="C694" s="485"/>
      <c r="D694" s="485"/>
      <c r="E694" s="485"/>
      <c r="F694" s="485"/>
      <c r="G694" s="485"/>
      <c r="H694" s="485"/>
      <c r="I694" s="485"/>
      <c r="J694" s="485"/>
      <c r="K694" s="485"/>
      <c r="L694" s="485"/>
      <c r="M694" s="485"/>
      <c r="P694" s="485"/>
      <c r="Q694" s="485"/>
      <c r="R694" s="485"/>
      <c r="S694" s="485"/>
      <c r="T694" s="485"/>
      <c r="U694" s="485"/>
      <c r="V694" s="485"/>
      <c r="W694" s="485"/>
      <c r="X694" s="485"/>
      <c r="Y694" s="485"/>
      <c r="Z694" s="485"/>
      <c r="AA694" s="485"/>
      <c r="AB694" s="485"/>
      <c r="AC694" s="485"/>
      <c r="AD694" s="485"/>
      <c r="AE694" s="485"/>
      <c r="AF694" s="485"/>
      <c r="AG694" s="485"/>
      <c r="AH694" s="485"/>
      <c r="AI694" s="485"/>
      <c r="AJ694" s="485"/>
      <c r="AK694" s="485"/>
      <c r="AL694" s="485"/>
      <c r="AM694" s="485"/>
      <c r="AN694" s="485"/>
      <c r="AO694" s="485"/>
      <c r="AP694" s="485"/>
      <c r="AQ694" s="485"/>
      <c r="AR694" s="485"/>
      <c r="AS694" s="485"/>
      <c r="AT694" s="485"/>
      <c r="AU694" s="485"/>
      <c r="AV694" s="485"/>
      <c r="AW694" s="485"/>
      <c r="AX694" s="485"/>
      <c r="AY694" s="485"/>
      <c r="AZ694" s="485"/>
      <c r="BA694" s="485"/>
      <c r="BB694" s="485"/>
      <c r="BC694" s="485"/>
      <c r="BD694" s="485"/>
      <c r="BE694" s="485"/>
      <c r="BF694" s="485"/>
      <c r="BG694" s="485"/>
      <c r="BH694" s="485"/>
      <c r="BI694" s="485"/>
      <c r="BJ694" s="485"/>
      <c r="BK694" s="485"/>
      <c r="BL694" s="485"/>
      <c r="BM694" s="485"/>
      <c r="BN694" s="485"/>
      <c r="BO694" s="485"/>
      <c r="BP694" s="485"/>
      <c r="BQ694" s="485"/>
      <c r="BR694" s="485"/>
      <c r="BS694" s="485"/>
      <c r="BT694" s="485"/>
      <c r="BU694" s="485"/>
      <c r="BV694" s="485"/>
      <c r="BW694" s="485"/>
      <c r="BX694" s="485"/>
      <c r="BY694" s="485"/>
      <c r="BZ694" s="485"/>
      <c r="CA694" s="485"/>
      <c r="CB694" s="485"/>
      <c r="CC694" s="485"/>
      <c r="CD694" s="485"/>
      <c r="CE694" s="485"/>
      <c r="CF694" s="485"/>
      <c r="CG694" s="485"/>
      <c r="CH694" s="485"/>
      <c r="CI694" s="485"/>
      <c r="CJ694" s="485"/>
      <c r="CK694" s="485"/>
      <c r="CL694" s="485"/>
      <c r="CM694" s="485"/>
      <c r="CN694" s="485"/>
      <c r="CO694" s="485"/>
      <c r="CP694" s="485"/>
      <c r="CQ694" s="485"/>
      <c r="CR694" s="485"/>
      <c r="CS694" s="485"/>
      <c r="CT694" s="485"/>
      <c r="CU694" s="485"/>
      <c r="CV694" s="485"/>
      <c r="CW694" s="485"/>
      <c r="CX694" s="485"/>
      <c r="CY694" s="485"/>
      <c r="CZ694" s="485"/>
      <c r="DA694" s="485"/>
      <c r="DB694" s="485"/>
      <c r="DC694" s="485"/>
      <c r="DD694" s="485"/>
      <c r="DE694" s="485"/>
      <c r="DF694" s="485"/>
      <c r="DG694" s="485"/>
      <c r="DH694" s="485"/>
      <c r="DI694" s="485"/>
      <c r="DJ694" s="485"/>
      <c r="DK694" s="485"/>
      <c r="DL694" s="485"/>
      <c r="DM694" s="485"/>
      <c r="DN694" s="485"/>
      <c r="DO694" s="485"/>
      <c r="DP694" s="485"/>
      <c r="DQ694" s="485"/>
      <c r="DR694" s="485"/>
      <c r="DS694" s="485"/>
      <c r="DT694" s="485"/>
      <c r="DU694" s="485"/>
      <c r="DV694" s="485"/>
      <c r="DW694" s="485"/>
      <c r="DX694" s="485"/>
      <c r="DY694" s="485"/>
      <c r="DZ694" s="485"/>
      <c r="EA694" s="485"/>
      <c r="EB694" s="485"/>
      <c r="EC694" s="485"/>
      <c r="ED694" s="485"/>
      <c r="EE694" s="485"/>
      <c r="EF694" s="485"/>
      <c r="EG694" s="485"/>
      <c r="EH694" s="485"/>
      <c r="EI694" s="485"/>
      <c r="EJ694" s="485"/>
      <c r="EK694" s="485"/>
      <c r="EL694" s="485"/>
      <c r="EM694" s="485"/>
      <c r="EN694" s="485"/>
      <c r="EO694" s="485"/>
      <c r="EP694" s="485"/>
    </row>
    <row r="695" spans="1:146">
      <c r="A695" s="485"/>
      <c r="B695" s="485"/>
      <c r="C695" s="485"/>
      <c r="D695" s="485"/>
      <c r="E695" s="485"/>
      <c r="F695" s="485"/>
      <c r="G695" s="485"/>
      <c r="H695" s="485"/>
      <c r="I695" s="485"/>
      <c r="J695" s="485"/>
      <c r="K695" s="485"/>
      <c r="L695" s="485"/>
      <c r="M695" s="485"/>
      <c r="P695" s="485"/>
      <c r="Q695" s="485"/>
      <c r="R695" s="485"/>
      <c r="S695" s="485"/>
      <c r="T695" s="485"/>
      <c r="U695" s="485"/>
      <c r="V695" s="485"/>
      <c r="W695" s="485"/>
      <c r="X695" s="485"/>
      <c r="Y695" s="485"/>
      <c r="Z695" s="485"/>
      <c r="AA695" s="485"/>
      <c r="AB695" s="485"/>
      <c r="AC695" s="485"/>
      <c r="AD695" s="485"/>
      <c r="AE695" s="485"/>
      <c r="AF695" s="485"/>
      <c r="AG695" s="485"/>
      <c r="AH695" s="485"/>
      <c r="AI695" s="485"/>
      <c r="AJ695" s="485"/>
      <c r="AK695" s="485"/>
      <c r="AL695" s="485"/>
      <c r="AM695" s="485"/>
      <c r="AN695" s="485"/>
      <c r="AO695" s="485"/>
      <c r="AP695" s="485"/>
      <c r="AQ695" s="485"/>
      <c r="AR695" s="485"/>
      <c r="AS695" s="485"/>
      <c r="AT695" s="485"/>
      <c r="AU695" s="485"/>
      <c r="AV695" s="485"/>
      <c r="AW695" s="485"/>
      <c r="AX695" s="485"/>
      <c r="AY695" s="485"/>
      <c r="AZ695" s="485"/>
      <c r="BA695" s="485"/>
      <c r="BB695" s="485"/>
      <c r="BC695" s="485"/>
      <c r="BD695" s="485"/>
      <c r="BE695" s="485"/>
      <c r="BF695" s="485"/>
      <c r="BG695" s="485"/>
      <c r="BH695" s="485"/>
      <c r="BI695" s="485"/>
      <c r="BJ695" s="485"/>
      <c r="BK695" s="485"/>
      <c r="BL695" s="485"/>
      <c r="BM695" s="485"/>
      <c r="BN695" s="485"/>
      <c r="BO695" s="485"/>
      <c r="BP695" s="485"/>
      <c r="BQ695" s="485"/>
      <c r="BR695" s="485"/>
      <c r="BS695" s="485"/>
      <c r="BT695" s="485"/>
      <c r="BU695" s="485"/>
      <c r="BV695" s="485"/>
      <c r="BW695" s="485"/>
      <c r="BX695" s="485"/>
      <c r="BY695" s="485"/>
      <c r="BZ695" s="485"/>
      <c r="CA695" s="485"/>
      <c r="CB695" s="485"/>
      <c r="CC695" s="485"/>
      <c r="CD695" s="485"/>
      <c r="CE695" s="485"/>
      <c r="CF695" s="485"/>
      <c r="CG695" s="485"/>
      <c r="CH695" s="485"/>
      <c r="CI695" s="485"/>
      <c r="CJ695" s="485"/>
      <c r="CK695" s="485"/>
      <c r="CL695" s="485"/>
      <c r="CM695" s="485"/>
      <c r="CN695" s="485"/>
      <c r="CO695" s="485"/>
      <c r="CP695" s="485"/>
      <c r="CQ695" s="485"/>
      <c r="CR695" s="485"/>
      <c r="CS695" s="485"/>
      <c r="CT695" s="485"/>
      <c r="CU695" s="485"/>
      <c r="CV695" s="485"/>
      <c r="CW695" s="485"/>
      <c r="CX695" s="485"/>
      <c r="CY695" s="485"/>
      <c r="CZ695" s="485"/>
      <c r="DA695" s="485"/>
      <c r="DB695" s="485"/>
      <c r="DC695" s="485"/>
      <c r="DD695" s="485"/>
      <c r="DE695" s="485"/>
      <c r="DF695" s="485"/>
      <c r="DG695" s="485"/>
      <c r="DH695" s="485"/>
      <c r="DI695" s="485"/>
      <c r="DJ695" s="485"/>
      <c r="DK695" s="485"/>
      <c r="DL695" s="485"/>
      <c r="DM695" s="485"/>
      <c r="DN695" s="485"/>
      <c r="DO695" s="485"/>
      <c r="DP695" s="485"/>
      <c r="DQ695" s="485"/>
      <c r="DR695" s="485"/>
      <c r="DS695" s="485"/>
      <c r="DT695" s="485"/>
      <c r="DU695" s="485"/>
      <c r="DV695" s="485"/>
      <c r="DW695" s="485"/>
      <c r="DX695" s="485"/>
      <c r="DY695" s="485"/>
      <c r="DZ695" s="485"/>
      <c r="EA695" s="485"/>
      <c r="EB695" s="485"/>
      <c r="EC695" s="485"/>
      <c r="ED695" s="485"/>
      <c r="EE695" s="485"/>
      <c r="EF695" s="485"/>
      <c r="EG695" s="485"/>
      <c r="EH695" s="485"/>
      <c r="EI695" s="485"/>
      <c r="EJ695" s="485"/>
      <c r="EK695" s="485"/>
      <c r="EL695" s="485"/>
      <c r="EM695" s="485"/>
      <c r="EN695" s="485"/>
      <c r="EO695" s="485"/>
      <c r="EP695" s="485"/>
    </row>
    <row r="696" spans="1:146">
      <c r="A696" s="485"/>
      <c r="B696" s="485"/>
      <c r="C696" s="485"/>
      <c r="D696" s="485"/>
      <c r="E696" s="485"/>
      <c r="F696" s="485"/>
      <c r="G696" s="485"/>
      <c r="H696" s="485"/>
      <c r="I696" s="485"/>
      <c r="J696" s="485"/>
      <c r="K696" s="485"/>
      <c r="L696" s="485"/>
      <c r="M696" s="485"/>
      <c r="P696" s="485"/>
      <c r="Q696" s="485"/>
      <c r="R696" s="485"/>
      <c r="S696" s="485"/>
      <c r="T696" s="485"/>
      <c r="U696" s="485"/>
      <c r="V696" s="485"/>
      <c r="W696" s="485"/>
      <c r="X696" s="485"/>
      <c r="Y696" s="485"/>
      <c r="Z696" s="485"/>
      <c r="AA696" s="485"/>
      <c r="AB696" s="485"/>
      <c r="AC696" s="485"/>
      <c r="AD696" s="485"/>
      <c r="AE696" s="485"/>
      <c r="AF696" s="485"/>
      <c r="AG696" s="485"/>
      <c r="AH696" s="485"/>
      <c r="AI696" s="485"/>
      <c r="AJ696" s="485"/>
      <c r="AK696" s="485"/>
      <c r="AL696" s="485"/>
      <c r="AM696" s="485"/>
      <c r="AN696" s="485"/>
      <c r="AO696" s="485"/>
      <c r="AP696" s="485"/>
      <c r="AQ696" s="485"/>
      <c r="AR696" s="485"/>
      <c r="AS696" s="485"/>
      <c r="AT696" s="485"/>
      <c r="AU696" s="485"/>
      <c r="AV696" s="485"/>
      <c r="AW696" s="485"/>
      <c r="AX696" s="485"/>
      <c r="AY696" s="485"/>
      <c r="AZ696" s="485"/>
      <c r="BA696" s="485"/>
      <c r="BB696" s="485"/>
      <c r="BC696" s="485"/>
      <c r="BD696" s="485"/>
      <c r="BE696" s="485"/>
      <c r="BF696" s="485"/>
      <c r="BG696" s="485"/>
      <c r="BH696" s="485"/>
      <c r="BI696" s="485"/>
      <c r="BJ696" s="485"/>
      <c r="BK696" s="485"/>
      <c r="BL696" s="485"/>
      <c r="BM696" s="485"/>
      <c r="BN696" s="485"/>
      <c r="BO696" s="485"/>
      <c r="BP696" s="485"/>
      <c r="BQ696" s="485"/>
      <c r="BR696" s="485"/>
      <c r="BS696" s="485"/>
      <c r="BT696" s="485"/>
      <c r="BU696" s="485"/>
      <c r="BV696" s="485"/>
      <c r="BW696" s="485"/>
      <c r="BX696" s="485"/>
      <c r="BY696" s="485"/>
      <c r="BZ696" s="485"/>
      <c r="CA696" s="485"/>
      <c r="CB696" s="485"/>
      <c r="CC696" s="485"/>
      <c r="CD696" s="485"/>
      <c r="CE696" s="485"/>
      <c r="CF696" s="485"/>
      <c r="CG696" s="485"/>
      <c r="CH696" s="485"/>
      <c r="CI696" s="485"/>
      <c r="CJ696" s="485"/>
      <c r="CK696" s="485"/>
      <c r="CL696" s="485"/>
      <c r="CM696" s="485"/>
      <c r="CN696" s="485"/>
      <c r="CO696" s="485"/>
      <c r="CP696" s="485"/>
      <c r="CQ696" s="485"/>
      <c r="CR696" s="485"/>
      <c r="CS696" s="485"/>
      <c r="CT696" s="485"/>
      <c r="CU696" s="485"/>
      <c r="CV696" s="485"/>
      <c r="CW696" s="485"/>
      <c r="CX696" s="485"/>
      <c r="CY696" s="485"/>
      <c r="CZ696" s="485"/>
      <c r="DA696" s="485"/>
      <c r="DB696" s="485"/>
      <c r="DC696" s="485"/>
      <c r="DD696" s="485"/>
      <c r="DE696" s="485"/>
      <c r="DF696" s="485"/>
      <c r="DG696" s="485"/>
      <c r="DH696" s="485"/>
      <c r="DI696" s="485"/>
      <c r="DJ696" s="485"/>
      <c r="DK696" s="485"/>
      <c r="DL696" s="485"/>
      <c r="DM696" s="485"/>
      <c r="DN696" s="485"/>
      <c r="DO696" s="485"/>
      <c r="DP696" s="485"/>
      <c r="DQ696" s="485"/>
      <c r="DR696" s="485"/>
      <c r="DS696" s="485"/>
      <c r="DT696" s="485"/>
      <c r="DU696" s="485"/>
      <c r="DV696" s="485"/>
      <c r="DW696" s="485"/>
      <c r="DX696" s="485"/>
      <c r="DY696" s="485"/>
      <c r="DZ696" s="485"/>
      <c r="EA696" s="485"/>
      <c r="EB696" s="485"/>
      <c r="EC696" s="485"/>
      <c r="ED696" s="485"/>
      <c r="EE696" s="485"/>
      <c r="EF696" s="485"/>
      <c r="EG696" s="485"/>
      <c r="EH696" s="485"/>
      <c r="EI696" s="485"/>
      <c r="EJ696" s="485"/>
      <c r="EK696" s="485"/>
      <c r="EL696" s="485"/>
      <c r="EM696" s="485"/>
      <c r="EN696" s="485"/>
      <c r="EO696" s="485"/>
      <c r="EP696" s="485"/>
    </row>
    <row r="697" spans="1:146">
      <c r="A697" s="485"/>
      <c r="B697" s="485"/>
      <c r="C697" s="485"/>
      <c r="D697" s="485"/>
      <c r="E697" s="485"/>
      <c r="F697" s="485"/>
      <c r="G697" s="485"/>
      <c r="H697" s="485"/>
      <c r="I697" s="485"/>
      <c r="J697" s="485"/>
      <c r="K697" s="485"/>
      <c r="L697" s="485"/>
      <c r="M697" s="485"/>
      <c r="P697" s="485"/>
      <c r="Q697" s="485"/>
      <c r="R697" s="485"/>
      <c r="S697" s="485"/>
      <c r="T697" s="485"/>
      <c r="U697" s="485"/>
      <c r="V697" s="485"/>
      <c r="W697" s="485"/>
      <c r="X697" s="485"/>
      <c r="Y697" s="485"/>
      <c r="Z697" s="485"/>
      <c r="AA697" s="485"/>
      <c r="AB697" s="485"/>
      <c r="AC697" s="485"/>
      <c r="AD697" s="485"/>
      <c r="AE697" s="485"/>
      <c r="AF697" s="485"/>
      <c r="AG697" s="485"/>
      <c r="AH697" s="485"/>
      <c r="AI697" s="485"/>
      <c r="AJ697" s="485"/>
      <c r="AK697" s="485"/>
      <c r="AL697" s="485"/>
      <c r="AM697" s="485"/>
      <c r="AN697" s="485"/>
      <c r="AO697" s="485"/>
      <c r="AP697" s="485"/>
      <c r="AQ697" s="485"/>
      <c r="AR697" s="485"/>
      <c r="AS697" s="485"/>
      <c r="AT697" s="485"/>
      <c r="AU697" s="485"/>
      <c r="AV697" s="485"/>
      <c r="AW697" s="485"/>
      <c r="AX697" s="485"/>
      <c r="AY697" s="485"/>
      <c r="AZ697" s="485"/>
      <c r="BA697" s="485"/>
      <c r="BB697" s="485"/>
      <c r="BC697" s="485"/>
      <c r="BD697" s="485"/>
      <c r="BE697" s="485"/>
      <c r="BF697" s="485"/>
      <c r="BG697" s="485"/>
      <c r="BH697" s="485"/>
      <c r="BI697" s="485"/>
      <c r="BJ697" s="485"/>
      <c r="BK697" s="485"/>
      <c r="BL697" s="485"/>
      <c r="BM697" s="485"/>
      <c r="BN697" s="485"/>
      <c r="BO697" s="485"/>
      <c r="BP697" s="485"/>
      <c r="BQ697" s="485"/>
      <c r="BR697" s="485"/>
      <c r="BS697" s="485"/>
      <c r="BT697" s="485"/>
      <c r="BU697" s="485"/>
      <c r="BV697" s="485"/>
      <c r="BW697" s="485"/>
      <c r="BX697" s="485"/>
      <c r="BY697" s="485"/>
      <c r="BZ697" s="485"/>
      <c r="CA697" s="485"/>
      <c r="CB697" s="485"/>
      <c r="CC697" s="485"/>
      <c r="CD697" s="485"/>
      <c r="CE697" s="485"/>
      <c r="CF697" s="485"/>
      <c r="CG697" s="485"/>
      <c r="CH697" s="485"/>
      <c r="CI697" s="485"/>
      <c r="CJ697" s="485"/>
      <c r="CK697" s="485"/>
      <c r="CL697" s="485"/>
      <c r="CM697" s="485"/>
      <c r="CN697" s="485"/>
      <c r="CO697" s="485"/>
      <c r="CP697" s="485"/>
      <c r="CQ697" s="485"/>
      <c r="CR697" s="485"/>
      <c r="CS697" s="485"/>
      <c r="CT697" s="485"/>
      <c r="CU697" s="485"/>
      <c r="CV697" s="485"/>
      <c r="CW697" s="485"/>
      <c r="CX697" s="485"/>
      <c r="CY697" s="485"/>
      <c r="CZ697" s="485"/>
      <c r="DA697" s="485"/>
      <c r="DB697" s="485"/>
      <c r="DC697" s="485"/>
      <c r="DD697" s="485"/>
      <c r="DE697" s="485"/>
      <c r="DF697" s="485"/>
      <c r="DG697" s="485"/>
      <c r="DH697" s="485"/>
      <c r="DI697" s="485"/>
      <c r="DJ697" s="485"/>
      <c r="DK697" s="485"/>
      <c r="DL697" s="485"/>
      <c r="DM697" s="485"/>
      <c r="DN697" s="485"/>
      <c r="DO697" s="485"/>
      <c r="DP697" s="485"/>
      <c r="DQ697" s="485"/>
      <c r="DR697" s="485"/>
      <c r="DS697" s="485"/>
      <c r="DT697" s="485"/>
      <c r="DU697" s="485"/>
      <c r="DV697" s="485"/>
      <c r="DW697" s="485"/>
      <c r="DX697" s="485"/>
      <c r="DY697" s="485"/>
      <c r="DZ697" s="485"/>
      <c r="EA697" s="485"/>
      <c r="EB697" s="485"/>
      <c r="EC697" s="485"/>
      <c r="ED697" s="485"/>
      <c r="EE697" s="485"/>
      <c r="EF697" s="485"/>
      <c r="EG697" s="485"/>
      <c r="EH697" s="485"/>
      <c r="EI697" s="485"/>
      <c r="EJ697" s="485"/>
      <c r="EK697" s="485"/>
      <c r="EL697" s="485"/>
      <c r="EM697" s="485"/>
      <c r="EN697" s="485"/>
      <c r="EO697" s="485"/>
      <c r="EP697" s="485"/>
    </row>
    <row r="698" spans="1:146">
      <c r="A698" s="485"/>
      <c r="B698" s="485"/>
      <c r="C698" s="485"/>
      <c r="D698" s="485"/>
      <c r="E698" s="485"/>
      <c r="F698" s="485"/>
      <c r="G698" s="485"/>
      <c r="H698" s="485"/>
      <c r="I698" s="485"/>
      <c r="J698" s="485"/>
      <c r="K698" s="485"/>
      <c r="L698" s="485"/>
      <c r="M698" s="485"/>
      <c r="P698" s="485"/>
      <c r="Q698" s="485"/>
      <c r="R698" s="485"/>
      <c r="S698" s="485"/>
      <c r="T698" s="485"/>
      <c r="U698" s="485"/>
      <c r="V698" s="485"/>
      <c r="W698" s="485"/>
      <c r="X698" s="485"/>
      <c r="Y698" s="485"/>
      <c r="Z698" s="485"/>
      <c r="AA698" s="485"/>
      <c r="AB698" s="485"/>
      <c r="AC698" s="485"/>
      <c r="AD698" s="485"/>
      <c r="AE698" s="485"/>
      <c r="AF698" s="485"/>
      <c r="AG698" s="485"/>
      <c r="AH698" s="485"/>
      <c r="AI698" s="485"/>
      <c r="AJ698" s="485"/>
      <c r="AK698" s="485"/>
      <c r="AL698" s="485"/>
      <c r="AM698" s="485"/>
      <c r="AN698" s="485"/>
      <c r="AO698" s="485"/>
      <c r="AP698" s="485"/>
      <c r="AQ698" s="485"/>
      <c r="AR698" s="485"/>
      <c r="AS698" s="485"/>
      <c r="AT698" s="485"/>
      <c r="AU698" s="485"/>
      <c r="AV698" s="485"/>
      <c r="AW698" s="485"/>
      <c r="AX698" s="485"/>
      <c r="AY698" s="485"/>
      <c r="AZ698" s="485"/>
      <c r="BA698" s="485"/>
      <c r="BB698" s="485"/>
      <c r="BC698" s="485"/>
      <c r="BD698" s="485"/>
      <c r="BE698" s="485"/>
      <c r="BF698" s="485"/>
      <c r="BG698" s="485"/>
      <c r="BH698" s="485"/>
      <c r="BI698" s="485"/>
      <c r="BJ698" s="485"/>
      <c r="BK698" s="485"/>
      <c r="BL698" s="485"/>
      <c r="BM698" s="485"/>
      <c r="BN698" s="485"/>
      <c r="BO698" s="485"/>
      <c r="BP698" s="485"/>
      <c r="BQ698" s="485"/>
      <c r="BR698" s="485"/>
      <c r="BS698" s="485"/>
      <c r="BT698" s="485"/>
      <c r="BU698" s="485"/>
      <c r="BV698" s="485"/>
      <c r="BW698" s="485"/>
      <c r="BX698" s="485"/>
      <c r="BY698" s="485"/>
      <c r="BZ698" s="485"/>
      <c r="CA698" s="485"/>
      <c r="CB698" s="485"/>
      <c r="CC698" s="485"/>
      <c r="CD698" s="485"/>
      <c r="CE698" s="485"/>
      <c r="CF698" s="485"/>
      <c r="CG698" s="485"/>
      <c r="CH698" s="485"/>
      <c r="CI698" s="485"/>
      <c r="CJ698" s="485"/>
      <c r="CK698" s="485"/>
      <c r="CL698" s="485"/>
      <c r="CM698" s="485"/>
      <c r="CN698" s="485"/>
      <c r="CO698" s="485"/>
      <c r="CP698" s="485"/>
      <c r="CQ698" s="485"/>
      <c r="CR698" s="485"/>
      <c r="CS698" s="485"/>
      <c r="CT698" s="485"/>
      <c r="CU698" s="485"/>
      <c r="CV698" s="485"/>
      <c r="CW698" s="485"/>
      <c r="CX698" s="485"/>
      <c r="CY698" s="485"/>
      <c r="CZ698" s="485"/>
      <c r="DA698" s="485"/>
      <c r="DB698" s="485"/>
      <c r="DC698" s="485"/>
      <c r="DD698" s="485"/>
      <c r="DE698" s="485"/>
      <c r="DF698" s="485"/>
      <c r="DG698" s="485"/>
      <c r="DH698" s="485"/>
      <c r="DI698" s="485"/>
      <c r="DJ698" s="485"/>
      <c r="DK698" s="485"/>
      <c r="DL698" s="485"/>
      <c r="DM698" s="485"/>
      <c r="DN698" s="485"/>
      <c r="DO698" s="485"/>
      <c r="DP698" s="485"/>
      <c r="DQ698" s="485"/>
      <c r="DR698" s="485"/>
      <c r="DS698" s="485"/>
      <c r="DT698" s="485"/>
      <c r="DU698" s="485"/>
      <c r="DV698" s="485"/>
      <c r="DW698" s="485"/>
      <c r="DX698" s="485"/>
      <c r="DY698" s="485"/>
      <c r="DZ698" s="485"/>
      <c r="EA698" s="485"/>
      <c r="EB698" s="485"/>
      <c r="EC698" s="485"/>
      <c r="ED698" s="485"/>
      <c r="EE698" s="485"/>
      <c r="EF698" s="485"/>
      <c r="EG698" s="485"/>
      <c r="EH698" s="485"/>
      <c r="EI698" s="485"/>
      <c r="EJ698" s="485"/>
      <c r="EK698" s="485"/>
      <c r="EL698" s="485"/>
      <c r="EM698" s="485"/>
      <c r="EN698" s="485"/>
      <c r="EO698" s="485"/>
      <c r="EP698" s="485"/>
    </row>
    <row r="699" spans="1:146">
      <c r="A699" s="485"/>
      <c r="B699" s="485"/>
      <c r="C699" s="485"/>
      <c r="D699" s="485"/>
      <c r="E699" s="485"/>
      <c r="F699" s="485"/>
      <c r="G699" s="485"/>
      <c r="H699" s="485"/>
      <c r="I699" s="485"/>
      <c r="J699" s="485"/>
      <c r="K699" s="485"/>
      <c r="L699" s="485"/>
      <c r="M699" s="485"/>
      <c r="P699" s="485"/>
      <c r="Q699" s="485"/>
      <c r="R699" s="485"/>
      <c r="S699" s="485"/>
      <c r="T699" s="485"/>
      <c r="U699" s="485"/>
      <c r="V699" s="485"/>
      <c r="W699" s="485"/>
      <c r="X699" s="485"/>
      <c r="Y699" s="485"/>
      <c r="Z699" s="485"/>
      <c r="AA699" s="485"/>
      <c r="AB699" s="485"/>
      <c r="AC699" s="485"/>
      <c r="AD699" s="485"/>
      <c r="AE699" s="485"/>
      <c r="AF699" s="485"/>
      <c r="AG699" s="485"/>
      <c r="AH699" s="485"/>
      <c r="AI699" s="485"/>
      <c r="AJ699" s="485"/>
      <c r="AK699" s="485"/>
      <c r="AL699" s="485"/>
      <c r="AM699" s="485"/>
      <c r="AN699" s="485"/>
      <c r="AO699" s="485"/>
      <c r="AP699" s="485"/>
      <c r="AQ699" s="485"/>
      <c r="AR699" s="485"/>
      <c r="AS699" s="485"/>
      <c r="AT699" s="485"/>
      <c r="AU699" s="485"/>
      <c r="AV699" s="485"/>
      <c r="AW699" s="485"/>
      <c r="AX699" s="485"/>
      <c r="AY699" s="485"/>
      <c r="AZ699" s="485"/>
      <c r="BA699" s="485"/>
      <c r="BB699" s="485"/>
      <c r="BC699" s="485"/>
      <c r="BD699" s="485"/>
      <c r="BE699" s="485"/>
      <c r="BF699" s="485"/>
      <c r="BG699" s="485"/>
      <c r="BH699" s="485"/>
      <c r="BI699" s="485"/>
      <c r="BJ699" s="485"/>
      <c r="BK699" s="485"/>
      <c r="BL699" s="485"/>
      <c r="BM699" s="485"/>
      <c r="BN699" s="485"/>
      <c r="BO699" s="485"/>
      <c r="BP699" s="485"/>
      <c r="BQ699" s="485"/>
      <c r="BR699" s="485"/>
      <c r="BS699" s="485"/>
      <c r="BT699" s="485"/>
      <c r="BU699" s="485"/>
      <c r="BV699" s="485"/>
      <c r="BW699" s="485"/>
      <c r="BX699" s="485"/>
      <c r="BY699" s="485"/>
      <c r="BZ699" s="485"/>
      <c r="CA699" s="485"/>
      <c r="CB699" s="485"/>
      <c r="CC699" s="485"/>
      <c r="CD699" s="485"/>
      <c r="CE699" s="485"/>
      <c r="CF699" s="485"/>
      <c r="CG699" s="485"/>
      <c r="CH699" s="485"/>
      <c r="CI699" s="485"/>
      <c r="CJ699" s="485"/>
      <c r="CK699" s="485"/>
      <c r="CL699" s="485"/>
      <c r="CM699" s="485"/>
      <c r="CN699" s="485"/>
      <c r="CO699" s="485"/>
      <c r="CP699" s="485"/>
      <c r="CQ699" s="485"/>
      <c r="CR699" s="485"/>
      <c r="CS699" s="485"/>
      <c r="CT699" s="485"/>
      <c r="CU699" s="485"/>
      <c r="CV699" s="485"/>
      <c r="CW699" s="485"/>
      <c r="CX699" s="485"/>
      <c r="CY699" s="485"/>
      <c r="CZ699" s="485"/>
      <c r="DA699" s="485"/>
      <c r="DB699" s="485"/>
      <c r="DC699" s="485"/>
      <c r="DD699" s="485"/>
      <c r="DE699" s="485"/>
      <c r="DF699" s="485"/>
      <c r="DG699" s="485"/>
      <c r="DH699" s="485"/>
      <c r="DI699" s="485"/>
      <c r="DJ699" s="485"/>
      <c r="DK699" s="485"/>
      <c r="DL699" s="485"/>
      <c r="DM699" s="485"/>
      <c r="DN699" s="485"/>
      <c r="DO699" s="485"/>
      <c r="DP699" s="485"/>
      <c r="DQ699" s="485"/>
      <c r="DR699" s="485"/>
      <c r="DS699" s="485"/>
      <c r="DT699" s="485"/>
      <c r="DU699" s="485"/>
      <c r="DV699" s="485"/>
      <c r="DW699" s="485"/>
      <c r="DX699" s="485"/>
      <c r="DY699" s="485"/>
      <c r="DZ699" s="485"/>
      <c r="EA699" s="485"/>
      <c r="EB699" s="485"/>
      <c r="EC699" s="485"/>
      <c r="ED699" s="485"/>
      <c r="EE699" s="485"/>
      <c r="EF699" s="485"/>
      <c r="EG699" s="485"/>
      <c r="EH699" s="485"/>
      <c r="EI699" s="485"/>
      <c r="EJ699" s="485"/>
      <c r="EK699" s="485"/>
      <c r="EL699" s="485"/>
      <c r="EM699" s="485"/>
      <c r="EN699" s="485"/>
      <c r="EO699" s="485"/>
      <c r="EP699" s="485"/>
    </row>
    <row r="700" spans="1:146">
      <c r="A700" s="485"/>
      <c r="B700" s="485"/>
      <c r="C700" s="485"/>
      <c r="D700" s="485"/>
      <c r="E700" s="485"/>
      <c r="F700" s="485"/>
      <c r="G700" s="485"/>
      <c r="H700" s="485"/>
      <c r="I700" s="485"/>
      <c r="J700" s="485"/>
      <c r="K700" s="485"/>
      <c r="L700" s="485"/>
      <c r="M700" s="485"/>
      <c r="P700" s="485"/>
      <c r="Q700" s="485"/>
      <c r="R700" s="485"/>
      <c r="S700" s="485"/>
      <c r="T700" s="485"/>
      <c r="U700" s="485"/>
      <c r="V700" s="485"/>
      <c r="W700" s="485"/>
      <c r="X700" s="485"/>
      <c r="Y700" s="485"/>
      <c r="Z700" s="485"/>
      <c r="AA700" s="485"/>
      <c r="AB700" s="485"/>
      <c r="AC700" s="485"/>
      <c r="AD700" s="485"/>
      <c r="AE700" s="485"/>
      <c r="AF700" s="485"/>
      <c r="AG700" s="485"/>
      <c r="AH700" s="485"/>
      <c r="AI700" s="485"/>
      <c r="AJ700" s="485"/>
      <c r="AK700" s="485"/>
      <c r="AL700" s="485"/>
      <c r="AM700" s="485"/>
      <c r="AN700" s="485"/>
      <c r="AO700" s="485"/>
      <c r="AP700" s="485"/>
      <c r="AQ700" s="485"/>
      <c r="AR700" s="485"/>
      <c r="AS700" s="485"/>
      <c r="AT700" s="485"/>
      <c r="AU700" s="485"/>
      <c r="AV700" s="485"/>
      <c r="AW700" s="485"/>
      <c r="AX700" s="485"/>
      <c r="AY700" s="485"/>
      <c r="AZ700" s="485"/>
      <c r="BA700" s="485"/>
      <c r="BB700" s="485"/>
      <c r="BC700" s="485"/>
      <c r="BD700" s="485"/>
      <c r="BE700" s="485"/>
      <c r="BF700" s="485"/>
      <c r="BG700" s="485"/>
      <c r="BH700" s="485"/>
      <c r="BI700" s="485"/>
      <c r="BJ700" s="485"/>
      <c r="BK700" s="485"/>
      <c r="BL700" s="485"/>
      <c r="BM700" s="485"/>
      <c r="BN700" s="485"/>
      <c r="BO700" s="485"/>
      <c r="BP700" s="485"/>
      <c r="BQ700" s="485"/>
      <c r="BR700" s="485"/>
      <c r="BS700" s="485"/>
      <c r="BT700" s="485"/>
      <c r="BU700" s="485"/>
      <c r="BV700" s="485"/>
      <c r="BW700" s="485"/>
      <c r="BX700" s="485"/>
      <c r="BY700" s="485"/>
      <c r="BZ700" s="485"/>
      <c r="CA700" s="485"/>
      <c r="CB700" s="485"/>
      <c r="CC700" s="485"/>
      <c r="CD700" s="485"/>
      <c r="CE700" s="485"/>
      <c r="CF700" s="485"/>
      <c r="CG700" s="485"/>
      <c r="CH700" s="485"/>
      <c r="CI700" s="485"/>
      <c r="CJ700" s="485"/>
      <c r="CK700" s="485"/>
      <c r="CL700" s="485"/>
      <c r="CM700" s="485"/>
      <c r="CN700" s="485"/>
      <c r="CO700" s="485"/>
      <c r="CP700" s="485"/>
      <c r="CQ700" s="485"/>
      <c r="CR700" s="485"/>
      <c r="CS700" s="485"/>
      <c r="CT700" s="485"/>
      <c r="CU700" s="485"/>
      <c r="CV700" s="485"/>
      <c r="CW700" s="485"/>
      <c r="CX700" s="485"/>
      <c r="CY700" s="485"/>
      <c r="CZ700" s="485"/>
      <c r="DA700" s="485"/>
      <c r="DB700" s="485"/>
      <c r="DC700" s="485"/>
      <c r="DD700" s="485"/>
      <c r="DE700" s="485"/>
      <c r="DF700" s="485"/>
      <c r="DG700" s="485"/>
      <c r="DH700" s="485"/>
      <c r="DI700" s="485"/>
      <c r="DJ700" s="485"/>
      <c r="DK700" s="485"/>
      <c r="DL700" s="485"/>
      <c r="DM700" s="485"/>
      <c r="DN700" s="485"/>
      <c r="DO700" s="485"/>
      <c r="DP700" s="485"/>
      <c r="DQ700" s="485"/>
      <c r="DR700" s="485"/>
      <c r="DS700" s="485"/>
      <c r="DT700" s="485"/>
      <c r="DU700" s="485"/>
      <c r="DV700" s="485"/>
      <c r="DW700" s="485"/>
      <c r="DX700" s="485"/>
      <c r="DY700" s="485"/>
      <c r="DZ700" s="485"/>
      <c r="EA700" s="485"/>
      <c r="EB700" s="485"/>
      <c r="EC700" s="485"/>
      <c r="ED700" s="485"/>
      <c r="EE700" s="485"/>
      <c r="EF700" s="485"/>
      <c r="EG700" s="485"/>
      <c r="EH700" s="485"/>
      <c r="EI700" s="485"/>
      <c r="EJ700" s="485"/>
      <c r="EK700" s="485"/>
      <c r="EL700" s="485"/>
      <c r="EM700" s="485"/>
      <c r="EN700" s="485"/>
      <c r="EO700" s="485"/>
      <c r="EP700" s="485"/>
    </row>
    <row r="701" spans="1:146">
      <c r="A701" s="485"/>
      <c r="B701" s="485"/>
      <c r="C701" s="485"/>
      <c r="D701" s="485"/>
      <c r="E701" s="485"/>
      <c r="F701" s="485"/>
      <c r="G701" s="485"/>
      <c r="H701" s="485"/>
      <c r="I701" s="485"/>
      <c r="J701" s="485"/>
      <c r="K701" s="485"/>
      <c r="L701" s="485"/>
      <c r="M701" s="485"/>
      <c r="P701" s="485"/>
      <c r="Q701" s="485"/>
      <c r="R701" s="485"/>
      <c r="S701" s="485"/>
      <c r="T701" s="485"/>
      <c r="U701" s="485"/>
      <c r="V701" s="485"/>
      <c r="W701" s="485"/>
      <c r="X701" s="485"/>
      <c r="Y701" s="485"/>
      <c r="Z701" s="485"/>
      <c r="AA701" s="485"/>
      <c r="AB701" s="485"/>
      <c r="AC701" s="485"/>
      <c r="AD701" s="485"/>
      <c r="AE701" s="485"/>
      <c r="AF701" s="485"/>
      <c r="AG701" s="485"/>
      <c r="AH701" s="485"/>
      <c r="AI701" s="485"/>
      <c r="AJ701" s="485"/>
      <c r="AK701" s="485"/>
      <c r="AL701" s="485"/>
      <c r="AM701" s="485"/>
      <c r="AN701" s="485"/>
      <c r="AO701" s="485"/>
      <c r="AP701" s="485"/>
      <c r="AQ701" s="485"/>
      <c r="AR701" s="485"/>
      <c r="AS701" s="485"/>
      <c r="AT701" s="485"/>
      <c r="AU701" s="485"/>
      <c r="AV701" s="485"/>
      <c r="AW701" s="485"/>
      <c r="AX701" s="485"/>
      <c r="AY701" s="485"/>
      <c r="AZ701" s="485"/>
      <c r="BA701" s="485"/>
      <c r="BB701" s="485"/>
      <c r="BC701" s="485"/>
      <c r="BD701" s="485"/>
      <c r="BE701" s="485"/>
      <c r="BF701" s="485"/>
      <c r="BG701" s="485"/>
      <c r="BH701" s="485"/>
      <c r="BI701" s="485"/>
      <c r="BJ701" s="485"/>
      <c r="BK701" s="485"/>
      <c r="BL701" s="485"/>
      <c r="BM701" s="485"/>
      <c r="BN701" s="485"/>
      <c r="BO701" s="485"/>
      <c r="BP701" s="485"/>
      <c r="BQ701" s="485"/>
      <c r="BR701" s="485"/>
      <c r="BS701" s="485"/>
      <c r="BT701" s="485"/>
      <c r="BU701" s="485"/>
      <c r="BV701" s="485"/>
      <c r="BW701" s="485"/>
      <c r="BX701" s="485"/>
      <c r="BY701" s="485"/>
      <c r="BZ701" s="485"/>
      <c r="CA701" s="485"/>
      <c r="CB701" s="485"/>
      <c r="CC701" s="485"/>
      <c r="CD701" s="485"/>
      <c r="CE701" s="485"/>
      <c r="CF701" s="485"/>
      <c r="CG701" s="485"/>
      <c r="CH701" s="485"/>
      <c r="CI701" s="485"/>
      <c r="CJ701" s="485"/>
      <c r="CK701" s="485"/>
      <c r="CL701" s="485"/>
      <c r="CM701" s="485"/>
      <c r="CN701" s="485"/>
      <c r="CO701" s="485"/>
      <c r="CP701" s="485"/>
      <c r="CQ701" s="485"/>
      <c r="CR701" s="485"/>
      <c r="CS701" s="485"/>
      <c r="CT701" s="485"/>
      <c r="CU701" s="485"/>
      <c r="CV701" s="485"/>
      <c r="CW701" s="485"/>
      <c r="CX701" s="485"/>
      <c r="CY701" s="485"/>
      <c r="CZ701" s="485"/>
      <c r="DA701" s="485"/>
      <c r="DB701" s="485"/>
      <c r="DC701" s="485"/>
      <c r="DD701" s="485"/>
      <c r="DE701" s="485"/>
      <c r="DF701" s="485"/>
      <c r="DG701" s="485"/>
      <c r="DH701" s="485"/>
      <c r="DI701" s="485"/>
      <c r="DJ701" s="485"/>
      <c r="DK701" s="485"/>
      <c r="DL701" s="485"/>
      <c r="DM701" s="485"/>
      <c r="DN701" s="485"/>
      <c r="DO701" s="485"/>
      <c r="DP701" s="485"/>
      <c r="DQ701" s="485"/>
      <c r="DR701" s="485"/>
      <c r="DS701" s="485"/>
      <c r="DT701" s="485"/>
      <c r="DU701" s="485"/>
      <c r="DV701" s="485"/>
      <c r="DW701" s="485"/>
      <c r="DX701" s="485"/>
      <c r="DY701" s="485"/>
      <c r="DZ701" s="485"/>
      <c r="EA701" s="485"/>
      <c r="EB701" s="485"/>
      <c r="EC701" s="485"/>
      <c r="ED701" s="485"/>
      <c r="EE701" s="485"/>
      <c r="EF701" s="485"/>
      <c r="EG701" s="485"/>
      <c r="EH701" s="485"/>
      <c r="EI701" s="485"/>
      <c r="EJ701" s="485"/>
      <c r="EK701" s="485"/>
      <c r="EL701" s="485"/>
      <c r="EM701" s="485"/>
      <c r="EN701" s="485"/>
      <c r="EO701" s="485"/>
      <c r="EP701" s="485"/>
    </row>
    <row r="702" spans="1:146">
      <c r="A702" s="485"/>
      <c r="B702" s="485"/>
      <c r="C702" s="485"/>
      <c r="D702" s="485"/>
      <c r="E702" s="485"/>
      <c r="F702" s="485"/>
      <c r="G702" s="485"/>
      <c r="H702" s="485"/>
      <c r="I702" s="485"/>
      <c r="J702" s="485"/>
      <c r="K702" s="485"/>
      <c r="L702" s="485"/>
      <c r="M702" s="485"/>
      <c r="P702" s="485"/>
      <c r="Q702" s="485"/>
      <c r="R702" s="485"/>
      <c r="S702" s="485"/>
      <c r="T702" s="485"/>
      <c r="U702" s="485"/>
      <c r="V702" s="485"/>
      <c r="W702" s="485"/>
      <c r="X702" s="485"/>
      <c r="Y702" s="485"/>
      <c r="Z702" s="485"/>
      <c r="AA702" s="485"/>
      <c r="AB702" s="485"/>
      <c r="AC702" s="485"/>
      <c r="AD702" s="485"/>
      <c r="AE702" s="485"/>
      <c r="AF702" s="485"/>
      <c r="AG702" s="485"/>
      <c r="AH702" s="485"/>
      <c r="AI702" s="485"/>
      <c r="AJ702" s="485"/>
      <c r="AK702" s="485"/>
      <c r="AL702" s="485"/>
      <c r="AM702" s="485"/>
      <c r="AN702" s="485"/>
      <c r="AO702" s="485"/>
      <c r="AP702" s="485"/>
      <c r="AQ702" s="485"/>
      <c r="AR702" s="485"/>
      <c r="AS702" s="485"/>
      <c r="AT702" s="485"/>
      <c r="AU702" s="485"/>
      <c r="AV702" s="485"/>
      <c r="AW702" s="485"/>
      <c r="AX702" s="485"/>
      <c r="AY702" s="485"/>
      <c r="AZ702" s="485"/>
      <c r="BA702" s="485"/>
      <c r="BB702" s="485"/>
      <c r="BC702" s="485"/>
      <c r="BD702" s="485"/>
      <c r="BE702" s="485"/>
      <c r="BF702" s="485"/>
      <c r="BG702" s="485"/>
      <c r="BH702" s="485"/>
      <c r="BI702" s="485"/>
      <c r="BJ702" s="485"/>
      <c r="BK702" s="485"/>
      <c r="BL702" s="485"/>
      <c r="BM702" s="485"/>
      <c r="BN702" s="485"/>
      <c r="BO702" s="485"/>
      <c r="BP702" s="485"/>
      <c r="BQ702" s="485"/>
      <c r="BR702" s="485"/>
      <c r="BS702" s="485"/>
      <c r="BT702" s="485"/>
      <c r="BU702" s="485"/>
      <c r="BV702" s="485"/>
      <c r="BW702" s="485"/>
      <c r="BX702" s="485"/>
      <c r="BY702" s="485"/>
      <c r="BZ702" s="485"/>
      <c r="CA702" s="485"/>
      <c r="CB702" s="485"/>
      <c r="CC702" s="485"/>
      <c r="CD702" s="485"/>
      <c r="CE702" s="485"/>
      <c r="CF702" s="485"/>
      <c r="CG702" s="485"/>
      <c r="CH702" s="485"/>
      <c r="CI702" s="485"/>
      <c r="CJ702" s="485"/>
      <c r="CK702" s="485"/>
      <c r="CL702" s="485"/>
      <c r="CM702" s="485"/>
      <c r="CN702" s="485"/>
      <c r="CO702" s="485"/>
      <c r="CP702" s="485"/>
      <c r="CQ702" s="485"/>
      <c r="CR702" s="485"/>
      <c r="CS702" s="485"/>
      <c r="CT702" s="485"/>
      <c r="CU702" s="485"/>
      <c r="CV702" s="485"/>
      <c r="CW702" s="485"/>
      <c r="CX702" s="485"/>
      <c r="CY702" s="485"/>
      <c r="CZ702" s="485"/>
      <c r="DA702" s="485"/>
      <c r="DB702" s="485"/>
      <c r="DC702" s="485"/>
      <c r="DD702" s="485"/>
      <c r="DE702" s="485"/>
      <c r="DF702" s="485"/>
      <c r="DG702" s="485"/>
      <c r="DH702" s="485"/>
      <c r="DI702" s="485"/>
      <c r="DJ702" s="485"/>
      <c r="DK702" s="485"/>
      <c r="DL702" s="485"/>
      <c r="DM702" s="485"/>
      <c r="DN702" s="485"/>
      <c r="DO702" s="485"/>
      <c r="DP702" s="485"/>
      <c r="DQ702" s="485"/>
      <c r="DR702" s="485"/>
      <c r="DS702" s="485"/>
      <c r="DT702" s="485"/>
      <c r="DU702" s="485"/>
      <c r="DV702" s="485"/>
      <c r="DW702" s="485"/>
      <c r="DX702" s="485"/>
      <c r="DY702" s="485"/>
      <c r="DZ702" s="485"/>
      <c r="EA702" s="485"/>
      <c r="EB702" s="485"/>
      <c r="EC702" s="485"/>
      <c r="ED702" s="485"/>
      <c r="EE702" s="485"/>
      <c r="EF702" s="485"/>
      <c r="EG702" s="485"/>
      <c r="EH702" s="485"/>
      <c r="EI702" s="485"/>
      <c r="EJ702" s="485"/>
      <c r="EK702" s="485"/>
      <c r="EL702" s="485"/>
      <c r="EM702" s="485"/>
      <c r="EN702" s="485"/>
      <c r="EO702" s="485"/>
      <c r="EP702" s="485"/>
    </row>
    <row r="703" spans="1:146">
      <c r="A703" s="485"/>
      <c r="B703" s="485"/>
      <c r="C703" s="485"/>
      <c r="D703" s="485"/>
      <c r="E703" s="485"/>
      <c r="F703" s="485"/>
      <c r="G703" s="485"/>
      <c r="H703" s="485"/>
      <c r="I703" s="485"/>
      <c r="J703" s="485"/>
      <c r="K703" s="485"/>
      <c r="L703" s="485"/>
      <c r="M703" s="485"/>
      <c r="P703" s="485"/>
      <c r="Q703" s="485"/>
      <c r="R703" s="485"/>
      <c r="S703" s="485"/>
      <c r="T703" s="485"/>
      <c r="U703" s="485"/>
      <c r="V703" s="485"/>
      <c r="W703" s="485"/>
      <c r="X703" s="485"/>
      <c r="Y703" s="485"/>
      <c r="Z703" s="485"/>
      <c r="AA703" s="485"/>
      <c r="AB703" s="485"/>
      <c r="AC703" s="485"/>
      <c r="AD703" s="485"/>
      <c r="AE703" s="485"/>
      <c r="AF703" s="485"/>
      <c r="AG703" s="485"/>
      <c r="AH703" s="485"/>
      <c r="AI703" s="485"/>
      <c r="AJ703" s="485"/>
      <c r="AK703" s="485"/>
      <c r="AL703" s="485"/>
      <c r="AM703" s="485"/>
      <c r="AN703" s="485"/>
      <c r="AO703" s="485"/>
      <c r="AP703" s="485"/>
      <c r="AQ703" s="485"/>
      <c r="AR703" s="485"/>
      <c r="AS703" s="485"/>
      <c r="AT703" s="485"/>
      <c r="AU703" s="485"/>
      <c r="AV703" s="485"/>
      <c r="AW703" s="485"/>
      <c r="AX703" s="485"/>
      <c r="AY703" s="485"/>
      <c r="AZ703" s="485"/>
      <c r="BA703" s="485"/>
      <c r="BB703" s="485"/>
      <c r="BC703" s="485"/>
      <c r="BD703" s="485"/>
      <c r="BE703" s="485"/>
      <c r="BF703" s="485"/>
      <c r="BG703" s="485"/>
      <c r="BH703" s="485"/>
      <c r="BI703" s="485"/>
      <c r="BJ703" s="485"/>
      <c r="BK703" s="485"/>
      <c r="BL703" s="485"/>
      <c r="BM703" s="485"/>
      <c r="BN703" s="485"/>
      <c r="BO703" s="485"/>
      <c r="BP703" s="485"/>
      <c r="BQ703" s="485"/>
      <c r="BR703" s="485"/>
      <c r="BS703" s="485"/>
      <c r="BT703" s="485"/>
      <c r="BU703" s="485"/>
      <c r="BV703" s="485"/>
      <c r="BW703" s="485"/>
      <c r="BX703" s="485"/>
      <c r="BY703" s="485"/>
      <c r="BZ703" s="485"/>
      <c r="CA703" s="485"/>
      <c r="CB703" s="485"/>
      <c r="CC703" s="485"/>
      <c r="CD703" s="485"/>
      <c r="CE703" s="485"/>
      <c r="CF703" s="485"/>
      <c r="CG703" s="485"/>
      <c r="CH703" s="485"/>
      <c r="CI703" s="485"/>
      <c r="CJ703" s="485"/>
      <c r="CK703" s="485"/>
      <c r="CL703" s="485"/>
      <c r="CM703" s="485"/>
      <c r="CN703" s="485"/>
      <c r="CO703" s="485"/>
      <c r="CP703" s="485"/>
      <c r="CQ703" s="485"/>
      <c r="CR703" s="485"/>
      <c r="CS703" s="485"/>
      <c r="CT703" s="485"/>
      <c r="CU703" s="485"/>
      <c r="CV703" s="485"/>
      <c r="CW703" s="485"/>
      <c r="CX703" s="485"/>
      <c r="CY703" s="485"/>
      <c r="CZ703" s="485"/>
      <c r="DA703" s="485"/>
      <c r="DB703" s="485"/>
      <c r="DC703" s="485"/>
      <c r="DD703" s="485"/>
      <c r="DE703" s="485"/>
      <c r="DF703" s="485"/>
      <c r="DG703" s="485"/>
      <c r="DH703" s="485"/>
      <c r="DI703" s="485"/>
      <c r="DJ703" s="485"/>
      <c r="DK703" s="485"/>
      <c r="DL703" s="485"/>
      <c r="DM703" s="485"/>
      <c r="DN703" s="485"/>
      <c r="DO703" s="485"/>
      <c r="DP703" s="485"/>
      <c r="DQ703" s="485"/>
      <c r="DR703" s="485"/>
      <c r="DS703" s="485"/>
      <c r="DT703" s="485"/>
      <c r="DU703" s="485"/>
      <c r="DV703" s="485"/>
      <c r="DW703" s="485"/>
      <c r="DX703" s="485"/>
      <c r="DY703" s="485"/>
      <c r="DZ703" s="485"/>
      <c r="EA703" s="485"/>
      <c r="EB703" s="485"/>
      <c r="EC703" s="485"/>
      <c r="ED703" s="485"/>
      <c r="EE703" s="485"/>
      <c r="EF703" s="485"/>
      <c r="EG703" s="485"/>
      <c r="EH703" s="485"/>
      <c r="EI703" s="485"/>
      <c r="EJ703" s="485"/>
      <c r="EK703" s="485"/>
      <c r="EL703" s="485"/>
      <c r="EM703" s="485"/>
      <c r="EN703" s="485"/>
      <c r="EO703" s="485"/>
      <c r="EP703" s="485"/>
    </row>
    <row r="704" spans="1:146">
      <c r="A704" s="485"/>
      <c r="B704" s="485"/>
      <c r="C704" s="485"/>
      <c r="D704" s="485"/>
      <c r="E704" s="485"/>
      <c r="F704" s="485"/>
      <c r="G704" s="485"/>
      <c r="H704" s="485"/>
      <c r="I704" s="485"/>
      <c r="J704" s="485"/>
      <c r="K704" s="485"/>
      <c r="L704" s="485"/>
      <c r="M704" s="485"/>
      <c r="P704" s="485"/>
      <c r="Q704" s="485"/>
      <c r="R704" s="485"/>
      <c r="S704" s="485"/>
      <c r="T704" s="485"/>
      <c r="U704" s="485"/>
      <c r="V704" s="485"/>
      <c r="W704" s="485"/>
      <c r="X704" s="485"/>
      <c r="Y704" s="485"/>
      <c r="Z704" s="485"/>
      <c r="AA704" s="485"/>
      <c r="AB704" s="485"/>
      <c r="AC704" s="485"/>
      <c r="AD704" s="485"/>
      <c r="AE704" s="485"/>
      <c r="AF704" s="485"/>
      <c r="AG704" s="485"/>
      <c r="AH704" s="485"/>
      <c r="AI704" s="485"/>
      <c r="AJ704" s="485"/>
      <c r="AK704" s="485"/>
      <c r="AL704" s="485"/>
      <c r="AM704" s="485"/>
      <c r="AN704" s="485"/>
      <c r="AO704" s="485"/>
      <c r="AP704" s="485"/>
      <c r="AQ704" s="485"/>
      <c r="AR704" s="485"/>
      <c r="AS704" s="485"/>
      <c r="AT704" s="485"/>
      <c r="AU704" s="485"/>
      <c r="AV704" s="485"/>
      <c r="AW704" s="485"/>
      <c r="AX704" s="485"/>
      <c r="AY704" s="485"/>
      <c r="AZ704" s="485"/>
      <c r="BA704" s="485"/>
      <c r="BB704" s="485"/>
      <c r="BC704" s="485"/>
      <c r="BD704" s="485"/>
      <c r="BE704" s="485"/>
      <c r="BF704" s="485"/>
      <c r="BG704" s="485"/>
      <c r="BH704" s="485"/>
      <c r="BI704" s="485"/>
      <c r="BJ704" s="485"/>
      <c r="BK704" s="485"/>
      <c r="BL704" s="485"/>
      <c r="BM704" s="485"/>
      <c r="BN704" s="485"/>
      <c r="BO704" s="485"/>
      <c r="BP704" s="485"/>
      <c r="BQ704" s="485"/>
      <c r="BR704" s="485"/>
      <c r="BS704" s="485"/>
      <c r="BT704" s="485"/>
      <c r="BU704" s="485"/>
      <c r="BV704" s="485"/>
      <c r="BW704" s="485"/>
      <c r="BX704" s="485"/>
      <c r="BY704" s="485"/>
      <c r="BZ704" s="485"/>
      <c r="CA704" s="485"/>
      <c r="CB704" s="485"/>
      <c r="CC704" s="485"/>
      <c r="CD704" s="485"/>
      <c r="CE704" s="485"/>
      <c r="CF704" s="485"/>
      <c r="CG704" s="485"/>
      <c r="CH704" s="485"/>
      <c r="CI704" s="485"/>
      <c r="CJ704" s="485"/>
      <c r="CK704" s="485"/>
      <c r="CL704" s="485"/>
      <c r="CM704" s="485"/>
      <c r="CN704" s="485"/>
      <c r="CO704" s="485"/>
      <c r="CP704" s="485"/>
      <c r="CQ704" s="485"/>
      <c r="CR704" s="485"/>
      <c r="CS704" s="485"/>
      <c r="CT704" s="485"/>
      <c r="CU704" s="485"/>
      <c r="CV704" s="485"/>
      <c r="CW704" s="485"/>
      <c r="CX704" s="485"/>
      <c r="CY704" s="485"/>
      <c r="CZ704" s="485"/>
      <c r="DA704" s="485"/>
      <c r="DB704" s="485"/>
      <c r="DC704" s="485"/>
      <c r="DD704" s="485"/>
      <c r="DE704" s="485"/>
      <c r="DF704" s="485"/>
      <c r="DG704" s="485"/>
      <c r="DH704" s="485"/>
      <c r="DI704" s="485"/>
      <c r="DJ704" s="485"/>
      <c r="DK704" s="485"/>
      <c r="DL704" s="485"/>
      <c r="DM704" s="485"/>
      <c r="DN704" s="485"/>
      <c r="DO704" s="485"/>
      <c r="DP704" s="485"/>
      <c r="DQ704" s="485"/>
      <c r="DR704" s="485"/>
      <c r="DS704" s="485"/>
      <c r="DT704" s="485"/>
      <c r="DU704" s="485"/>
      <c r="DV704" s="485"/>
      <c r="DW704" s="485"/>
      <c r="DX704" s="485"/>
      <c r="DY704" s="485"/>
      <c r="DZ704" s="485"/>
      <c r="EA704" s="485"/>
      <c r="EB704" s="485"/>
      <c r="EC704" s="485"/>
      <c r="ED704" s="485"/>
      <c r="EE704" s="485"/>
      <c r="EF704" s="485"/>
      <c r="EG704" s="485"/>
      <c r="EH704" s="485"/>
      <c r="EI704" s="485"/>
      <c r="EJ704" s="485"/>
      <c r="EK704" s="485"/>
      <c r="EL704" s="485"/>
      <c r="EM704" s="485"/>
      <c r="EN704" s="485"/>
      <c r="EO704" s="485"/>
      <c r="EP704" s="485"/>
    </row>
    <row r="705" spans="1:146">
      <c r="A705" s="485"/>
      <c r="B705" s="485"/>
      <c r="C705" s="485"/>
      <c r="D705" s="485"/>
      <c r="E705" s="485"/>
      <c r="F705" s="485"/>
      <c r="G705" s="485"/>
      <c r="H705" s="485"/>
      <c r="I705" s="485"/>
      <c r="J705" s="485"/>
      <c r="K705" s="485"/>
      <c r="L705" s="485"/>
      <c r="M705" s="485"/>
      <c r="P705" s="485"/>
      <c r="Q705" s="485"/>
      <c r="R705" s="485"/>
      <c r="S705" s="485"/>
      <c r="T705" s="485"/>
      <c r="U705" s="485"/>
      <c r="V705" s="485"/>
      <c r="W705" s="485"/>
      <c r="X705" s="485"/>
      <c r="Y705" s="485"/>
      <c r="Z705" s="485"/>
      <c r="AA705" s="485"/>
      <c r="AB705" s="485"/>
      <c r="AC705" s="485"/>
      <c r="AD705" s="485"/>
      <c r="AE705" s="485"/>
      <c r="AF705" s="485"/>
      <c r="AG705" s="485"/>
      <c r="AH705" s="485"/>
      <c r="AI705" s="485"/>
      <c r="AJ705" s="485"/>
      <c r="AK705" s="485"/>
      <c r="AL705" s="485"/>
      <c r="AM705" s="485"/>
      <c r="AN705" s="485"/>
      <c r="AO705" s="485"/>
      <c r="AP705" s="485"/>
      <c r="AQ705" s="485"/>
      <c r="AR705" s="485"/>
      <c r="AS705" s="485"/>
      <c r="AT705" s="485"/>
      <c r="AU705" s="485"/>
      <c r="AV705" s="485"/>
      <c r="AW705" s="485"/>
      <c r="AX705" s="485"/>
      <c r="AY705" s="485"/>
      <c r="AZ705" s="485"/>
      <c r="BA705" s="485"/>
      <c r="BB705" s="485"/>
      <c r="BC705" s="485"/>
      <c r="BD705" s="485"/>
      <c r="BE705" s="485"/>
      <c r="BF705" s="485"/>
      <c r="BG705" s="485"/>
      <c r="BH705" s="485"/>
      <c r="BI705" s="485"/>
      <c r="BJ705" s="485"/>
      <c r="BK705" s="485"/>
      <c r="BL705" s="485"/>
      <c r="BM705" s="485"/>
      <c r="BN705" s="485"/>
      <c r="BO705" s="485"/>
      <c r="BP705" s="485"/>
      <c r="BQ705" s="485"/>
      <c r="BR705" s="485"/>
      <c r="BS705" s="485"/>
      <c r="BT705" s="485"/>
      <c r="BU705" s="485"/>
      <c r="BV705" s="485"/>
      <c r="BW705" s="485"/>
      <c r="BX705" s="485"/>
      <c r="BY705" s="485"/>
      <c r="BZ705" s="485"/>
      <c r="CA705" s="485"/>
      <c r="CB705" s="485"/>
      <c r="CC705" s="485"/>
      <c r="CD705" s="485"/>
      <c r="CE705" s="485"/>
      <c r="CF705" s="485"/>
      <c r="CG705" s="485"/>
      <c r="CH705" s="485"/>
      <c r="CI705" s="485"/>
      <c r="CJ705" s="485"/>
      <c r="CK705" s="485"/>
      <c r="CL705" s="485"/>
      <c r="CM705" s="485"/>
      <c r="CN705" s="485"/>
      <c r="CO705" s="485"/>
      <c r="CP705" s="485"/>
      <c r="CQ705" s="485"/>
      <c r="CR705" s="485"/>
      <c r="CS705" s="485"/>
      <c r="CT705" s="485"/>
      <c r="CU705" s="485"/>
      <c r="CV705" s="485"/>
      <c r="CW705" s="485"/>
      <c r="CX705" s="485"/>
      <c r="CY705" s="485"/>
      <c r="CZ705" s="485"/>
      <c r="DA705" s="485"/>
      <c r="DB705" s="485"/>
      <c r="DC705" s="485"/>
      <c r="DD705" s="485"/>
      <c r="DE705" s="485"/>
      <c r="DF705" s="485"/>
      <c r="DG705" s="485"/>
      <c r="DH705" s="485"/>
      <c r="DI705" s="485"/>
      <c r="DJ705" s="485"/>
      <c r="DK705" s="485"/>
      <c r="DL705" s="485"/>
      <c r="DM705" s="485"/>
      <c r="DN705" s="485"/>
      <c r="DO705" s="485"/>
      <c r="DP705" s="485"/>
      <c r="DQ705" s="485"/>
      <c r="DR705" s="485"/>
      <c r="DS705" s="485"/>
      <c r="DT705" s="485"/>
      <c r="DU705" s="485"/>
      <c r="DV705" s="485"/>
      <c r="DW705" s="485"/>
      <c r="DX705" s="485"/>
      <c r="DY705" s="485"/>
      <c r="DZ705" s="485"/>
      <c r="EA705" s="485"/>
      <c r="EB705" s="485"/>
      <c r="EC705" s="485"/>
      <c r="ED705" s="485"/>
      <c r="EE705" s="485"/>
      <c r="EF705" s="485"/>
      <c r="EG705" s="485"/>
      <c r="EH705" s="485"/>
      <c r="EI705" s="485"/>
      <c r="EJ705" s="485"/>
      <c r="EK705" s="485"/>
      <c r="EL705" s="485"/>
      <c r="EM705" s="485"/>
      <c r="EN705" s="485"/>
      <c r="EO705" s="485"/>
      <c r="EP705" s="485"/>
    </row>
    <row r="706" spans="1:146">
      <c r="A706" s="485"/>
      <c r="B706" s="485"/>
      <c r="C706" s="485"/>
      <c r="D706" s="485"/>
      <c r="E706" s="485"/>
      <c r="F706" s="485"/>
      <c r="G706" s="485"/>
      <c r="H706" s="485"/>
      <c r="I706" s="485"/>
      <c r="J706" s="485"/>
      <c r="K706" s="485"/>
      <c r="L706" s="485"/>
      <c r="M706" s="485"/>
      <c r="P706" s="485"/>
      <c r="Q706" s="485"/>
      <c r="R706" s="485"/>
      <c r="S706" s="485"/>
      <c r="T706" s="485"/>
      <c r="U706" s="485"/>
      <c r="V706" s="485"/>
      <c r="W706" s="485"/>
      <c r="X706" s="485"/>
      <c r="Y706" s="485"/>
      <c r="Z706" s="485"/>
      <c r="AA706" s="485"/>
      <c r="AB706" s="485"/>
      <c r="AC706" s="485"/>
      <c r="AD706" s="485"/>
      <c r="AE706" s="485"/>
      <c r="AF706" s="485"/>
      <c r="AG706" s="485"/>
      <c r="AH706" s="485"/>
      <c r="AI706" s="485"/>
      <c r="AJ706" s="485"/>
      <c r="AK706" s="485"/>
      <c r="AL706" s="485"/>
      <c r="AM706" s="485"/>
      <c r="AN706" s="485"/>
      <c r="AO706" s="485"/>
      <c r="AP706" s="485"/>
      <c r="AQ706" s="485"/>
      <c r="AR706" s="485"/>
      <c r="AS706" s="485"/>
      <c r="AT706" s="485"/>
      <c r="AU706" s="485"/>
      <c r="AV706" s="485"/>
      <c r="AW706" s="485"/>
      <c r="AX706" s="485"/>
      <c r="AY706" s="485"/>
      <c r="AZ706" s="485"/>
      <c r="BA706" s="485"/>
      <c r="BB706" s="485"/>
      <c r="BC706" s="485"/>
      <c r="BD706" s="485"/>
      <c r="BE706" s="485"/>
      <c r="BF706" s="485"/>
      <c r="BG706" s="485"/>
      <c r="BH706" s="485"/>
      <c r="BI706" s="485"/>
      <c r="BJ706" s="485"/>
      <c r="BK706" s="485"/>
      <c r="BL706" s="485"/>
      <c r="BM706" s="485"/>
      <c r="BN706" s="485"/>
      <c r="BO706" s="485"/>
      <c r="BP706" s="485"/>
      <c r="BQ706" s="485"/>
      <c r="BR706" s="485"/>
      <c r="BS706" s="485"/>
      <c r="BT706" s="485"/>
      <c r="BU706" s="485"/>
      <c r="BV706" s="485"/>
      <c r="BW706" s="485"/>
      <c r="BX706" s="485"/>
      <c r="BY706" s="485"/>
      <c r="BZ706" s="485"/>
      <c r="CA706" s="485"/>
      <c r="CB706" s="485"/>
      <c r="CC706" s="485"/>
      <c r="CD706" s="485"/>
      <c r="CE706" s="485"/>
      <c r="CF706" s="485"/>
      <c r="CG706" s="485"/>
      <c r="CH706" s="485"/>
      <c r="CI706" s="485"/>
      <c r="CJ706" s="485"/>
      <c r="CK706" s="485"/>
      <c r="CL706" s="485"/>
      <c r="CM706" s="485"/>
      <c r="CN706" s="485"/>
      <c r="CO706" s="485"/>
      <c r="CP706" s="485"/>
      <c r="CQ706" s="485"/>
      <c r="CR706" s="485"/>
      <c r="CS706" s="485"/>
      <c r="CT706" s="485"/>
      <c r="CU706" s="485"/>
      <c r="CV706" s="485"/>
      <c r="CW706" s="485"/>
      <c r="CX706" s="485"/>
      <c r="CY706" s="485"/>
      <c r="CZ706" s="485"/>
      <c r="DA706" s="485"/>
      <c r="DB706" s="485"/>
      <c r="DC706" s="485"/>
      <c r="DD706" s="485"/>
      <c r="DE706" s="485"/>
      <c r="DF706" s="485"/>
      <c r="DG706" s="485"/>
      <c r="DH706" s="485"/>
      <c r="DI706" s="485"/>
      <c r="DJ706" s="485"/>
      <c r="DK706" s="485"/>
      <c r="DL706" s="485"/>
      <c r="DM706" s="485"/>
      <c r="DN706" s="485"/>
      <c r="DO706" s="485"/>
      <c r="DP706" s="485"/>
      <c r="DQ706" s="485"/>
      <c r="DR706" s="485"/>
      <c r="DS706" s="485"/>
      <c r="DT706" s="485"/>
      <c r="DU706" s="485"/>
      <c r="DV706" s="485"/>
      <c r="DW706" s="485"/>
      <c r="DX706" s="485"/>
      <c r="DY706" s="485"/>
      <c r="DZ706" s="485"/>
      <c r="EA706" s="485"/>
      <c r="EB706" s="485"/>
      <c r="EC706" s="485"/>
      <c r="ED706" s="485"/>
      <c r="EE706" s="485"/>
      <c r="EF706" s="485"/>
      <c r="EG706" s="485"/>
      <c r="EH706" s="485"/>
      <c r="EI706" s="485"/>
      <c r="EJ706" s="485"/>
      <c r="EK706" s="485"/>
      <c r="EL706" s="485"/>
      <c r="EM706" s="485"/>
      <c r="EN706" s="485"/>
      <c r="EO706" s="485"/>
      <c r="EP706" s="485"/>
    </row>
    <row r="707" spans="1:146">
      <c r="A707" s="485"/>
      <c r="B707" s="485"/>
      <c r="C707" s="485"/>
      <c r="D707" s="485"/>
      <c r="E707" s="485"/>
      <c r="F707" s="485"/>
      <c r="G707" s="485"/>
      <c r="H707" s="485"/>
      <c r="I707" s="485"/>
      <c r="J707" s="485"/>
      <c r="K707" s="485"/>
      <c r="L707" s="485"/>
      <c r="M707" s="485"/>
      <c r="P707" s="485"/>
      <c r="Q707" s="485"/>
      <c r="R707" s="485"/>
      <c r="S707" s="485"/>
      <c r="T707" s="485"/>
      <c r="U707" s="485"/>
      <c r="V707" s="485"/>
      <c r="W707" s="485"/>
      <c r="X707" s="485"/>
      <c r="Y707" s="485"/>
      <c r="Z707" s="485"/>
      <c r="AA707" s="485"/>
      <c r="AB707" s="485"/>
      <c r="AC707" s="485"/>
      <c r="AD707" s="485"/>
      <c r="AE707" s="485"/>
      <c r="AF707" s="485"/>
      <c r="AG707" s="485"/>
      <c r="AH707" s="485"/>
      <c r="AI707" s="485"/>
      <c r="AJ707" s="485"/>
      <c r="AK707" s="485"/>
      <c r="AL707" s="485"/>
      <c r="AM707" s="485"/>
      <c r="AN707" s="485"/>
      <c r="AO707" s="485"/>
      <c r="AP707" s="485"/>
      <c r="AQ707" s="485"/>
      <c r="AR707" s="485"/>
      <c r="AS707" s="485"/>
      <c r="AT707" s="485"/>
      <c r="AU707" s="485"/>
      <c r="AV707" s="485"/>
      <c r="AW707" s="485"/>
      <c r="AX707" s="485"/>
      <c r="AY707" s="485"/>
      <c r="AZ707" s="485"/>
      <c r="BA707" s="485"/>
      <c r="BB707" s="485"/>
      <c r="BC707" s="485"/>
      <c r="BD707" s="485"/>
      <c r="BE707" s="485"/>
      <c r="BF707" s="485"/>
      <c r="BG707" s="485"/>
      <c r="BH707" s="485"/>
      <c r="BI707" s="485"/>
      <c r="BJ707" s="485"/>
      <c r="BK707" s="485"/>
      <c r="BL707" s="485"/>
      <c r="BM707" s="485"/>
      <c r="BN707" s="485"/>
      <c r="BO707" s="485"/>
      <c r="BP707" s="485"/>
      <c r="BQ707" s="485"/>
      <c r="BR707" s="485"/>
      <c r="BS707" s="485"/>
      <c r="BT707" s="485"/>
      <c r="BU707" s="485"/>
      <c r="BV707" s="485"/>
      <c r="BW707" s="485"/>
      <c r="BX707" s="485"/>
      <c r="BY707" s="485"/>
      <c r="BZ707" s="485"/>
      <c r="CA707" s="485"/>
      <c r="CB707" s="485"/>
      <c r="CC707" s="485"/>
      <c r="CD707" s="485"/>
      <c r="CE707" s="485"/>
      <c r="CF707" s="485"/>
      <c r="CG707" s="485"/>
      <c r="CH707" s="485"/>
      <c r="CI707" s="485"/>
      <c r="CJ707" s="485"/>
      <c r="CK707" s="485"/>
      <c r="CL707" s="485"/>
      <c r="CM707" s="485"/>
      <c r="CN707" s="485"/>
      <c r="CO707" s="485"/>
      <c r="CP707" s="485"/>
      <c r="CQ707" s="485"/>
      <c r="CR707" s="485"/>
      <c r="CS707" s="485"/>
      <c r="CT707" s="485"/>
      <c r="CU707" s="485"/>
      <c r="CV707" s="485"/>
      <c r="CW707" s="485"/>
      <c r="CX707" s="485"/>
      <c r="CY707" s="485"/>
      <c r="CZ707" s="485"/>
      <c r="DA707" s="485"/>
      <c r="DB707" s="485"/>
      <c r="DC707" s="485"/>
      <c r="DD707" s="485"/>
      <c r="DE707" s="485"/>
      <c r="DF707" s="485"/>
      <c r="DG707" s="485"/>
      <c r="DH707" s="485"/>
      <c r="DI707" s="485"/>
      <c r="DJ707" s="485"/>
      <c r="DK707" s="485"/>
      <c r="DL707" s="485"/>
      <c r="DM707" s="485"/>
      <c r="DN707" s="485"/>
      <c r="DO707" s="485"/>
      <c r="DP707" s="485"/>
      <c r="DQ707" s="485"/>
      <c r="DR707" s="485"/>
      <c r="DS707" s="485"/>
      <c r="DT707" s="485"/>
      <c r="DU707" s="485"/>
      <c r="DV707" s="485"/>
      <c r="DW707" s="485"/>
      <c r="DX707" s="485"/>
      <c r="DY707" s="485"/>
      <c r="DZ707" s="485"/>
      <c r="EA707" s="485"/>
      <c r="EB707" s="485"/>
      <c r="EC707" s="485"/>
      <c r="ED707" s="485"/>
      <c r="EE707" s="485"/>
      <c r="EF707" s="485"/>
      <c r="EG707" s="485"/>
      <c r="EH707" s="485"/>
      <c r="EI707" s="485"/>
      <c r="EJ707" s="485"/>
      <c r="EK707" s="485"/>
      <c r="EL707" s="485"/>
      <c r="EM707" s="485"/>
      <c r="EN707" s="485"/>
      <c r="EO707" s="485"/>
      <c r="EP707" s="485"/>
    </row>
    <row r="708" spans="1:146">
      <c r="A708" s="485"/>
      <c r="B708" s="485"/>
      <c r="C708" s="485"/>
      <c r="D708" s="485"/>
      <c r="E708" s="485"/>
      <c r="F708" s="485"/>
      <c r="G708" s="485"/>
      <c r="H708" s="485"/>
      <c r="I708" s="485"/>
      <c r="J708" s="485"/>
      <c r="K708" s="485"/>
      <c r="L708" s="485"/>
      <c r="M708" s="485"/>
      <c r="P708" s="485"/>
      <c r="Q708" s="485"/>
      <c r="R708" s="485"/>
      <c r="S708" s="485"/>
      <c r="T708" s="485"/>
      <c r="U708" s="485"/>
      <c r="V708" s="485"/>
      <c r="W708" s="485"/>
      <c r="X708" s="485"/>
      <c r="Y708" s="485"/>
      <c r="Z708" s="485"/>
      <c r="AA708" s="485"/>
      <c r="AB708" s="485"/>
      <c r="AC708" s="485"/>
      <c r="AD708" s="485"/>
      <c r="AE708" s="485"/>
      <c r="AF708" s="485"/>
      <c r="AG708" s="485"/>
      <c r="AH708" s="485"/>
      <c r="AI708" s="485"/>
      <c r="AJ708" s="485"/>
      <c r="AK708" s="485"/>
      <c r="AL708" s="485"/>
      <c r="AM708" s="485"/>
      <c r="AN708" s="485"/>
      <c r="AO708" s="485"/>
      <c r="AP708" s="485"/>
      <c r="AQ708" s="485"/>
      <c r="AR708" s="485"/>
      <c r="AS708" s="485"/>
      <c r="AT708" s="485"/>
      <c r="AU708" s="485"/>
      <c r="AV708" s="485"/>
      <c r="AW708" s="485"/>
      <c r="AX708" s="485"/>
      <c r="AY708" s="485"/>
      <c r="AZ708" s="485"/>
      <c r="BA708" s="485"/>
      <c r="BB708" s="485"/>
      <c r="BC708" s="485"/>
      <c r="BD708" s="485"/>
      <c r="BE708" s="485"/>
      <c r="BF708" s="485"/>
      <c r="BG708" s="485"/>
      <c r="BH708" s="485"/>
      <c r="BI708" s="485"/>
      <c r="BJ708" s="485"/>
      <c r="BK708" s="485"/>
      <c r="BL708" s="485"/>
      <c r="BM708" s="485"/>
      <c r="BN708" s="485"/>
      <c r="BO708" s="485"/>
      <c r="BP708" s="485"/>
      <c r="BQ708" s="485"/>
      <c r="BR708" s="485"/>
      <c r="BS708" s="485"/>
      <c r="BT708" s="485"/>
      <c r="BU708" s="485"/>
      <c r="BV708" s="485"/>
      <c r="BW708" s="485"/>
      <c r="BX708" s="485"/>
      <c r="BY708" s="485"/>
      <c r="BZ708" s="485"/>
      <c r="CA708" s="485"/>
      <c r="CB708" s="485"/>
      <c r="CC708" s="485"/>
      <c r="CD708" s="485"/>
      <c r="CE708" s="485"/>
      <c r="CF708" s="485"/>
      <c r="CG708" s="485"/>
      <c r="CH708" s="485"/>
      <c r="CI708" s="485"/>
      <c r="CJ708" s="485"/>
      <c r="CK708" s="485"/>
      <c r="CL708" s="485"/>
      <c r="CM708" s="485"/>
      <c r="CN708" s="485"/>
      <c r="CO708" s="485"/>
      <c r="CP708" s="485"/>
      <c r="CQ708" s="485"/>
      <c r="CR708" s="485"/>
      <c r="CS708" s="485"/>
      <c r="CT708" s="485"/>
      <c r="CU708" s="485"/>
      <c r="CV708" s="485"/>
      <c r="CW708" s="485"/>
      <c r="CX708" s="485"/>
      <c r="CY708" s="485"/>
      <c r="CZ708" s="485"/>
      <c r="DA708" s="485"/>
      <c r="DB708" s="485"/>
      <c r="DC708" s="485"/>
      <c r="DD708" s="485"/>
      <c r="DE708" s="485"/>
      <c r="DF708" s="485"/>
      <c r="DG708" s="485"/>
      <c r="DH708" s="485"/>
      <c r="DI708" s="485"/>
      <c r="DJ708" s="485"/>
      <c r="DK708" s="485"/>
      <c r="DL708" s="485"/>
      <c r="DM708" s="485"/>
      <c r="DN708" s="485"/>
      <c r="DO708" s="485"/>
      <c r="DP708" s="485"/>
      <c r="DQ708" s="485"/>
      <c r="DR708" s="485"/>
      <c r="DS708" s="485"/>
      <c r="DT708" s="485"/>
      <c r="DU708" s="485"/>
      <c r="DV708" s="485"/>
      <c r="DW708" s="485"/>
      <c r="DX708" s="485"/>
      <c r="DY708" s="485"/>
      <c r="DZ708" s="485"/>
      <c r="EA708" s="485"/>
      <c r="EB708" s="485"/>
      <c r="EC708" s="485"/>
      <c r="ED708" s="485"/>
      <c r="EE708" s="485"/>
      <c r="EF708" s="485"/>
      <c r="EG708" s="485"/>
      <c r="EH708" s="485"/>
      <c r="EI708" s="485"/>
      <c r="EJ708" s="485"/>
      <c r="EK708" s="485"/>
      <c r="EL708" s="485"/>
      <c r="EM708" s="485"/>
      <c r="EN708" s="485"/>
      <c r="EO708" s="485"/>
      <c r="EP708" s="485"/>
    </row>
    <row r="709" spans="1:146">
      <c r="A709" s="485"/>
      <c r="B709" s="485"/>
      <c r="C709" s="485"/>
      <c r="D709" s="485"/>
      <c r="E709" s="485"/>
      <c r="F709" s="485"/>
      <c r="G709" s="485"/>
      <c r="H709" s="485"/>
      <c r="I709" s="485"/>
      <c r="J709" s="485"/>
      <c r="K709" s="485"/>
      <c r="L709" s="485"/>
      <c r="M709" s="485"/>
      <c r="P709" s="485"/>
      <c r="Q709" s="485"/>
      <c r="R709" s="485"/>
      <c r="S709" s="485"/>
      <c r="T709" s="485"/>
      <c r="U709" s="485"/>
      <c r="V709" s="485"/>
      <c r="W709" s="485"/>
      <c r="X709" s="485"/>
      <c r="Y709" s="485"/>
      <c r="Z709" s="485"/>
      <c r="AA709" s="485"/>
      <c r="AB709" s="485"/>
      <c r="AC709" s="485"/>
      <c r="AD709" s="485"/>
      <c r="AE709" s="485"/>
      <c r="AF709" s="485"/>
      <c r="AG709" s="485"/>
      <c r="AH709" s="485"/>
      <c r="AI709" s="485"/>
      <c r="AJ709" s="485"/>
      <c r="AK709" s="485"/>
      <c r="AL709" s="485"/>
      <c r="AM709" s="485"/>
      <c r="AN709" s="485"/>
      <c r="AO709" s="485"/>
      <c r="AP709" s="485"/>
      <c r="AQ709" s="485"/>
      <c r="AR709" s="485"/>
      <c r="AS709" s="485"/>
      <c r="AT709" s="485"/>
      <c r="AU709" s="485"/>
      <c r="AV709" s="485"/>
      <c r="AW709" s="485"/>
      <c r="AX709" s="485"/>
      <c r="AY709" s="485"/>
      <c r="AZ709" s="485"/>
      <c r="BA709" s="485"/>
      <c r="BB709" s="485"/>
      <c r="BC709" s="485"/>
      <c r="BD709" s="485"/>
      <c r="BE709" s="485"/>
      <c r="BF709" s="485"/>
      <c r="BG709" s="485"/>
      <c r="BH709" s="485"/>
      <c r="BI709" s="485"/>
      <c r="BJ709" s="485"/>
      <c r="BK709" s="485"/>
      <c r="BL709" s="485"/>
      <c r="BM709" s="485"/>
      <c r="BN709" s="485"/>
      <c r="BO709" s="485"/>
      <c r="BP709" s="485"/>
      <c r="BQ709" s="485"/>
      <c r="BR709" s="485"/>
      <c r="BS709" s="485"/>
      <c r="BT709" s="485"/>
      <c r="BU709" s="485"/>
      <c r="BV709" s="485"/>
      <c r="BW709" s="485"/>
      <c r="BX709" s="485"/>
      <c r="BY709" s="485"/>
      <c r="BZ709" s="485"/>
      <c r="CA709" s="485"/>
      <c r="CB709" s="485"/>
      <c r="CC709" s="485"/>
      <c r="CD709" s="485"/>
      <c r="CE709" s="485"/>
      <c r="CF709" s="485"/>
      <c r="CG709" s="485"/>
      <c r="CH709" s="485"/>
      <c r="CI709" s="485"/>
      <c r="CJ709" s="485"/>
      <c r="CK709" s="485"/>
      <c r="CL709" s="485"/>
      <c r="CM709" s="485"/>
      <c r="CN709" s="485"/>
      <c r="CO709" s="485"/>
      <c r="CP709" s="485"/>
      <c r="CQ709" s="485"/>
      <c r="CR709" s="485"/>
      <c r="CS709" s="485"/>
      <c r="CT709" s="485"/>
      <c r="CU709" s="485"/>
      <c r="CV709" s="485"/>
      <c r="CW709" s="485"/>
      <c r="CX709" s="485"/>
      <c r="CY709" s="485"/>
      <c r="CZ709" s="485"/>
      <c r="DA709" s="485"/>
      <c r="DB709" s="485"/>
      <c r="DC709" s="485"/>
      <c r="DD709" s="485"/>
      <c r="DE709" s="485"/>
      <c r="DF709" s="485"/>
      <c r="DG709" s="485"/>
      <c r="DH709" s="485"/>
      <c r="DI709" s="485"/>
      <c r="DJ709" s="485"/>
      <c r="DK709" s="485"/>
      <c r="DL709" s="485"/>
      <c r="DM709" s="485"/>
      <c r="DN709" s="485"/>
      <c r="DO709" s="485"/>
      <c r="DP709" s="485"/>
      <c r="DQ709" s="485"/>
      <c r="DR709" s="485"/>
      <c r="DS709" s="485"/>
      <c r="DT709" s="485"/>
      <c r="DU709" s="485"/>
      <c r="DV709" s="485"/>
      <c r="DW709" s="485"/>
      <c r="DX709" s="485"/>
      <c r="DY709" s="485"/>
      <c r="DZ709" s="485"/>
      <c r="EA709" s="485"/>
      <c r="EB709" s="485"/>
      <c r="EC709" s="485"/>
      <c r="ED709" s="485"/>
      <c r="EE709" s="485"/>
      <c r="EF709" s="485"/>
      <c r="EG709" s="485"/>
      <c r="EH709" s="485"/>
      <c r="EI709" s="485"/>
      <c r="EJ709" s="485"/>
      <c r="EK709" s="485"/>
      <c r="EL709" s="485"/>
      <c r="EM709" s="485"/>
      <c r="EN709" s="485"/>
      <c r="EO709" s="485"/>
      <c r="EP709" s="485"/>
    </row>
    <row r="710" spans="1:146">
      <c r="A710" s="485"/>
      <c r="B710" s="485"/>
      <c r="C710" s="485"/>
      <c r="D710" s="485"/>
      <c r="E710" s="485"/>
      <c r="F710" s="485"/>
      <c r="G710" s="485"/>
      <c r="H710" s="485"/>
      <c r="I710" s="485"/>
      <c r="J710" s="485"/>
      <c r="K710" s="485"/>
      <c r="L710" s="485"/>
      <c r="M710" s="485"/>
      <c r="P710" s="485"/>
      <c r="Q710" s="485"/>
      <c r="R710" s="485"/>
      <c r="S710" s="485"/>
      <c r="T710" s="485"/>
      <c r="U710" s="485"/>
      <c r="V710" s="485"/>
      <c r="W710" s="485"/>
      <c r="X710" s="485"/>
      <c r="Y710" s="485"/>
      <c r="Z710" s="485"/>
      <c r="AA710" s="485"/>
      <c r="AB710" s="485"/>
      <c r="AC710" s="485"/>
      <c r="AD710" s="485"/>
      <c r="AE710" s="485"/>
      <c r="AF710" s="485"/>
      <c r="AG710" s="485"/>
      <c r="AH710" s="485"/>
      <c r="AI710" s="485"/>
      <c r="AJ710" s="485"/>
      <c r="AK710" s="485"/>
      <c r="AL710" s="485"/>
      <c r="AM710" s="485"/>
      <c r="AN710" s="485"/>
      <c r="AO710" s="485"/>
      <c r="AP710" s="485"/>
      <c r="AQ710" s="485"/>
      <c r="AR710" s="485"/>
      <c r="AS710" s="485"/>
      <c r="AT710" s="485"/>
      <c r="AU710" s="485"/>
      <c r="AV710" s="485"/>
      <c r="AW710" s="485"/>
      <c r="AX710" s="485"/>
      <c r="AY710" s="485"/>
      <c r="AZ710" s="485"/>
      <c r="BA710" s="485"/>
      <c r="BB710" s="485"/>
      <c r="BC710" s="485"/>
      <c r="BD710" s="485"/>
      <c r="BE710" s="485"/>
      <c r="BF710" s="485"/>
      <c r="BG710" s="485"/>
      <c r="BH710" s="485"/>
      <c r="BI710" s="485"/>
      <c r="BJ710" s="485"/>
      <c r="BK710" s="485"/>
      <c r="BL710" s="485"/>
      <c r="BM710" s="485"/>
      <c r="BN710" s="485"/>
      <c r="BO710" s="485"/>
      <c r="BP710" s="485"/>
      <c r="BQ710" s="485"/>
      <c r="BR710" s="485"/>
      <c r="BS710" s="485"/>
      <c r="BT710" s="485"/>
      <c r="BU710" s="485"/>
      <c r="BV710" s="485"/>
      <c r="BW710" s="485"/>
      <c r="BX710" s="485"/>
      <c r="BY710" s="485"/>
      <c r="BZ710" s="485"/>
      <c r="CA710" s="485"/>
      <c r="CB710" s="485"/>
      <c r="CC710" s="485"/>
      <c r="CD710" s="485"/>
      <c r="CE710" s="485"/>
      <c r="CF710" s="485"/>
      <c r="CG710" s="485"/>
      <c r="CH710" s="485"/>
      <c r="CI710" s="485"/>
      <c r="CJ710" s="485"/>
      <c r="CK710" s="485"/>
      <c r="CL710" s="485"/>
      <c r="CM710" s="485"/>
      <c r="CN710" s="485"/>
      <c r="CO710" s="485"/>
      <c r="CP710" s="485"/>
      <c r="CQ710" s="485"/>
      <c r="CR710" s="485"/>
      <c r="CS710" s="485"/>
      <c r="CT710" s="485"/>
      <c r="CU710" s="485"/>
      <c r="CV710" s="485"/>
      <c r="CW710" s="485"/>
      <c r="CX710" s="485"/>
      <c r="CY710" s="485"/>
      <c r="CZ710" s="485"/>
      <c r="DA710" s="485"/>
      <c r="DB710" s="485"/>
      <c r="DC710" s="485"/>
      <c r="DD710" s="485"/>
      <c r="DE710" s="485"/>
      <c r="DF710" s="485"/>
      <c r="DG710" s="485"/>
      <c r="DH710" s="485"/>
      <c r="DI710" s="485"/>
      <c r="DJ710" s="485"/>
      <c r="DK710" s="485"/>
      <c r="DL710" s="485"/>
      <c r="DM710" s="485"/>
      <c r="DN710" s="485"/>
      <c r="DO710" s="485"/>
      <c r="DP710" s="485"/>
      <c r="DQ710" s="485"/>
      <c r="DR710" s="485"/>
      <c r="DS710" s="485"/>
      <c r="DT710" s="485"/>
      <c r="DU710" s="485"/>
      <c r="DV710" s="485"/>
      <c r="DW710" s="485"/>
      <c r="DX710" s="485"/>
      <c r="DY710" s="485"/>
      <c r="DZ710" s="485"/>
      <c r="EA710" s="485"/>
      <c r="EB710" s="485"/>
      <c r="EC710" s="485"/>
      <c r="ED710" s="485"/>
      <c r="EE710" s="485"/>
      <c r="EF710" s="485"/>
      <c r="EG710" s="485"/>
      <c r="EH710" s="485"/>
      <c r="EI710" s="485"/>
      <c r="EJ710" s="485"/>
      <c r="EK710" s="485"/>
      <c r="EL710" s="485"/>
      <c r="EM710" s="485"/>
      <c r="EN710" s="485"/>
      <c r="EO710" s="485"/>
      <c r="EP710" s="485"/>
    </row>
    <row r="711" spans="1:146">
      <c r="A711" s="485"/>
      <c r="B711" s="485"/>
      <c r="C711" s="485"/>
      <c r="D711" s="485"/>
      <c r="E711" s="485"/>
      <c r="F711" s="485"/>
      <c r="G711" s="485"/>
      <c r="H711" s="485"/>
      <c r="I711" s="485"/>
      <c r="J711" s="485"/>
      <c r="K711" s="485"/>
      <c r="L711" s="485"/>
      <c r="M711" s="485"/>
      <c r="P711" s="485"/>
      <c r="Q711" s="485"/>
      <c r="R711" s="485"/>
      <c r="S711" s="485"/>
      <c r="T711" s="485"/>
      <c r="U711" s="485"/>
      <c r="V711" s="485"/>
      <c r="W711" s="485"/>
      <c r="X711" s="485"/>
      <c r="Y711" s="485"/>
      <c r="Z711" s="485"/>
      <c r="AA711" s="485"/>
      <c r="AB711" s="485"/>
      <c r="AC711" s="485"/>
      <c r="AD711" s="485"/>
      <c r="AE711" s="485"/>
      <c r="AF711" s="485"/>
      <c r="AG711" s="485"/>
      <c r="AH711" s="485"/>
      <c r="AI711" s="485"/>
      <c r="AJ711" s="485"/>
      <c r="AK711" s="485"/>
      <c r="AL711" s="485"/>
      <c r="AM711" s="485"/>
      <c r="AN711" s="485"/>
      <c r="AO711" s="485"/>
      <c r="AP711" s="485"/>
      <c r="AQ711" s="485"/>
      <c r="AR711" s="485"/>
      <c r="AS711" s="485"/>
      <c r="AT711" s="485"/>
      <c r="AU711" s="485"/>
      <c r="AV711" s="485"/>
      <c r="AW711" s="485"/>
      <c r="AX711" s="485"/>
      <c r="AY711" s="485"/>
      <c r="AZ711" s="485"/>
      <c r="BA711" s="485"/>
      <c r="BB711" s="485"/>
      <c r="BC711" s="485"/>
      <c r="BD711" s="485"/>
      <c r="BE711" s="485"/>
      <c r="BF711" s="485"/>
      <c r="BG711" s="485"/>
      <c r="BH711" s="485"/>
      <c r="BI711" s="485"/>
      <c r="BJ711" s="485"/>
      <c r="BK711" s="485"/>
      <c r="BL711" s="485"/>
      <c r="BM711" s="485"/>
      <c r="BN711" s="485"/>
      <c r="BO711" s="485"/>
      <c r="BP711" s="485"/>
      <c r="BQ711" s="485"/>
      <c r="BR711" s="485"/>
      <c r="BS711" s="485"/>
      <c r="BT711" s="485"/>
      <c r="BU711" s="485"/>
      <c r="BV711" s="485"/>
      <c r="BW711" s="485"/>
      <c r="BX711" s="485"/>
      <c r="BY711" s="485"/>
      <c r="BZ711" s="485"/>
      <c r="CA711" s="485"/>
      <c r="CB711" s="485"/>
      <c r="CC711" s="485"/>
      <c r="CD711" s="485"/>
      <c r="CE711" s="485"/>
      <c r="CF711" s="485"/>
      <c r="CG711" s="485"/>
      <c r="CH711" s="485"/>
      <c r="CI711" s="485"/>
      <c r="CJ711" s="485"/>
      <c r="CK711" s="485"/>
      <c r="CL711" s="485"/>
      <c r="CM711" s="485"/>
      <c r="CN711" s="485"/>
      <c r="CO711" s="485"/>
      <c r="CP711" s="485"/>
      <c r="CQ711" s="485"/>
      <c r="CR711" s="485"/>
      <c r="CS711" s="485"/>
      <c r="CT711" s="485"/>
      <c r="CU711" s="485"/>
      <c r="CV711" s="485"/>
      <c r="CW711" s="485"/>
      <c r="CX711" s="485"/>
      <c r="CY711" s="485"/>
      <c r="CZ711" s="485"/>
      <c r="DA711" s="485"/>
      <c r="DB711" s="485"/>
      <c r="DC711" s="485"/>
      <c r="DD711" s="485"/>
      <c r="DE711" s="485"/>
      <c r="DF711" s="485"/>
      <c r="DG711" s="485"/>
      <c r="DH711" s="485"/>
      <c r="DI711" s="485"/>
      <c r="DJ711" s="485"/>
      <c r="DK711" s="485"/>
      <c r="DL711" s="485"/>
      <c r="DM711" s="485"/>
      <c r="DN711" s="485"/>
      <c r="DO711" s="485"/>
      <c r="DP711" s="485"/>
      <c r="DQ711" s="485"/>
      <c r="DR711" s="485"/>
      <c r="DS711" s="485"/>
      <c r="DT711" s="485"/>
      <c r="DU711" s="485"/>
      <c r="DV711" s="485"/>
      <c r="DW711" s="485"/>
      <c r="DX711" s="485"/>
      <c r="DY711" s="485"/>
      <c r="DZ711" s="485"/>
      <c r="EA711" s="485"/>
      <c r="EB711" s="485"/>
      <c r="EC711" s="485"/>
      <c r="ED711" s="485"/>
      <c r="EE711" s="485"/>
      <c r="EF711" s="485"/>
      <c r="EG711" s="485"/>
      <c r="EH711" s="485"/>
      <c r="EI711" s="485"/>
      <c r="EJ711" s="485"/>
      <c r="EK711" s="485"/>
      <c r="EL711" s="485"/>
      <c r="EM711" s="485"/>
      <c r="EN711" s="485"/>
      <c r="EO711" s="485"/>
      <c r="EP711" s="485"/>
    </row>
    <row r="712" spans="1:146">
      <c r="A712" s="485"/>
      <c r="B712" s="485"/>
      <c r="C712" s="485"/>
      <c r="D712" s="485"/>
      <c r="E712" s="485"/>
      <c r="F712" s="485"/>
      <c r="G712" s="485"/>
      <c r="H712" s="485"/>
      <c r="I712" s="485"/>
      <c r="J712" s="485"/>
      <c r="K712" s="485"/>
      <c r="L712" s="485"/>
      <c r="M712" s="485"/>
      <c r="P712" s="485"/>
      <c r="Q712" s="485"/>
      <c r="R712" s="485"/>
      <c r="S712" s="485"/>
      <c r="T712" s="485"/>
      <c r="U712" s="485"/>
      <c r="V712" s="485"/>
      <c r="W712" s="485"/>
      <c r="X712" s="485"/>
      <c r="Y712" s="485"/>
      <c r="Z712" s="485"/>
      <c r="AA712" s="485"/>
      <c r="AB712" s="485"/>
      <c r="AC712" s="485"/>
      <c r="AD712" s="485"/>
      <c r="AE712" s="485"/>
      <c r="AF712" s="485"/>
      <c r="AG712" s="485"/>
      <c r="AH712" s="485"/>
      <c r="AI712" s="485"/>
      <c r="AJ712" s="485"/>
      <c r="AK712" s="485"/>
      <c r="AL712" s="485"/>
      <c r="AM712" s="485"/>
      <c r="AN712" s="485"/>
      <c r="AO712" s="485"/>
      <c r="AP712" s="485"/>
      <c r="AQ712" s="485"/>
      <c r="AR712" s="485"/>
      <c r="AS712" s="485"/>
      <c r="AT712" s="485"/>
      <c r="AU712" s="485"/>
      <c r="AV712" s="485"/>
      <c r="AW712" s="485"/>
      <c r="AX712" s="485"/>
      <c r="AY712" s="485"/>
      <c r="AZ712" s="485"/>
      <c r="BA712" s="485"/>
      <c r="BB712" s="485"/>
      <c r="BC712" s="485"/>
      <c r="BD712" s="485"/>
      <c r="BE712" s="485"/>
      <c r="BF712" s="485"/>
      <c r="BG712" s="485"/>
      <c r="BH712" s="485"/>
      <c r="BI712" s="485"/>
      <c r="BJ712" s="485"/>
      <c r="BK712" s="485"/>
      <c r="BL712" s="485"/>
      <c r="BM712" s="485"/>
      <c r="BN712" s="485"/>
      <c r="BO712" s="485"/>
      <c r="BP712" s="485"/>
      <c r="BQ712" s="485"/>
      <c r="BR712" s="485"/>
      <c r="BS712" s="485"/>
      <c r="BT712" s="485"/>
      <c r="BU712" s="485"/>
      <c r="BV712" s="485"/>
      <c r="BW712" s="485"/>
      <c r="BX712" s="485"/>
      <c r="BY712" s="485"/>
      <c r="BZ712" s="485"/>
      <c r="CA712" s="485"/>
      <c r="CB712" s="485"/>
      <c r="CC712" s="485"/>
      <c r="CD712" s="485"/>
      <c r="CE712" s="485"/>
      <c r="CF712" s="485"/>
      <c r="CG712" s="485"/>
      <c r="CH712" s="485"/>
      <c r="CI712" s="485"/>
      <c r="CJ712" s="485"/>
      <c r="CK712" s="485"/>
      <c r="CL712" s="485"/>
      <c r="CM712" s="485"/>
      <c r="CN712" s="485"/>
      <c r="CO712" s="485"/>
      <c r="CP712" s="485"/>
      <c r="CQ712" s="485"/>
      <c r="CR712" s="485"/>
      <c r="CS712" s="485"/>
      <c r="CT712" s="485"/>
      <c r="CU712" s="485"/>
      <c r="CV712" s="485"/>
      <c r="CW712" s="485"/>
      <c r="CX712" s="485"/>
      <c r="CY712" s="485"/>
      <c r="CZ712" s="485"/>
      <c r="DA712" s="485"/>
      <c r="DB712" s="485"/>
      <c r="DC712" s="485"/>
      <c r="DD712" s="485"/>
      <c r="DE712" s="485"/>
      <c r="DF712" s="485"/>
      <c r="DG712" s="485"/>
      <c r="DH712" s="485"/>
      <c r="DI712" s="485"/>
      <c r="DJ712" s="485"/>
      <c r="DK712" s="485"/>
      <c r="DL712" s="485"/>
      <c r="DM712" s="485"/>
      <c r="DN712" s="485"/>
      <c r="DO712" s="485"/>
      <c r="DP712" s="485"/>
      <c r="DQ712" s="485"/>
      <c r="DR712" s="485"/>
      <c r="DS712" s="485"/>
      <c r="DT712" s="485"/>
      <c r="DU712" s="485"/>
      <c r="DV712" s="485"/>
      <c r="DW712" s="485"/>
      <c r="DX712" s="485"/>
      <c r="DY712" s="485"/>
      <c r="DZ712" s="485"/>
      <c r="EA712" s="485"/>
      <c r="EB712" s="485"/>
      <c r="EC712" s="485"/>
      <c r="ED712" s="485"/>
      <c r="EE712" s="485"/>
      <c r="EF712" s="485"/>
      <c r="EG712" s="485"/>
      <c r="EH712" s="485"/>
      <c r="EI712" s="485"/>
      <c r="EJ712" s="485"/>
      <c r="EK712" s="485"/>
      <c r="EL712" s="485"/>
      <c r="EM712" s="485"/>
      <c r="EN712" s="485"/>
      <c r="EO712" s="485"/>
      <c r="EP712" s="485"/>
    </row>
    <row r="713" spans="1:146">
      <c r="A713" s="485"/>
      <c r="B713" s="485"/>
      <c r="C713" s="485"/>
      <c r="D713" s="485"/>
      <c r="E713" s="485"/>
      <c r="F713" s="485"/>
      <c r="G713" s="485"/>
      <c r="H713" s="485"/>
      <c r="I713" s="485"/>
      <c r="J713" s="485"/>
      <c r="K713" s="485"/>
      <c r="L713" s="485"/>
      <c r="M713" s="485"/>
      <c r="P713" s="485"/>
      <c r="Q713" s="485"/>
      <c r="R713" s="485"/>
      <c r="S713" s="485"/>
      <c r="T713" s="485"/>
      <c r="U713" s="485"/>
      <c r="V713" s="485"/>
      <c r="W713" s="485"/>
      <c r="X713" s="485"/>
      <c r="Y713" s="485"/>
      <c r="Z713" s="485"/>
      <c r="AA713" s="485"/>
      <c r="AB713" s="485"/>
      <c r="AC713" s="485"/>
      <c r="AD713" s="485"/>
      <c r="AE713" s="485"/>
      <c r="AF713" s="485"/>
      <c r="AG713" s="485"/>
      <c r="AH713" s="485"/>
      <c r="AI713" s="485"/>
      <c r="AJ713" s="485"/>
      <c r="AK713" s="485"/>
      <c r="AL713" s="485"/>
      <c r="AM713" s="485"/>
      <c r="AN713" s="485"/>
      <c r="AO713" s="485"/>
      <c r="AP713" s="485"/>
      <c r="AQ713" s="485"/>
      <c r="AR713" s="485"/>
      <c r="AS713" s="485"/>
      <c r="AT713" s="485"/>
      <c r="AU713" s="485"/>
      <c r="AV713" s="485"/>
      <c r="AW713" s="485"/>
      <c r="AX713" s="485"/>
      <c r="AY713" s="485"/>
      <c r="AZ713" s="485"/>
      <c r="BA713" s="485"/>
      <c r="BB713" s="485"/>
      <c r="BC713" s="485"/>
      <c r="BD713" s="485"/>
      <c r="BE713" s="485"/>
      <c r="BF713" s="485"/>
      <c r="BG713" s="485"/>
      <c r="BH713" s="485"/>
      <c r="BI713" s="485"/>
      <c r="BJ713" s="485"/>
      <c r="BK713" s="485"/>
      <c r="BL713" s="485"/>
      <c r="BM713" s="485"/>
      <c r="BN713" s="485"/>
      <c r="BO713" s="485"/>
      <c r="BP713" s="485"/>
      <c r="BQ713" s="485"/>
      <c r="BR713" s="485"/>
      <c r="BS713" s="485"/>
      <c r="BT713" s="485"/>
      <c r="BU713" s="485"/>
      <c r="BV713" s="485"/>
      <c r="BW713" s="485"/>
      <c r="BX713" s="485"/>
      <c r="BY713" s="485"/>
      <c r="BZ713" s="485"/>
      <c r="CA713" s="485"/>
      <c r="CB713" s="485"/>
      <c r="CC713" s="485"/>
      <c r="CD713" s="485"/>
      <c r="CE713" s="485"/>
      <c r="CF713" s="485"/>
      <c r="CG713" s="485"/>
      <c r="CH713" s="485"/>
      <c r="CI713" s="485"/>
      <c r="CJ713" s="485"/>
      <c r="CK713" s="485"/>
      <c r="CL713" s="485"/>
      <c r="CM713" s="485"/>
      <c r="CN713" s="485"/>
      <c r="CO713" s="485"/>
      <c r="CP713" s="485"/>
      <c r="CQ713" s="485"/>
      <c r="CR713" s="485"/>
      <c r="CS713" s="485"/>
      <c r="CT713" s="485"/>
      <c r="CU713" s="485"/>
      <c r="CV713" s="485"/>
      <c r="CW713" s="485"/>
      <c r="CX713" s="485"/>
      <c r="CY713" s="485"/>
      <c r="CZ713" s="485"/>
      <c r="DA713" s="485"/>
      <c r="DB713" s="485"/>
      <c r="DC713" s="485"/>
      <c r="DD713" s="485"/>
      <c r="DE713" s="485"/>
      <c r="DF713" s="485"/>
      <c r="DG713" s="485"/>
      <c r="DH713" s="485"/>
      <c r="DI713" s="485"/>
      <c r="DJ713" s="485"/>
      <c r="DK713" s="485"/>
      <c r="DL713" s="485"/>
      <c r="DM713" s="485"/>
      <c r="DN713" s="485"/>
      <c r="DO713" s="485"/>
      <c r="DP713" s="485"/>
      <c r="DQ713" s="485"/>
      <c r="DR713" s="485"/>
      <c r="DS713" s="485"/>
      <c r="DT713" s="485"/>
      <c r="DU713" s="485"/>
      <c r="DV713" s="485"/>
      <c r="DW713" s="485"/>
      <c r="DX713" s="485"/>
      <c r="DY713" s="485"/>
      <c r="DZ713" s="485"/>
      <c r="EA713" s="485"/>
      <c r="EB713" s="485"/>
      <c r="EC713" s="485"/>
      <c r="ED713" s="485"/>
      <c r="EE713" s="485"/>
      <c r="EF713" s="485"/>
      <c r="EG713" s="485"/>
      <c r="EH713" s="485"/>
      <c r="EI713" s="485"/>
      <c r="EJ713" s="485"/>
      <c r="EK713" s="485"/>
      <c r="EL713" s="485"/>
      <c r="EM713" s="485"/>
      <c r="EN713" s="485"/>
      <c r="EO713" s="485"/>
      <c r="EP713" s="485"/>
    </row>
    <row r="714" spans="1:146">
      <c r="A714" s="485"/>
      <c r="B714" s="485"/>
      <c r="C714" s="485"/>
      <c r="D714" s="485"/>
      <c r="E714" s="485"/>
      <c r="F714" s="485"/>
      <c r="G714" s="485"/>
      <c r="H714" s="485"/>
      <c r="I714" s="485"/>
      <c r="J714" s="485"/>
      <c r="K714" s="485"/>
      <c r="L714" s="485"/>
      <c r="M714" s="485"/>
      <c r="P714" s="485"/>
      <c r="Q714" s="485"/>
      <c r="R714" s="485"/>
      <c r="S714" s="485"/>
      <c r="T714" s="485"/>
      <c r="U714" s="485"/>
      <c r="V714" s="485"/>
      <c r="W714" s="485"/>
      <c r="X714" s="485"/>
      <c r="Y714" s="485"/>
      <c r="Z714" s="485"/>
      <c r="AA714" s="485"/>
      <c r="AB714" s="485"/>
      <c r="AC714" s="485"/>
      <c r="AD714" s="485"/>
      <c r="AE714" s="485"/>
      <c r="AF714" s="485"/>
      <c r="AG714" s="485"/>
      <c r="AH714" s="485"/>
      <c r="AI714" s="485"/>
      <c r="AJ714" s="485"/>
      <c r="AK714" s="485"/>
      <c r="AL714" s="485"/>
      <c r="AM714" s="485"/>
      <c r="AN714" s="485"/>
      <c r="AO714" s="485"/>
      <c r="AP714" s="485"/>
      <c r="AQ714" s="485"/>
      <c r="AR714" s="485"/>
      <c r="AS714" s="485"/>
      <c r="AT714" s="485"/>
      <c r="AU714" s="485"/>
      <c r="AV714" s="485"/>
      <c r="AW714" s="485"/>
      <c r="AX714" s="485"/>
      <c r="AY714" s="485"/>
      <c r="AZ714" s="485"/>
      <c r="BA714" s="485"/>
      <c r="BB714" s="485"/>
      <c r="BC714" s="485"/>
      <c r="BD714" s="485"/>
      <c r="BE714" s="485"/>
      <c r="BF714" s="485"/>
      <c r="BG714" s="485"/>
      <c r="BH714" s="485"/>
      <c r="BI714" s="485"/>
      <c r="BJ714" s="485"/>
      <c r="BK714" s="485"/>
      <c r="BL714" s="485"/>
      <c r="BM714" s="485"/>
      <c r="BN714" s="485"/>
      <c r="BO714" s="485"/>
      <c r="BP714" s="485"/>
      <c r="BQ714" s="485"/>
      <c r="BR714" s="485"/>
      <c r="BS714" s="485"/>
      <c r="BT714" s="485"/>
      <c r="BU714" s="485"/>
      <c r="BV714" s="485"/>
      <c r="BW714" s="485"/>
      <c r="BX714" s="485"/>
      <c r="BY714" s="485"/>
      <c r="BZ714" s="485"/>
      <c r="CA714" s="485"/>
      <c r="CB714" s="485"/>
      <c r="CC714" s="485"/>
      <c r="CD714" s="485"/>
      <c r="CE714" s="485"/>
      <c r="CF714" s="485"/>
      <c r="CG714" s="485"/>
      <c r="CH714" s="485"/>
      <c r="CI714" s="485"/>
      <c r="CJ714" s="485"/>
      <c r="CK714" s="485"/>
      <c r="CL714" s="485"/>
      <c r="CM714" s="485"/>
      <c r="CN714" s="485"/>
      <c r="CO714" s="485"/>
      <c r="CP714" s="485"/>
      <c r="CQ714" s="485"/>
      <c r="CR714" s="485"/>
      <c r="CS714" s="485"/>
      <c r="CT714" s="485"/>
      <c r="CU714" s="485"/>
      <c r="CV714" s="485"/>
      <c r="CW714" s="485"/>
      <c r="CX714" s="485"/>
      <c r="CY714" s="485"/>
      <c r="CZ714" s="485"/>
      <c r="DA714" s="485"/>
      <c r="DB714" s="485"/>
      <c r="DC714" s="485"/>
      <c r="DD714" s="485"/>
      <c r="DE714" s="485"/>
      <c r="DF714" s="485"/>
      <c r="DG714" s="485"/>
      <c r="DH714" s="485"/>
      <c r="DI714" s="485"/>
      <c r="DJ714" s="485"/>
      <c r="DK714" s="485"/>
      <c r="DL714" s="485"/>
      <c r="DM714" s="485"/>
      <c r="DN714" s="485"/>
      <c r="DO714" s="485"/>
      <c r="DP714" s="485"/>
      <c r="DQ714" s="485"/>
      <c r="DR714" s="485"/>
      <c r="DS714" s="485"/>
      <c r="DT714" s="485"/>
      <c r="DU714" s="485"/>
      <c r="DV714" s="485"/>
      <c r="DW714" s="485"/>
      <c r="DX714" s="485"/>
      <c r="DY714" s="485"/>
      <c r="DZ714" s="485"/>
      <c r="EA714" s="485"/>
      <c r="EB714" s="485"/>
      <c r="EC714" s="485"/>
      <c r="ED714" s="485"/>
      <c r="EE714" s="485"/>
      <c r="EF714" s="485"/>
      <c r="EG714" s="485"/>
      <c r="EH714" s="485"/>
      <c r="EI714" s="485"/>
      <c r="EJ714" s="485"/>
      <c r="EK714" s="485"/>
      <c r="EL714" s="485"/>
      <c r="EM714" s="485"/>
      <c r="EN714" s="485"/>
      <c r="EO714" s="485"/>
      <c r="EP714" s="485"/>
    </row>
    <row r="715" spans="1:146">
      <c r="A715" s="485"/>
      <c r="B715" s="485"/>
      <c r="C715" s="485"/>
      <c r="D715" s="485"/>
      <c r="E715" s="485"/>
      <c r="F715" s="485"/>
      <c r="G715" s="485"/>
      <c r="H715" s="485"/>
      <c r="I715" s="485"/>
      <c r="J715" s="485"/>
      <c r="K715" s="485"/>
      <c r="L715" s="485"/>
      <c r="M715" s="485"/>
      <c r="P715" s="485"/>
      <c r="Q715" s="485"/>
      <c r="R715" s="485"/>
      <c r="S715" s="485"/>
      <c r="T715" s="485"/>
      <c r="U715" s="485"/>
      <c r="V715" s="485"/>
      <c r="W715" s="485"/>
      <c r="X715" s="485"/>
      <c r="Y715" s="485"/>
      <c r="Z715" s="485"/>
      <c r="AA715" s="485"/>
      <c r="AB715" s="485"/>
      <c r="AC715" s="485"/>
      <c r="AD715" s="485"/>
      <c r="AE715" s="485"/>
      <c r="AF715" s="485"/>
      <c r="AG715" s="485"/>
      <c r="AH715" s="485"/>
      <c r="AI715" s="485"/>
      <c r="AJ715" s="485"/>
      <c r="AK715" s="485"/>
      <c r="AL715" s="485"/>
      <c r="AM715" s="485"/>
      <c r="AN715" s="485"/>
      <c r="AO715" s="485"/>
      <c r="AP715" s="485"/>
      <c r="AQ715" s="485"/>
      <c r="AR715" s="485"/>
      <c r="AS715" s="485"/>
      <c r="AT715" s="485"/>
      <c r="AU715" s="485"/>
      <c r="AV715" s="485"/>
      <c r="AW715" s="485"/>
      <c r="AX715" s="485"/>
      <c r="AY715" s="485"/>
      <c r="AZ715" s="485"/>
      <c r="BA715" s="485"/>
      <c r="BB715" s="485"/>
      <c r="BC715" s="485"/>
      <c r="BD715" s="485"/>
      <c r="BE715" s="485"/>
      <c r="BF715" s="485"/>
      <c r="BG715" s="485"/>
      <c r="BH715" s="485"/>
      <c r="BI715" s="485"/>
      <c r="BJ715" s="485"/>
      <c r="BK715" s="485"/>
      <c r="BL715" s="485"/>
      <c r="BM715" s="485"/>
      <c r="BN715" s="485"/>
      <c r="BO715" s="485"/>
      <c r="BP715" s="485"/>
      <c r="BQ715" s="485"/>
      <c r="BR715" s="485"/>
      <c r="BS715" s="485"/>
      <c r="BT715" s="485"/>
      <c r="BU715" s="485"/>
      <c r="BV715" s="485"/>
      <c r="BW715" s="485"/>
      <c r="BX715" s="485"/>
      <c r="BY715" s="485"/>
      <c r="BZ715" s="485"/>
      <c r="CA715" s="485"/>
      <c r="CB715" s="485"/>
      <c r="CC715" s="485"/>
      <c r="CD715" s="485"/>
      <c r="CE715" s="485"/>
      <c r="CF715" s="485"/>
      <c r="CG715" s="485"/>
      <c r="CH715" s="485"/>
      <c r="CI715" s="485"/>
      <c r="CJ715" s="485"/>
      <c r="CK715" s="485"/>
      <c r="CL715" s="485"/>
      <c r="CM715" s="485"/>
      <c r="CN715" s="485"/>
      <c r="CO715" s="485"/>
      <c r="CP715" s="485"/>
      <c r="CQ715" s="485"/>
      <c r="CR715" s="485"/>
      <c r="CS715" s="485"/>
      <c r="CT715" s="485"/>
      <c r="CU715" s="485"/>
      <c r="CV715" s="485"/>
      <c r="CW715" s="485"/>
      <c r="CX715" s="485"/>
      <c r="CY715" s="485"/>
      <c r="CZ715" s="485"/>
      <c r="DA715" s="485"/>
      <c r="DB715" s="485"/>
      <c r="DC715" s="485"/>
      <c r="DD715" s="485"/>
      <c r="DE715" s="485"/>
      <c r="DF715" s="485"/>
      <c r="DG715" s="485"/>
      <c r="DH715" s="485"/>
      <c r="DI715" s="485"/>
      <c r="DJ715" s="485"/>
      <c r="DK715" s="485"/>
      <c r="DL715" s="485"/>
      <c r="DM715" s="485"/>
      <c r="DN715" s="485"/>
      <c r="DO715" s="485"/>
      <c r="DP715" s="485"/>
      <c r="DQ715" s="485"/>
      <c r="DR715" s="485"/>
      <c r="DS715" s="485"/>
      <c r="DT715" s="485"/>
      <c r="DU715" s="485"/>
      <c r="DV715" s="485"/>
      <c r="DW715" s="485"/>
      <c r="DX715" s="485"/>
      <c r="DY715" s="485"/>
      <c r="DZ715" s="485"/>
      <c r="EA715" s="485"/>
      <c r="EB715" s="485"/>
      <c r="EC715" s="485"/>
      <c r="ED715" s="485"/>
      <c r="EE715" s="485"/>
      <c r="EF715" s="485"/>
      <c r="EG715" s="485"/>
      <c r="EH715" s="485"/>
      <c r="EI715" s="485"/>
      <c r="EJ715" s="485"/>
      <c r="EK715" s="485"/>
      <c r="EL715" s="485"/>
      <c r="EM715" s="485"/>
      <c r="EN715" s="485"/>
      <c r="EO715" s="485"/>
      <c r="EP715" s="485"/>
    </row>
    <row r="716" spans="1:146">
      <c r="A716" s="485"/>
      <c r="B716" s="485"/>
      <c r="C716" s="485"/>
      <c r="D716" s="485"/>
      <c r="E716" s="485"/>
      <c r="F716" s="485"/>
      <c r="G716" s="485"/>
      <c r="H716" s="485"/>
      <c r="I716" s="485"/>
      <c r="J716" s="485"/>
      <c r="K716" s="485"/>
      <c r="L716" s="485"/>
      <c r="M716" s="485"/>
      <c r="P716" s="485"/>
      <c r="Q716" s="485"/>
      <c r="R716" s="485"/>
      <c r="S716" s="485"/>
      <c r="T716" s="485"/>
      <c r="U716" s="485"/>
      <c r="V716" s="485"/>
      <c r="W716" s="485"/>
      <c r="X716" s="485"/>
      <c r="Y716" s="485"/>
      <c r="Z716" s="485"/>
      <c r="AA716" s="485"/>
      <c r="AB716" s="485"/>
      <c r="AC716" s="485"/>
      <c r="AD716" s="485"/>
      <c r="AE716" s="485"/>
      <c r="AF716" s="485"/>
      <c r="AG716" s="485"/>
      <c r="AH716" s="485"/>
      <c r="AI716" s="485"/>
      <c r="AJ716" s="485"/>
      <c r="AK716" s="485"/>
      <c r="AL716" s="485"/>
      <c r="AM716" s="485"/>
      <c r="AN716" s="485"/>
      <c r="AO716" s="485"/>
      <c r="AP716" s="485"/>
      <c r="AQ716" s="485"/>
      <c r="AR716" s="485"/>
      <c r="AS716" s="485"/>
      <c r="AT716" s="485"/>
      <c r="AU716" s="485"/>
      <c r="AV716" s="485"/>
      <c r="AW716" s="485"/>
      <c r="AX716" s="485"/>
      <c r="AY716" s="485"/>
      <c r="AZ716" s="485"/>
      <c r="BA716" s="485"/>
      <c r="BB716" s="485"/>
      <c r="BC716" s="485"/>
      <c r="BD716" s="485"/>
      <c r="BE716" s="485"/>
      <c r="BF716" s="485"/>
      <c r="BG716" s="485"/>
      <c r="BH716" s="485"/>
      <c r="BI716" s="485"/>
      <c r="BJ716" s="485"/>
      <c r="BK716" s="485"/>
      <c r="BL716" s="485"/>
      <c r="BM716" s="485"/>
      <c r="BN716" s="485"/>
      <c r="BO716" s="485"/>
      <c r="BP716" s="485"/>
      <c r="BQ716" s="485"/>
      <c r="BR716" s="485"/>
      <c r="BS716" s="485"/>
      <c r="BT716" s="485"/>
      <c r="BU716" s="485"/>
      <c r="BV716" s="485"/>
      <c r="BW716" s="485"/>
      <c r="BX716" s="485"/>
      <c r="BY716" s="485"/>
      <c r="BZ716" s="485"/>
      <c r="CA716" s="485"/>
      <c r="CB716" s="485"/>
      <c r="CC716" s="485"/>
      <c r="CD716" s="485"/>
      <c r="CE716" s="485"/>
      <c r="CF716" s="485"/>
      <c r="CG716" s="485"/>
      <c r="CH716" s="485"/>
      <c r="CI716" s="485"/>
      <c r="CJ716" s="485"/>
      <c r="CK716" s="485"/>
      <c r="CL716" s="485"/>
      <c r="CM716" s="485"/>
      <c r="CN716" s="485"/>
      <c r="CO716" s="485"/>
      <c r="CP716" s="485"/>
      <c r="CQ716" s="485"/>
      <c r="CR716" s="485"/>
      <c r="CS716" s="485"/>
      <c r="CT716" s="485"/>
      <c r="CU716" s="485"/>
      <c r="CV716" s="485"/>
      <c r="CW716" s="485"/>
      <c r="CX716" s="485"/>
      <c r="CY716" s="485"/>
      <c r="CZ716" s="485"/>
      <c r="DA716" s="485"/>
      <c r="DB716" s="485"/>
      <c r="DC716" s="485"/>
      <c r="DD716" s="485"/>
      <c r="DE716" s="485"/>
      <c r="DF716" s="485"/>
      <c r="DG716" s="485"/>
      <c r="DH716" s="485"/>
      <c r="DI716" s="485"/>
      <c r="DJ716" s="485"/>
      <c r="DK716" s="485"/>
      <c r="DL716" s="485"/>
      <c r="DM716" s="485"/>
      <c r="DN716" s="485"/>
      <c r="DO716" s="485"/>
      <c r="DP716" s="485"/>
      <c r="DQ716" s="485"/>
      <c r="DR716" s="485"/>
      <c r="DS716" s="485"/>
      <c r="DT716" s="485"/>
      <c r="DU716" s="485"/>
      <c r="DV716" s="485"/>
      <c r="DW716" s="485"/>
      <c r="DX716" s="485"/>
      <c r="DY716" s="485"/>
      <c r="DZ716" s="485"/>
      <c r="EA716" s="485"/>
      <c r="EB716" s="485"/>
      <c r="EC716" s="485"/>
      <c r="ED716" s="485"/>
      <c r="EE716" s="485"/>
      <c r="EF716" s="485"/>
      <c r="EG716" s="485"/>
      <c r="EH716" s="485"/>
      <c r="EI716" s="485"/>
      <c r="EJ716" s="485"/>
      <c r="EK716" s="485"/>
      <c r="EL716" s="485"/>
      <c r="EM716" s="485"/>
      <c r="EN716" s="485"/>
      <c r="EO716" s="485"/>
      <c r="EP716" s="485"/>
    </row>
    <row r="717" spans="1:146">
      <c r="A717" s="485"/>
      <c r="B717" s="485"/>
      <c r="C717" s="485"/>
      <c r="D717" s="485"/>
      <c r="E717" s="485"/>
      <c r="F717" s="485"/>
      <c r="G717" s="485"/>
      <c r="H717" s="485"/>
      <c r="I717" s="485"/>
      <c r="J717" s="485"/>
      <c r="K717" s="485"/>
      <c r="L717" s="485"/>
      <c r="M717" s="485"/>
      <c r="P717" s="485"/>
      <c r="Q717" s="485"/>
      <c r="R717" s="485"/>
      <c r="S717" s="485"/>
      <c r="T717" s="485"/>
      <c r="U717" s="485"/>
      <c r="V717" s="485"/>
      <c r="W717" s="485"/>
      <c r="X717" s="485"/>
      <c r="Y717" s="485"/>
      <c r="Z717" s="485"/>
      <c r="AA717" s="485"/>
      <c r="AB717" s="485"/>
      <c r="AC717" s="485"/>
      <c r="AD717" s="485"/>
      <c r="AE717" s="485"/>
      <c r="AF717" s="485"/>
      <c r="AG717" s="485"/>
      <c r="AH717" s="485"/>
      <c r="AI717" s="485"/>
      <c r="AJ717" s="485"/>
      <c r="AK717" s="485"/>
      <c r="AL717" s="485"/>
      <c r="AM717" s="485"/>
      <c r="AN717" s="485"/>
      <c r="AO717" s="485"/>
      <c r="AP717" s="485"/>
      <c r="AQ717" s="485"/>
      <c r="AR717" s="485"/>
      <c r="AS717" s="485"/>
      <c r="AT717" s="485"/>
      <c r="AU717" s="485"/>
      <c r="AV717" s="485"/>
      <c r="AW717" s="485"/>
      <c r="AX717" s="485"/>
      <c r="AY717" s="485"/>
      <c r="AZ717" s="485"/>
      <c r="BA717" s="485"/>
      <c r="BB717" s="485"/>
      <c r="BC717" s="485"/>
      <c r="BD717" s="485"/>
      <c r="BE717" s="485"/>
      <c r="BF717" s="485"/>
      <c r="BG717" s="485"/>
      <c r="BH717" s="485"/>
      <c r="BI717" s="485"/>
      <c r="BJ717" s="485"/>
      <c r="BK717" s="485"/>
      <c r="BL717" s="485"/>
      <c r="BM717" s="485"/>
      <c r="BN717" s="485"/>
      <c r="BO717" s="485"/>
      <c r="BP717" s="485"/>
      <c r="BQ717" s="485"/>
      <c r="BR717" s="485"/>
      <c r="BS717" s="485"/>
      <c r="BT717" s="485"/>
      <c r="BU717" s="485"/>
      <c r="BV717" s="485"/>
      <c r="BW717" s="485"/>
      <c r="BX717" s="485"/>
      <c r="BY717" s="485"/>
      <c r="BZ717" s="485"/>
      <c r="CA717" s="485"/>
      <c r="CB717" s="485"/>
      <c r="CC717" s="485"/>
      <c r="CD717" s="485"/>
      <c r="CE717" s="485"/>
      <c r="CF717" s="485"/>
      <c r="CG717" s="485"/>
      <c r="CH717" s="485"/>
      <c r="CI717" s="485"/>
      <c r="CJ717" s="485"/>
      <c r="CK717" s="485"/>
      <c r="CL717" s="485"/>
      <c r="CM717" s="485"/>
      <c r="CN717" s="485"/>
      <c r="CO717" s="485"/>
      <c r="CP717" s="485"/>
      <c r="CQ717" s="485"/>
      <c r="CR717" s="485"/>
      <c r="CS717" s="485"/>
      <c r="CT717" s="485"/>
      <c r="CU717" s="485"/>
      <c r="CV717" s="485"/>
      <c r="CW717" s="485"/>
      <c r="CX717" s="485"/>
      <c r="CY717" s="485"/>
      <c r="CZ717" s="485"/>
      <c r="DA717" s="485"/>
      <c r="DB717" s="485"/>
      <c r="DC717" s="485"/>
      <c r="DD717" s="485"/>
      <c r="DE717" s="485"/>
      <c r="DF717" s="485"/>
      <c r="DG717" s="485"/>
      <c r="DH717" s="485"/>
      <c r="DI717" s="485"/>
      <c r="DJ717" s="485"/>
      <c r="DK717" s="485"/>
      <c r="DL717" s="485"/>
      <c r="DM717" s="485"/>
      <c r="DN717" s="485"/>
      <c r="DO717" s="485"/>
      <c r="DP717" s="485"/>
      <c r="DQ717" s="485"/>
      <c r="DR717" s="485"/>
      <c r="DS717" s="485"/>
      <c r="DT717" s="485"/>
      <c r="DU717" s="485"/>
      <c r="DV717" s="485"/>
      <c r="DW717" s="485"/>
      <c r="DX717" s="485"/>
      <c r="DY717" s="485"/>
      <c r="DZ717" s="485"/>
      <c r="EA717" s="485"/>
      <c r="EB717" s="485"/>
      <c r="EC717" s="485"/>
      <c r="ED717" s="485"/>
      <c r="EE717" s="485"/>
      <c r="EF717" s="485"/>
      <c r="EG717" s="485"/>
      <c r="EH717" s="485"/>
      <c r="EI717" s="485"/>
      <c r="EJ717" s="485"/>
      <c r="EK717" s="485"/>
      <c r="EL717" s="485"/>
      <c r="EM717" s="485"/>
      <c r="EN717" s="485"/>
      <c r="EO717" s="485"/>
      <c r="EP717" s="485"/>
    </row>
    <row r="718" spans="1:146">
      <c r="A718" s="485"/>
      <c r="B718" s="485"/>
      <c r="C718" s="485"/>
      <c r="D718" s="485"/>
      <c r="E718" s="485"/>
      <c r="F718" s="485"/>
      <c r="G718" s="485"/>
      <c r="H718" s="485"/>
      <c r="I718" s="485"/>
      <c r="J718" s="485"/>
      <c r="K718" s="485"/>
      <c r="L718" s="485"/>
      <c r="M718" s="485"/>
      <c r="P718" s="485"/>
      <c r="Q718" s="485"/>
      <c r="R718" s="485"/>
      <c r="S718" s="485"/>
      <c r="T718" s="485"/>
      <c r="U718" s="485"/>
      <c r="V718" s="485"/>
      <c r="W718" s="485"/>
      <c r="X718" s="485"/>
      <c r="Y718" s="485"/>
      <c r="Z718" s="485"/>
      <c r="AA718" s="485"/>
      <c r="AB718" s="485"/>
      <c r="AC718" s="485"/>
      <c r="AD718" s="485"/>
      <c r="AE718" s="485"/>
      <c r="AF718" s="485"/>
      <c r="AG718" s="485"/>
      <c r="AH718" s="485"/>
      <c r="AI718" s="485"/>
      <c r="AJ718" s="485"/>
      <c r="AK718" s="485"/>
      <c r="AL718" s="485"/>
      <c r="AM718" s="485"/>
      <c r="AN718" s="485"/>
      <c r="AO718" s="485"/>
      <c r="AP718" s="485"/>
      <c r="AQ718" s="485"/>
      <c r="AR718" s="485"/>
      <c r="AS718" s="485"/>
      <c r="AT718" s="485"/>
      <c r="AU718" s="485"/>
      <c r="AV718" s="485"/>
      <c r="AW718" s="485"/>
      <c r="AX718" s="485"/>
      <c r="AY718" s="485"/>
      <c r="AZ718" s="485"/>
      <c r="BA718" s="485"/>
      <c r="BB718" s="485"/>
      <c r="BC718" s="485"/>
      <c r="BD718" s="485"/>
      <c r="BE718" s="485"/>
      <c r="BF718" s="485"/>
      <c r="BG718" s="485"/>
      <c r="BH718" s="485"/>
      <c r="BI718" s="485"/>
      <c r="BJ718" s="485"/>
      <c r="BK718" s="485"/>
      <c r="BL718" s="485"/>
      <c r="BM718" s="485"/>
      <c r="BN718" s="485"/>
      <c r="BO718" s="485"/>
      <c r="BP718" s="485"/>
      <c r="BQ718" s="485"/>
      <c r="BR718" s="485"/>
      <c r="BS718" s="485"/>
      <c r="BT718" s="485"/>
      <c r="BU718" s="485"/>
      <c r="BV718" s="485"/>
      <c r="BW718" s="485"/>
      <c r="BX718" s="485"/>
      <c r="BY718" s="485"/>
      <c r="BZ718" s="485"/>
      <c r="CA718" s="485"/>
      <c r="CB718" s="485"/>
      <c r="CC718" s="485"/>
      <c r="CD718" s="485"/>
      <c r="CE718" s="485"/>
      <c r="CF718" s="485"/>
      <c r="CG718" s="485"/>
      <c r="CH718" s="485"/>
      <c r="CI718" s="485"/>
      <c r="CJ718" s="485"/>
      <c r="CK718" s="485"/>
      <c r="CL718" s="485"/>
      <c r="CM718" s="485"/>
      <c r="CN718" s="485"/>
      <c r="CO718" s="485"/>
      <c r="CP718" s="485"/>
      <c r="CQ718" s="485"/>
      <c r="CR718" s="485"/>
      <c r="CS718" s="485"/>
      <c r="CT718" s="485"/>
      <c r="CU718" s="485"/>
      <c r="CV718" s="485"/>
      <c r="CW718" s="485"/>
      <c r="CX718" s="485"/>
      <c r="CY718" s="485"/>
      <c r="CZ718" s="485"/>
      <c r="DA718" s="485"/>
      <c r="DB718" s="485"/>
      <c r="DC718" s="485"/>
      <c r="DD718" s="485"/>
      <c r="DE718" s="485"/>
      <c r="DF718" s="485"/>
      <c r="DG718" s="485"/>
      <c r="DH718" s="485"/>
      <c r="DI718" s="485"/>
      <c r="DJ718" s="485"/>
      <c r="DK718" s="485"/>
      <c r="DL718" s="485"/>
      <c r="DM718" s="485"/>
      <c r="DN718" s="485"/>
      <c r="DO718" s="485"/>
      <c r="DP718" s="485"/>
      <c r="DQ718" s="485"/>
      <c r="DR718" s="485"/>
      <c r="DS718" s="485"/>
      <c r="DT718" s="485"/>
      <c r="DU718" s="485"/>
      <c r="DV718" s="485"/>
      <c r="DW718" s="485"/>
      <c r="DX718" s="485"/>
      <c r="DY718" s="485"/>
      <c r="DZ718" s="485"/>
      <c r="EA718" s="485"/>
      <c r="EB718" s="485"/>
      <c r="EC718" s="485"/>
      <c r="ED718" s="485"/>
      <c r="EE718" s="485"/>
      <c r="EF718" s="485"/>
      <c r="EG718" s="485"/>
      <c r="EH718" s="485"/>
      <c r="EI718" s="485"/>
      <c r="EJ718" s="485"/>
      <c r="EK718" s="485"/>
      <c r="EL718" s="485"/>
      <c r="EM718" s="485"/>
      <c r="EN718" s="485"/>
      <c r="EO718" s="485"/>
      <c r="EP718" s="485"/>
    </row>
    <row r="719" spans="1:146">
      <c r="A719" s="485"/>
      <c r="B719" s="485"/>
      <c r="C719" s="485"/>
      <c r="D719" s="485"/>
      <c r="E719" s="485"/>
      <c r="F719" s="485"/>
      <c r="G719" s="485"/>
      <c r="H719" s="485"/>
      <c r="I719" s="485"/>
      <c r="J719" s="485"/>
      <c r="K719" s="485"/>
      <c r="L719" s="485"/>
      <c r="M719" s="485"/>
      <c r="P719" s="485"/>
      <c r="Q719" s="485"/>
      <c r="R719" s="485"/>
      <c r="S719" s="485"/>
      <c r="T719" s="485"/>
      <c r="U719" s="485"/>
      <c r="V719" s="485"/>
      <c r="W719" s="485"/>
      <c r="X719" s="485"/>
      <c r="Y719" s="485"/>
      <c r="Z719" s="485"/>
      <c r="AA719" s="485"/>
      <c r="AB719" s="485"/>
      <c r="AC719" s="485"/>
      <c r="AD719" s="485"/>
      <c r="AE719" s="485"/>
      <c r="AF719" s="485"/>
      <c r="AG719" s="485"/>
      <c r="AH719" s="485"/>
      <c r="AI719" s="485"/>
      <c r="AJ719" s="485"/>
      <c r="AK719" s="485"/>
      <c r="AL719" s="485"/>
      <c r="AM719" s="485"/>
      <c r="AN719" s="485"/>
      <c r="AO719" s="485"/>
      <c r="AP719" s="485"/>
      <c r="AQ719" s="485"/>
      <c r="AR719" s="485"/>
      <c r="AS719" s="485"/>
      <c r="AT719" s="485"/>
      <c r="AU719" s="485"/>
      <c r="AV719" s="485"/>
      <c r="AW719" s="485"/>
      <c r="AX719" s="485"/>
      <c r="AY719" s="485"/>
      <c r="AZ719" s="485"/>
      <c r="BA719" s="485"/>
      <c r="BB719" s="485"/>
      <c r="BC719" s="485"/>
      <c r="BD719" s="485"/>
      <c r="BE719" s="485"/>
      <c r="BF719" s="485"/>
      <c r="BG719" s="485"/>
      <c r="BH719" s="485"/>
      <c r="BI719" s="485"/>
      <c r="BJ719" s="485"/>
      <c r="BK719" s="485"/>
      <c r="BL719" s="485"/>
      <c r="BM719" s="485"/>
      <c r="BN719" s="485"/>
      <c r="BO719" s="485"/>
      <c r="BP719" s="485"/>
      <c r="BQ719" s="485"/>
      <c r="BR719" s="485"/>
      <c r="BS719" s="485"/>
      <c r="BT719" s="485"/>
      <c r="BU719" s="485"/>
      <c r="BV719" s="485"/>
      <c r="BW719" s="485"/>
      <c r="BX719" s="485"/>
      <c r="BY719" s="485"/>
      <c r="BZ719" s="485"/>
      <c r="CA719" s="485"/>
      <c r="CB719" s="485"/>
      <c r="CC719" s="485"/>
      <c r="CD719" s="485"/>
      <c r="CE719" s="485"/>
      <c r="CF719" s="485"/>
      <c r="CG719" s="485"/>
      <c r="CH719" s="485"/>
      <c r="CI719" s="485"/>
      <c r="CJ719" s="485"/>
      <c r="CK719" s="485"/>
      <c r="CL719" s="485"/>
      <c r="CM719" s="485"/>
      <c r="CN719" s="485"/>
      <c r="CO719" s="485"/>
      <c r="CP719" s="485"/>
      <c r="CQ719" s="485"/>
      <c r="CR719" s="485"/>
      <c r="CS719" s="485"/>
      <c r="CT719" s="485"/>
      <c r="CU719" s="485"/>
      <c r="CV719" s="485"/>
      <c r="CW719" s="485"/>
      <c r="CX719" s="485"/>
      <c r="CY719" s="485"/>
      <c r="CZ719" s="485"/>
      <c r="DA719" s="485"/>
      <c r="DB719" s="485"/>
      <c r="DC719" s="485"/>
      <c r="DD719" s="485"/>
      <c r="DE719" s="485"/>
      <c r="DF719" s="485"/>
      <c r="DG719" s="485"/>
      <c r="DH719" s="485"/>
      <c r="DI719" s="485"/>
      <c r="DJ719" s="485"/>
      <c r="DK719" s="485"/>
      <c r="DL719" s="485"/>
      <c r="DM719" s="485"/>
      <c r="DN719" s="485"/>
      <c r="DO719" s="485"/>
      <c r="DP719" s="485"/>
      <c r="DQ719" s="485"/>
      <c r="DR719" s="485"/>
      <c r="DS719" s="485"/>
      <c r="DT719" s="485"/>
      <c r="DU719" s="485"/>
      <c r="DV719" s="485"/>
      <c r="DW719" s="485"/>
      <c r="DX719" s="485"/>
      <c r="DY719" s="485"/>
      <c r="DZ719" s="485"/>
      <c r="EA719" s="485"/>
      <c r="EB719" s="485"/>
      <c r="EC719" s="485"/>
      <c r="ED719" s="485"/>
      <c r="EE719" s="485"/>
      <c r="EF719" s="485"/>
      <c r="EG719" s="485"/>
      <c r="EH719" s="485"/>
      <c r="EI719" s="485"/>
      <c r="EJ719" s="485"/>
      <c r="EK719" s="485"/>
      <c r="EL719" s="485"/>
      <c r="EM719" s="485"/>
      <c r="EN719" s="485"/>
      <c r="EO719" s="485"/>
      <c r="EP719" s="485"/>
    </row>
    <row r="720" spans="1:146">
      <c r="A720" s="485"/>
      <c r="B720" s="485"/>
      <c r="C720" s="485"/>
      <c r="D720" s="485"/>
      <c r="E720" s="485"/>
      <c r="F720" s="485"/>
      <c r="G720" s="485"/>
      <c r="H720" s="485"/>
      <c r="I720" s="485"/>
      <c r="J720" s="485"/>
      <c r="K720" s="485"/>
      <c r="L720" s="485"/>
      <c r="M720" s="485"/>
      <c r="P720" s="485"/>
      <c r="Q720" s="485"/>
      <c r="R720" s="485"/>
      <c r="S720" s="485"/>
      <c r="T720" s="485"/>
      <c r="U720" s="485"/>
      <c r="V720" s="485"/>
      <c r="W720" s="485"/>
      <c r="X720" s="485"/>
      <c r="Y720" s="485"/>
      <c r="Z720" s="485"/>
      <c r="AA720" s="485"/>
      <c r="AB720" s="485"/>
      <c r="AC720" s="485"/>
      <c r="AD720" s="485"/>
      <c r="AE720" s="485"/>
      <c r="AF720" s="485"/>
      <c r="AG720" s="485"/>
      <c r="AH720" s="485"/>
      <c r="AI720" s="485"/>
      <c r="AJ720" s="485"/>
      <c r="AK720" s="485"/>
      <c r="AL720" s="485"/>
      <c r="AM720" s="485"/>
      <c r="AN720" s="485"/>
      <c r="AO720" s="485"/>
      <c r="AP720" s="485"/>
      <c r="AQ720" s="485"/>
      <c r="AR720" s="485"/>
      <c r="AS720" s="485"/>
      <c r="AT720" s="485"/>
      <c r="AU720" s="485"/>
      <c r="AV720" s="485"/>
      <c r="AW720" s="485"/>
      <c r="AX720" s="485"/>
      <c r="AY720" s="485"/>
      <c r="AZ720" s="485"/>
      <c r="BA720" s="485"/>
      <c r="BB720" s="485"/>
      <c r="BC720" s="485"/>
      <c r="BD720" s="485"/>
      <c r="BE720" s="485"/>
      <c r="BF720" s="485"/>
      <c r="BG720" s="485"/>
      <c r="BH720" s="485"/>
      <c r="BI720" s="485"/>
      <c r="BJ720" s="485"/>
      <c r="BK720" s="485"/>
      <c r="BL720" s="485"/>
      <c r="BM720" s="485"/>
      <c r="BN720" s="485"/>
      <c r="BO720" s="485"/>
      <c r="BP720" s="485"/>
      <c r="BQ720" s="485"/>
      <c r="BR720" s="485"/>
      <c r="BS720" s="485"/>
      <c r="BT720" s="485"/>
      <c r="BU720" s="485"/>
      <c r="BV720" s="485"/>
      <c r="BW720" s="485"/>
      <c r="BX720" s="485"/>
      <c r="BY720" s="485"/>
      <c r="BZ720" s="485"/>
      <c r="CA720" s="485"/>
      <c r="CB720" s="485"/>
      <c r="CC720" s="485"/>
      <c r="CD720" s="485"/>
      <c r="CE720" s="485"/>
      <c r="CF720" s="485"/>
      <c r="CG720" s="485"/>
      <c r="CH720" s="485"/>
      <c r="CI720" s="485"/>
      <c r="CJ720" s="485"/>
      <c r="CK720" s="485"/>
      <c r="CL720" s="485"/>
      <c r="CM720" s="485"/>
      <c r="CN720" s="485"/>
      <c r="CO720" s="485"/>
      <c r="CP720" s="485"/>
      <c r="CQ720" s="485"/>
      <c r="CR720" s="485"/>
      <c r="CS720" s="485"/>
      <c r="CT720" s="485"/>
      <c r="CU720" s="485"/>
      <c r="CV720" s="485"/>
      <c r="CW720" s="485"/>
      <c r="CX720" s="485"/>
      <c r="CY720" s="485"/>
      <c r="CZ720" s="485"/>
      <c r="DA720" s="485"/>
      <c r="DB720" s="485"/>
      <c r="DC720" s="485"/>
      <c r="DD720" s="485"/>
      <c r="DE720" s="485"/>
      <c r="DF720" s="485"/>
      <c r="DG720" s="485"/>
      <c r="DH720" s="485"/>
      <c r="DI720" s="485"/>
      <c r="DJ720" s="485"/>
      <c r="DK720" s="485"/>
      <c r="DL720" s="485"/>
      <c r="DM720" s="485"/>
      <c r="DN720" s="485"/>
      <c r="DO720" s="485"/>
      <c r="DP720" s="485"/>
      <c r="DQ720" s="485"/>
      <c r="DR720" s="485"/>
      <c r="DS720" s="485"/>
      <c r="DT720" s="485"/>
      <c r="DU720" s="485"/>
      <c r="DV720" s="485"/>
      <c r="DW720" s="485"/>
      <c r="DX720" s="485"/>
      <c r="DY720" s="485"/>
      <c r="DZ720" s="485"/>
      <c r="EA720" s="485"/>
      <c r="EB720" s="485"/>
      <c r="EC720" s="485"/>
      <c r="ED720" s="485"/>
      <c r="EE720" s="485"/>
      <c r="EF720" s="485"/>
      <c r="EG720" s="485"/>
      <c r="EH720" s="485"/>
      <c r="EI720" s="485"/>
      <c r="EJ720" s="485"/>
      <c r="EK720" s="485"/>
      <c r="EL720" s="485"/>
      <c r="EM720" s="485"/>
      <c r="EN720" s="485"/>
      <c r="EO720" s="485"/>
      <c r="EP720" s="485"/>
    </row>
    <row r="721" spans="1:146">
      <c r="A721" s="485"/>
      <c r="B721" s="485"/>
      <c r="C721" s="485"/>
      <c r="D721" s="485"/>
      <c r="E721" s="485"/>
      <c r="F721" s="485"/>
      <c r="G721" s="485"/>
      <c r="H721" s="485"/>
      <c r="I721" s="485"/>
      <c r="J721" s="485"/>
      <c r="K721" s="485"/>
      <c r="L721" s="485"/>
      <c r="M721" s="485"/>
      <c r="P721" s="485"/>
      <c r="Q721" s="485"/>
      <c r="R721" s="485"/>
      <c r="S721" s="485"/>
      <c r="T721" s="485"/>
      <c r="U721" s="485"/>
      <c r="V721" s="485"/>
      <c r="W721" s="485"/>
      <c r="X721" s="485"/>
      <c r="Y721" s="485"/>
      <c r="Z721" s="485"/>
      <c r="AA721" s="485"/>
      <c r="AB721" s="485"/>
      <c r="AC721" s="485"/>
      <c r="AD721" s="485"/>
      <c r="AE721" s="485"/>
      <c r="AF721" s="485"/>
      <c r="AG721" s="485"/>
      <c r="AH721" s="485"/>
      <c r="AI721" s="485"/>
      <c r="AJ721" s="485"/>
      <c r="AK721" s="485"/>
      <c r="AL721" s="485"/>
      <c r="AM721" s="485"/>
      <c r="AN721" s="485"/>
      <c r="AO721" s="485"/>
      <c r="AP721" s="485"/>
      <c r="AQ721" s="485"/>
      <c r="AR721" s="485"/>
      <c r="AS721" s="485"/>
      <c r="AT721" s="485"/>
      <c r="AU721" s="485"/>
      <c r="AV721" s="485"/>
      <c r="AW721" s="485"/>
      <c r="AX721" s="485"/>
      <c r="AY721" s="485"/>
      <c r="AZ721" s="485"/>
      <c r="BA721" s="485"/>
      <c r="BB721" s="485"/>
      <c r="BC721" s="485"/>
      <c r="BD721" s="485"/>
      <c r="BE721" s="485"/>
      <c r="BF721" s="485"/>
      <c r="BG721" s="485"/>
      <c r="BH721" s="485"/>
      <c r="BI721" s="485"/>
      <c r="BJ721" s="485"/>
      <c r="BK721" s="485"/>
      <c r="BL721" s="485"/>
      <c r="BM721" s="485"/>
      <c r="BN721" s="485"/>
      <c r="BO721" s="485"/>
      <c r="BP721" s="485"/>
      <c r="BQ721" s="485"/>
      <c r="BR721" s="485"/>
      <c r="BS721" s="485"/>
      <c r="BT721" s="485"/>
      <c r="BU721" s="485"/>
      <c r="BV721" s="485"/>
      <c r="BW721" s="485"/>
      <c r="BX721" s="485"/>
      <c r="BY721" s="485"/>
      <c r="BZ721" s="485"/>
      <c r="CA721" s="485"/>
      <c r="CB721" s="485"/>
      <c r="CC721" s="485"/>
      <c r="CD721" s="485"/>
      <c r="CE721" s="485"/>
      <c r="CF721" s="485"/>
      <c r="CG721" s="485"/>
      <c r="CH721" s="485"/>
      <c r="CI721" s="485"/>
      <c r="CJ721" s="485"/>
      <c r="CK721" s="485"/>
      <c r="CL721" s="485"/>
      <c r="CM721" s="485"/>
      <c r="CN721" s="485"/>
      <c r="CO721" s="485"/>
      <c r="CP721" s="485"/>
      <c r="CQ721" s="485"/>
      <c r="CR721" s="485"/>
      <c r="CS721" s="485"/>
      <c r="CT721" s="485"/>
      <c r="CU721" s="485"/>
      <c r="CV721" s="485"/>
      <c r="CW721" s="485"/>
      <c r="CX721" s="485"/>
      <c r="CY721" s="485"/>
      <c r="CZ721" s="485"/>
      <c r="DA721" s="485"/>
      <c r="DB721" s="485"/>
      <c r="DC721" s="485"/>
      <c r="DD721" s="485"/>
      <c r="DE721" s="485"/>
      <c r="DF721" s="485"/>
      <c r="DG721" s="485"/>
      <c r="DH721" s="485"/>
      <c r="DI721" s="485"/>
      <c r="DJ721" s="485"/>
      <c r="DK721" s="485"/>
      <c r="DL721" s="485"/>
      <c r="DM721" s="485"/>
      <c r="DN721" s="485"/>
      <c r="DO721" s="485"/>
      <c r="DP721" s="485"/>
      <c r="DQ721" s="485"/>
      <c r="DR721" s="485"/>
      <c r="DS721" s="485"/>
      <c r="DT721" s="485"/>
      <c r="DU721" s="485"/>
      <c r="DV721" s="485"/>
      <c r="DW721" s="485"/>
      <c r="DX721" s="485"/>
      <c r="DY721" s="485"/>
      <c r="DZ721" s="485"/>
      <c r="EA721" s="485"/>
      <c r="EB721" s="485"/>
      <c r="EC721" s="485"/>
      <c r="ED721" s="485"/>
      <c r="EE721" s="485"/>
      <c r="EF721" s="485"/>
      <c r="EG721" s="485"/>
      <c r="EH721" s="485"/>
      <c r="EI721" s="485"/>
      <c r="EJ721" s="485"/>
      <c r="EK721" s="485"/>
      <c r="EL721" s="485"/>
      <c r="EM721" s="485"/>
      <c r="EN721" s="485"/>
      <c r="EO721" s="485"/>
      <c r="EP721" s="485"/>
    </row>
    <row r="722" spans="1:146">
      <c r="A722" s="485"/>
      <c r="B722" s="485"/>
      <c r="C722" s="485"/>
      <c r="D722" s="485"/>
      <c r="E722" s="485"/>
      <c r="F722" s="485"/>
      <c r="G722" s="485"/>
      <c r="H722" s="485"/>
      <c r="I722" s="485"/>
      <c r="J722" s="485"/>
      <c r="K722" s="485"/>
      <c r="L722" s="485"/>
      <c r="M722" s="485"/>
      <c r="P722" s="485"/>
      <c r="Q722" s="485"/>
      <c r="R722" s="485"/>
      <c r="S722" s="485"/>
      <c r="T722" s="485"/>
      <c r="U722" s="485"/>
      <c r="V722" s="485"/>
      <c r="W722" s="485"/>
      <c r="X722" s="485"/>
      <c r="Y722" s="485"/>
      <c r="Z722" s="485"/>
      <c r="AA722" s="485"/>
      <c r="AB722" s="485"/>
      <c r="AC722" s="485"/>
      <c r="AD722" s="485"/>
      <c r="AE722" s="485"/>
      <c r="AF722" s="485"/>
      <c r="AG722" s="485"/>
      <c r="AH722" s="485"/>
      <c r="AI722" s="485"/>
      <c r="AJ722" s="485"/>
      <c r="AK722" s="485"/>
      <c r="AL722" s="485"/>
      <c r="AM722" s="485"/>
      <c r="AN722" s="485"/>
      <c r="AO722" s="485"/>
      <c r="AP722" s="485"/>
      <c r="AQ722" s="485"/>
      <c r="AR722" s="485"/>
      <c r="AS722" s="485"/>
      <c r="AT722" s="485"/>
      <c r="AU722" s="485"/>
      <c r="AV722" s="485"/>
      <c r="AW722" s="485"/>
      <c r="AX722" s="485"/>
      <c r="AY722" s="485"/>
      <c r="AZ722" s="485"/>
      <c r="BA722" s="485"/>
      <c r="BB722" s="485"/>
      <c r="BC722" s="485"/>
      <c r="BD722" s="485"/>
      <c r="BE722" s="485"/>
      <c r="BF722" s="485"/>
      <c r="BG722" s="485"/>
      <c r="BH722" s="485"/>
      <c r="BI722" s="485"/>
      <c r="BJ722" s="485"/>
      <c r="BK722" s="485"/>
      <c r="BL722" s="485"/>
      <c r="BM722" s="485"/>
      <c r="BN722" s="485"/>
      <c r="BO722" s="485"/>
      <c r="BP722" s="485"/>
      <c r="BQ722" s="485"/>
      <c r="BR722" s="485"/>
      <c r="BS722" s="485"/>
      <c r="BT722" s="485"/>
      <c r="BU722" s="485"/>
      <c r="BV722" s="485"/>
      <c r="BW722" s="485"/>
      <c r="BX722" s="485"/>
      <c r="BY722" s="485"/>
      <c r="BZ722" s="485"/>
      <c r="CA722" s="485"/>
      <c r="CB722" s="485"/>
      <c r="CC722" s="485"/>
      <c r="CD722" s="485"/>
      <c r="CE722" s="485"/>
      <c r="CF722" s="485"/>
      <c r="CG722" s="485"/>
      <c r="CH722" s="485"/>
      <c r="CI722" s="485"/>
      <c r="CJ722" s="485"/>
      <c r="CK722" s="485"/>
      <c r="CL722" s="485"/>
      <c r="CM722" s="485"/>
      <c r="CN722" s="485"/>
      <c r="CO722" s="485"/>
      <c r="CP722" s="485"/>
      <c r="CQ722" s="485"/>
      <c r="CR722" s="485"/>
      <c r="CS722" s="485"/>
      <c r="CT722" s="485"/>
      <c r="CU722" s="485"/>
      <c r="CV722" s="485"/>
      <c r="CW722" s="485"/>
      <c r="CX722" s="485"/>
      <c r="CY722" s="485"/>
      <c r="CZ722" s="485"/>
      <c r="DA722" s="485"/>
      <c r="DB722" s="485"/>
      <c r="DC722" s="485"/>
      <c r="DD722" s="485"/>
      <c r="DE722" s="485"/>
      <c r="DF722" s="485"/>
      <c r="DG722" s="485"/>
      <c r="DH722" s="485"/>
      <c r="DI722" s="485"/>
      <c r="DJ722" s="485"/>
      <c r="DK722" s="485"/>
      <c r="DL722" s="485"/>
      <c r="DM722" s="485"/>
      <c r="DN722" s="485"/>
      <c r="DO722" s="485"/>
      <c r="DP722" s="485"/>
      <c r="DQ722" s="485"/>
      <c r="DR722" s="485"/>
      <c r="DS722" s="485"/>
      <c r="DT722" s="485"/>
      <c r="DU722" s="485"/>
      <c r="DV722" s="485"/>
      <c r="DW722" s="485"/>
      <c r="DX722" s="485"/>
      <c r="DY722" s="485"/>
      <c r="DZ722" s="485"/>
      <c r="EA722" s="485"/>
      <c r="EB722" s="485"/>
      <c r="EC722" s="485"/>
      <c r="ED722" s="485"/>
      <c r="EE722" s="485"/>
      <c r="EF722" s="485"/>
      <c r="EG722" s="485"/>
      <c r="EH722" s="485"/>
      <c r="EI722" s="485"/>
      <c r="EJ722" s="485"/>
      <c r="EK722" s="485"/>
      <c r="EL722" s="485"/>
      <c r="EM722" s="485"/>
      <c r="EN722" s="485"/>
      <c r="EO722" s="485"/>
      <c r="EP722" s="485"/>
    </row>
    <row r="723" spans="1:146">
      <c r="A723" s="485"/>
      <c r="B723" s="485"/>
      <c r="C723" s="485"/>
      <c r="D723" s="485"/>
      <c r="E723" s="485"/>
      <c r="F723" s="485"/>
      <c r="G723" s="485"/>
      <c r="H723" s="485"/>
      <c r="I723" s="485"/>
      <c r="J723" s="485"/>
      <c r="K723" s="485"/>
      <c r="L723" s="485"/>
      <c r="M723" s="485"/>
      <c r="P723" s="485"/>
      <c r="Q723" s="485"/>
      <c r="R723" s="485"/>
      <c r="S723" s="485"/>
      <c r="T723" s="485"/>
      <c r="U723" s="485"/>
      <c r="V723" s="485"/>
      <c r="W723" s="485"/>
      <c r="X723" s="485"/>
      <c r="Y723" s="485"/>
      <c r="Z723" s="485"/>
      <c r="AA723" s="485"/>
      <c r="AB723" s="485"/>
      <c r="AC723" s="485"/>
      <c r="AD723" s="485"/>
      <c r="AE723" s="485"/>
      <c r="AF723" s="485"/>
      <c r="AG723" s="485"/>
      <c r="AH723" s="485"/>
      <c r="AI723" s="485"/>
      <c r="AJ723" s="485"/>
      <c r="AK723" s="485"/>
      <c r="AL723" s="485"/>
      <c r="AM723" s="485"/>
      <c r="AN723" s="485"/>
      <c r="AO723" s="485"/>
      <c r="AP723" s="485"/>
      <c r="AQ723" s="485"/>
      <c r="AR723" s="485"/>
      <c r="AS723" s="485"/>
      <c r="AT723" s="485"/>
      <c r="AU723" s="485"/>
      <c r="AV723" s="485"/>
      <c r="AW723" s="485"/>
      <c r="AX723" s="485"/>
      <c r="AY723" s="485"/>
      <c r="AZ723" s="485"/>
      <c r="BA723" s="485"/>
      <c r="BB723" s="485"/>
      <c r="BC723" s="485"/>
      <c r="BD723" s="485"/>
      <c r="BE723" s="485"/>
      <c r="BF723" s="485"/>
      <c r="BG723" s="485"/>
      <c r="BH723" s="485"/>
      <c r="BI723" s="485"/>
      <c r="BJ723" s="485"/>
      <c r="BK723" s="485"/>
      <c r="BL723" s="485"/>
      <c r="BM723" s="485"/>
      <c r="BN723" s="485"/>
      <c r="BO723" s="485"/>
      <c r="BP723" s="485"/>
      <c r="BQ723" s="485"/>
      <c r="BR723" s="485"/>
      <c r="BS723" s="485"/>
      <c r="BT723" s="485"/>
      <c r="BU723" s="485"/>
      <c r="BV723" s="485"/>
      <c r="BW723" s="485"/>
      <c r="BX723" s="485"/>
      <c r="BY723" s="485"/>
      <c r="BZ723" s="485"/>
      <c r="CA723" s="485"/>
      <c r="CB723" s="485"/>
      <c r="CC723" s="485"/>
      <c r="CD723" s="485"/>
      <c r="CE723" s="485"/>
      <c r="CF723" s="485"/>
      <c r="CG723" s="485"/>
      <c r="CH723" s="485"/>
      <c r="CI723" s="485"/>
      <c r="CJ723" s="485"/>
      <c r="CK723" s="485"/>
      <c r="CL723" s="485"/>
      <c r="CM723" s="485"/>
      <c r="CN723" s="485"/>
      <c r="CO723" s="485"/>
      <c r="CP723" s="485"/>
      <c r="CQ723" s="485"/>
      <c r="CR723" s="485"/>
      <c r="CS723" s="485"/>
      <c r="CT723" s="485"/>
      <c r="CU723" s="485"/>
      <c r="CV723" s="485"/>
      <c r="CW723" s="485"/>
      <c r="CX723" s="485"/>
      <c r="CY723" s="485"/>
      <c r="CZ723" s="485"/>
      <c r="DA723" s="485"/>
      <c r="DB723" s="485"/>
      <c r="DC723" s="485"/>
      <c r="DD723" s="485"/>
      <c r="DE723" s="485"/>
      <c r="DF723" s="485"/>
      <c r="DG723" s="485"/>
      <c r="DH723" s="485"/>
      <c r="DI723" s="485"/>
      <c r="DJ723" s="485"/>
      <c r="DK723" s="485"/>
      <c r="DL723" s="485"/>
      <c r="DM723" s="485"/>
      <c r="DN723" s="485"/>
      <c r="DO723" s="485"/>
      <c r="DP723" s="485"/>
      <c r="DQ723" s="485"/>
      <c r="DR723" s="485"/>
      <c r="DS723" s="485"/>
      <c r="DT723" s="485"/>
      <c r="DU723" s="485"/>
      <c r="DV723" s="485"/>
      <c r="DW723" s="485"/>
      <c r="DX723" s="485"/>
      <c r="DY723" s="485"/>
      <c r="DZ723" s="485"/>
      <c r="EA723" s="485"/>
      <c r="EB723" s="485"/>
      <c r="EC723" s="485"/>
      <c r="ED723" s="485"/>
      <c r="EE723" s="485"/>
      <c r="EF723" s="485"/>
      <c r="EG723" s="485"/>
      <c r="EH723" s="485"/>
      <c r="EI723" s="485"/>
      <c r="EJ723" s="485"/>
      <c r="EK723" s="485"/>
      <c r="EL723" s="485"/>
      <c r="EM723" s="485"/>
      <c r="EN723" s="485"/>
      <c r="EO723" s="485"/>
      <c r="EP723" s="485"/>
    </row>
    <row r="724" spans="1:146">
      <c r="A724" s="485"/>
      <c r="B724" s="485"/>
      <c r="C724" s="485"/>
      <c r="D724" s="485"/>
      <c r="E724" s="485"/>
      <c r="F724" s="485"/>
      <c r="G724" s="485"/>
      <c r="H724" s="485"/>
      <c r="I724" s="485"/>
      <c r="J724" s="485"/>
      <c r="K724" s="485"/>
      <c r="L724" s="485"/>
      <c r="M724" s="485"/>
      <c r="P724" s="485"/>
      <c r="Q724" s="485"/>
      <c r="R724" s="485"/>
      <c r="S724" s="485"/>
      <c r="T724" s="485"/>
      <c r="U724" s="485"/>
      <c r="V724" s="485"/>
      <c r="W724" s="485"/>
      <c r="X724" s="485"/>
      <c r="Y724" s="485"/>
      <c r="Z724" s="485"/>
      <c r="AA724" s="485"/>
      <c r="AB724" s="485"/>
      <c r="AC724" s="485"/>
      <c r="AD724" s="485"/>
      <c r="AE724" s="485"/>
      <c r="AF724" s="485"/>
      <c r="AG724" s="485"/>
      <c r="AH724" s="485"/>
      <c r="AI724" s="485"/>
      <c r="AJ724" s="485"/>
      <c r="AK724" s="485"/>
      <c r="AL724" s="485"/>
      <c r="AM724" s="485"/>
      <c r="AN724" s="485"/>
      <c r="AO724" s="485"/>
      <c r="AP724" s="485"/>
      <c r="AQ724" s="485"/>
      <c r="AR724" s="485"/>
      <c r="AS724" s="485"/>
      <c r="AT724" s="485"/>
      <c r="AU724" s="485"/>
      <c r="AV724" s="485"/>
      <c r="AW724" s="485"/>
      <c r="AX724" s="485"/>
      <c r="AY724" s="485"/>
      <c r="AZ724" s="485"/>
      <c r="BA724" s="485"/>
      <c r="BB724" s="485"/>
      <c r="BC724" s="485"/>
      <c r="BD724" s="485"/>
      <c r="BE724" s="485"/>
      <c r="BF724" s="485"/>
      <c r="BG724" s="485"/>
      <c r="BH724" s="485"/>
      <c r="BI724" s="485"/>
      <c r="BJ724" s="485"/>
      <c r="BK724" s="485"/>
      <c r="BL724" s="485"/>
      <c r="BM724" s="485"/>
      <c r="BN724" s="485"/>
      <c r="BO724" s="485"/>
      <c r="BP724" s="485"/>
      <c r="BQ724" s="485"/>
      <c r="BR724" s="485"/>
      <c r="BS724" s="485"/>
      <c r="BT724" s="485"/>
      <c r="BU724" s="485"/>
      <c r="BV724" s="485"/>
      <c r="BW724" s="485"/>
      <c r="BX724" s="485"/>
      <c r="BY724" s="485"/>
      <c r="BZ724" s="485"/>
      <c r="CA724" s="485"/>
      <c r="CB724" s="485"/>
      <c r="CC724" s="485"/>
      <c r="CD724" s="485"/>
      <c r="CE724" s="485"/>
      <c r="CF724" s="485"/>
      <c r="CG724" s="485"/>
      <c r="CH724" s="485"/>
      <c r="CI724" s="485"/>
      <c r="CJ724" s="485"/>
      <c r="CK724" s="485"/>
      <c r="CL724" s="485"/>
      <c r="CM724" s="485"/>
      <c r="CN724" s="485"/>
      <c r="CO724" s="485"/>
      <c r="CP724" s="485"/>
      <c r="CQ724" s="485"/>
      <c r="CR724" s="485"/>
      <c r="CS724" s="485"/>
      <c r="CT724" s="485"/>
      <c r="CU724" s="485"/>
      <c r="CV724" s="485"/>
      <c r="CW724" s="485"/>
      <c r="CX724" s="485"/>
      <c r="CY724" s="485"/>
      <c r="CZ724" s="485"/>
      <c r="DA724" s="485"/>
      <c r="DB724" s="485"/>
      <c r="DC724" s="485"/>
      <c r="DD724" s="485"/>
      <c r="DE724" s="485"/>
      <c r="DF724" s="485"/>
      <c r="DG724" s="485"/>
      <c r="DH724" s="485"/>
      <c r="DI724" s="485"/>
      <c r="DJ724" s="485"/>
      <c r="DK724" s="485"/>
      <c r="DL724" s="485"/>
      <c r="DM724" s="485"/>
      <c r="DN724" s="485"/>
      <c r="DO724" s="485"/>
      <c r="DP724" s="485"/>
      <c r="DQ724" s="485"/>
      <c r="DR724" s="485"/>
      <c r="DS724" s="485"/>
      <c r="DT724" s="485"/>
      <c r="DU724" s="485"/>
      <c r="DV724" s="485"/>
      <c r="DW724" s="485"/>
      <c r="DX724" s="485"/>
      <c r="DY724" s="485"/>
      <c r="DZ724" s="485"/>
      <c r="EA724" s="485"/>
      <c r="EB724" s="485"/>
      <c r="EC724" s="485"/>
      <c r="ED724" s="485"/>
      <c r="EE724" s="485"/>
      <c r="EF724" s="485"/>
      <c r="EG724" s="485"/>
      <c r="EH724" s="485"/>
      <c r="EI724" s="485"/>
      <c r="EJ724" s="485"/>
      <c r="EK724" s="485"/>
      <c r="EL724" s="485"/>
      <c r="EM724" s="485"/>
      <c r="EN724" s="485"/>
      <c r="EO724" s="485"/>
      <c r="EP724" s="485"/>
    </row>
    <row r="725" spans="1:146">
      <c r="A725" s="485"/>
      <c r="B725" s="485"/>
      <c r="C725" s="485"/>
      <c r="D725" s="485"/>
      <c r="E725" s="485"/>
      <c r="F725" s="485"/>
      <c r="G725" s="485"/>
      <c r="H725" s="485"/>
      <c r="I725" s="485"/>
      <c r="J725" s="485"/>
      <c r="K725" s="485"/>
      <c r="L725" s="485"/>
      <c r="M725" s="485"/>
      <c r="P725" s="485"/>
      <c r="Q725" s="485"/>
      <c r="R725" s="485"/>
      <c r="S725" s="485"/>
      <c r="T725" s="485"/>
      <c r="U725" s="485"/>
      <c r="V725" s="485"/>
      <c r="W725" s="485"/>
      <c r="X725" s="485"/>
      <c r="Y725" s="485"/>
      <c r="Z725" s="485"/>
      <c r="AA725" s="485"/>
      <c r="AB725" s="485"/>
      <c r="AC725" s="485"/>
      <c r="AD725" s="485"/>
      <c r="AE725" s="485"/>
      <c r="AF725" s="485"/>
      <c r="AG725" s="485"/>
      <c r="AH725" s="485"/>
      <c r="AI725" s="485"/>
      <c r="AJ725" s="485"/>
      <c r="AK725" s="485"/>
      <c r="AL725" s="485"/>
      <c r="AM725" s="485"/>
      <c r="AN725" s="485"/>
      <c r="AO725" s="485"/>
      <c r="AP725" s="485"/>
      <c r="AQ725" s="485"/>
      <c r="AR725" s="485"/>
      <c r="AS725" s="485"/>
      <c r="AT725" s="485"/>
      <c r="AU725" s="485"/>
      <c r="AV725" s="485"/>
      <c r="AW725" s="485"/>
      <c r="AX725" s="485"/>
      <c r="AY725" s="485"/>
      <c r="AZ725" s="485"/>
      <c r="BA725" s="485"/>
      <c r="BB725" s="485"/>
      <c r="BC725" s="485"/>
      <c r="BD725" s="485"/>
      <c r="BE725" s="485"/>
      <c r="BF725" s="485"/>
      <c r="BG725" s="485"/>
      <c r="BH725" s="485"/>
      <c r="BI725" s="485"/>
      <c r="BJ725" s="485"/>
      <c r="BK725" s="485"/>
      <c r="BL725" s="485"/>
      <c r="BM725" s="485"/>
      <c r="BN725" s="485"/>
      <c r="BO725" s="485"/>
      <c r="BP725" s="485"/>
      <c r="BQ725" s="485"/>
      <c r="BR725" s="485"/>
      <c r="BS725" s="485"/>
      <c r="BT725" s="485"/>
      <c r="BU725" s="485"/>
      <c r="BV725" s="485"/>
      <c r="BW725" s="485"/>
      <c r="BX725" s="485"/>
      <c r="BY725" s="485"/>
      <c r="BZ725" s="485"/>
      <c r="CA725" s="485"/>
      <c r="CB725" s="485"/>
      <c r="CC725" s="485"/>
      <c r="CD725" s="485"/>
      <c r="CE725" s="485"/>
      <c r="CF725" s="485"/>
      <c r="CG725" s="485"/>
      <c r="CH725" s="485"/>
      <c r="CI725" s="485"/>
      <c r="CJ725" s="485"/>
      <c r="CK725" s="485"/>
      <c r="CL725" s="485"/>
      <c r="CM725" s="485"/>
      <c r="CN725" s="485"/>
      <c r="CO725" s="485"/>
      <c r="CP725" s="485"/>
      <c r="CQ725" s="485"/>
      <c r="CR725" s="485"/>
      <c r="CS725" s="485"/>
      <c r="CT725" s="485"/>
      <c r="CU725" s="485"/>
      <c r="CV725" s="485"/>
      <c r="CW725" s="485"/>
      <c r="CX725" s="485"/>
      <c r="CY725" s="485"/>
      <c r="CZ725" s="485"/>
      <c r="DA725" s="485"/>
      <c r="DB725" s="485"/>
      <c r="DC725" s="485"/>
      <c r="DD725" s="485"/>
      <c r="DE725" s="485"/>
      <c r="DF725" s="485"/>
      <c r="DG725" s="485"/>
      <c r="DH725" s="485"/>
      <c r="DI725" s="485"/>
      <c r="DJ725" s="485"/>
      <c r="DK725" s="485"/>
      <c r="DL725" s="485"/>
      <c r="DM725" s="485"/>
      <c r="DN725" s="485"/>
      <c r="DO725" s="485"/>
      <c r="DP725" s="485"/>
      <c r="DQ725" s="485"/>
      <c r="DR725" s="485"/>
      <c r="DS725" s="485"/>
      <c r="DT725" s="485"/>
      <c r="DU725" s="485"/>
      <c r="DV725" s="485"/>
      <c r="DW725" s="485"/>
      <c r="DX725" s="485"/>
      <c r="DY725" s="485"/>
      <c r="DZ725" s="485"/>
      <c r="EA725" s="485"/>
      <c r="EB725" s="485"/>
      <c r="EC725" s="485"/>
      <c r="ED725" s="485"/>
      <c r="EE725" s="485"/>
      <c r="EF725" s="485"/>
      <c r="EG725" s="485"/>
      <c r="EH725" s="485"/>
      <c r="EI725" s="485"/>
      <c r="EJ725" s="485"/>
      <c r="EK725" s="485"/>
      <c r="EL725" s="485"/>
      <c r="EM725" s="485"/>
      <c r="EN725" s="485"/>
      <c r="EO725" s="485"/>
      <c r="EP725" s="485"/>
    </row>
    <row r="726" spans="1:146">
      <c r="A726" s="485"/>
      <c r="B726" s="485"/>
      <c r="C726" s="485"/>
      <c r="D726" s="485"/>
      <c r="E726" s="485"/>
      <c r="F726" s="485"/>
      <c r="G726" s="485"/>
      <c r="H726" s="485"/>
      <c r="I726" s="485"/>
      <c r="J726" s="485"/>
      <c r="K726" s="485"/>
      <c r="L726" s="485"/>
      <c r="M726" s="485"/>
      <c r="P726" s="485"/>
      <c r="Q726" s="485"/>
      <c r="R726" s="485"/>
      <c r="S726" s="485"/>
      <c r="T726" s="485"/>
      <c r="U726" s="485"/>
      <c r="V726" s="485"/>
      <c r="W726" s="485"/>
      <c r="X726" s="485"/>
      <c r="Y726" s="485"/>
      <c r="Z726" s="485"/>
      <c r="AA726" s="485"/>
      <c r="AB726" s="485"/>
      <c r="AC726" s="485"/>
      <c r="AD726" s="485"/>
      <c r="AE726" s="485"/>
      <c r="AF726" s="485"/>
      <c r="AG726" s="485"/>
      <c r="AH726" s="485"/>
      <c r="AI726" s="485"/>
      <c r="AJ726" s="485"/>
      <c r="AK726" s="485"/>
      <c r="AL726" s="485"/>
      <c r="AM726" s="485"/>
      <c r="AN726" s="485"/>
      <c r="AO726" s="485"/>
      <c r="AP726" s="485"/>
      <c r="AQ726" s="485"/>
      <c r="AR726" s="485"/>
      <c r="AS726" s="485"/>
      <c r="AT726" s="485"/>
      <c r="AU726" s="485"/>
      <c r="AV726" s="485"/>
      <c r="AW726" s="485"/>
      <c r="AX726" s="485"/>
      <c r="AY726" s="485"/>
      <c r="AZ726" s="485"/>
      <c r="BA726" s="485"/>
      <c r="BB726" s="485"/>
      <c r="BC726" s="485"/>
      <c r="BD726" s="485"/>
      <c r="BE726" s="485"/>
      <c r="BF726" s="485"/>
      <c r="BG726" s="485"/>
      <c r="BH726" s="485"/>
      <c r="BI726" s="485"/>
      <c r="BJ726" s="485"/>
      <c r="BK726" s="485"/>
      <c r="BL726" s="485"/>
      <c r="BM726" s="485"/>
      <c r="BN726" s="485"/>
      <c r="BO726" s="485"/>
      <c r="BP726" s="485"/>
      <c r="BQ726" s="485"/>
      <c r="BR726" s="485"/>
      <c r="BS726" s="485"/>
      <c r="BT726" s="485"/>
      <c r="BU726" s="485"/>
      <c r="BV726" s="485"/>
      <c r="BW726" s="485"/>
      <c r="BX726" s="485"/>
      <c r="BY726" s="485"/>
      <c r="BZ726" s="485"/>
      <c r="CA726" s="485"/>
      <c r="CB726" s="485"/>
      <c r="CC726" s="485"/>
      <c r="CD726" s="485"/>
      <c r="CE726" s="485"/>
      <c r="CF726" s="485"/>
      <c r="CG726" s="485"/>
      <c r="CH726" s="485"/>
      <c r="CI726" s="485"/>
      <c r="CJ726" s="485"/>
      <c r="CK726" s="485"/>
      <c r="CL726" s="485"/>
      <c r="CM726" s="485"/>
      <c r="CN726" s="485"/>
      <c r="CO726" s="485"/>
      <c r="CP726" s="485"/>
      <c r="CQ726" s="485"/>
      <c r="CR726" s="485"/>
      <c r="CS726" s="485"/>
      <c r="CT726" s="485"/>
      <c r="CU726" s="485"/>
      <c r="CV726" s="485"/>
      <c r="CW726" s="485"/>
      <c r="CX726" s="485"/>
      <c r="CY726" s="485"/>
      <c r="CZ726" s="485"/>
      <c r="DA726" s="485"/>
      <c r="DB726" s="485"/>
      <c r="DC726" s="485"/>
      <c r="DD726" s="485"/>
      <c r="DE726" s="485"/>
      <c r="DF726" s="485"/>
      <c r="DG726" s="485"/>
      <c r="DH726" s="485"/>
      <c r="DI726" s="485"/>
      <c r="DJ726" s="485"/>
      <c r="DK726" s="485"/>
      <c r="DL726" s="485"/>
      <c r="DM726" s="485"/>
      <c r="DN726" s="485"/>
      <c r="DO726" s="485"/>
      <c r="DP726" s="485"/>
      <c r="DQ726" s="485"/>
      <c r="DR726" s="485"/>
      <c r="DS726" s="485"/>
      <c r="DT726" s="485"/>
      <c r="DU726" s="485"/>
      <c r="DV726" s="485"/>
      <c r="DW726" s="485"/>
      <c r="DX726" s="485"/>
      <c r="DY726" s="485"/>
      <c r="DZ726" s="485"/>
      <c r="EA726" s="485"/>
      <c r="EB726" s="485"/>
      <c r="EC726" s="485"/>
      <c r="ED726" s="485"/>
      <c r="EE726" s="485"/>
      <c r="EF726" s="485"/>
      <c r="EG726" s="485"/>
      <c r="EH726" s="485"/>
      <c r="EI726" s="485"/>
      <c r="EJ726" s="485"/>
      <c r="EK726" s="485"/>
      <c r="EL726" s="485"/>
      <c r="EM726" s="485"/>
      <c r="EN726" s="485"/>
      <c r="EO726" s="485"/>
      <c r="EP726" s="485"/>
    </row>
    <row r="727" spans="1:146">
      <c r="A727" s="485"/>
      <c r="B727" s="485"/>
      <c r="C727" s="485"/>
      <c r="D727" s="485"/>
      <c r="E727" s="485"/>
      <c r="F727" s="485"/>
      <c r="G727" s="485"/>
      <c r="H727" s="485"/>
      <c r="I727" s="485"/>
      <c r="J727" s="485"/>
      <c r="K727" s="485"/>
      <c r="L727" s="485"/>
      <c r="M727" s="485"/>
      <c r="P727" s="485"/>
      <c r="Q727" s="485"/>
      <c r="R727" s="485"/>
      <c r="S727" s="485"/>
      <c r="T727" s="485"/>
      <c r="U727" s="485"/>
      <c r="V727" s="485"/>
      <c r="W727" s="485"/>
      <c r="X727" s="485"/>
      <c r="Y727" s="485"/>
      <c r="Z727" s="485"/>
      <c r="AA727" s="485"/>
      <c r="AB727" s="485"/>
      <c r="AC727" s="485"/>
      <c r="AD727" s="485"/>
      <c r="AE727" s="485"/>
      <c r="AF727" s="485"/>
      <c r="AG727" s="485"/>
      <c r="AH727" s="485"/>
      <c r="AI727" s="485"/>
      <c r="AJ727" s="485"/>
      <c r="AK727" s="485"/>
      <c r="AL727" s="485"/>
      <c r="AM727" s="485"/>
      <c r="AN727" s="485"/>
      <c r="AO727" s="485"/>
      <c r="AP727" s="485"/>
      <c r="AQ727" s="485"/>
      <c r="AR727" s="485"/>
      <c r="AS727" s="485"/>
      <c r="AT727" s="485"/>
      <c r="AU727" s="485"/>
      <c r="AV727" s="485"/>
      <c r="AW727" s="485"/>
      <c r="AX727" s="485"/>
      <c r="AY727" s="485"/>
      <c r="AZ727" s="485"/>
      <c r="BA727" s="485"/>
      <c r="BB727" s="485"/>
      <c r="BC727" s="485"/>
      <c r="BD727" s="485"/>
      <c r="BE727" s="485"/>
      <c r="BF727" s="485"/>
      <c r="BG727" s="485"/>
      <c r="BH727" s="485"/>
      <c r="BI727" s="485"/>
      <c r="BJ727" s="485"/>
      <c r="BK727" s="485"/>
      <c r="BL727" s="485"/>
      <c r="BM727" s="485"/>
      <c r="BN727" s="485"/>
      <c r="BO727" s="485"/>
      <c r="BP727" s="485"/>
      <c r="BQ727" s="485"/>
      <c r="BR727" s="485"/>
      <c r="BS727" s="485"/>
      <c r="BT727" s="485"/>
      <c r="BU727" s="485"/>
      <c r="BV727" s="485"/>
      <c r="BW727" s="485"/>
      <c r="BX727" s="485"/>
      <c r="BY727" s="485"/>
      <c r="BZ727" s="485"/>
      <c r="CA727" s="485"/>
      <c r="CB727" s="485"/>
      <c r="CC727" s="485"/>
      <c r="CD727" s="485"/>
      <c r="CE727" s="485"/>
      <c r="CF727" s="485"/>
      <c r="CG727" s="485"/>
      <c r="CH727" s="485"/>
      <c r="CI727" s="485"/>
      <c r="CJ727" s="485"/>
      <c r="CK727" s="485"/>
      <c r="CL727" s="485"/>
      <c r="CM727" s="485"/>
      <c r="CN727" s="485"/>
      <c r="CO727" s="485"/>
      <c r="CP727" s="485"/>
      <c r="CQ727" s="485"/>
      <c r="CR727" s="485"/>
      <c r="CS727" s="485"/>
      <c r="CT727" s="485"/>
      <c r="CU727" s="485"/>
      <c r="CV727" s="485"/>
      <c r="CW727" s="485"/>
      <c r="CX727" s="485"/>
      <c r="CY727" s="485"/>
      <c r="CZ727" s="485"/>
      <c r="DA727" s="485"/>
      <c r="DB727" s="485"/>
      <c r="DC727" s="485"/>
      <c r="DD727" s="485"/>
      <c r="DE727" s="485"/>
      <c r="DF727" s="485"/>
      <c r="DG727" s="485"/>
      <c r="DH727" s="485"/>
      <c r="DI727" s="485"/>
      <c r="DJ727" s="485"/>
      <c r="DK727" s="485"/>
      <c r="DL727" s="485"/>
      <c r="DM727" s="485"/>
      <c r="DN727" s="485"/>
      <c r="DO727" s="485"/>
      <c r="DP727" s="485"/>
      <c r="DQ727" s="485"/>
      <c r="DR727" s="485"/>
      <c r="DS727" s="485"/>
      <c r="DT727" s="485"/>
      <c r="DU727" s="485"/>
      <c r="DV727" s="485"/>
      <c r="DW727" s="485"/>
      <c r="DX727" s="485"/>
      <c r="DY727" s="485"/>
      <c r="DZ727" s="485"/>
      <c r="EA727" s="485"/>
      <c r="EB727" s="485"/>
      <c r="EC727" s="485"/>
      <c r="ED727" s="485"/>
      <c r="EE727" s="485"/>
      <c r="EF727" s="485"/>
      <c r="EG727" s="485"/>
      <c r="EH727" s="485"/>
      <c r="EI727" s="485"/>
      <c r="EJ727" s="485"/>
      <c r="EK727" s="485"/>
      <c r="EL727" s="485"/>
      <c r="EM727" s="485"/>
      <c r="EN727" s="485"/>
      <c r="EO727" s="485"/>
      <c r="EP727" s="485"/>
    </row>
    <row r="728" spans="1:146">
      <c r="A728" s="485"/>
      <c r="B728" s="485"/>
      <c r="C728" s="485"/>
      <c r="D728" s="485"/>
      <c r="E728" s="485"/>
      <c r="F728" s="485"/>
      <c r="G728" s="485"/>
      <c r="H728" s="485"/>
      <c r="I728" s="485"/>
      <c r="J728" s="485"/>
      <c r="K728" s="485"/>
      <c r="L728" s="485"/>
      <c r="M728" s="485"/>
      <c r="P728" s="485"/>
      <c r="Q728" s="485"/>
      <c r="R728" s="485"/>
      <c r="S728" s="485"/>
      <c r="T728" s="485"/>
      <c r="U728" s="485"/>
      <c r="V728" s="485"/>
      <c r="W728" s="485"/>
      <c r="X728" s="485"/>
      <c r="Y728" s="485"/>
      <c r="Z728" s="485"/>
      <c r="AA728" s="485"/>
      <c r="AB728" s="485"/>
      <c r="AC728" s="485"/>
      <c r="AD728" s="485"/>
      <c r="AE728" s="485"/>
      <c r="AF728" s="485"/>
      <c r="AG728" s="485"/>
      <c r="AH728" s="485"/>
      <c r="AI728" s="485"/>
      <c r="AJ728" s="485"/>
      <c r="AK728" s="485"/>
      <c r="AL728" s="485"/>
      <c r="AM728" s="485"/>
      <c r="AN728" s="485"/>
      <c r="AO728" s="485"/>
      <c r="AP728" s="485"/>
      <c r="AQ728" s="485"/>
      <c r="AR728" s="485"/>
      <c r="AS728" s="485"/>
      <c r="AT728" s="485"/>
      <c r="AU728" s="485"/>
      <c r="AV728" s="485"/>
      <c r="AW728" s="485"/>
      <c r="AX728" s="485"/>
      <c r="AY728" s="485"/>
      <c r="AZ728" s="485"/>
      <c r="BA728" s="485"/>
      <c r="BB728" s="485"/>
      <c r="BC728" s="485"/>
      <c r="BD728" s="485"/>
      <c r="BE728" s="485"/>
      <c r="BF728" s="485"/>
      <c r="BG728" s="485"/>
      <c r="BH728" s="485"/>
      <c r="BI728" s="485"/>
      <c r="BJ728" s="485"/>
      <c r="BK728" s="485"/>
      <c r="BL728" s="485"/>
      <c r="BM728" s="485"/>
      <c r="BN728" s="485"/>
      <c r="BO728" s="485"/>
      <c r="BP728" s="485"/>
      <c r="BQ728" s="485"/>
      <c r="BR728" s="485"/>
      <c r="BS728" s="485"/>
      <c r="BT728" s="485"/>
      <c r="BU728" s="485"/>
      <c r="BV728" s="485"/>
      <c r="BW728" s="485"/>
      <c r="BX728" s="485"/>
      <c r="BY728" s="485"/>
      <c r="BZ728" s="485"/>
      <c r="CA728" s="485"/>
      <c r="CB728" s="485"/>
      <c r="CC728" s="485"/>
      <c r="CD728" s="485"/>
      <c r="CE728" s="485"/>
      <c r="CF728" s="485"/>
      <c r="CG728" s="485"/>
      <c r="CH728" s="485"/>
      <c r="CI728" s="485"/>
      <c r="CJ728" s="485"/>
      <c r="CK728" s="485"/>
      <c r="CL728" s="485"/>
      <c r="CM728" s="485"/>
      <c r="CN728" s="485"/>
      <c r="CO728" s="485"/>
      <c r="CP728" s="485"/>
      <c r="CQ728" s="485"/>
      <c r="CR728" s="485"/>
      <c r="CS728" s="485"/>
      <c r="CT728" s="485"/>
      <c r="CU728" s="485"/>
      <c r="CV728" s="485"/>
      <c r="CW728" s="485"/>
      <c r="CX728" s="485"/>
      <c r="CY728" s="485"/>
      <c r="CZ728" s="485"/>
      <c r="DA728" s="485"/>
      <c r="DB728" s="485"/>
      <c r="DC728" s="485"/>
      <c r="DD728" s="485"/>
      <c r="DE728" s="485"/>
      <c r="DF728" s="485"/>
      <c r="DG728" s="485"/>
      <c r="DH728" s="485"/>
      <c r="DI728" s="485"/>
      <c r="DJ728" s="485"/>
      <c r="DK728" s="485"/>
      <c r="DL728" s="485"/>
      <c r="DM728" s="485"/>
      <c r="DN728" s="485"/>
      <c r="DO728" s="485"/>
      <c r="DP728" s="485"/>
      <c r="DQ728" s="485"/>
      <c r="DR728" s="485"/>
      <c r="DS728" s="485"/>
      <c r="DT728" s="485"/>
      <c r="DU728" s="485"/>
      <c r="DV728" s="485"/>
      <c r="DW728" s="485"/>
      <c r="DX728" s="485"/>
      <c r="DY728" s="485"/>
      <c r="DZ728" s="485"/>
      <c r="EA728" s="485"/>
      <c r="EB728" s="485"/>
      <c r="EC728" s="485"/>
      <c r="ED728" s="485"/>
      <c r="EE728" s="485"/>
      <c r="EF728" s="485"/>
      <c r="EG728" s="485"/>
      <c r="EH728" s="485"/>
      <c r="EI728" s="485"/>
      <c r="EJ728" s="485"/>
      <c r="EK728" s="485"/>
      <c r="EL728" s="485"/>
      <c r="EM728" s="485"/>
      <c r="EN728" s="485"/>
      <c r="EO728" s="485"/>
      <c r="EP728" s="485"/>
    </row>
    <row r="729" spans="1:146">
      <c r="A729" s="485"/>
      <c r="B729" s="485"/>
      <c r="C729" s="485"/>
      <c r="D729" s="485"/>
      <c r="E729" s="485"/>
      <c r="F729" s="485"/>
      <c r="G729" s="485"/>
      <c r="H729" s="485"/>
      <c r="I729" s="485"/>
      <c r="J729" s="485"/>
      <c r="K729" s="485"/>
      <c r="L729" s="485"/>
      <c r="M729" s="485"/>
      <c r="P729" s="485"/>
      <c r="Q729" s="485"/>
      <c r="R729" s="485"/>
      <c r="S729" s="485"/>
      <c r="T729" s="485"/>
      <c r="U729" s="485"/>
      <c r="V729" s="485"/>
      <c r="W729" s="485"/>
      <c r="X729" s="485"/>
      <c r="Y729" s="485"/>
      <c r="Z729" s="485"/>
      <c r="AA729" s="485"/>
      <c r="AB729" s="485"/>
      <c r="AC729" s="485"/>
      <c r="AD729" s="485"/>
      <c r="AE729" s="485"/>
      <c r="AF729" s="485"/>
      <c r="AG729" s="485"/>
      <c r="AH729" s="485"/>
      <c r="AI729" s="485"/>
      <c r="AJ729" s="485"/>
      <c r="AK729" s="485"/>
      <c r="AL729" s="485"/>
      <c r="AM729" s="485"/>
      <c r="AN729" s="485"/>
      <c r="AO729" s="485"/>
      <c r="AP729" s="485"/>
      <c r="AQ729" s="485"/>
      <c r="AR729" s="485"/>
      <c r="AS729" s="485"/>
      <c r="AT729" s="485"/>
      <c r="AU729" s="485"/>
      <c r="AV729" s="485"/>
      <c r="AW729" s="485"/>
      <c r="AX729" s="485"/>
      <c r="AY729" s="485"/>
      <c r="AZ729" s="485"/>
      <c r="BA729" s="485"/>
      <c r="BB729" s="485"/>
      <c r="BC729" s="485"/>
      <c r="BD729" s="485"/>
      <c r="BE729" s="485"/>
      <c r="BF729" s="485"/>
      <c r="BG729" s="485"/>
      <c r="BH729" s="485"/>
      <c r="BI729" s="485"/>
      <c r="BJ729" s="485"/>
      <c r="BK729" s="485"/>
      <c r="BL729" s="485"/>
      <c r="BM729" s="485"/>
      <c r="BN729" s="485"/>
      <c r="BO729" s="485"/>
      <c r="BP729" s="485"/>
      <c r="BQ729" s="485"/>
      <c r="BR729" s="485"/>
      <c r="BS729" s="485"/>
      <c r="BT729" s="485"/>
      <c r="BU729" s="485"/>
      <c r="BV729" s="485"/>
      <c r="BW729" s="485"/>
      <c r="BX729" s="485"/>
      <c r="BY729" s="485"/>
      <c r="BZ729" s="485"/>
      <c r="CA729" s="485"/>
      <c r="CB729" s="485"/>
      <c r="CC729" s="485"/>
      <c r="CD729" s="485"/>
      <c r="CE729" s="485"/>
      <c r="CF729" s="485"/>
      <c r="CG729" s="485"/>
      <c r="CH729" s="485"/>
      <c r="CI729" s="485"/>
      <c r="CJ729" s="485"/>
      <c r="CK729" s="485"/>
      <c r="CL729" s="485"/>
      <c r="CM729" s="485"/>
      <c r="CN729" s="485"/>
      <c r="CO729" s="485"/>
      <c r="CP729" s="485"/>
      <c r="CQ729" s="485"/>
      <c r="CR729" s="485"/>
      <c r="CS729" s="485"/>
      <c r="CT729" s="485"/>
      <c r="CU729" s="485"/>
      <c r="CV729" s="485"/>
      <c r="CW729" s="485"/>
      <c r="CX729" s="485"/>
      <c r="CY729" s="485"/>
      <c r="CZ729" s="485"/>
      <c r="DA729" s="485"/>
      <c r="DB729" s="485"/>
      <c r="DC729" s="485"/>
      <c r="DD729" s="485"/>
      <c r="DE729" s="485"/>
      <c r="DF729" s="485"/>
      <c r="DG729" s="485"/>
      <c r="DH729" s="485"/>
      <c r="DI729" s="485"/>
      <c r="DJ729" s="485"/>
      <c r="DK729" s="485"/>
      <c r="DL729" s="485"/>
      <c r="DM729" s="485"/>
      <c r="DN729" s="485"/>
      <c r="DO729" s="485"/>
      <c r="DP729" s="485"/>
      <c r="DQ729" s="485"/>
      <c r="DR729" s="485"/>
      <c r="DS729" s="485"/>
      <c r="DT729" s="485"/>
      <c r="DU729" s="485"/>
      <c r="DV729" s="485"/>
      <c r="DW729" s="485"/>
      <c r="DX729" s="485"/>
      <c r="DY729" s="485"/>
      <c r="DZ729" s="485"/>
      <c r="EA729" s="485"/>
      <c r="EB729" s="485"/>
      <c r="EC729" s="485"/>
      <c r="ED729" s="485"/>
      <c r="EE729" s="485"/>
      <c r="EF729" s="485"/>
      <c r="EG729" s="485"/>
      <c r="EH729" s="485"/>
      <c r="EI729" s="485"/>
      <c r="EJ729" s="485"/>
      <c r="EK729" s="485"/>
      <c r="EL729" s="485"/>
      <c r="EM729" s="485"/>
      <c r="EN729" s="485"/>
      <c r="EO729" s="485"/>
      <c r="EP729" s="485"/>
    </row>
    <row r="730" spans="1:146">
      <c r="A730" s="485"/>
      <c r="B730" s="485"/>
      <c r="C730" s="485"/>
      <c r="D730" s="485"/>
      <c r="E730" s="485"/>
      <c r="F730" s="485"/>
      <c r="G730" s="485"/>
      <c r="H730" s="485"/>
      <c r="I730" s="485"/>
      <c r="J730" s="485"/>
      <c r="K730" s="485"/>
      <c r="L730" s="485"/>
      <c r="M730" s="485"/>
      <c r="P730" s="485"/>
      <c r="Q730" s="485"/>
      <c r="R730" s="485"/>
      <c r="S730" s="485"/>
      <c r="T730" s="485"/>
      <c r="U730" s="485"/>
      <c r="V730" s="485"/>
      <c r="W730" s="485"/>
      <c r="X730" s="485"/>
      <c r="Y730" s="485"/>
      <c r="Z730" s="485"/>
      <c r="AA730" s="485"/>
      <c r="AB730" s="485"/>
      <c r="AC730" s="485"/>
      <c r="AD730" s="485"/>
      <c r="AE730" s="485"/>
      <c r="AF730" s="485"/>
      <c r="AG730" s="485"/>
      <c r="AH730" s="485"/>
      <c r="AI730" s="485"/>
      <c r="AJ730" s="485"/>
      <c r="AK730" s="485"/>
      <c r="AL730" s="485"/>
      <c r="AM730" s="485"/>
      <c r="AN730" s="485"/>
      <c r="AO730" s="485"/>
      <c r="AP730" s="485"/>
      <c r="AQ730" s="485"/>
      <c r="AR730" s="485"/>
      <c r="AS730" s="485"/>
      <c r="AT730" s="485"/>
      <c r="AU730" s="485"/>
      <c r="AV730" s="485"/>
      <c r="AW730" s="485"/>
      <c r="AX730" s="485"/>
      <c r="AY730" s="485"/>
      <c r="AZ730" s="485"/>
      <c r="BA730" s="485"/>
      <c r="BB730" s="485"/>
      <c r="BC730" s="485"/>
      <c r="BD730" s="485"/>
      <c r="BE730" s="485"/>
      <c r="BF730" s="485"/>
      <c r="BG730" s="485"/>
      <c r="BH730" s="485"/>
      <c r="BI730" s="485"/>
      <c r="BJ730" s="485"/>
      <c r="BK730" s="485"/>
      <c r="BL730" s="485"/>
      <c r="BM730" s="485"/>
      <c r="BN730" s="485"/>
      <c r="BO730" s="485"/>
      <c r="BP730" s="485"/>
      <c r="BQ730" s="485"/>
      <c r="BR730" s="485"/>
      <c r="BS730" s="485"/>
      <c r="BT730" s="485"/>
      <c r="BU730" s="485"/>
      <c r="BV730" s="485"/>
      <c r="BW730" s="485"/>
      <c r="BX730" s="485"/>
      <c r="BY730" s="485"/>
      <c r="BZ730" s="485"/>
      <c r="CA730" s="485"/>
      <c r="CB730" s="485"/>
      <c r="CC730" s="485"/>
      <c r="CD730" s="485"/>
      <c r="CE730" s="485"/>
      <c r="CF730" s="485"/>
      <c r="CG730" s="485"/>
      <c r="CH730" s="485"/>
      <c r="CI730" s="485"/>
      <c r="CJ730" s="485"/>
      <c r="CK730" s="485"/>
      <c r="CL730" s="485"/>
      <c r="CM730" s="485"/>
      <c r="CN730" s="485"/>
      <c r="CO730" s="485"/>
      <c r="CP730" s="485"/>
      <c r="CQ730" s="485"/>
      <c r="CR730" s="485"/>
      <c r="CS730" s="485"/>
      <c r="CT730" s="485"/>
      <c r="CU730" s="485"/>
      <c r="CV730" s="485"/>
      <c r="CW730" s="485"/>
      <c r="CX730" s="485"/>
      <c r="CY730" s="485"/>
      <c r="CZ730" s="485"/>
      <c r="DA730" s="485"/>
      <c r="DB730" s="485"/>
      <c r="DC730" s="485"/>
      <c r="DD730" s="485"/>
      <c r="DE730" s="485"/>
      <c r="DF730" s="485"/>
      <c r="DG730" s="485"/>
      <c r="DH730" s="485"/>
      <c r="DI730" s="485"/>
      <c r="DJ730" s="485"/>
      <c r="DK730" s="485"/>
      <c r="DL730" s="485"/>
      <c r="DM730" s="485"/>
      <c r="DN730" s="485"/>
      <c r="DO730" s="485"/>
      <c r="DP730" s="485"/>
      <c r="DQ730" s="485"/>
      <c r="DR730" s="485"/>
      <c r="DS730" s="485"/>
      <c r="DT730" s="485"/>
      <c r="DU730" s="485"/>
      <c r="DV730" s="485"/>
      <c r="DW730" s="485"/>
      <c r="DX730" s="485"/>
      <c r="DY730" s="485"/>
      <c r="DZ730" s="485"/>
      <c r="EA730" s="485"/>
      <c r="EB730" s="485"/>
      <c r="EC730" s="485"/>
      <c r="ED730" s="485"/>
      <c r="EE730" s="485"/>
      <c r="EF730" s="485"/>
      <c r="EG730" s="485"/>
      <c r="EH730" s="485"/>
      <c r="EI730" s="485"/>
      <c r="EJ730" s="485"/>
      <c r="EK730" s="485"/>
      <c r="EL730" s="485"/>
      <c r="EM730" s="485"/>
      <c r="EN730" s="485"/>
      <c r="EO730" s="485"/>
      <c r="EP730" s="485"/>
    </row>
    <row r="731" spans="1:146">
      <c r="A731" s="485"/>
      <c r="B731" s="485"/>
      <c r="C731" s="485"/>
      <c r="D731" s="485"/>
      <c r="E731" s="485"/>
      <c r="F731" s="485"/>
      <c r="G731" s="485"/>
      <c r="H731" s="485"/>
      <c r="I731" s="485"/>
      <c r="J731" s="485"/>
      <c r="K731" s="485"/>
      <c r="L731" s="485"/>
      <c r="M731" s="485"/>
      <c r="P731" s="485"/>
      <c r="Q731" s="485"/>
      <c r="R731" s="485"/>
      <c r="S731" s="485"/>
      <c r="T731" s="485"/>
      <c r="U731" s="485"/>
      <c r="V731" s="485"/>
      <c r="W731" s="485"/>
      <c r="X731" s="485"/>
      <c r="Y731" s="485"/>
      <c r="Z731" s="485"/>
      <c r="AA731" s="485"/>
      <c r="AB731" s="485"/>
      <c r="AC731" s="485"/>
      <c r="AD731" s="485"/>
      <c r="AE731" s="485"/>
      <c r="AF731" s="485"/>
      <c r="AG731" s="485"/>
      <c r="AH731" s="485"/>
      <c r="AI731" s="485"/>
      <c r="AJ731" s="485"/>
      <c r="AK731" s="485"/>
      <c r="AL731" s="485"/>
      <c r="AM731" s="485"/>
      <c r="AN731" s="485"/>
      <c r="AO731" s="485"/>
      <c r="AP731" s="485"/>
      <c r="AQ731" s="485"/>
      <c r="AR731" s="485"/>
      <c r="AS731" s="485"/>
      <c r="AT731" s="485"/>
      <c r="AU731" s="485"/>
      <c r="AV731" s="485"/>
      <c r="AW731" s="485"/>
      <c r="AX731" s="485"/>
      <c r="AY731" s="485"/>
      <c r="AZ731" s="485"/>
      <c r="BA731" s="485"/>
      <c r="BB731" s="485"/>
      <c r="BC731" s="485"/>
      <c r="BD731" s="485"/>
      <c r="BE731" s="485"/>
      <c r="BF731" s="485"/>
      <c r="BG731" s="485"/>
      <c r="BH731" s="485"/>
      <c r="BI731" s="485"/>
      <c r="BJ731" s="485"/>
      <c r="BK731" s="485"/>
      <c r="BL731" s="485"/>
      <c r="BM731" s="485"/>
      <c r="BN731" s="485"/>
      <c r="BO731" s="485"/>
      <c r="BP731" s="485"/>
      <c r="BQ731" s="485"/>
      <c r="BR731" s="485"/>
      <c r="BS731" s="485"/>
      <c r="BT731" s="485"/>
      <c r="BU731" s="485"/>
      <c r="BV731" s="485"/>
      <c r="BW731" s="485"/>
      <c r="BX731" s="485"/>
      <c r="BY731" s="485"/>
      <c r="BZ731" s="485"/>
      <c r="CA731" s="485"/>
      <c r="CB731" s="485"/>
      <c r="CC731" s="485"/>
      <c r="CD731" s="485"/>
      <c r="CE731" s="485"/>
      <c r="CF731" s="485"/>
      <c r="CG731" s="485"/>
      <c r="CH731" s="485"/>
      <c r="CI731" s="485"/>
      <c r="CJ731" s="485"/>
      <c r="CK731" s="485"/>
      <c r="CL731" s="485"/>
      <c r="CM731" s="485"/>
      <c r="CN731" s="485"/>
      <c r="CO731" s="485"/>
      <c r="CP731" s="485"/>
      <c r="CQ731" s="485"/>
      <c r="CR731" s="485"/>
      <c r="CS731" s="485"/>
      <c r="CT731" s="485"/>
      <c r="CU731" s="485"/>
      <c r="CV731" s="485"/>
      <c r="CW731" s="485"/>
      <c r="CX731" s="485"/>
      <c r="CY731" s="485"/>
      <c r="CZ731" s="485"/>
      <c r="DA731" s="485"/>
      <c r="DB731" s="485"/>
      <c r="DC731" s="485"/>
      <c r="DD731" s="485"/>
      <c r="DE731" s="485"/>
      <c r="DF731" s="485"/>
      <c r="DG731" s="485"/>
      <c r="DH731" s="485"/>
      <c r="DI731" s="485"/>
      <c r="DJ731" s="485"/>
      <c r="DK731" s="485"/>
      <c r="DL731" s="485"/>
      <c r="DM731" s="485"/>
      <c r="DN731" s="485"/>
      <c r="DO731" s="485"/>
      <c r="DP731" s="485"/>
      <c r="DQ731" s="485"/>
      <c r="DR731" s="485"/>
      <c r="DS731" s="485"/>
      <c r="DT731" s="485"/>
      <c r="DU731" s="485"/>
      <c r="DV731" s="485"/>
      <c r="DW731" s="485"/>
      <c r="DX731" s="485"/>
      <c r="DY731" s="485"/>
      <c r="DZ731" s="485"/>
      <c r="EA731" s="485"/>
      <c r="EB731" s="485"/>
      <c r="EC731" s="485"/>
      <c r="ED731" s="485"/>
      <c r="EE731" s="485"/>
      <c r="EF731" s="485"/>
      <c r="EG731" s="485"/>
      <c r="EH731" s="485"/>
      <c r="EI731" s="485"/>
      <c r="EJ731" s="485"/>
      <c r="EK731" s="485"/>
      <c r="EL731" s="485"/>
      <c r="EM731" s="485"/>
      <c r="EN731" s="485"/>
      <c r="EO731" s="485"/>
      <c r="EP731" s="485"/>
    </row>
    <row r="732" spans="1:146">
      <c r="A732" s="485"/>
      <c r="B732" s="485"/>
      <c r="C732" s="485"/>
      <c r="D732" s="485"/>
      <c r="E732" s="485"/>
      <c r="F732" s="485"/>
      <c r="G732" s="485"/>
      <c r="H732" s="485"/>
      <c r="I732" s="485"/>
      <c r="J732" s="485"/>
      <c r="K732" s="485"/>
      <c r="L732" s="485"/>
      <c r="M732" s="485"/>
      <c r="P732" s="485"/>
      <c r="Q732" s="485"/>
      <c r="R732" s="485"/>
      <c r="S732" s="485"/>
      <c r="T732" s="485"/>
      <c r="U732" s="485"/>
      <c r="V732" s="485"/>
      <c r="W732" s="485"/>
      <c r="X732" s="485"/>
      <c r="Y732" s="485"/>
      <c r="Z732" s="485"/>
      <c r="AA732" s="485"/>
      <c r="AB732" s="485"/>
      <c r="AC732" s="485"/>
      <c r="AD732" s="485"/>
      <c r="AE732" s="485"/>
      <c r="AF732" s="485"/>
      <c r="AG732" s="485"/>
      <c r="AH732" s="485"/>
      <c r="AI732" s="485"/>
      <c r="AJ732" s="485"/>
      <c r="AK732" s="485"/>
      <c r="AL732" s="485"/>
      <c r="AM732" s="485"/>
      <c r="AN732" s="485"/>
      <c r="AO732" s="485"/>
      <c r="AP732" s="485"/>
      <c r="AQ732" s="485"/>
      <c r="AR732" s="485"/>
      <c r="AS732" s="485"/>
      <c r="AT732" s="485"/>
      <c r="AU732" s="485"/>
      <c r="AV732" s="485"/>
      <c r="AW732" s="485"/>
      <c r="AX732" s="485"/>
      <c r="AY732" s="485"/>
      <c r="AZ732" s="485"/>
      <c r="BA732" s="485"/>
      <c r="BB732" s="485"/>
      <c r="BC732" s="485"/>
      <c r="BD732" s="485"/>
      <c r="BE732" s="485"/>
      <c r="BF732" s="485"/>
      <c r="BG732" s="485"/>
      <c r="BH732" s="485"/>
      <c r="BI732" s="485"/>
      <c r="BJ732" s="485"/>
      <c r="BK732" s="485"/>
      <c r="BL732" s="485"/>
      <c r="BM732" s="485"/>
      <c r="BN732" s="485"/>
      <c r="BO732" s="485"/>
      <c r="BP732" s="485"/>
      <c r="BQ732" s="485"/>
      <c r="BR732" s="485"/>
      <c r="BS732" s="485"/>
      <c r="BT732" s="485"/>
      <c r="BU732" s="485"/>
      <c r="BV732" s="485"/>
      <c r="BW732" s="485"/>
      <c r="BX732" s="485"/>
      <c r="BY732" s="485"/>
      <c r="BZ732" s="485"/>
      <c r="CA732" s="485"/>
      <c r="CB732" s="485"/>
      <c r="CC732" s="485"/>
      <c r="CD732" s="485"/>
      <c r="CE732" s="485"/>
      <c r="CF732" s="485"/>
      <c r="CG732" s="485"/>
      <c r="CH732" s="485"/>
      <c r="CI732" s="485"/>
      <c r="CJ732" s="485"/>
      <c r="CK732" s="485"/>
      <c r="CL732" s="485"/>
      <c r="CM732" s="485"/>
      <c r="CN732" s="485"/>
      <c r="CO732" s="485"/>
      <c r="CP732" s="485"/>
      <c r="CQ732" s="485"/>
      <c r="CR732" s="485"/>
      <c r="CS732" s="485"/>
      <c r="CT732" s="485"/>
      <c r="CU732" s="485"/>
      <c r="CV732" s="485"/>
      <c r="CW732" s="485"/>
      <c r="CX732" s="485"/>
      <c r="CY732" s="485"/>
      <c r="CZ732" s="485"/>
      <c r="DA732" s="485"/>
      <c r="DB732" s="485"/>
      <c r="DC732" s="485"/>
      <c r="DD732" s="485"/>
      <c r="DE732" s="485"/>
      <c r="DF732" s="485"/>
      <c r="DG732" s="485"/>
      <c r="DH732" s="485"/>
      <c r="DI732" s="485"/>
      <c r="DJ732" s="485"/>
      <c r="DK732" s="485"/>
      <c r="DL732" s="485"/>
      <c r="DM732" s="485"/>
      <c r="DN732" s="485"/>
      <c r="DO732" s="485"/>
      <c r="DP732" s="485"/>
      <c r="DQ732" s="485"/>
      <c r="DR732" s="485"/>
      <c r="DS732" s="485"/>
      <c r="DT732" s="485"/>
      <c r="DU732" s="485"/>
      <c r="DV732" s="485"/>
      <c r="DW732" s="485"/>
      <c r="DX732" s="485"/>
      <c r="DY732" s="485"/>
      <c r="DZ732" s="485"/>
      <c r="EA732" s="485"/>
      <c r="EB732" s="485"/>
      <c r="EC732" s="485"/>
      <c r="ED732" s="485"/>
      <c r="EE732" s="485"/>
      <c r="EF732" s="485"/>
      <c r="EG732" s="485"/>
      <c r="EH732" s="485"/>
      <c r="EI732" s="485"/>
      <c r="EJ732" s="485"/>
      <c r="EK732" s="485"/>
      <c r="EL732" s="485"/>
      <c r="EM732" s="485"/>
      <c r="EN732" s="485"/>
      <c r="EO732" s="485"/>
      <c r="EP732" s="485"/>
    </row>
    <row r="733" spans="1:146">
      <c r="A733" s="485"/>
      <c r="B733" s="485"/>
      <c r="C733" s="485"/>
      <c r="D733" s="485"/>
      <c r="E733" s="485"/>
      <c r="F733" s="485"/>
      <c r="G733" s="485"/>
      <c r="H733" s="485"/>
      <c r="I733" s="485"/>
      <c r="J733" s="485"/>
      <c r="K733" s="485"/>
      <c r="L733" s="485"/>
      <c r="M733" s="485"/>
      <c r="P733" s="485"/>
      <c r="Q733" s="485"/>
      <c r="R733" s="485"/>
      <c r="S733" s="485"/>
      <c r="T733" s="485"/>
      <c r="U733" s="485"/>
      <c r="V733" s="485"/>
      <c r="W733" s="485"/>
      <c r="X733" s="485"/>
      <c r="Y733" s="485"/>
      <c r="Z733" s="485"/>
      <c r="AA733" s="485"/>
      <c r="AB733" s="485"/>
      <c r="AC733" s="485"/>
      <c r="AD733" s="485"/>
      <c r="AE733" s="485"/>
      <c r="AF733" s="485"/>
      <c r="AG733" s="485"/>
      <c r="AH733" s="485"/>
      <c r="AI733" s="485"/>
      <c r="AJ733" s="485"/>
      <c r="AK733" s="485"/>
      <c r="AL733" s="485"/>
      <c r="AM733" s="485"/>
      <c r="AN733" s="485"/>
      <c r="AO733" s="485"/>
      <c r="AP733" s="485"/>
      <c r="AQ733" s="485"/>
      <c r="AR733" s="485"/>
      <c r="AS733" s="485"/>
      <c r="AT733" s="485"/>
      <c r="AU733" s="485"/>
      <c r="AV733" s="485"/>
      <c r="AW733" s="485"/>
      <c r="AX733" s="485"/>
      <c r="AY733" s="485"/>
      <c r="AZ733" s="485"/>
      <c r="BA733" s="485"/>
      <c r="BB733" s="485"/>
      <c r="BC733" s="485"/>
      <c r="BD733" s="485"/>
      <c r="BE733" s="485"/>
      <c r="BF733" s="485"/>
      <c r="BG733" s="485"/>
      <c r="BH733" s="485"/>
      <c r="BI733" s="485"/>
      <c r="BJ733" s="485"/>
      <c r="BK733" s="485"/>
      <c r="BL733" s="485"/>
      <c r="BM733" s="485"/>
      <c r="BN733" s="485"/>
      <c r="BO733" s="485"/>
      <c r="BP733" s="485"/>
      <c r="BQ733" s="485"/>
      <c r="BR733" s="485"/>
      <c r="BS733" s="485"/>
      <c r="BT733" s="485"/>
      <c r="BU733" s="485"/>
      <c r="BV733" s="485"/>
      <c r="BW733" s="485"/>
      <c r="BX733" s="485"/>
      <c r="BY733" s="485"/>
      <c r="BZ733" s="485"/>
      <c r="CA733" s="485"/>
      <c r="CB733" s="485"/>
      <c r="CC733" s="485"/>
      <c r="CD733" s="485"/>
      <c r="CE733" s="485"/>
      <c r="CF733" s="485"/>
      <c r="CG733" s="485"/>
      <c r="CH733" s="485"/>
      <c r="CI733" s="485"/>
      <c r="CJ733" s="485"/>
      <c r="CK733" s="485"/>
      <c r="CL733" s="485"/>
      <c r="CM733" s="485"/>
      <c r="CN733" s="485"/>
      <c r="CO733" s="485"/>
      <c r="CP733" s="485"/>
      <c r="CQ733" s="485"/>
      <c r="CR733" s="485"/>
      <c r="CS733" s="485"/>
      <c r="CT733" s="485"/>
      <c r="CU733" s="485"/>
      <c r="CV733" s="485"/>
      <c r="CW733" s="485"/>
      <c r="CX733" s="485"/>
      <c r="CY733" s="485"/>
      <c r="CZ733" s="485"/>
      <c r="DA733" s="485"/>
      <c r="DB733" s="485"/>
      <c r="DC733" s="485"/>
      <c r="DD733" s="485"/>
      <c r="DE733" s="485"/>
      <c r="DF733" s="485"/>
      <c r="DG733" s="485"/>
      <c r="DH733" s="485"/>
      <c r="DI733" s="485"/>
      <c r="DJ733" s="485"/>
      <c r="DK733" s="485"/>
      <c r="DL733" s="485"/>
      <c r="DM733" s="485"/>
      <c r="DN733" s="485"/>
      <c r="DO733" s="485"/>
      <c r="DP733" s="485"/>
      <c r="DQ733" s="485"/>
      <c r="DR733" s="485"/>
      <c r="DS733" s="485"/>
      <c r="DT733" s="485"/>
      <c r="DU733" s="485"/>
      <c r="DV733" s="485"/>
      <c r="DW733" s="485"/>
      <c r="DX733" s="485"/>
      <c r="DY733" s="485"/>
      <c r="DZ733" s="485"/>
      <c r="EA733" s="485"/>
      <c r="EB733" s="485"/>
      <c r="EC733" s="485"/>
      <c r="ED733" s="485"/>
      <c r="EE733" s="485"/>
      <c r="EF733" s="485"/>
      <c r="EG733" s="485"/>
      <c r="EH733" s="485"/>
      <c r="EI733" s="485"/>
      <c r="EJ733" s="485"/>
      <c r="EK733" s="485"/>
      <c r="EL733" s="485"/>
      <c r="EM733" s="485"/>
      <c r="EN733" s="485"/>
      <c r="EO733" s="485"/>
      <c r="EP733" s="485"/>
    </row>
    <row r="734" spans="1:146">
      <c r="A734" s="485"/>
      <c r="B734" s="485"/>
      <c r="C734" s="485"/>
      <c r="D734" s="485"/>
      <c r="E734" s="485"/>
      <c r="F734" s="485"/>
      <c r="G734" s="485"/>
      <c r="H734" s="485"/>
      <c r="I734" s="485"/>
      <c r="J734" s="485"/>
      <c r="K734" s="485"/>
      <c r="L734" s="485"/>
      <c r="M734" s="485"/>
      <c r="P734" s="485"/>
      <c r="Q734" s="485"/>
      <c r="R734" s="485"/>
      <c r="S734" s="485"/>
      <c r="T734" s="485"/>
      <c r="U734" s="485"/>
      <c r="V734" s="485"/>
      <c r="W734" s="485"/>
      <c r="X734" s="485"/>
      <c r="Y734" s="485"/>
      <c r="Z734" s="485"/>
      <c r="AA734" s="485"/>
      <c r="AB734" s="485"/>
      <c r="AC734" s="485"/>
      <c r="AD734" s="485"/>
      <c r="AE734" s="485"/>
      <c r="AF734" s="485"/>
      <c r="AG734" s="485"/>
      <c r="AH734" s="485"/>
      <c r="AI734" s="485"/>
      <c r="AJ734" s="485"/>
      <c r="AK734" s="485"/>
      <c r="AL734" s="485"/>
      <c r="AM734" s="485"/>
      <c r="AN734" s="485"/>
      <c r="AO734" s="485"/>
      <c r="AP734" s="485"/>
      <c r="AQ734" s="485"/>
      <c r="AR734" s="485"/>
      <c r="AS734" s="485"/>
      <c r="AT734" s="485"/>
      <c r="AU734" s="485"/>
      <c r="AV734" s="485"/>
      <c r="AW734" s="485"/>
      <c r="AX734" s="485"/>
      <c r="AY734" s="485"/>
      <c r="AZ734" s="485"/>
      <c r="BA734" s="485"/>
      <c r="BB734" s="485"/>
      <c r="BC734" s="485"/>
      <c r="BD734" s="485"/>
      <c r="BE734" s="485"/>
      <c r="BF734" s="485"/>
      <c r="BG734" s="485"/>
      <c r="BH734" s="485"/>
      <c r="BI734" s="485"/>
      <c r="BJ734" s="485"/>
      <c r="BK734" s="485"/>
      <c r="BL734" s="485"/>
      <c r="BM734" s="485"/>
      <c r="BN734" s="485"/>
      <c r="BO734" s="485"/>
      <c r="BP734" s="485"/>
      <c r="BQ734" s="485"/>
      <c r="BR734" s="485"/>
      <c r="BS734" s="485"/>
      <c r="BT734" s="485"/>
      <c r="BU734" s="485"/>
      <c r="BV734" s="485"/>
      <c r="BW734" s="485"/>
      <c r="BX734" s="485"/>
      <c r="BY734" s="485"/>
      <c r="BZ734" s="485"/>
      <c r="CA734" s="485"/>
      <c r="CB734" s="485"/>
      <c r="CC734" s="485"/>
      <c r="CD734" s="485"/>
      <c r="CE734" s="485"/>
      <c r="CF734" s="485"/>
      <c r="CG734" s="485"/>
      <c r="CH734" s="485"/>
      <c r="CI734" s="485"/>
      <c r="CJ734" s="485"/>
      <c r="CK734" s="485"/>
      <c r="CL734" s="485"/>
      <c r="CM734" s="485"/>
      <c r="CN734" s="485"/>
      <c r="CO734" s="485"/>
      <c r="CP734" s="485"/>
      <c r="CQ734" s="485"/>
      <c r="CR734" s="485"/>
      <c r="CS734" s="485"/>
      <c r="CT734" s="485"/>
      <c r="CU734" s="485"/>
      <c r="CV734" s="485"/>
      <c r="CW734" s="485"/>
      <c r="CX734" s="485"/>
      <c r="CY734" s="485"/>
      <c r="CZ734" s="485"/>
      <c r="DA734" s="485"/>
      <c r="DB734" s="485"/>
      <c r="DC734" s="485"/>
      <c r="DD734" s="485"/>
      <c r="DE734" s="485"/>
      <c r="DF734" s="485"/>
      <c r="DG734" s="485"/>
      <c r="DH734" s="485"/>
      <c r="DI734" s="485"/>
      <c r="DJ734" s="485"/>
      <c r="DK734" s="485"/>
      <c r="DL734" s="485"/>
      <c r="DM734" s="485"/>
      <c r="DN734" s="485"/>
      <c r="DO734" s="485"/>
      <c r="DP734" s="485"/>
      <c r="DQ734" s="485"/>
      <c r="DR734" s="485"/>
      <c r="DS734" s="485"/>
      <c r="DT734" s="485"/>
      <c r="DU734" s="485"/>
      <c r="DV734" s="485"/>
      <c r="DW734" s="485"/>
      <c r="DX734" s="485"/>
      <c r="DY734" s="485"/>
      <c r="DZ734" s="485"/>
      <c r="EA734" s="485"/>
      <c r="EB734" s="485"/>
      <c r="EC734" s="485"/>
      <c r="ED734" s="485"/>
      <c r="EE734" s="485"/>
      <c r="EF734" s="485"/>
      <c r="EG734" s="485"/>
      <c r="EH734" s="485"/>
      <c r="EI734" s="485"/>
      <c r="EJ734" s="485"/>
      <c r="EK734" s="485"/>
      <c r="EL734" s="485"/>
      <c r="EM734" s="485"/>
      <c r="EN734" s="485"/>
      <c r="EO734" s="485"/>
      <c r="EP734" s="485"/>
    </row>
    <row r="735" spans="1:146">
      <c r="A735" s="485"/>
      <c r="B735" s="485"/>
      <c r="C735" s="485"/>
      <c r="D735" s="485"/>
      <c r="E735" s="485"/>
      <c r="F735" s="485"/>
      <c r="G735" s="485"/>
      <c r="H735" s="485"/>
      <c r="I735" s="485"/>
      <c r="J735" s="485"/>
      <c r="K735" s="485"/>
      <c r="L735" s="485"/>
      <c r="M735" s="485"/>
      <c r="P735" s="485"/>
      <c r="Q735" s="485"/>
      <c r="R735" s="485"/>
      <c r="S735" s="485"/>
      <c r="T735" s="485"/>
      <c r="U735" s="485"/>
      <c r="V735" s="485"/>
      <c r="W735" s="485"/>
      <c r="X735" s="485"/>
      <c r="Y735" s="485"/>
      <c r="Z735" s="485"/>
      <c r="AA735" s="485"/>
      <c r="AB735" s="485"/>
      <c r="AC735" s="485"/>
      <c r="AD735" s="485"/>
      <c r="AE735" s="485"/>
      <c r="AF735" s="485"/>
      <c r="AG735" s="485"/>
      <c r="AH735" s="485"/>
      <c r="AI735" s="485"/>
      <c r="AJ735" s="485"/>
      <c r="AK735" s="485"/>
      <c r="AL735" s="485"/>
      <c r="AM735" s="485"/>
      <c r="AN735" s="485"/>
      <c r="AO735" s="485"/>
      <c r="AP735" s="485"/>
      <c r="AQ735" s="485"/>
      <c r="AR735" s="485"/>
      <c r="AS735" s="485"/>
      <c r="AT735" s="485"/>
      <c r="AU735" s="485"/>
      <c r="AV735" s="485"/>
      <c r="AW735" s="485"/>
      <c r="AX735" s="485"/>
      <c r="AY735" s="485"/>
      <c r="AZ735" s="485"/>
      <c r="BA735" s="485"/>
      <c r="BB735" s="485"/>
      <c r="BC735" s="485"/>
      <c r="BD735" s="485"/>
      <c r="BE735" s="485"/>
      <c r="BF735" s="485"/>
      <c r="BG735" s="485"/>
      <c r="BH735" s="485"/>
      <c r="BI735" s="485"/>
      <c r="BJ735" s="485"/>
      <c r="BK735" s="485"/>
      <c r="BL735" s="485"/>
      <c r="BM735" s="485"/>
      <c r="BN735" s="485"/>
      <c r="BO735" s="485"/>
      <c r="BP735" s="485"/>
      <c r="BQ735" s="485"/>
      <c r="BR735" s="485"/>
      <c r="BS735" s="485"/>
      <c r="BT735" s="485"/>
      <c r="BU735" s="485"/>
      <c r="BV735" s="485"/>
      <c r="BW735" s="485"/>
      <c r="BX735" s="485"/>
      <c r="BY735" s="485"/>
      <c r="BZ735" s="485"/>
      <c r="CA735" s="485"/>
      <c r="CB735" s="485"/>
      <c r="CC735" s="485"/>
      <c r="CD735" s="485"/>
      <c r="CE735" s="485"/>
      <c r="CF735" s="485"/>
      <c r="CG735" s="485"/>
      <c r="CH735" s="485"/>
      <c r="CI735" s="485"/>
      <c r="CJ735" s="485"/>
      <c r="CK735" s="485"/>
      <c r="CL735" s="485"/>
      <c r="CM735" s="485"/>
      <c r="CN735" s="485"/>
      <c r="CO735" s="485"/>
      <c r="CP735" s="485"/>
      <c r="CQ735" s="485"/>
      <c r="CR735" s="485"/>
      <c r="CS735" s="485"/>
      <c r="CT735" s="485"/>
      <c r="CU735" s="485"/>
      <c r="CV735" s="485"/>
      <c r="CW735" s="485"/>
      <c r="CX735" s="485"/>
      <c r="CY735" s="485"/>
      <c r="CZ735" s="485"/>
      <c r="DA735" s="485"/>
      <c r="DB735" s="485"/>
      <c r="DC735" s="485"/>
      <c r="DD735" s="485"/>
      <c r="DE735" s="485"/>
      <c r="DF735" s="485"/>
      <c r="DG735" s="485"/>
      <c r="DH735" s="485"/>
      <c r="DI735" s="485"/>
      <c r="DJ735" s="485"/>
      <c r="DK735" s="485"/>
      <c r="DL735" s="485"/>
      <c r="DM735" s="485"/>
      <c r="DN735" s="485"/>
      <c r="DO735" s="485"/>
      <c r="DP735" s="485"/>
      <c r="DQ735" s="485"/>
      <c r="DR735" s="485"/>
      <c r="DS735" s="485"/>
      <c r="DT735" s="485"/>
      <c r="DU735" s="485"/>
      <c r="DV735" s="485"/>
      <c r="DW735" s="485"/>
      <c r="DX735" s="485"/>
      <c r="DY735" s="485"/>
      <c r="DZ735" s="485"/>
      <c r="EA735" s="485"/>
      <c r="EB735" s="485"/>
      <c r="EC735" s="485"/>
      <c r="ED735" s="485"/>
      <c r="EE735" s="485"/>
      <c r="EF735" s="485"/>
      <c r="EG735" s="485"/>
      <c r="EH735" s="485"/>
      <c r="EI735" s="485"/>
      <c r="EJ735" s="485"/>
      <c r="EK735" s="485"/>
      <c r="EL735" s="485"/>
      <c r="EM735" s="485"/>
      <c r="EN735" s="485"/>
      <c r="EO735" s="485"/>
      <c r="EP735" s="485"/>
    </row>
    <row r="736" spans="1:146">
      <c r="A736" s="485"/>
      <c r="B736" s="485"/>
      <c r="C736" s="485"/>
      <c r="D736" s="485"/>
      <c r="E736" s="485"/>
      <c r="F736" s="485"/>
      <c r="G736" s="485"/>
      <c r="H736" s="485"/>
      <c r="I736" s="485"/>
      <c r="J736" s="485"/>
      <c r="K736" s="485"/>
      <c r="L736" s="485"/>
      <c r="M736" s="485"/>
      <c r="P736" s="485"/>
      <c r="Q736" s="485"/>
      <c r="R736" s="485"/>
      <c r="S736" s="485"/>
      <c r="T736" s="485"/>
      <c r="U736" s="485"/>
      <c r="V736" s="485"/>
      <c r="W736" s="485"/>
      <c r="X736" s="485"/>
      <c r="Y736" s="485"/>
      <c r="Z736" s="485"/>
      <c r="AA736" s="485"/>
      <c r="AB736" s="485"/>
      <c r="AC736" s="485"/>
      <c r="AD736" s="485"/>
      <c r="AE736" s="485"/>
      <c r="AF736" s="485"/>
      <c r="AG736" s="485"/>
      <c r="AH736" s="485"/>
      <c r="AI736" s="485"/>
      <c r="AJ736" s="485"/>
      <c r="AK736" s="485"/>
      <c r="AL736" s="485"/>
      <c r="AM736" s="485"/>
      <c r="AN736" s="485"/>
      <c r="AO736" s="485"/>
      <c r="AP736" s="485"/>
      <c r="AQ736" s="485"/>
      <c r="AR736" s="485"/>
      <c r="AS736" s="485"/>
      <c r="AT736" s="485"/>
      <c r="AU736" s="485"/>
      <c r="AV736" s="485"/>
      <c r="AW736" s="485"/>
      <c r="AX736" s="485"/>
      <c r="AY736" s="485"/>
      <c r="AZ736" s="485"/>
      <c r="BA736" s="485"/>
      <c r="BB736" s="485"/>
      <c r="BC736" s="485"/>
      <c r="BD736" s="485"/>
      <c r="BE736" s="485"/>
      <c r="BF736" s="485"/>
      <c r="BG736" s="485"/>
      <c r="BH736" s="485"/>
      <c r="BI736" s="485"/>
      <c r="BJ736" s="485"/>
      <c r="BK736" s="485"/>
      <c r="BL736" s="485"/>
      <c r="BM736" s="485"/>
      <c r="BN736" s="485"/>
      <c r="BO736" s="485"/>
      <c r="BP736" s="485"/>
      <c r="BQ736" s="485"/>
      <c r="BR736" s="485"/>
      <c r="BS736" s="485"/>
      <c r="BT736" s="485"/>
      <c r="BU736" s="485"/>
      <c r="BV736" s="485"/>
      <c r="BW736" s="485"/>
      <c r="BX736" s="485"/>
      <c r="BY736" s="485"/>
      <c r="BZ736" s="485"/>
      <c r="CA736" s="485"/>
      <c r="CB736" s="485"/>
      <c r="CC736" s="485"/>
      <c r="CD736" s="485"/>
      <c r="CE736" s="485"/>
      <c r="CF736" s="485"/>
      <c r="CG736" s="485"/>
      <c r="CH736" s="485"/>
      <c r="CI736" s="485"/>
      <c r="CJ736" s="485"/>
      <c r="CK736" s="485"/>
      <c r="CL736" s="485"/>
      <c r="CM736" s="485"/>
      <c r="CN736" s="485"/>
      <c r="CO736" s="485"/>
      <c r="CP736" s="485"/>
      <c r="CQ736" s="485"/>
      <c r="CR736" s="485"/>
      <c r="CS736" s="485"/>
      <c r="CT736" s="485"/>
      <c r="CU736" s="485"/>
      <c r="CV736" s="485"/>
      <c r="CW736" s="485"/>
      <c r="CX736" s="485"/>
      <c r="CY736" s="485"/>
      <c r="CZ736" s="485"/>
      <c r="DA736" s="485"/>
      <c r="DB736" s="485"/>
      <c r="DC736" s="485"/>
      <c r="DD736" s="485"/>
      <c r="DE736" s="485"/>
      <c r="DF736" s="485"/>
      <c r="DG736" s="485"/>
      <c r="DH736" s="485"/>
      <c r="DI736" s="485"/>
      <c r="DJ736" s="485"/>
      <c r="DK736" s="485"/>
      <c r="DL736" s="485"/>
      <c r="DM736" s="485"/>
      <c r="DN736" s="485"/>
      <c r="DO736" s="485"/>
      <c r="DP736" s="485"/>
      <c r="DQ736" s="485"/>
      <c r="DR736" s="485"/>
      <c r="DS736" s="485"/>
      <c r="DT736" s="485"/>
      <c r="DU736" s="485"/>
      <c r="DV736" s="485"/>
      <c r="DW736" s="485"/>
      <c r="DX736" s="485"/>
      <c r="DY736" s="485"/>
      <c r="DZ736" s="485"/>
      <c r="EA736" s="485"/>
      <c r="EB736" s="485"/>
      <c r="EC736" s="485"/>
      <c r="ED736" s="485"/>
      <c r="EE736" s="485"/>
      <c r="EF736" s="485"/>
      <c r="EG736" s="485"/>
      <c r="EH736" s="485"/>
      <c r="EI736" s="485"/>
      <c r="EJ736" s="485"/>
      <c r="EK736" s="485"/>
      <c r="EL736" s="485"/>
      <c r="EM736" s="485"/>
      <c r="EN736" s="485"/>
      <c r="EO736" s="485"/>
      <c r="EP736" s="485"/>
    </row>
    <row r="737" spans="1:146">
      <c r="A737" s="485"/>
      <c r="B737" s="485"/>
      <c r="C737" s="485"/>
      <c r="D737" s="485"/>
      <c r="E737" s="485"/>
      <c r="F737" s="485"/>
      <c r="G737" s="485"/>
      <c r="H737" s="485"/>
      <c r="I737" s="485"/>
      <c r="J737" s="485"/>
      <c r="K737" s="485"/>
      <c r="L737" s="485"/>
      <c r="M737" s="485"/>
      <c r="P737" s="485"/>
      <c r="Q737" s="485"/>
      <c r="R737" s="485"/>
      <c r="S737" s="485"/>
      <c r="T737" s="485"/>
      <c r="U737" s="485"/>
      <c r="V737" s="485"/>
      <c r="W737" s="485"/>
      <c r="X737" s="485"/>
      <c r="Y737" s="485"/>
      <c r="Z737" s="485"/>
      <c r="AA737" s="485"/>
      <c r="AB737" s="485"/>
      <c r="AC737" s="485"/>
      <c r="AD737" s="485"/>
      <c r="AE737" s="485"/>
      <c r="AF737" s="485"/>
      <c r="AG737" s="485"/>
      <c r="AH737" s="485"/>
      <c r="AI737" s="485"/>
      <c r="AJ737" s="485"/>
      <c r="AK737" s="485"/>
      <c r="AL737" s="485"/>
      <c r="AM737" s="485"/>
      <c r="AN737" s="485"/>
      <c r="AO737" s="485"/>
      <c r="AP737" s="485"/>
      <c r="AQ737" s="485"/>
      <c r="AR737" s="485"/>
      <c r="AS737" s="485"/>
      <c r="AT737" s="485"/>
      <c r="AU737" s="485"/>
      <c r="AV737" s="485"/>
      <c r="AW737" s="485"/>
      <c r="AX737" s="485"/>
      <c r="AY737" s="485"/>
      <c r="AZ737" s="485"/>
      <c r="BA737" s="485"/>
      <c r="BB737" s="485"/>
      <c r="BC737" s="485"/>
      <c r="BD737" s="485"/>
      <c r="BE737" s="485"/>
      <c r="BF737" s="485"/>
      <c r="BG737" s="485"/>
      <c r="BH737" s="485"/>
      <c r="BI737" s="485"/>
      <c r="BJ737" s="485"/>
      <c r="BK737" s="485"/>
      <c r="BL737" s="485"/>
      <c r="BM737" s="485"/>
      <c r="BN737" s="485"/>
      <c r="BO737" s="485"/>
      <c r="BP737" s="485"/>
      <c r="BQ737" s="485"/>
      <c r="BR737" s="485"/>
      <c r="BS737" s="485"/>
      <c r="BT737" s="485"/>
      <c r="BU737" s="485"/>
      <c r="BV737" s="485"/>
      <c r="BW737" s="485"/>
      <c r="BX737" s="485"/>
      <c r="BY737" s="485"/>
      <c r="BZ737" s="485"/>
      <c r="CA737" s="485"/>
      <c r="CB737" s="485"/>
      <c r="CC737" s="485"/>
      <c r="CD737" s="485"/>
      <c r="CE737" s="485"/>
      <c r="CF737" s="485"/>
      <c r="CG737" s="485"/>
      <c r="CH737" s="485"/>
      <c r="CI737" s="485"/>
      <c r="CJ737" s="485"/>
      <c r="CK737" s="485"/>
      <c r="CL737" s="485"/>
      <c r="CM737" s="485"/>
      <c r="CN737" s="485"/>
      <c r="CO737" s="485"/>
      <c r="CP737" s="485"/>
      <c r="CQ737" s="485"/>
      <c r="CR737" s="485"/>
      <c r="CS737" s="485"/>
      <c r="CT737" s="485"/>
      <c r="CU737" s="485"/>
      <c r="CV737" s="485"/>
      <c r="CW737" s="485"/>
      <c r="CX737" s="485"/>
      <c r="CY737" s="485"/>
      <c r="CZ737" s="485"/>
      <c r="DA737" s="485"/>
      <c r="DB737" s="485"/>
      <c r="DC737" s="485"/>
      <c r="DD737" s="485"/>
      <c r="DE737" s="485"/>
      <c r="DF737" s="485"/>
      <c r="DG737" s="485"/>
      <c r="DH737" s="485"/>
      <c r="DI737" s="485"/>
      <c r="DJ737" s="485"/>
      <c r="DK737" s="485"/>
      <c r="DL737" s="485"/>
      <c r="DM737" s="485"/>
      <c r="DN737" s="485"/>
      <c r="DO737" s="485"/>
      <c r="DP737" s="485"/>
      <c r="DQ737" s="485"/>
      <c r="DR737" s="485"/>
      <c r="DS737" s="485"/>
      <c r="DT737" s="485"/>
      <c r="DU737" s="485"/>
      <c r="DV737" s="485"/>
      <c r="DW737" s="485"/>
      <c r="DX737" s="485"/>
      <c r="DY737" s="485"/>
      <c r="DZ737" s="485"/>
      <c r="EA737" s="485"/>
      <c r="EB737" s="485"/>
      <c r="EC737" s="485"/>
      <c r="ED737" s="485"/>
      <c r="EE737" s="485"/>
      <c r="EF737" s="485"/>
      <c r="EG737" s="485"/>
      <c r="EH737" s="485"/>
      <c r="EI737" s="485"/>
      <c r="EJ737" s="485"/>
      <c r="EK737" s="485"/>
      <c r="EL737" s="485"/>
      <c r="EM737" s="485"/>
      <c r="EN737" s="485"/>
      <c r="EO737" s="485"/>
      <c r="EP737" s="485"/>
    </row>
    <row r="738" spans="1:146">
      <c r="A738" s="485"/>
      <c r="B738" s="485"/>
      <c r="C738" s="485"/>
      <c r="D738" s="485"/>
      <c r="E738" s="485"/>
      <c r="F738" s="485"/>
      <c r="G738" s="485"/>
      <c r="H738" s="485"/>
      <c r="I738" s="485"/>
      <c r="J738" s="485"/>
      <c r="K738" s="485"/>
      <c r="L738" s="485"/>
      <c r="M738" s="485"/>
      <c r="P738" s="485"/>
      <c r="Q738" s="485"/>
      <c r="R738" s="485"/>
      <c r="S738" s="485"/>
      <c r="T738" s="485"/>
      <c r="U738" s="485"/>
      <c r="V738" s="485"/>
      <c r="W738" s="485"/>
      <c r="X738" s="485"/>
      <c r="Y738" s="485"/>
      <c r="Z738" s="485"/>
      <c r="AA738" s="485"/>
      <c r="AB738" s="485"/>
      <c r="AC738" s="485"/>
      <c r="AD738" s="485"/>
      <c r="AE738" s="485"/>
      <c r="AF738" s="485"/>
      <c r="AG738" s="485"/>
      <c r="AH738" s="485"/>
      <c r="AI738" s="485"/>
      <c r="AJ738" s="485"/>
      <c r="AK738" s="485"/>
      <c r="AL738" s="485"/>
      <c r="AM738" s="485"/>
      <c r="AN738" s="485"/>
      <c r="AO738" s="485"/>
      <c r="AP738" s="485"/>
      <c r="AQ738" s="485"/>
      <c r="AR738" s="485"/>
      <c r="AS738" s="485"/>
      <c r="AT738" s="485"/>
      <c r="AU738" s="485"/>
      <c r="AV738" s="485"/>
      <c r="AW738" s="485"/>
      <c r="AX738" s="485"/>
      <c r="AY738" s="485"/>
      <c r="AZ738" s="485"/>
      <c r="BA738" s="485"/>
      <c r="BB738" s="485"/>
      <c r="BC738" s="485"/>
      <c r="BD738" s="485"/>
      <c r="BE738" s="485"/>
      <c r="BF738" s="485"/>
      <c r="BG738" s="485"/>
      <c r="BH738" s="485"/>
      <c r="BI738" s="485"/>
      <c r="BJ738" s="485"/>
      <c r="BK738" s="485"/>
      <c r="BL738" s="485"/>
      <c r="BM738" s="485"/>
      <c r="BN738" s="485"/>
      <c r="BO738" s="485"/>
      <c r="BP738" s="485"/>
      <c r="BQ738" s="485"/>
      <c r="BR738" s="485"/>
      <c r="BS738" s="485"/>
      <c r="BT738" s="485"/>
      <c r="BU738" s="485"/>
      <c r="BV738" s="485"/>
      <c r="BW738" s="485"/>
      <c r="BX738" s="485"/>
      <c r="BY738" s="485"/>
      <c r="BZ738" s="485"/>
      <c r="CA738" s="485"/>
      <c r="CB738" s="485"/>
      <c r="CC738" s="485"/>
      <c r="CD738" s="485"/>
      <c r="CE738" s="485"/>
      <c r="CF738" s="485"/>
      <c r="CG738" s="485"/>
      <c r="CH738" s="485"/>
      <c r="CI738" s="485"/>
      <c r="CJ738" s="485"/>
      <c r="CK738" s="485"/>
      <c r="CL738" s="485"/>
      <c r="CM738" s="485"/>
      <c r="CN738" s="485"/>
      <c r="CO738" s="485"/>
      <c r="CP738" s="485"/>
      <c r="CQ738" s="485"/>
      <c r="CR738" s="485"/>
      <c r="CS738" s="485"/>
      <c r="CT738" s="485"/>
      <c r="CU738" s="485"/>
      <c r="CV738" s="485"/>
      <c r="CW738" s="485"/>
      <c r="CX738" s="485"/>
      <c r="CY738" s="485"/>
      <c r="CZ738" s="485"/>
      <c r="DA738" s="485"/>
      <c r="DB738" s="485"/>
      <c r="DC738" s="485"/>
      <c r="DD738" s="485"/>
      <c r="DE738" s="485"/>
      <c r="DF738" s="485"/>
      <c r="DG738" s="485"/>
      <c r="DH738" s="485"/>
      <c r="DI738" s="485"/>
      <c r="DJ738" s="485"/>
      <c r="DK738" s="485"/>
      <c r="DL738" s="485"/>
      <c r="DM738" s="485"/>
      <c r="DN738" s="485"/>
      <c r="DO738" s="485"/>
      <c r="DP738" s="485"/>
      <c r="DQ738" s="485"/>
      <c r="DR738" s="485"/>
      <c r="DS738" s="485"/>
      <c r="DT738" s="485"/>
      <c r="DU738" s="485"/>
      <c r="DV738" s="485"/>
      <c r="DW738" s="485"/>
      <c r="DX738" s="485"/>
      <c r="DY738" s="485"/>
      <c r="DZ738" s="485"/>
      <c r="EA738" s="485"/>
      <c r="EB738" s="485"/>
      <c r="EC738" s="485"/>
      <c r="ED738" s="485"/>
      <c r="EE738" s="485"/>
      <c r="EF738" s="485"/>
      <c r="EG738" s="485"/>
      <c r="EH738" s="485"/>
      <c r="EI738" s="485"/>
      <c r="EJ738" s="485"/>
      <c r="EK738" s="485"/>
      <c r="EL738" s="485"/>
      <c r="EM738" s="485"/>
      <c r="EN738" s="485"/>
      <c r="EO738" s="485"/>
      <c r="EP738" s="485"/>
    </row>
    <row r="739" spans="1:146">
      <c r="A739" s="485"/>
      <c r="B739" s="485"/>
      <c r="C739" s="485"/>
      <c r="D739" s="485"/>
      <c r="E739" s="485"/>
      <c r="F739" s="485"/>
      <c r="G739" s="485"/>
      <c r="H739" s="485"/>
      <c r="I739" s="485"/>
      <c r="J739" s="485"/>
      <c r="K739" s="485"/>
      <c r="L739" s="485"/>
      <c r="M739" s="485"/>
      <c r="P739" s="485"/>
      <c r="Q739" s="485"/>
      <c r="R739" s="485"/>
      <c r="S739" s="485"/>
      <c r="T739" s="485"/>
      <c r="U739" s="485"/>
      <c r="V739" s="485"/>
      <c r="W739" s="485"/>
      <c r="X739" s="485"/>
      <c r="Y739" s="485"/>
      <c r="Z739" s="485"/>
      <c r="AA739" s="485"/>
      <c r="AB739" s="485"/>
      <c r="AC739" s="485"/>
      <c r="AD739" s="485"/>
      <c r="AE739" s="485"/>
      <c r="AF739" s="485"/>
      <c r="AG739" s="485"/>
      <c r="AH739" s="485"/>
      <c r="AI739" s="485"/>
      <c r="AJ739" s="485"/>
      <c r="AK739" s="485"/>
      <c r="AL739" s="485"/>
      <c r="AM739" s="485"/>
      <c r="AN739" s="485"/>
      <c r="AO739" s="485"/>
      <c r="AP739" s="485"/>
      <c r="AQ739" s="485"/>
      <c r="AR739" s="485"/>
      <c r="AS739" s="485"/>
      <c r="AT739" s="485"/>
      <c r="AU739" s="485"/>
      <c r="AV739" s="485"/>
      <c r="AW739" s="485"/>
      <c r="AX739" s="485"/>
      <c r="AY739" s="485"/>
      <c r="AZ739" s="485"/>
      <c r="BA739" s="485"/>
      <c r="BB739" s="485"/>
      <c r="BC739" s="485"/>
      <c r="BD739" s="485"/>
      <c r="BE739" s="485"/>
      <c r="BF739" s="485"/>
      <c r="BG739" s="485"/>
      <c r="BH739" s="485"/>
      <c r="BI739" s="485"/>
      <c r="BJ739" s="485"/>
      <c r="BK739" s="485"/>
      <c r="BL739" s="485"/>
      <c r="BM739" s="485"/>
      <c r="BN739" s="485"/>
      <c r="BO739" s="485"/>
      <c r="BP739" s="485"/>
      <c r="BQ739" s="485"/>
      <c r="BR739" s="485"/>
      <c r="BS739" s="485"/>
      <c r="BT739" s="485"/>
      <c r="BU739" s="485"/>
      <c r="BV739" s="485"/>
      <c r="BW739" s="485"/>
      <c r="BX739" s="485"/>
      <c r="BY739" s="485"/>
      <c r="BZ739" s="485"/>
      <c r="CA739" s="485"/>
      <c r="CB739" s="485"/>
      <c r="CC739" s="485"/>
      <c r="CD739" s="485"/>
      <c r="CE739" s="485"/>
      <c r="CF739" s="485"/>
      <c r="CG739" s="485"/>
      <c r="CH739" s="485"/>
      <c r="CI739" s="485"/>
      <c r="CJ739" s="485"/>
      <c r="CK739" s="485"/>
      <c r="CL739" s="485"/>
      <c r="CM739" s="485"/>
      <c r="CN739" s="485"/>
      <c r="CO739" s="485"/>
      <c r="CP739" s="485"/>
      <c r="CQ739" s="485"/>
      <c r="CR739" s="485"/>
      <c r="CS739" s="485"/>
      <c r="CT739" s="485"/>
      <c r="CU739" s="485"/>
      <c r="CV739" s="485"/>
      <c r="CW739" s="485"/>
      <c r="CX739" s="485"/>
      <c r="CY739" s="485"/>
      <c r="CZ739" s="485"/>
      <c r="DA739" s="485"/>
      <c r="DB739" s="485"/>
      <c r="DC739" s="485"/>
      <c r="DD739" s="485"/>
      <c r="DE739" s="485"/>
      <c r="DF739" s="485"/>
      <c r="DG739" s="485"/>
      <c r="DH739" s="485"/>
      <c r="DI739" s="485"/>
      <c r="DJ739" s="485"/>
      <c r="DK739" s="485"/>
      <c r="DL739" s="485"/>
      <c r="DM739" s="485"/>
      <c r="DN739" s="485"/>
      <c r="DO739" s="485"/>
      <c r="DP739" s="485"/>
      <c r="DQ739" s="485"/>
      <c r="DR739" s="485"/>
      <c r="DS739" s="485"/>
      <c r="DT739" s="485"/>
      <c r="DU739" s="485"/>
      <c r="DV739" s="485"/>
      <c r="DW739" s="485"/>
      <c r="DX739" s="485"/>
      <c r="DY739" s="485"/>
      <c r="DZ739" s="485"/>
      <c r="EA739" s="485"/>
      <c r="EB739" s="485"/>
      <c r="EC739" s="485"/>
      <c r="ED739" s="485"/>
      <c r="EE739" s="485"/>
      <c r="EF739" s="485"/>
      <c r="EG739" s="485"/>
      <c r="EH739" s="485"/>
      <c r="EI739" s="485"/>
      <c r="EJ739" s="485"/>
      <c r="EK739" s="485"/>
      <c r="EL739" s="485"/>
      <c r="EM739" s="485"/>
      <c r="EN739" s="485"/>
      <c r="EO739" s="485"/>
      <c r="EP739" s="485"/>
    </row>
    <row r="740" spans="1:146">
      <c r="A740" s="485"/>
      <c r="B740" s="485"/>
      <c r="C740" s="485"/>
      <c r="D740" s="485"/>
      <c r="E740" s="485"/>
      <c r="F740" s="485"/>
      <c r="G740" s="485"/>
      <c r="H740" s="485"/>
      <c r="I740" s="485"/>
      <c r="J740" s="485"/>
      <c r="K740" s="485"/>
      <c r="L740" s="485"/>
      <c r="M740" s="485"/>
      <c r="P740" s="485"/>
      <c r="Q740" s="485"/>
      <c r="R740" s="485"/>
      <c r="S740" s="485"/>
      <c r="T740" s="485"/>
      <c r="U740" s="485"/>
      <c r="V740" s="485"/>
      <c r="W740" s="485"/>
      <c r="X740" s="485"/>
      <c r="Y740" s="485"/>
      <c r="Z740" s="485"/>
      <c r="AA740" s="485"/>
      <c r="AB740" s="485"/>
      <c r="AC740" s="485"/>
      <c r="AD740" s="485"/>
      <c r="AE740" s="485"/>
      <c r="AF740" s="485"/>
      <c r="AG740" s="485"/>
      <c r="AH740" s="485"/>
      <c r="AI740" s="485"/>
      <c r="AJ740" s="485"/>
      <c r="AK740" s="485"/>
      <c r="AL740" s="485"/>
      <c r="AM740" s="485"/>
      <c r="AN740" s="485"/>
      <c r="AO740" s="485"/>
      <c r="AP740" s="485"/>
      <c r="AQ740" s="485"/>
      <c r="AR740" s="485"/>
      <c r="AS740" s="485"/>
      <c r="AT740" s="485"/>
      <c r="AU740" s="485"/>
      <c r="AV740" s="485"/>
      <c r="AW740" s="485"/>
      <c r="AX740" s="485"/>
      <c r="AY740" s="485"/>
      <c r="AZ740" s="485"/>
      <c r="BA740" s="485"/>
      <c r="BB740" s="485"/>
      <c r="BC740" s="485"/>
      <c r="BD740" s="485"/>
      <c r="BE740" s="485"/>
      <c r="BF740" s="485"/>
      <c r="BG740" s="485"/>
      <c r="BH740" s="485"/>
      <c r="BI740" s="485"/>
      <c r="BJ740" s="485"/>
      <c r="BK740" s="485"/>
      <c r="BL740" s="485"/>
      <c r="BM740" s="485"/>
      <c r="BN740" s="485"/>
      <c r="BO740" s="485"/>
      <c r="BP740" s="485"/>
      <c r="BQ740" s="485"/>
      <c r="BR740" s="485"/>
      <c r="BS740" s="485"/>
      <c r="BT740" s="485"/>
      <c r="BU740" s="485"/>
      <c r="BV740" s="485"/>
      <c r="BW740" s="485"/>
      <c r="BX740" s="485"/>
      <c r="BY740" s="485"/>
      <c r="BZ740" s="485"/>
      <c r="CA740" s="485"/>
      <c r="CB740" s="485"/>
      <c r="CC740" s="485"/>
      <c r="CD740" s="485"/>
      <c r="CE740" s="485"/>
      <c r="CF740" s="485"/>
      <c r="CG740" s="485"/>
      <c r="CH740" s="485"/>
      <c r="CI740" s="485"/>
      <c r="CJ740" s="485"/>
      <c r="CK740" s="485"/>
      <c r="CL740" s="485"/>
      <c r="CM740" s="485"/>
      <c r="CN740" s="485"/>
      <c r="CO740" s="485"/>
      <c r="CP740" s="485"/>
      <c r="CQ740" s="485"/>
      <c r="CR740" s="485"/>
      <c r="CS740" s="485"/>
      <c r="CT740" s="485"/>
      <c r="CU740" s="485"/>
      <c r="CV740" s="485"/>
      <c r="CW740" s="485"/>
      <c r="CX740" s="485"/>
      <c r="CY740" s="485"/>
      <c r="CZ740" s="485"/>
      <c r="DA740" s="485"/>
      <c r="DB740" s="485"/>
      <c r="DC740" s="485"/>
      <c r="DD740" s="485"/>
      <c r="DE740" s="485"/>
      <c r="DF740" s="485"/>
      <c r="DG740" s="485"/>
      <c r="DH740" s="485"/>
      <c r="DI740" s="485"/>
      <c r="DJ740" s="485"/>
      <c r="DK740" s="485"/>
      <c r="DL740" s="485"/>
      <c r="DM740" s="485"/>
      <c r="DN740" s="485"/>
      <c r="DO740" s="485"/>
      <c r="DP740" s="485"/>
      <c r="DQ740" s="485"/>
      <c r="DR740" s="485"/>
      <c r="DS740" s="485"/>
      <c r="DT740" s="485"/>
      <c r="DU740" s="485"/>
      <c r="DV740" s="485"/>
      <c r="DW740" s="485"/>
      <c r="DX740" s="485"/>
      <c r="DY740" s="485"/>
      <c r="DZ740" s="485"/>
      <c r="EA740" s="485"/>
      <c r="EB740" s="485"/>
      <c r="EC740" s="485"/>
      <c r="ED740" s="485"/>
      <c r="EE740" s="485"/>
      <c r="EF740" s="485"/>
      <c r="EG740" s="485"/>
      <c r="EH740" s="485"/>
      <c r="EI740" s="485"/>
      <c r="EJ740" s="485"/>
      <c r="EK740" s="485"/>
      <c r="EL740" s="485"/>
      <c r="EM740" s="485"/>
      <c r="EN740" s="485"/>
      <c r="EO740" s="485"/>
      <c r="EP740" s="485"/>
    </row>
    <row r="741" spans="1:146">
      <c r="A741" s="485"/>
      <c r="B741" s="485"/>
      <c r="C741" s="485"/>
      <c r="D741" s="485"/>
      <c r="E741" s="485"/>
      <c r="F741" s="485"/>
      <c r="G741" s="485"/>
      <c r="H741" s="485"/>
      <c r="I741" s="485"/>
      <c r="J741" s="485"/>
      <c r="K741" s="485"/>
      <c r="L741" s="485"/>
      <c r="M741" s="485"/>
      <c r="P741" s="485"/>
      <c r="Q741" s="485"/>
      <c r="R741" s="485"/>
      <c r="S741" s="485"/>
      <c r="T741" s="485"/>
      <c r="U741" s="485"/>
      <c r="V741" s="485"/>
      <c r="W741" s="485"/>
      <c r="X741" s="485"/>
      <c r="Y741" s="485"/>
      <c r="Z741" s="485"/>
      <c r="AA741" s="485"/>
      <c r="AB741" s="485"/>
      <c r="AC741" s="485"/>
      <c r="AD741" s="485"/>
      <c r="AE741" s="485"/>
      <c r="AF741" s="485"/>
      <c r="AG741" s="485"/>
      <c r="AH741" s="485"/>
      <c r="AI741" s="485"/>
      <c r="AJ741" s="485"/>
      <c r="AK741" s="485"/>
      <c r="AL741" s="485"/>
      <c r="AM741" s="485"/>
      <c r="AN741" s="485"/>
      <c r="AO741" s="485"/>
      <c r="AP741" s="485"/>
      <c r="AQ741" s="485"/>
      <c r="AR741" s="485"/>
      <c r="AS741" s="485"/>
      <c r="AT741" s="485"/>
      <c r="AU741" s="485"/>
      <c r="AV741" s="485"/>
      <c r="AW741" s="485"/>
      <c r="AX741" s="485"/>
      <c r="AY741" s="485"/>
      <c r="AZ741" s="485"/>
      <c r="BA741" s="485"/>
      <c r="BB741" s="485"/>
      <c r="BC741" s="485"/>
      <c r="BD741" s="485"/>
      <c r="BE741" s="485"/>
      <c r="BF741" s="485"/>
      <c r="BG741" s="485"/>
      <c r="BH741" s="485"/>
      <c r="BI741" s="485"/>
      <c r="BJ741" s="485"/>
      <c r="BK741" s="485"/>
      <c r="BL741" s="485"/>
      <c r="BM741" s="485"/>
      <c r="BN741" s="485"/>
      <c r="BO741" s="485"/>
      <c r="BP741" s="485"/>
      <c r="BQ741" s="485"/>
      <c r="BR741" s="485"/>
      <c r="BS741" s="485"/>
      <c r="BT741" s="485"/>
      <c r="BU741" s="485"/>
      <c r="BV741" s="485"/>
      <c r="BW741" s="485"/>
      <c r="BX741" s="485"/>
      <c r="BY741" s="485"/>
      <c r="BZ741" s="485"/>
      <c r="CA741" s="485"/>
      <c r="CB741" s="485"/>
      <c r="CC741" s="485"/>
      <c r="CD741" s="485"/>
      <c r="CE741" s="485"/>
      <c r="CF741" s="485"/>
      <c r="CG741" s="485"/>
      <c r="CH741" s="485"/>
      <c r="CI741" s="485"/>
      <c r="CJ741" s="485"/>
      <c r="CK741" s="485"/>
      <c r="CL741" s="485"/>
      <c r="CM741" s="485"/>
      <c r="CN741" s="485"/>
      <c r="CO741" s="485"/>
      <c r="CP741" s="485"/>
      <c r="CQ741" s="485"/>
      <c r="CR741" s="485"/>
      <c r="CS741" s="485"/>
      <c r="CT741" s="485"/>
      <c r="CU741" s="485"/>
      <c r="CV741" s="485"/>
      <c r="CW741" s="485"/>
      <c r="CX741" s="485"/>
      <c r="CY741" s="485"/>
      <c r="CZ741" s="485"/>
      <c r="DA741" s="485"/>
      <c r="DB741" s="485"/>
      <c r="DC741" s="485"/>
      <c r="DD741" s="485"/>
      <c r="DE741" s="485"/>
      <c r="DF741" s="485"/>
      <c r="DG741" s="485"/>
      <c r="DH741" s="485"/>
      <c r="DI741" s="485"/>
      <c r="DJ741" s="485"/>
      <c r="DK741" s="485"/>
      <c r="DL741" s="485"/>
      <c r="DM741" s="485"/>
      <c r="DN741" s="485"/>
      <c r="DO741" s="485"/>
      <c r="DP741" s="485"/>
      <c r="DQ741" s="485"/>
      <c r="DR741" s="485"/>
      <c r="DS741" s="485"/>
      <c r="DT741" s="485"/>
      <c r="DU741" s="485"/>
      <c r="DV741" s="485"/>
      <c r="DW741" s="485"/>
      <c r="DX741" s="485"/>
      <c r="DY741" s="485"/>
      <c r="DZ741" s="485"/>
      <c r="EA741" s="485"/>
      <c r="EB741" s="485"/>
      <c r="EC741" s="485"/>
      <c r="ED741" s="485"/>
      <c r="EE741" s="485"/>
      <c r="EF741" s="485"/>
      <c r="EG741" s="485"/>
      <c r="EH741" s="485"/>
      <c r="EI741" s="485"/>
      <c r="EJ741" s="485"/>
      <c r="EK741" s="485"/>
      <c r="EL741" s="485"/>
      <c r="EM741" s="485"/>
      <c r="EN741" s="485"/>
      <c r="EO741" s="485"/>
      <c r="EP741" s="485"/>
    </row>
    <row r="742" spans="1:146">
      <c r="A742" s="485"/>
      <c r="B742" s="485"/>
      <c r="C742" s="485"/>
      <c r="D742" s="485"/>
      <c r="E742" s="485"/>
      <c r="F742" s="485"/>
      <c r="G742" s="485"/>
      <c r="H742" s="485"/>
      <c r="I742" s="485"/>
      <c r="J742" s="485"/>
      <c r="K742" s="485"/>
      <c r="L742" s="485"/>
      <c r="M742" s="485"/>
      <c r="P742" s="485"/>
      <c r="Q742" s="485"/>
      <c r="R742" s="485"/>
      <c r="S742" s="485"/>
      <c r="T742" s="485"/>
      <c r="U742" s="485"/>
      <c r="V742" s="485"/>
      <c r="W742" s="485"/>
      <c r="X742" s="485"/>
      <c r="Y742" s="485"/>
      <c r="Z742" s="485"/>
      <c r="AA742" s="485"/>
      <c r="AB742" s="485"/>
      <c r="AC742" s="485"/>
      <c r="AD742" s="485"/>
      <c r="AE742" s="485"/>
      <c r="AF742" s="485"/>
      <c r="AG742" s="485"/>
      <c r="AH742" s="485"/>
      <c r="AI742" s="485"/>
      <c r="AJ742" s="485"/>
      <c r="AK742" s="485"/>
      <c r="AL742" s="485"/>
      <c r="AM742" s="485"/>
      <c r="AN742" s="485"/>
      <c r="AO742" s="485"/>
      <c r="AP742" s="485"/>
      <c r="AQ742" s="485"/>
      <c r="AR742" s="485"/>
      <c r="AS742" s="485"/>
      <c r="AT742" s="485"/>
      <c r="AU742" s="485"/>
      <c r="AV742" s="485"/>
      <c r="AW742" s="485"/>
      <c r="AX742" s="485"/>
      <c r="AY742" s="485"/>
      <c r="AZ742" s="485"/>
      <c r="BA742" s="485"/>
      <c r="BB742" s="485"/>
      <c r="BC742" s="485"/>
      <c r="BD742" s="485"/>
      <c r="BE742" s="485"/>
      <c r="BF742" s="485"/>
      <c r="BG742" s="485"/>
      <c r="BH742" s="485"/>
      <c r="BI742" s="485"/>
      <c r="BJ742" s="485"/>
      <c r="BK742" s="485"/>
      <c r="BL742" s="485"/>
      <c r="BM742" s="485"/>
      <c r="BN742" s="485"/>
      <c r="BO742" s="485"/>
      <c r="BP742" s="485"/>
      <c r="BQ742" s="485"/>
      <c r="BR742" s="485"/>
      <c r="BS742" s="485"/>
      <c r="BT742" s="485"/>
      <c r="BU742" s="485"/>
      <c r="BV742" s="485"/>
      <c r="BW742" s="485"/>
      <c r="BX742" s="485"/>
      <c r="BY742" s="485"/>
      <c r="BZ742" s="485"/>
      <c r="CA742" s="485"/>
      <c r="CB742" s="485"/>
      <c r="CC742" s="485"/>
      <c r="CD742" s="485"/>
      <c r="CE742" s="485"/>
      <c r="CF742" s="485"/>
      <c r="CG742" s="485"/>
      <c r="CH742" s="485"/>
      <c r="CI742" s="485"/>
      <c r="CJ742" s="485"/>
      <c r="CK742" s="485"/>
      <c r="CL742" s="485"/>
      <c r="CM742" s="485"/>
      <c r="CN742" s="485"/>
      <c r="CO742" s="485"/>
      <c r="CP742" s="485"/>
      <c r="CQ742" s="485"/>
      <c r="CR742" s="485"/>
      <c r="CS742" s="485"/>
      <c r="CT742" s="485"/>
      <c r="CU742" s="485"/>
      <c r="CV742" s="485"/>
      <c r="CW742" s="485"/>
      <c r="CX742" s="485"/>
      <c r="CY742" s="485"/>
      <c r="CZ742" s="485"/>
      <c r="DA742" s="485"/>
      <c r="DB742" s="485"/>
      <c r="DC742" s="485"/>
      <c r="DD742" s="485"/>
      <c r="DE742" s="485"/>
      <c r="DF742" s="485"/>
      <c r="DG742" s="485"/>
      <c r="DH742" s="485"/>
      <c r="DI742" s="485"/>
      <c r="DJ742" s="485"/>
      <c r="DK742" s="485"/>
      <c r="DL742" s="485"/>
      <c r="DM742" s="485"/>
      <c r="DN742" s="485"/>
      <c r="DO742" s="485"/>
      <c r="DP742" s="485"/>
      <c r="DQ742" s="485"/>
      <c r="DR742" s="485"/>
      <c r="DS742" s="485"/>
      <c r="DT742" s="485"/>
      <c r="DU742" s="485"/>
      <c r="DV742" s="485"/>
      <c r="DW742" s="485"/>
      <c r="DX742" s="485"/>
      <c r="DY742" s="485"/>
      <c r="DZ742" s="485"/>
      <c r="EA742" s="485"/>
      <c r="EB742" s="485"/>
      <c r="EC742" s="485"/>
      <c r="ED742" s="485"/>
      <c r="EE742" s="485"/>
      <c r="EF742" s="485"/>
      <c r="EG742" s="485"/>
      <c r="EH742" s="485"/>
      <c r="EI742" s="485"/>
      <c r="EJ742" s="485"/>
      <c r="EK742" s="485"/>
      <c r="EL742" s="485"/>
      <c r="EM742" s="485"/>
      <c r="EN742" s="485"/>
      <c r="EO742" s="485"/>
      <c r="EP742" s="485"/>
    </row>
    <row r="743" spans="1:146">
      <c r="A743" s="485"/>
      <c r="B743" s="485"/>
      <c r="C743" s="485"/>
      <c r="D743" s="485"/>
      <c r="E743" s="485"/>
      <c r="F743" s="485"/>
      <c r="G743" s="485"/>
      <c r="H743" s="485"/>
      <c r="I743" s="485"/>
      <c r="J743" s="485"/>
      <c r="K743" s="485"/>
      <c r="L743" s="485"/>
      <c r="M743" s="485"/>
      <c r="P743" s="485"/>
      <c r="Q743" s="485"/>
      <c r="R743" s="485"/>
      <c r="S743" s="485"/>
      <c r="T743" s="485"/>
      <c r="U743" s="485"/>
      <c r="V743" s="485"/>
      <c r="W743" s="485"/>
      <c r="X743" s="485"/>
      <c r="Y743" s="485"/>
      <c r="Z743" s="485"/>
      <c r="AA743" s="485"/>
      <c r="AB743" s="485"/>
      <c r="AC743" s="485"/>
      <c r="AD743" s="485"/>
      <c r="AE743" s="485"/>
      <c r="AF743" s="485"/>
      <c r="AG743" s="485"/>
      <c r="AH743" s="485"/>
      <c r="AI743" s="485"/>
      <c r="AJ743" s="485"/>
      <c r="AK743" s="485"/>
      <c r="AL743" s="485"/>
      <c r="AM743" s="485"/>
      <c r="AN743" s="485"/>
      <c r="AO743" s="485"/>
      <c r="AP743" s="485"/>
      <c r="AQ743" s="485"/>
      <c r="AR743" s="485"/>
      <c r="AS743" s="485"/>
      <c r="AT743" s="485"/>
      <c r="AU743" s="485"/>
      <c r="AV743" s="485"/>
      <c r="AW743" s="485"/>
      <c r="AX743" s="485"/>
      <c r="AY743" s="485"/>
      <c r="AZ743" s="485"/>
      <c r="BA743" s="485"/>
      <c r="BB743" s="485"/>
      <c r="BC743" s="485"/>
      <c r="BD743" s="485"/>
      <c r="BE743" s="485"/>
      <c r="BF743" s="485"/>
      <c r="BG743" s="485"/>
      <c r="BH743" s="485"/>
      <c r="BI743" s="485"/>
      <c r="BJ743" s="485"/>
      <c r="BK743" s="485"/>
      <c r="BL743" s="485"/>
      <c r="BM743" s="485"/>
      <c r="BN743" s="485"/>
      <c r="BO743" s="485"/>
      <c r="BP743" s="485"/>
      <c r="BQ743" s="485"/>
      <c r="BR743" s="485"/>
      <c r="BS743" s="485"/>
      <c r="BT743" s="485"/>
      <c r="BU743" s="485"/>
      <c r="BV743" s="485"/>
      <c r="BW743" s="485"/>
      <c r="BX743" s="485"/>
      <c r="BY743" s="485"/>
      <c r="BZ743" s="485"/>
      <c r="CA743" s="485"/>
      <c r="CB743" s="485"/>
      <c r="CC743" s="485"/>
      <c r="CD743" s="485"/>
      <c r="CE743" s="485"/>
      <c r="CF743" s="485"/>
      <c r="CG743" s="485"/>
      <c r="CH743" s="485"/>
      <c r="CI743" s="485"/>
      <c r="CJ743" s="485"/>
      <c r="CK743" s="485"/>
      <c r="CL743" s="485"/>
      <c r="CM743" s="485"/>
      <c r="CN743" s="485"/>
      <c r="CO743" s="485"/>
      <c r="CP743" s="485"/>
      <c r="CQ743" s="485"/>
      <c r="CR743" s="485"/>
      <c r="CS743" s="485"/>
      <c r="CT743" s="485"/>
      <c r="CU743" s="485"/>
      <c r="CV743" s="485"/>
      <c r="CW743" s="485"/>
      <c r="CX743" s="485"/>
      <c r="CY743" s="485"/>
      <c r="CZ743" s="485"/>
      <c r="DA743" s="485"/>
      <c r="DB743" s="485"/>
      <c r="DC743" s="485"/>
      <c r="DD743" s="485"/>
      <c r="DE743" s="485"/>
      <c r="DF743" s="485"/>
      <c r="DG743" s="485"/>
      <c r="DH743" s="485"/>
      <c r="DI743" s="485"/>
      <c r="DJ743" s="485"/>
      <c r="DK743" s="485"/>
      <c r="DL743" s="485"/>
      <c r="DM743" s="485"/>
      <c r="DN743" s="485"/>
      <c r="DO743" s="485"/>
      <c r="DP743" s="485"/>
      <c r="DQ743" s="485"/>
      <c r="DR743" s="485"/>
      <c r="DS743" s="485"/>
      <c r="DT743" s="485"/>
      <c r="DU743" s="485"/>
      <c r="DV743" s="485"/>
      <c r="DW743" s="485"/>
      <c r="DX743" s="485"/>
      <c r="DY743" s="485"/>
      <c r="DZ743" s="485"/>
      <c r="EA743" s="485"/>
      <c r="EB743" s="485"/>
      <c r="EC743" s="485"/>
      <c r="ED743" s="485"/>
      <c r="EE743" s="485"/>
      <c r="EF743" s="485"/>
      <c r="EG743" s="485"/>
      <c r="EH743" s="485"/>
      <c r="EI743" s="485"/>
      <c r="EJ743" s="485"/>
      <c r="EK743" s="485"/>
      <c r="EL743" s="485"/>
      <c r="EM743" s="485"/>
      <c r="EN743" s="485"/>
      <c r="EO743" s="485"/>
      <c r="EP743" s="485"/>
    </row>
    <row r="744" spans="1:146">
      <c r="A744" s="485"/>
      <c r="B744" s="485"/>
      <c r="C744" s="485"/>
      <c r="D744" s="485"/>
      <c r="E744" s="485"/>
      <c r="F744" s="485"/>
      <c r="G744" s="485"/>
      <c r="H744" s="485"/>
      <c r="I744" s="485"/>
      <c r="J744" s="485"/>
      <c r="K744" s="485"/>
      <c r="L744" s="485"/>
      <c r="M744" s="485"/>
      <c r="P744" s="485"/>
      <c r="Q744" s="485"/>
      <c r="R744" s="485"/>
      <c r="S744" s="485"/>
      <c r="T744" s="485"/>
      <c r="U744" s="485"/>
      <c r="V744" s="485"/>
      <c r="W744" s="485"/>
      <c r="X744" s="485"/>
      <c r="Y744" s="485"/>
      <c r="Z744" s="485"/>
      <c r="AA744" s="485"/>
      <c r="AB744" s="485"/>
      <c r="AC744" s="485"/>
      <c r="AD744" s="485"/>
      <c r="AE744" s="485"/>
      <c r="AF744" s="485"/>
      <c r="AG744" s="485"/>
      <c r="AH744" s="485"/>
      <c r="AI744" s="485"/>
      <c r="AJ744" s="485"/>
      <c r="AK744" s="485"/>
      <c r="AL744" s="485"/>
      <c r="AM744" s="485"/>
      <c r="AN744" s="485"/>
      <c r="AO744" s="485"/>
      <c r="AP744" s="485"/>
      <c r="AQ744" s="485"/>
      <c r="AR744" s="485"/>
      <c r="AS744" s="485"/>
      <c r="AT744" s="485"/>
      <c r="AU744" s="485"/>
      <c r="AV744" s="485"/>
      <c r="AW744" s="485"/>
      <c r="AX744" s="485"/>
      <c r="AY744" s="485"/>
      <c r="AZ744" s="485"/>
      <c r="BA744" s="485"/>
      <c r="BB744" s="485"/>
      <c r="BC744" s="485"/>
      <c r="BD744" s="485"/>
      <c r="BE744" s="485"/>
      <c r="BF744" s="485"/>
      <c r="BG744" s="485"/>
      <c r="BH744" s="485"/>
      <c r="BI744" s="485"/>
      <c r="BJ744" s="485"/>
      <c r="BK744" s="485"/>
      <c r="BL744" s="485"/>
      <c r="BM744" s="485"/>
      <c r="BN744" s="485"/>
      <c r="BO744" s="485"/>
      <c r="BP744" s="485"/>
      <c r="BQ744" s="485"/>
      <c r="BR744" s="485"/>
      <c r="BS744" s="485"/>
      <c r="BT744" s="485"/>
      <c r="BU744" s="485"/>
      <c r="BV744" s="485"/>
      <c r="BW744" s="485"/>
      <c r="BX744" s="485"/>
      <c r="BY744" s="485"/>
      <c r="BZ744" s="485"/>
      <c r="CA744" s="485"/>
      <c r="CB744" s="485"/>
      <c r="CC744" s="485"/>
      <c r="CD744" s="485"/>
      <c r="CE744" s="485"/>
      <c r="CF744" s="485"/>
      <c r="CG744" s="485"/>
      <c r="CH744" s="485"/>
      <c r="CI744" s="485"/>
      <c r="CJ744" s="485"/>
      <c r="CK744" s="485"/>
      <c r="CL744" s="485"/>
      <c r="CM744" s="485"/>
      <c r="CN744" s="485"/>
      <c r="CO744" s="485"/>
      <c r="CP744" s="485"/>
      <c r="CQ744" s="485"/>
      <c r="CR744" s="485"/>
      <c r="CS744" s="485"/>
      <c r="CT744" s="485"/>
      <c r="CU744" s="485"/>
      <c r="CV744" s="485"/>
      <c r="CW744" s="485"/>
      <c r="CX744" s="485"/>
      <c r="CY744" s="485"/>
      <c r="CZ744" s="485"/>
      <c r="DA744" s="485"/>
      <c r="DB744" s="485"/>
      <c r="DC744" s="485"/>
      <c r="DD744" s="485"/>
      <c r="DE744" s="485"/>
      <c r="DF744" s="485"/>
      <c r="DG744" s="485"/>
      <c r="DH744" s="485"/>
      <c r="DI744" s="485"/>
      <c r="DJ744" s="485"/>
      <c r="DK744" s="485"/>
      <c r="DL744" s="485"/>
      <c r="DM744" s="485"/>
      <c r="DN744" s="485"/>
      <c r="DO744" s="485"/>
      <c r="DP744" s="485"/>
      <c r="DQ744" s="485"/>
      <c r="DR744" s="485"/>
      <c r="DS744" s="485"/>
      <c r="DT744" s="485"/>
      <c r="DU744" s="485"/>
      <c r="DV744" s="485"/>
      <c r="DW744" s="485"/>
      <c r="DX744" s="485"/>
      <c r="DY744" s="485"/>
      <c r="DZ744" s="485"/>
      <c r="EA744" s="485"/>
      <c r="EB744" s="485"/>
      <c r="EC744" s="485"/>
      <c r="ED744" s="485"/>
      <c r="EE744" s="485"/>
      <c r="EF744" s="485"/>
      <c r="EG744" s="485"/>
      <c r="EH744" s="485"/>
      <c r="EI744" s="485"/>
      <c r="EJ744" s="485"/>
      <c r="EK744" s="485"/>
      <c r="EL744" s="485"/>
      <c r="EM744" s="485"/>
      <c r="EN744" s="485"/>
      <c r="EO744" s="485"/>
      <c r="EP744" s="485"/>
    </row>
    <row r="745" spans="1:146">
      <c r="A745" s="485"/>
      <c r="B745" s="485"/>
      <c r="C745" s="485"/>
      <c r="D745" s="485"/>
      <c r="E745" s="485"/>
      <c r="F745" s="485"/>
      <c r="G745" s="485"/>
      <c r="H745" s="485"/>
      <c r="I745" s="485"/>
      <c r="J745" s="485"/>
      <c r="K745" s="485"/>
      <c r="L745" s="485"/>
      <c r="M745" s="485"/>
      <c r="P745" s="485"/>
      <c r="Q745" s="485"/>
      <c r="R745" s="485"/>
      <c r="S745" s="485"/>
      <c r="T745" s="485"/>
      <c r="U745" s="485"/>
      <c r="V745" s="485"/>
      <c r="W745" s="485"/>
      <c r="X745" s="485"/>
      <c r="Y745" s="485"/>
      <c r="Z745" s="485"/>
      <c r="AA745" s="485"/>
      <c r="AB745" s="485"/>
      <c r="AC745" s="485"/>
      <c r="AD745" s="485"/>
      <c r="AE745" s="485"/>
      <c r="AF745" s="485"/>
      <c r="AG745" s="485"/>
      <c r="AH745" s="485"/>
      <c r="AI745" s="485"/>
      <c r="AJ745" s="485"/>
      <c r="AK745" s="485"/>
      <c r="AL745" s="485"/>
      <c r="AM745" s="485"/>
      <c r="AN745" s="485"/>
      <c r="AO745" s="485"/>
      <c r="AP745" s="485"/>
      <c r="AQ745" s="485"/>
      <c r="AR745" s="485"/>
      <c r="AS745" s="485"/>
      <c r="AT745" s="485"/>
      <c r="AU745" s="485"/>
      <c r="AV745" s="485"/>
      <c r="AW745" s="485"/>
      <c r="AX745" s="485"/>
      <c r="AY745" s="485"/>
      <c r="AZ745" s="485"/>
      <c r="BA745" s="485"/>
      <c r="BB745" s="485"/>
      <c r="BC745" s="485"/>
      <c r="BD745" s="485"/>
      <c r="BE745" s="485"/>
      <c r="BF745" s="485"/>
      <c r="BG745" s="485"/>
      <c r="BH745" s="485"/>
      <c r="BI745" s="485"/>
      <c r="BJ745" s="485"/>
      <c r="BK745" s="485"/>
      <c r="BL745" s="485"/>
      <c r="BM745" s="485"/>
      <c r="BN745" s="485"/>
      <c r="BO745" s="485"/>
      <c r="BP745" s="485"/>
      <c r="BQ745" s="485"/>
      <c r="BR745" s="485"/>
      <c r="BS745" s="485"/>
      <c r="BT745" s="485"/>
      <c r="BU745" s="485"/>
      <c r="BV745" s="485"/>
      <c r="BW745" s="485"/>
      <c r="BX745" s="485"/>
      <c r="BY745" s="485"/>
      <c r="BZ745" s="485"/>
      <c r="CA745" s="485"/>
      <c r="CB745" s="485"/>
      <c r="CC745" s="485"/>
      <c r="CD745" s="485"/>
      <c r="CE745" s="485"/>
      <c r="CF745" s="485"/>
      <c r="CG745" s="485"/>
      <c r="CH745" s="485"/>
      <c r="CI745" s="485"/>
      <c r="CJ745" s="485"/>
      <c r="CK745" s="485"/>
      <c r="CL745" s="485"/>
      <c r="CM745" s="485"/>
      <c r="CN745" s="485"/>
      <c r="CO745" s="485"/>
      <c r="CP745" s="485"/>
      <c r="CQ745" s="485"/>
      <c r="CR745" s="485"/>
      <c r="CS745" s="485"/>
      <c r="CT745" s="485"/>
      <c r="CU745" s="485"/>
      <c r="CV745" s="485"/>
      <c r="CW745" s="485"/>
      <c r="CX745" s="485"/>
      <c r="CY745" s="485"/>
      <c r="CZ745" s="485"/>
      <c r="DA745" s="485"/>
      <c r="DB745" s="485"/>
      <c r="DC745" s="485"/>
      <c r="DD745" s="485"/>
      <c r="DE745" s="485"/>
      <c r="DF745" s="485"/>
      <c r="DG745" s="485"/>
      <c r="DH745" s="485"/>
      <c r="DI745" s="485"/>
      <c r="DJ745" s="485"/>
      <c r="DK745" s="485"/>
      <c r="DL745" s="485"/>
      <c r="DM745" s="485"/>
      <c r="DN745" s="485"/>
      <c r="DO745" s="485"/>
      <c r="DP745" s="485"/>
      <c r="DQ745" s="485"/>
      <c r="DR745" s="485"/>
      <c r="DS745" s="485"/>
      <c r="DT745" s="485"/>
      <c r="DU745" s="485"/>
      <c r="DV745" s="485"/>
      <c r="DW745" s="485"/>
      <c r="DX745" s="485"/>
      <c r="DY745" s="485"/>
      <c r="DZ745" s="485"/>
      <c r="EA745" s="485"/>
      <c r="EB745" s="485"/>
      <c r="EC745" s="485"/>
      <c r="ED745" s="485"/>
      <c r="EE745" s="485"/>
      <c r="EF745" s="485"/>
      <c r="EG745" s="485"/>
      <c r="EH745" s="485"/>
      <c r="EI745" s="485"/>
      <c r="EJ745" s="485"/>
      <c r="EK745" s="485"/>
      <c r="EL745" s="485"/>
      <c r="EM745" s="485"/>
      <c r="EN745" s="485"/>
      <c r="EO745" s="485"/>
      <c r="EP745" s="485"/>
    </row>
    <row r="746" spans="1:146">
      <c r="A746" s="485"/>
      <c r="B746" s="485"/>
      <c r="C746" s="485"/>
      <c r="D746" s="485"/>
      <c r="E746" s="485"/>
      <c r="F746" s="485"/>
      <c r="G746" s="485"/>
      <c r="H746" s="485"/>
      <c r="I746" s="485"/>
      <c r="J746" s="485"/>
      <c r="K746" s="485"/>
      <c r="L746" s="485"/>
      <c r="M746" s="485"/>
      <c r="P746" s="485"/>
      <c r="Q746" s="485"/>
      <c r="R746" s="485"/>
      <c r="S746" s="485"/>
      <c r="T746" s="485"/>
      <c r="U746" s="485"/>
      <c r="V746" s="485"/>
      <c r="W746" s="485"/>
      <c r="X746" s="485"/>
      <c r="Y746" s="485"/>
      <c r="Z746" s="485"/>
      <c r="AA746" s="485"/>
      <c r="AB746" s="485"/>
      <c r="AC746" s="485"/>
      <c r="AD746" s="485"/>
      <c r="AE746" s="485"/>
      <c r="AF746" s="485"/>
      <c r="AG746" s="485"/>
      <c r="AH746" s="485"/>
      <c r="AI746" s="485"/>
      <c r="AJ746" s="485"/>
      <c r="AK746" s="485"/>
      <c r="AL746" s="485"/>
      <c r="AM746" s="485"/>
      <c r="AN746" s="485"/>
      <c r="AO746" s="485"/>
      <c r="AP746" s="485"/>
      <c r="AQ746" s="485"/>
      <c r="AR746" s="485"/>
      <c r="AS746" s="485"/>
      <c r="AT746" s="485"/>
      <c r="AU746" s="485"/>
      <c r="AV746" s="485"/>
      <c r="AW746" s="485"/>
      <c r="AX746" s="485"/>
      <c r="AY746" s="485"/>
      <c r="AZ746" s="485"/>
      <c r="BA746" s="485"/>
      <c r="BB746" s="485"/>
      <c r="BC746" s="485"/>
      <c r="BD746" s="485"/>
      <c r="BE746" s="485"/>
      <c r="BF746" s="485"/>
      <c r="BG746" s="485"/>
      <c r="BH746" s="485"/>
      <c r="BI746" s="485"/>
      <c r="BJ746" s="485"/>
      <c r="BK746" s="485"/>
      <c r="BL746" s="485"/>
      <c r="BM746" s="485"/>
      <c r="BN746" s="485"/>
      <c r="BO746" s="485"/>
      <c r="BP746" s="485"/>
      <c r="BQ746" s="485"/>
      <c r="BR746" s="485"/>
      <c r="BS746" s="485"/>
      <c r="BT746" s="485"/>
      <c r="BU746" s="485"/>
      <c r="BV746" s="485"/>
      <c r="BW746" s="485"/>
      <c r="BX746" s="485"/>
      <c r="BY746" s="485"/>
      <c r="BZ746" s="485"/>
      <c r="CA746" s="485"/>
      <c r="CB746" s="485"/>
      <c r="CC746" s="485"/>
      <c r="CD746" s="485"/>
      <c r="CE746" s="485"/>
      <c r="CF746" s="485"/>
      <c r="CG746" s="485"/>
      <c r="CH746" s="485"/>
      <c r="CI746" s="485"/>
      <c r="CJ746" s="485"/>
      <c r="CK746" s="485"/>
      <c r="CL746" s="485"/>
      <c r="CM746" s="485"/>
      <c r="CN746" s="485"/>
      <c r="CO746" s="485"/>
      <c r="CP746" s="485"/>
      <c r="CQ746" s="485"/>
      <c r="CR746" s="485"/>
      <c r="CS746" s="485"/>
      <c r="CT746" s="485"/>
      <c r="CU746" s="485"/>
      <c r="CV746" s="485"/>
      <c r="CW746" s="485"/>
      <c r="CX746" s="485"/>
      <c r="CY746" s="485"/>
      <c r="CZ746" s="485"/>
      <c r="DA746" s="485"/>
      <c r="DB746" s="485"/>
      <c r="DC746" s="485"/>
      <c r="DD746" s="485"/>
      <c r="DE746" s="485"/>
      <c r="DF746" s="485"/>
      <c r="DG746" s="485"/>
      <c r="DH746" s="485"/>
      <c r="DI746" s="485"/>
      <c r="DJ746" s="485"/>
      <c r="DK746" s="485"/>
      <c r="DL746" s="485"/>
      <c r="DM746" s="485"/>
      <c r="DN746" s="485"/>
      <c r="DO746" s="485"/>
      <c r="DP746" s="485"/>
      <c r="DQ746" s="485"/>
      <c r="DR746" s="485"/>
      <c r="DS746" s="485"/>
      <c r="DT746" s="485"/>
      <c r="DU746" s="485"/>
      <c r="DV746" s="485"/>
      <c r="DW746" s="485"/>
      <c r="DX746" s="485"/>
      <c r="DY746" s="485"/>
      <c r="DZ746" s="485"/>
      <c r="EA746" s="485"/>
      <c r="EB746" s="485"/>
      <c r="EC746" s="485"/>
      <c r="ED746" s="485"/>
      <c r="EE746" s="485"/>
      <c r="EF746" s="485"/>
      <c r="EG746" s="485"/>
      <c r="EH746" s="485"/>
      <c r="EI746" s="485"/>
      <c r="EJ746" s="485"/>
      <c r="EK746" s="485"/>
      <c r="EL746" s="485"/>
      <c r="EM746" s="485"/>
      <c r="EN746" s="485"/>
      <c r="EO746" s="485"/>
      <c r="EP746" s="485"/>
    </row>
    <row r="747" spans="1:146">
      <c r="A747" s="485"/>
      <c r="B747" s="485"/>
      <c r="C747" s="485"/>
      <c r="D747" s="485"/>
      <c r="E747" s="485"/>
      <c r="F747" s="485"/>
      <c r="G747" s="485"/>
      <c r="H747" s="485"/>
      <c r="I747" s="485"/>
      <c r="J747" s="485"/>
      <c r="K747" s="485"/>
      <c r="L747" s="485"/>
      <c r="M747" s="485"/>
      <c r="P747" s="485"/>
      <c r="Q747" s="485"/>
      <c r="R747" s="485"/>
      <c r="S747" s="485"/>
      <c r="T747" s="485"/>
      <c r="U747" s="485"/>
      <c r="V747" s="485"/>
      <c r="W747" s="485"/>
      <c r="X747" s="485"/>
      <c r="Y747" s="485"/>
      <c r="Z747" s="485"/>
      <c r="AA747" s="485"/>
      <c r="AB747" s="485"/>
      <c r="AC747" s="485"/>
      <c r="AD747" s="485"/>
      <c r="AE747" s="485"/>
      <c r="AF747" s="485"/>
      <c r="AG747" s="485"/>
      <c r="AH747" s="485"/>
      <c r="AI747" s="485"/>
      <c r="AJ747" s="485"/>
      <c r="AK747" s="485"/>
      <c r="AL747" s="485"/>
      <c r="AM747" s="485"/>
      <c r="AN747" s="485"/>
      <c r="AO747" s="485"/>
      <c r="AP747" s="485"/>
      <c r="AQ747" s="485"/>
      <c r="AR747" s="485"/>
      <c r="AS747" s="485"/>
      <c r="AT747" s="485"/>
      <c r="AU747" s="485"/>
      <c r="AV747" s="485"/>
      <c r="AW747" s="485"/>
      <c r="AX747" s="485"/>
      <c r="AY747" s="485"/>
      <c r="AZ747" s="485"/>
      <c r="BA747" s="485"/>
      <c r="BB747" s="485"/>
      <c r="BC747" s="485"/>
      <c r="BD747" s="485"/>
      <c r="BE747" s="485"/>
      <c r="BF747" s="485"/>
      <c r="BG747" s="485"/>
      <c r="BH747" s="485"/>
      <c r="BI747" s="485"/>
      <c r="BJ747" s="485"/>
      <c r="BK747" s="485"/>
      <c r="BL747" s="485"/>
      <c r="BM747" s="485"/>
      <c r="BN747" s="485"/>
      <c r="BO747" s="485"/>
      <c r="BP747" s="485"/>
      <c r="BQ747" s="485"/>
      <c r="BR747" s="485"/>
      <c r="BS747" s="485"/>
      <c r="BT747" s="485"/>
      <c r="BU747" s="485"/>
      <c r="BV747" s="485"/>
      <c r="BW747" s="485"/>
      <c r="BX747" s="485"/>
      <c r="BY747" s="485"/>
      <c r="BZ747" s="485"/>
      <c r="CA747" s="485"/>
      <c r="CB747" s="485"/>
      <c r="CC747" s="485"/>
      <c r="CD747" s="485"/>
      <c r="CE747" s="485"/>
      <c r="CF747" s="485"/>
      <c r="CG747" s="485"/>
      <c r="CH747" s="485"/>
      <c r="CI747" s="485"/>
      <c r="CJ747" s="485"/>
      <c r="CK747" s="485"/>
      <c r="CL747" s="485"/>
      <c r="CM747" s="485"/>
      <c r="CN747" s="485"/>
      <c r="CO747" s="485"/>
      <c r="CP747" s="485"/>
      <c r="CQ747" s="485"/>
      <c r="CR747" s="485"/>
      <c r="CS747" s="485"/>
      <c r="CT747" s="485"/>
      <c r="CU747" s="485"/>
      <c r="CV747" s="485"/>
      <c r="CW747" s="485"/>
      <c r="CX747" s="485"/>
      <c r="CY747" s="485"/>
      <c r="CZ747" s="485"/>
      <c r="DA747" s="485"/>
      <c r="DB747" s="485"/>
      <c r="DC747" s="485"/>
      <c r="DD747" s="485"/>
      <c r="DE747" s="485"/>
      <c r="DF747" s="485"/>
      <c r="DG747" s="485"/>
      <c r="DH747" s="485"/>
      <c r="DI747" s="485"/>
      <c r="DJ747" s="485"/>
      <c r="DK747" s="485"/>
      <c r="DL747" s="485"/>
      <c r="DM747" s="485"/>
      <c r="DN747" s="485"/>
      <c r="DO747" s="485"/>
      <c r="DP747" s="485"/>
      <c r="DQ747" s="485"/>
      <c r="DR747" s="485"/>
      <c r="DS747" s="485"/>
      <c r="DT747" s="485"/>
      <c r="DU747" s="485"/>
      <c r="DV747" s="485"/>
      <c r="DW747" s="485"/>
      <c r="DX747" s="485"/>
      <c r="DY747" s="485"/>
      <c r="DZ747" s="485"/>
      <c r="EA747" s="485"/>
      <c r="EB747" s="485"/>
      <c r="EC747" s="485"/>
      <c r="ED747" s="485"/>
      <c r="EE747" s="485"/>
      <c r="EF747" s="485"/>
      <c r="EG747" s="485"/>
      <c r="EH747" s="485"/>
      <c r="EI747" s="485"/>
      <c r="EJ747" s="485"/>
      <c r="EK747" s="485"/>
      <c r="EL747" s="485"/>
      <c r="EM747" s="485"/>
      <c r="EN747" s="485"/>
      <c r="EO747" s="485"/>
      <c r="EP747" s="485"/>
    </row>
    <row r="748" spans="1:146">
      <c r="A748" s="485"/>
      <c r="B748" s="485"/>
      <c r="C748" s="485"/>
      <c r="D748" s="485"/>
      <c r="E748" s="485"/>
      <c r="F748" s="485"/>
      <c r="G748" s="485"/>
      <c r="H748" s="485"/>
      <c r="I748" s="485"/>
      <c r="J748" s="485"/>
      <c r="K748" s="485"/>
      <c r="L748" s="485"/>
      <c r="M748" s="485"/>
      <c r="P748" s="485"/>
      <c r="Q748" s="485"/>
      <c r="R748" s="485"/>
      <c r="S748" s="485"/>
      <c r="T748" s="485"/>
      <c r="U748" s="485"/>
      <c r="V748" s="485"/>
      <c r="W748" s="485"/>
      <c r="X748" s="485"/>
      <c r="Y748" s="485"/>
      <c r="Z748" s="485"/>
      <c r="AA748" s="485"/>
      <c r="AB748" s="485"/>
      <c r="AC748" s="485"/>
      <c r="AD748" s="485"/>
      <c r="AE748" s="485"/>
      <c r="AF748" s="485"/>
      <c r="AG748" s="485"/>
      <c r="AH748" s="485"/>
      <c r="AI748" s="485"/>
      <c r="AJ748" s="485"/>
      <c r="AK748" s="485"/>
      <c r="AL748" s="485"/>
      <c r="AM748" s="485"/>
      <c r="AN748" s="485"/>
      <c r="AO748" s="485"/>
      <c r="AP748" s="485"/>
      <c r="AQ748" s="485"/>
      <c r="AR748" s="485"/>
      <c r="AS748" s="485"/>
      <c r="AT748" s="485"/>
      <c r="AU748" s="485"/>
      <c r="AV748" s="485"/>
      <c r="AW748" s="485"/>
      <c r="AX748" s="485"/>
      <c r="AY748" s="485"/>
      <c r="AZ748" s="485"/>
      <c r="BA748" s="485"/>
      <c r="BB748" s="485"/>
      <c r="BC748" s="485"/>
      <c r="BD748" s="485"/>
      <c r="BE748" s="485"/>
      <c r="BF748" s="485"/>
      <c r="BG748" s="485"/>
      <c r="BH748" s="485"/>
      <c r="BI748" s="485"/>
      <c r="BJ748" s="485"/>
      <c r="BK748" s="485"/>
      <c r="BL748" s="485"/>
      <c r="BM748" s="485"/>
      <c r="BN748" s="485"/>
      <c r="BO748" s="485"/>
      <c r="BP748" s="485"/>
      <c r="BQ748" s="485"/>
      <c r="BR748" s="485"/>
      <c r="BS748" s="485"/>
      <c r="BT748" s="485"/>
      <c r="BU748" s="485"/>
      <c r="BV748" s="485"/>
      <c r="BW748" s="485"/>
      <c r="BX748" s="485"/>
      <c r="BY748" s="485"/>
      <c r="BZ748" s="485"/>
      <c r="CA748" s="485"/>
      <c r="CB748" s="485"/>
      <c r="CC748" s="485"/>
      <c r="CD748" s="485"/>
      <c r="CE748" s="485"/>
      <c r="CF748" s="485"/>
      <c r="CG748" s="485"/>
      <c r="CH748" s="485"/>
      <c r="CI748" s="485"/>
      <c r="CJ748" s="485"/>
      <c r="CK748" s="485"/>
      <c r="CL748" s="485"/>
      <c r="CM748" s="485"/>
      <c r="CN748" s="485"/>
      <c r="CO748" s="485"/>
      <c r="CP748" s="485"/>
      <c r="CQ748" s="485"/>
      <c r="CR748" s="485"/>
      <c r="CS748" s="485"/>
      <c r="CT748" s="485"/>
      <c r="CU748" s="485"/>
      <c r="CV748" s="485"/>
      <c r="CW748" s="485"/>
      <c r="CX748" s="485"/>
      <c r="CY748" s="485"/>
      <c r="CZ748" s="485"/>
      <c r="DA748" s="485"/>
      <c r="DB748" s="485"/>
      <c r="DC748" s="485"/>
      <c r="DD748" s="485"/>
      <c r="DE748" s="485"/>
      <c r="DF748" s="485"/>
      <c r="DG748" s="485"/>
      <c r="DH748" s="485"/>
      <c r="DI748" s="485"/>
      <c r="DJ748" s="485"/>
      <c r="DK748" s="485"/>
      <c r="DL748" s="485"/>
      <c r="DM748" s="485"/>
      <c r="DN748" s="485"/>
      <c r="DO748" s="485"/>
      <c r="DP748" s="485"/>
      <c r="DQ748" s="485"/>
      <c r="DR748" s="485"/>
      <c r="DS748" s="485"/>
      <c r="DT748" s="485"/>
      <c r="DU748" s="485"/>
      <c r="DV748" s="485"/>
      <c r="DW748" s="485"/>
      <c r="DX748" s="485"/>
      <c r="DY748" s="485"/>
      <c r="DZ748" s="485"/>
      <c r="EA748" s="485"/>
      <c r="EB748" s="485"/>
      <c r="EC748" s="485"/>
      <c r="ED748" s="485"/>
      <c r="EE748" s="485"/>
      <c r="EF748" s="485"/>
      <c r="EG748" s="485"/>
      <c r="EH748" s="485"/>
      <c r="EI748" s="485"/>
      <c r="EJ748" s="485"/>
      <c r="EK748" s="485"/>
      <c r="EL748" s="485"/>
      <c r="EM748" s="485"/>
      <c r="EN748" s="485"/>
      <c r="EO748" s="485"/>
      <c r="EP748" s="485"/>
    </row>
    <row r="749" spans="1:146">
      <c r="A749" s="485"/>
      <c r="B749" s="485"/>
      <c r="C749" s="485"/>
      <c r="D749" s="485"/>
      <c r="E749" s="485"/>
      <c r="F749" s="485"/>
      <c r="G749" s="485"/>
      <c r="H749" s="485"/>
      <c r="I749" s="485"/>
      <c r="J749" s="485"/>
      <c r="K749" s="485"/>
      <c r="L749" s="485"/>
      <c r="M749" s="485"/>
      <c r="P749" s="485"/>
      <c r="Q749" s="485"/>
      <c r="R749" s="485"/>
      <c r="S749" s="485"/>
      <c r="T749" s="485"/>
      <c r="U749" s="485"/>
      <c r="V749" s="485"/>
      <c r="W749" s="485"/>
      <c r="X749" s="485"/>
      <c r="Y749" s="485"/>
      <c r="Z749" s="485"/>
      <c r="AA749" s="485"/>
      <c r="AB749" s="485"/>
      <c r="AC749" s="485"/>
      <c r="AD749" s="485"/>
      <c r="AE749" s="485"/>
      <c r="AF749" s="485"/>
      <c r="AG749" s="485"/>
      <c r="AH749" s="485"/>
      <c r="AI749" s="485"/>
      <c r="AJ749" s="485"/>
      <c r="AK749" s="485"/>
      <c r="AL749" s="485"/>
      <c r="AM749" s="485"/>
      <c r="AN749" s="485"/>
      <c r="AO749" s="485"/>
      <c r="AP749" s="485"/>
      <c r="AQ749" s="485"/>
      <c r="AR749" s="485"/>
      <c r="AS749" s="485"/>
      <c r="AT749" s="485"/>
      <c r="AU749" s="485"/>
      <c r="AV749" s="485"/>
      <c r="AW749" s="485"/>
      <c r="AX749" s="485"/>
      <c r="AY749" s="485"/>
      <c r="AZ749" s="485"/>
      <c r="BA749" s="485"/>
      <c r="BB749" s="485"/>
      <c r="BC749" s="485"/>
      <c r="BD749" s="485"/>
      <c r="BE749" s="485"/>
      <c r="BF749" s="485"/>
      <c r="BG749" s="485"/>
      <c r="BH749" s="485"/>
      <c r="BI749" s="485"/>
      <c r="BJ749" s="485"/>
      <c r="BK749" s="485"/>
      <c r="BL749" s="485"/>
      <c r="BM749" s="485"/>
      <c r="BN749" s="485"/>
      <c r="BO749" s="485"/>
      <c r="BP749" s="485"/>
      <c r="BQ749" s="485"/>
      <c r="BR749" s="485"/>
      <c r="BS749" s="485"/>
      <c r="BT749" s="485"/>
      <c r="BU749" s="485"/>
      <c r="BV749" s="485"/>
      <c r="BW749" s="485"/>
      <c r="BX749" s="485"/>
      <c r="BY749" s="485"/>
      <c r="BZ749" s="485"/>
      <c r="CA749" s="485"/>
      <c r="CB749" s="485"/>
      <c r="CC749" s="485"/>
      <c r="CD749" s="485"/>
      <c r="CE749" s="485"/>
      <c r="CF749" s="485"/>
      <c r="CG749" s="485"/>
      <c r="CH749" s="485"/>
      <c r="CI749" s="485"/>
      <c r="CJ749" s="485"/>
      <c r="CK749" s="485"/>
      <c r="CL749" s="485"/>
      <c r="CM749" s="485"/>
      <c r="CN749" s="485"/>
      <c r="CO749" s="485"/>
      <c r="CP749" s="485"/>
      <c r="CQ749" s="485"/>
      <c r="CR749" s="485"/>
      <c r="CS749" s="485"/>
      <c r="CT749" s="485"/>
      <c r="CU749" s="485"/>
      <c r="CV749" s="485"/>
      <c r="CW749" s="485"/>
      <c r="CX749" s="485"/>
      <c r="CY749" s="485"/>
      <c r="CZ749" s="485"/>
      <c r="DA749" s="485"/>
      <c r="DB749" s="485"/>
      <c r="DC749" s="485"/>
      <c r="DD749" s="485"/>
      <c r="DE749" s="485"/>
      <c r="DF749" s="485"/>
      <c r="DG749" s="485"/>
      <c r="DH749" s="485"/>
      <c r="DI749" s="485"/>
      <c r="DJ749" s="485"/>
      <c r="DK749" s="485"/>
      <c r="DL749" s="485"/>
      <c r="DM749" s="485"/>
      <c r="DN749" s="485"/>
      <c r="DO749" s="485"/>
      <c r="DP749" s="485"/>
      <c r="DQ749" s="485"/>
      <c r="DR749" s="485"/>
      <c r="DS749" s="485"/>
      <c r="DT749" s="485"/>
      <c r="DU749" s="485"/>
      <c r="DV749" s="485"/>
      <c r="DW749" s="485"/>
      <c r="DX749" s="485"/>
      <c r="DY749" s="485"/>
      <c r="DZ749" s="485"/>
      <c r="EA749" s="485"/>
      <c r="EB749" s="485"/>
      <c r="EC749" s="485"/>
      <c r="ED749" s="485"/>
      <c r="EE749" s="485"/>
      <c r="EF749" s="485"/>
      <c r="EG749" s="485"/>
      <c r="EH749" s="485"/>
      <c r="EI749" s="485"/>
      <c r="EJ749" s="485"/>
      <c r="EK749" s="485"/>
      <c r="EL749" s="485"/>
      <c r="EM749" s="485"/>
      <c r="EN749" s="485"/>
      <c r="EO749" s="485"/>
      <c r="EP749" s="485"/>
    </row>
    <row r="750" spans="1:146">
      <c r="A750" s="485"/>
      <c r="B750" s="485"/>
      <c r="C750" s="485"/>
      <c r="D750" s="485"/>
      <c r="E750" s="485"/>
      <c r="F750" s="485"/>
      <c r="G750" s="485"/>
      <c r="H750" s="485"/>
      <c r="I750" s="485"/>
      <c r="J750" s="485"/>
      <c r="K750" s="485"/>
      <c r="L750" s="485"/>
      <c r="M750" s="485"/>
      <c r="P750" s="485"/>
      <c r="Q750" s="485"/>
      <c r="R750" s="485"/>
      <c r="S750" s="485"/>
      <c r="T750" s="485"/>
      <c r="U750" s="485"/>
      <c r="V750" s="485"/>
      <c r="W750" s="485"/>
      <c r="X750" s="485"/>
      <c r="Y750" s="485"/>
      <c r="Z750" s="485"/>
      <c r="AA750" s="485"/>
      <c r="AB750" s="485"/>
      <c r="AC750" s="485"/>
      <c r="AD750" s="485"/>
      <c r="AE750" s="485"/>
      <c r="AF750" s="485"/>
      <c r="AG750" s="485"/>
      <c r="AH750" s="485"/>
      <c r="AI750" s="485"/>
      <c r="AJ750" s="485"/>
      <c r="AK750" s="485"/>
      <c r="AL750" s="485"/>
      <c r="AM750" s="485"/>
      <c r="AN750" s="485"/>
      <c r="AO750" s="485"/>
      <c r="AP750" s="485"/>
      <c r="AQ750" s="485"/>
      <c r="AR750" s="485"/>
      <c r="AS750" s="485"/>
      <c r="AT750" s="485"/>
      <c r="AU750" s="485"/>
      <c r="AV750" s="485"/>
      <c r="AW750" s="485"/>
      <c r="AX750" s="485"/>
      <c r="AY750" s="485"/>
      <c r="AZ750" s="485"/>
      <c r="BA750" s="485"/>
      <c r="BB750" s="485"/>
      <c r="BC750" s="485"/>
      <c r="BD750" s="485"/>
      <c r="BE750" s="485"/>
      <c r="BF750" s="485"/>
      <c r="BG750" s="485"/>
      <c r="BH750" s="485"/>
      <c r="BI750" s="485"/>
      <c r="BJ750" s="485"/>
      <c r="BK750" s="485"/>
      <c r="BL750" s="485"/>
      <c r="BM750" s="485"/>
      <c r="BN750" s="485"/>
      <c r="BO750" s="485"/>
      <c r="BP750" s="485"/>
      <c r="BQ750" s="485"/>
      <c r="BR750" s="485"/>
      <c r="BS750" s="485"/>
      <c r="BT750" s="485"/>
      <c r="BU750" s="485"/>
      <c r="BV750" s="485"/>
      <c r="BW750" s="485"/>
      <c r="BX750" s="485"/>
      <c r="BY750" s="485"/>
      <c r="BZ750" s="485"/>
      <c r="CA750" s="485"/>
      <c r="CB750" s="485"/>
      <c r="CC750" s="485"/>
      <c r="CD750" s="485"/>
      <c r="CE750" s="485"/>
      <c r="CF750" s="485"/>
      <c r="CG750" s="485"/>
      <c r="CH750" s="485"/>
      <c r="CI750" s="485"/>
      <c r="CJ750" s="485"/>
      <c r="CK750" s="485"/>
      <c r="CL750" s="485"/>
      <c r="CM750" s="485"/>
      <c r="CN750" s="485"/>
      <c r="CO750" s="485"/>
      <c r="CP750" s="485"/>
      <c r="CQ750" s="485"/>
      <c r="CR750" s="485"/>
      <c r="CS750" s="485"/>
      <c r="CT750" s="485"/>
      <c r="CU750" s="485"/>
      <c r="CV750" s="485"/>
      <c r="CW750" s="485"/>
      <c r="CX750" s="485"/>
      <c r="CY750" s="485"/>
      <c r="CZ750" s="485"/>
      <c r="DA750" s="485"/>
      <c r="DB750" s="485"/>
      <c r="DC750" s="485"/>
      <c r="DD750" s="485"/>
      <c r="DE750" s="485"/>
      <c r="DF750" s="485"/>
      <c r="DG750" s="485"/>
      <c r="DH750" s="485"/>
      <c r="DI750" s="485"/>
      <c r="DJ750" s="485"/>
      <c r="DK750" s="485"/>
      <c r="DL750" s="485"/>
      <c r="DM750" s="485"/>
      <c r="DN750" s="485"/>
      <c r="DO750" s="485"/>
      <c r="DP750" s="485"/>
      <c r="DQ750" s="485"/>
      <c r="DR750" s="485"/>
      <c r="DS750" s="485"/>
      <c r="DT750" s="485"/>
      <c r="DU750" s="485"/>
      <c r="DV750" s="485"/>
      <c r="DW750" s="485"/>
      <c r="DX750" s="485"/>
      <c r="DY750" s="485"/>
      <c r="DZ750" s="485"/>
      <c r="EA750" s="485"/>
      <c r="EB750" s="485"/>
      <c r="EC750" s="485"/>
      <c r="ED750" s="485"/>
      <c r="EE750" s="485"/>
      <c r="EF750" s="485"/>
      <c r="EG750" s="485"/>
      <c r="EH750" s="485"/>
      <c r="EI750" s="485"/>
      <c r="EJ750" s="485"/>
      <c r="EK750" s="485"/>
      <c r="EL750" s="485"/>
      <c r="EM750" s="485"/>
      <c r="EN750" s="485"/>
      <c r="EO750" s="485"/>
      <c r="EP750" s="485"/>
    </row>
    <row r="751" spans="1:146">
      <c r="A751" s="485"/>
      <c r="B751" s="485"/>
      <c r="C751" s="485"/>
      <c r="D751" s="485"/>
      <c r="E751" s="485"/>
      <c r="F751" s="485"/>
      <c r="G751" s="485"/>
      <c r="H751" s="485"/>
      <c r="I751" s="485"/>
      <c r="J751" s="485"/>
      <c r="K751" s="485"/>
      <c r="L751" s="485"/>
      <c r="M751" s="485"/>
      <c r="P751" s="485"/>
      <c r="Q751" s="485"/>
      <c r="R751" s="485"/>
      <c r="S751" s="485"/>
      <c r="T751" s="485"/>
      <c r="U751" s="485"/>
      <c r="V751" s="485"/>
      <c r="W751" s="485"/>
      <c r="X751" s="485"/>
      <c r="Y751" s="485"/>
      <c r="Z751" s="485"/>
      <c r="AA751" s="485"/>
      <c r="AB751" s="485"/>
      <c r="AC751" s="485"/>
      <c r="AD751" s="485"/>
      <c r="AE751" s="485"/>
      <c r="AF751" s="485"/>
      <c r="AG751" s="485"/>
      <c r="AH751" s="485"/>
      <c r="AI751" s="485"/>
      <c r="AJ751" s="485"/>
      <c r="AK751" s="485"/>
      <c r="AL751" s="485"/>
      <c r="AM751" s="485"/>
      <c r="AN751" s="485"/>
      <c r="AO751" s="485"/>
      <c r="AP751" s="485"/>
      <c r="AQ751" s="485"/>
      <c r="AR751" s="485"/>
      <c r="AS751" s="485"/>
      <c r="AT751" s="485"/>
      <c r="AU751" s="485"/>
      <c r="AV751" s="485"/>
      <c r="AW751" s="485"/>
      <c r="AX751" s="485"/>
      <c r="AY751" s="485"/>
      <c r="AZ751" s="485"/>
      <c r="BA751" s="485"/>
      <c r="BB751" s="485"/>
      <c r="BC751" s="485"/>
      <c r="BD751" s="485"/>
      <c r="BE751" s="485"/>
      <c r="BF751" s="485"/>
      <c r="BG751" s="485"/>
      <c r="BH751" s="485"/>
      <c r="BI751" s="485"/>
      <c r="BJ751" s="485"/>
      <c r="BK751" s="485"/>
      <c r="BL751" s="485"/>
      <c r="BM751" s="485"/>
      <c r="BN751" s="485"/>
      <c r="BO751" s="485"/>
      <c r="BP751" s="485"/>
      <c r="BQ751" s="485"/>
      <c r="BR751" s="485"/>
      <c r="BS751" s="485"/>
      <c r="BT751" s="485"/>
      <c r="BU751" s="485"/>
      <c r="BV751" s="485"/>
      <c r="BW751" s="485"/>
      <c r="BX751" s="485"/>
      <c r="BY751" s="485"/>
      <c r="BZ751" s="485"/>
      <c r="CA751" s="485"/>
      <c r="CB751" s="485"/>
      <c r="CC751" s="485"/>
      <c r="CD751" s="485"/>
      <c r="CE751" s="485"/>
      <c r="CF751" s="485"/>
      <c r="CG751" s="485"/>
      <c r="CH751" s="485"/>
      <c r="CI751" s="485"/>
      <c r="CJ751" s="485"/>
      <c r="CK751" s="485"/>
      <c r="CL751" s="485"/>
      <c r="CM751" s="485"/>
      <c r="CN751" s="485"/>
      <c r="CO751" s="485"/>
      <c r="CP751" s="485"/>
      <c r="CQ751" s="485"/>
      <c r="CR751" s="485"/>
      <c r="CS751" s="485"/>
      <c r="CT751" s="485"/>
      <c r="CU751" s="485"/>
      <c r="CV751" s="485"/>
      <c r="CW751" s="485"/>
      <c r="CX751" s="485"/>
      <c r="CY751" s="485"/>
      <c r="CZ751" s="485"/>
      <c r="DA751" s="485"/>
      <c r="DB751" s="485"/>
      <c r="DC751" s="485"/>
      <c r="DD751" s="485"/>
      <c r="DE751" s="485"/>
      <c r="DF751" s="485"/>
      <c r="DG751" s="485"/>
      <c r="DH751" s="485"/>
      <c r="DI751" s="485"/>
      <c r="DJ751" s="485"/>
      <c r="DK751" s="485"/>
      <c r="DL751" s="485"/>
      <c r="DM751" s="485"/>
      <c r="DN751" s="485"/>
      <c r="DO751" s="485"/>
      <c r="DP751" s="485"/>
      <c r="DQ751" s="485"/>
      <c r="DR751" s="485"/>
      <c r="DS751" s="485"/>
      <c r="DT751" s="485"/>
      <c r="DU751" s="485"/>
      <c r="DV751" s="485"/>
      <c r="DW751" s="485"/>
      <c r="DX751" s="485"/>
      <c r="DY751" s="485"/>
      <c r="DZ751" s="485"/>
      <c r="EA751" s="485"/>
      <c r="EB751" s="485"/>
      <c r="EC751" s="485"/>
      <c r="ED751" s="485"/>
      <c r="EE751" s="485"/>
      <c r="EF751" s="485"/>
      <c r="EG751" s="485"/>
      <c r="EH751" s="485"/>
      <c r="EI751" s="485"/>
      <c r="EJ751" s="485"/>
      <c r="EK751" s="485"/>
      <c r="EL751" s="485"/>
      <c r="EM751" s="485"/>
      <c r="EN751" s="485"/>
      <c r="EO751" s="485"/>
      <c r="EP751" s="485"/>
    </row>
    <row r="752" spans="1:146">
      <c r="A752" s="485"/>
      <c r="B752" s="485"/>
      <c r="C752" s="485"/>
      <c r="D752" s="485"/>
      <c r="E752" s="485"/>
      <c r="F752" s="485"/>
      <c r="G752" s="485"/>
      <c r="H752" s="485"/>
      <c r="I752" s="485"/>
      <c r="J752" s="485"/>
      <c r="K752" s="485"/>
      <c r="L752" s="485"/>
      <c r="M752" s="485"/>
      <c r="P752" s="485"/>
      <c r="Q752" s="485"/>
      <c r="R752" s="485"/>
      <c r="S752" s="485"/>
      <c r="T752" s="485"/>
      <c r="U752" s="485"/>
      <c r="V752" s="485"/>
      <c r="W752" s="485"/>
      <c r="X752" s="485"/>
      <c r="Y752" s="485"/>
      <c r="Z752" s="485"/>
      <c r="AA752" s="485"/>
      <c r="AB752" s="485"/>
      <c r="AC752" s="485"/>
      <c r="AD752" s="485"/>
      <c r="AE752" s="485"/>
      <c r="AF752" s="485"/>
      <c r="AG752" s="485"/>
      <c r="AH752" s="485"/>
      <c r="AI752" s="485"/>
      <c r="AJ752" s="485"/>
      <c r="AK752" s="485"/>
      <c r="AL752" s="485"/>
      <c r="AM752" s="485"/>
      <c r="AN752" s="485"/>
      <c r="AO752" s="485"/>
      <c r="AP752" s="485"/>
      <c r="AQ752" s="485"/>
      <c r="AR752" s="485"/>
      <c r="AS752" s="485"/>
      <c r="AT752" s="485"/>
      <c r="AU752" s="485"/>
      <c r="AV752" s="485"/>
      <c r="AW752" s="485"/>
      <c r="AX752" s="485"/>
      <c r="AY752" s="485"/>
      <c r="AZ752" s="485"/>
      <c r="BA752" s="485"/>
      <c r="BB752" s="485"/>
      <c r="BC752" s="485"/>
      <c r="BD752" s="485"/>
      <c r="BE752" s="485"/>
      <c r="BF752" s="485"/>
      <c r="BG752" s="485"/>
      <c r="BH752" s="485"/>
      <c r="BI752" s="485"/>
      <c r="BJ752" s="485"/>
      <c r="BK752" s="485"/>
      <c r="BL752" s="485"/>
      <c r="BM752" s="485"/>
      <c r="BN752" s="485"/>
      <c r="BO752" s="485"/>
      <c r="BP752" s="485"/>
      <c r="BQ752" s="485"/>
      <c r="BR752" s="485"/>
      <c r="BS752" s="485"/>
      <c r="BT752" s="485"/>
      <c r="BU752" s="485"/>
      <c r="BV752" s="485"/>
      <c r="BW752" s="485"/>
      <c r="BX752" s="485"/>
      <c r="BY752" s="485"/>
      <c r="BZ752" s="485"/>
      <c r="CA752" s="485"/>
      <c r="CB752" s="485"/>
      <c r="CC752" s="485"/>
      <c r="CD752" s="485"/>
      <c r="CE752" s="485"/>
      <c r="CF752" s="485"/>
      <c r="CG752" s="485"/>
      <c r="CH752" s="485"/>
      <c r="CI752" s="485"/>
      <c r="CJ752" s="485"/>
      <c r="CK752" s="485"/>
      <c r="CL752" s="485"/>
      <c r="CM752" s="485"/>
      <c r="CN752" s="485"/>
      <c r="CO752" s="485"/>
      <c r="CP752" s="485"/>
      <c r="CQ752" s="485"/>
      <c r="CR752" s="485"/>
      <c r="CS752" s="485"/>
      <c r="CT752" s="485"/>
      <c r="CU752" s="485"/>
      <c r="CV752" s="485"/>
      <c r="CW752" s="485"/>
      <c r="CX752" s="485"/>
      <c r="CY752" s="485"/>
      <c r="CZ752" s="485"/>
      <c r="DA752" s="485"/>
      <c r="DB752" s="485"/>
      <c r="DC752" s="485"/>
      <c r="DD752" s="485"/>
      <c r="DE752" s="485"/>
      <c r="DF752" s="485"/>
      <c r="DG752" s="485"/>
      <c r="DH752" s="485"/>
      <c r="DI752" s="485"/>
      <c r="DJ752" s="485"/>
      <c r="DK752" s="485"/>
      <c r="DL752" s="485"/>
      <c r="DM752" s="485"/>
      <c r="DN752" s="485"/>
      <c r="DO752" s="485"/>
      <c r="DP752" s="485"/>
      <c r="DQ752" s="485"/>
      <c r="DR752" s="485"/>
      <c r="DS752" s="485"/>
      <c r="DT752" s="485"/>
      <c r="DU752" s="485"/>
      <c r="DV752" s="485"/>
      <c r="DW752" s="485"/>
      <c r="DX752" s="485"/>
      <c r="DY752" s="485"/>
      <c r="DZ752" s="485"/>
      <c r="EA752" s="485"/>
      <c r="EB752" s="485"/>
      <c r="EC752" s="485"/>
      <c r="ED752" s="485"/>
      <c r="EE752" s="485"/>
      <c r="EF752" s="485"/>
      <c r="EG752" s="485"/>
      <c r="EH752" s="485"/>
      <c r="EI752" s="485"/>
      <c r="EJ752" s="485"/>
      <c r="EK752" s="485"/>
      <c r="EL752" s="485"/>
      <c r="EM752" s="485"/>
      <c r="EN752" s="485"/>
      <c r="EO752" s="485"/>
      <c r="EP752" s="485"/>
    </row>
    <row r="753" spans="1:146">
      <c r="A753" s="485"/>
      <c r="B753" s="485"/>
      <c r="C753" s="485"/>
      <c r="D753" s="485"/>
      <c r="E753" s="485"/>
      <c r="F753" s="485"/>
      <c r="G753" s="485"/>
      <c r="H753" s="485"/>
      <c r="I753" s="485"/>
      <c r="J753" s="485"/>
      <c r="K753" s="485"/>
      <c r="L753" s="485"/>
      <c r="M753" s="485"/>
      <c r="P753" s="485"/>
      <c r="Q753" s="485"/>
      <c r="R753" s="485"/>
      <c r="S753" s="485"/>
      <c r="T753" s="485"/>
      <c r="U753" s="485"/>
      <c r="V753" s="485"/>
      <c r="W753" s="485"/>
      <c r="X753" s="485"/>
      <c r="Y753" s="485"/>
      <c r="Z753" s="485"/>
      <c r="AA753" s="485"/>
      <c r="AB753" s="485"/>
      <c r="AC753" s="485"/>
      <c r="AD753" s="485"/>
      <c r="AE753" s="485"/>
      <c r="AF753" s="485"/>
      <c r="AG753" s="485"/>
      <c r="AH753" s="485"/>
      <c r="AI753" s="485"/>
      <c r="AJ753" s="485"/>
      <c r="AK753" s="485"/>
      <c r="AL753" s="485"/>
      <c r="AM753" s="485"/>
      <c r="AN753" s="485"/>
      <c r="AO753" s="485"/>
      <c r="AP753" s="485"/>
      <c r="AQ753" s="485"/>
      <c r="AR753" s="485"/>
      <c r="AS753" s="485"/>
      <c r="AT753" s="485"/>
      <c r="AU753" s="485"/>
      <c r="AV753" s="485"/>
      <c r="AW753" s="485"/>
      <c r="AX753" s="485"/>
      <c r="AY753" s="485"/>
      <c r="AZ753" s="485"/>
      <c r="BA753" s="485"/>
      <c r="BB753" s="485"/>
      <c r="BC753" s="485"/>
      <c r="BD753" s="485"/>
      <c r="BE753" s="485"/>
      <c r="BF753" s="485"/>
      <c r="BG753" s="485"/>
      <c r="BH753" s="485"/>
      <c r="BI753" s="485"/>
      <c r="BJ753" s="485"/>
      <c r="BK753" s="485"/>
      <c r="BL753" s="485"/>
      <c r="BM753" s="485"/>
      <c r="BN753" s="485"/>
      <c r="BO753" s="485"/>
      <c r="BP753" s="485"/>
      <c r="BQ753" s="485"/>
      <c r="BR753" s="485"/>
      <c r="BS753" s="485"/>
      <c r="BT753" s="485"/>
      <c r="BU753" s="485"/>
      <c r="BV753" s="485"/>
      <c r="BW753" s="485"/>
      <c r="BX753" s="485"/>
      <c r="BY753" s="485"/>
      <c r="BZ753" s="485"/>
      <c r="CA753" s="485"/>
      <c r="CB753" s="485"/>
      <c r="CC753" s="485"/>
      <c r="CD753" s="485"/>
      <c r="CE753" s="485"/>
      <c r="CF753" s="485"/>
      <c r="CG753" s="485"/>
      <c r="CH753" s="485"/>
      <c r="CI753" s="485"/>
      <c r="CJ753" s="485"/>
      <c r="CK753" s="485"/>
      <c r="CL753" s="485"/>
      <c r="CM753" s="485"/>
      <c r="CN753" s="485"/>
      <c r="CO753" s="485"/>
      <c r="CP753" s="485"/>
      <c r="CQ753" s="485"/>
      <c r="CR753" s="485"/>
      <c r="CS753" s="485"/>
      <c r="CT753" s="485"/>
      <c r="CU753" s="485"/>
      <c r="CV753" s="485"/>
      <c r="CW753" s="485"/>
      <c r="CX753" s="485"/>
      <c r="CY753" s="485"/>
      <c r="CZ753" s="485"/>
      <c r="DA753" s="485"/>
      <c r="DB753" s="485"/>
      <c r="DC753" s="485"/>
      <c r="DD753" s="485"/>
      <c r="DE753" s="485"/>
      <c r="DF753" s="485"/>
      <c r="DG753" s="485"/>
      <c r="DH753" s="485"/>
      <c r="DI753" s="485"/>
      <c r="DJ753" s="485"/>
      <c r="DK753" s="485"/>
      <c r="DL753" s="485"/>
      <c r="DM753" s="485"/>
      <c r="DN753" s="485"/>
      <c r="DO753" s="485"/>
      <c r="DP753" s="485"/>
      <c r="DQ753" s="485"/>
      <c r="DR753" s="485"/>
      <c r="DS753" s="485"/>
      <c r="DT753" s="485"/>
      <c r="DU753" s="485"/>
      <c r="DV753" s="485"/>
      <c r="DW753" s="485"/>
      <c r="DX753" s="485"/>
      <c r="DY753" s="485"/>
      <c r="DZ753" s="485"/>
      <c r="EA753" s="485"/>
      <c r="EB753" s="485"/>
      <c r="EC753" s="485"/>
      <c r="ED753" s="485"/>
      <c r="EE753" s="485"/>
      <c r="EF753" s="485"/>
      <c r="EG753" s="485"/>
      <c r="EH753" s="485"/>
      <c r="EI753" s="485"/>
      <c r="EJ753" s="485"/>
      <c r="EK753" s="485"/>
      <c r="EL753" s="485"/>
      <c r="EM753" s="485"/>
      <c r="EN753" s="485"/>
      <c r="EO753" s="485"/>
      <c r="EP753" s="485"/>
    </row>
    <row r="754" spans="1:146">
      <c r="A754" s="485"/>
      <c r="B754" s="485"/>
      <c r="C754" s="485"/>
      <c r="D754" s="485"/>
      <c r="E754" s="485"/>
      <c r="F754" s="485"/>
      <c r="G754" s="485"/>
      <c r="H754" s="485"/>
      <c r="I754" s="485"/>
      <c r="J754" s="485"/>
      <c r="K754" s="485"/>
      <c r="L754" s="485"/>
      <c r="M754" s="485"/>
      <c r="P754" s="485"/>
      <c r="Q754" s="485"/>
      <c r="R754" s="485"/>
      <c r="S754" s="485"/>
      <c r="T754" s="485"/>
      <c r="U754" s="485"/>
      <c r="V754" s="485"/>
      <c r="W754" s="485"/>
      <c r="X754" s="485"/>
      <c r="Y754" s="485"/>
      <c r="Z754" s="485"/>
      <c r="AA754" s="485"/>
      <c r="AB754" s="485"/>
      <c r="AC754" s="485"/>
      <c r="AD754" s="485"/>
      <c r="AE754" s="485"/>
      <c r="AF754" s="485"/>
      <c r="AG754" s="485"/>
      <c r="AH754" s="485"/>
      <c r="AI754" s="485"/>
      <c r="AJ754" s="485"/>
      <c r="AK754" s="485"/>
      <c r="AL754" s="485"/>
      <c r="AM754" s="485"/>
      <c r="AN754" s="485"/>
      <c r="AO754" s="485"/>
      <c r="AP754" s="485"/>
      <c r="AQ754" s="485"/>
      <c r="AR754" s="485"/>
      <c r="AS754" s="485"/>
      <c r="AT754" s="485"/>
      <c r="AU754" s="485"/>
      <c r="AV754" s="485"/>
      <c r="AW754" s="485"/>
      <c r="AX754" s="485"/>
      <c r="AY754" s="485"/>
      <c r="AZ754" s="485"/>
      <c r="BA754" s="485"/>
      <c r="BB754" s="485"/>
      <c r="BC754" s="485"/>
      <c r="BD754" s="485"/>
      <c r="BE754" s="485"/>
      <c r="BF754" s="485"/>
      <c r="BG754" s="485"/>
      <c r="BH754" s="485"/>
      <c r="BI754" s="485"/>
      <c r="BJ754" s="485"/>
      <c r="BK754" s="485"/>
      <c r="BL754" s="485"/>
      <c r="BM754" s="485"/>
      <c r="BN754" s="485"/>
      <c r="BO754" s="485"/>
      <c r="BP754" s="485"/>
      <c r="BQ754" s="485"/>
      <c r="BR754" s="485"/>
      <c r="BS754" s="485"/>
      <c r="BT754" s="485"/>
      <c r="BU754" s="485"/>
      <c r="BV754" s="485"/>
      <c r="BW754" s="485"/>
      <c r="BX754" s="485"/>
      <c r="BY754" s="485"/>
      <c r="BZ754" s="485"/>
      <c r="CA754" s="485"/>
      <c r="CB754" s="485"/>
      <c r="CC754" s="485"/>
      <c r="CD754" s="485"/>
      <c r="CE754" s="485"/>
      <c r="CF754" s="485"/>
      <c r="CG754" s="485"/>
      <c r="CH754" s="485"/>
      <c r="CI754" s="485"/>
      <c r="CJ754" s="485"/>
      <c r="CK754" s="485"/>
      <c r="CL754" s="485"/>
      <c r="CM754" s="485"/>
      <c r="CN754" s="485"/>
      <c r="CO754" s="485"/>
      <c r="CP754" s="485"/>
      <c r="CQ754" s="485"/>
      <c r="CR754" s="485"/>
      <c r="CS754" s="485"/>
      <c r="CT754" s="485"/>
      <c r="CU754" s="485"/>
      <c r="CV754" s="485"/>
      <c r="CW754" s="485"/>
      <c r="CX754" s="485"/>
      <c r="CY754" s="485"/>
      <c r="CZ754" s="485"/>
      <c r="DA754" s="485"/>
      <c r="DB754" s="485"/>
      <c r="DC754" s="485"/>
      <c r="DD754" s="485"/>
      <c r="DE754" s="485"/>
      <c r="DF754" s="485"/>
      <c r="DG754" s="485"/>
      <c r="DH754" s="485"/>
      <c r="DI754" s="485"/>
      <c r="DJ754" s="485"/>
      <c r="DK754" s="485"/>
      <c r="DL754" s="485"/>
      <c r="DM754" s="485"/>
      <c r="DN754" s="485"/>
      <c r="DO754" s="485"/>
      <c r="DP754" s="485"/>
      <c r="DQ754" s="485"/>
      <c r="DR754" s="485"/>
      <c r="DS754" s="485"/>
      <c r="DT754" s="485"/>
      <c r="DU754" s="485"/>
      <c r="DV754" s="485"/>
      <c r="DW754" s="485"/>
      <c r="DX754" s="485"/>
      <c r="DY754" s="485"/>
      <c r="DZ754" s="485"/>
      <c r="EA754" s="485"/>
      <c r="EB754" s="485"/>
      <c r="EC754" s="485"/>
      <c r="ED754" s="485"/>
      <c r="EE754" s="485"/>
      <c r="EF754" s="485"/>
      <c r="EG754" s="485"/>
      <c r="EH754" s="485"/>
      <c r="EI754" s="485"/>
      <c r="EJ754" s="485"/>
      <c r="EK754" s="485"/>
      <c r="EL754" s="485"/>
      <c r="EM754" s="485"/>
      <c r="EN754" s="485"/>
      <c r="EO754" s="485"/>
      <c r="EP754" s="485"/>
    </row>
    <row r="755" spans="1:146">
      <c r="A755" s="485"/>
      <c r="B755" s="485"/>
      <c r="C755" s="485"/>
      <c r="D755" s="485"/>
      <c r="E755" s="485"/>
      <c r="F755" s="485"/>
      <c r="G755" s="485"/>
      <c r="H755" s="485"/>
      <c r="I755" s="485"/>
      <c r="J755" s="485"/>
      <c r="K755" s="485"/>
      <c r="L755" s="485"/>
      <c r="M755" s="485"/>
      <c r="P755" s="485"/>
      <c r="Q755" s="485"/>
      <c r="R755" s="485"/>
      <c r="S755" s="485"/>
      <c r="T755" s="485"/>
      <c r="U755" s="485"/>
      <c r="V755" s="485"/>
      <c r="W755" s="485"/>
      <c r="X755" s="485"/>
      <c r="Y755" s="485"/>
      <c r="Z755" s="485"/>
      <c r="AA755" s="485"/>
      <c r="AB755" s="485"/>
      <c r="AC755" s="485"/>
      <c r="AD755" s="485"/>
      <c r="AE755" s="485"/>
      <c r="AF755" s="485"/>
      <c r="AG755" s="485"/>
      <c r="AH755" s="485"/>
      <c r="AI755" s="485"/>
      <c r="AJ755" s="485"/>
      <c r="AK755" s="485"/>
      <c r="AL755" s="485"/>
      <c r="AM755" s="485"/>
      <c r="AN755" s="485"/>
      <c r="AO755" s="485"/>
      <c r="AP755" s="485"/>
      <c r="AQ755" s="485"/>
      <c r="AR755" s="485"/>
      <c r="AS755" s="485"/>
      <c r="AT755" s="485"/>
      <c r="AU755" s="485"/>
      <c r="AV755" s="485"/>
      <c r="AW755" s="485"/>
      <c r="AX755" s="485"/>
      <c r="AY755" s="485"/>
      <c r="AZ755" s="485"/>
      <c r="BA755" s="485"/>
      <c r="BB755" s="485"/>
      <c r="BC755" s="485"/>
      <c r="BD755" s="485"/>
      <c r="BE755" s="485"/>
      <c r="BF755" s="485"/>
      <c r="BG755" s="485"/>
      <c r="BH755" s="485"/>
      <c r="BI755" s="485"/>
      <c r="BJ755" s="485"/>
      <c r="BK755" s="485"/>
      <c r="BL755" s="485"/>
      <c r="BM755" s="485"/>
      <c r="BN755" s="485"/>
      <c r="BO755" s="485"/>
      <c r="BP755" s="485"/>
      <c r="BQ755" s="485"/>
      <c r="BR755" s="485"/>
      <c r="BS755" s="485"/>
      <c r="BT755" s="485"/>
      <c r="BU755" s="485"/>
      <c r="BV755" s="485"/>
      <c r="BW755" s="485"/>
      <c r="BX755" s="485"/>
      <c r="BY755" s="485"/>
      <c r="BZ755" s="485"/>
      <c r="CA755" s="485"/>
      <c r="CB755" s="485"/>
      <c r="CC755" s="485"/>
      <c r="CD755" s="485"/>
      <c r="CE755" s="485"/>
      <c r="CF755" s="485"/>
      <c r="CG755" s="485"/>
      <c r="CH755" s="485"/>
      <c r="CI755" s="485"/>
      <c r="CJ755" s="485"/>
      <c r="CK755" s="485"/>
      <c r="CL755" s="485"/>
      <c r="CM755" s="485"/>
      <c r="CN755" s="485"/>
      <c r="CO755" s="485"/>
      <c r="CP755" s="485"/>
      <c r="CQ755" s="485"/>
      <c r="CR755" s="485"/>
      <c r="CS755" s="485"/>
      <c r="CT755" s="485"/>
      <c r="CU755" s="485"/>
      <c r="CV755" s="485"/>
      <c r="CW755" s="485"/>
      <c r="CX755" s="485"/>
      <c r="CY755" s="485"/>
      <c r="CZ755" s="485"/>
      <c r="DA755" s="485"/>
      <c r="DB755" s="485"/>
      <c r="DC755" s="485"/>
      <c r="DD755" s="485"/>
      <c r="DE755" s="485"/>
      <c r="DF755" s="485"/>
      <c r="DG755" s="485"/>
      <c r="DH755" s="485"/>
      <c r="DI755" s="485"/>
      <c r="DJ755" s="485"/>
      <c r="DK755" s="485"/>
      <c r="DL755" s="485"/>
      <c r="DM755" s="485"/>
      <c r="DN755" s="485"/>
      <c r="DO755" s="485"/>
      <c r="DP755" s="485"/>
      <c r="DQ755" s="485"/>
      <c r="DR755" s="485"/>
      <c r="DS755" s="485"/>
      <c r="DT755" s="485"/>
      <c r="DU755" s="485"/>
      <c r="DV755" s="485"/>
      <c r="DW755" s="485"/>
      <c r="DX755" s="485"/>
      <c r="DY755" s="485"/>
      <c r="DZ755" s="485"/>
      <c r="EA755" s="485"/>
      <c r="EB755" s="485"/>
      <c r="EC755" s="485"/>
      <c r="ED755" s="485"/>
      <c r="EE755" s="485"/>
      <c r="EF755" s="485"/>
      <c r="EG755" s="485"/>
      <c r="EH755" s="485"/>
      <c r="EI755" s="485"/>
      <c r="EJ755" s="485"/>
      <c r="EK755" s="485"/>
      <c r="EL755" s="485"/>
      <c r="EM755" s="485"/>
      <c r="EN755" s="485"/>
      <c r="EO755" s="485"/>
      <c r="EP755" s="485"/>
    </row>
    <row r="756" spans="1:146">
      <c r="A756" s="485"/>
      <c r="B756" s="485"/>
      <c r="C756" s="485"/>
      <c r="D756" s="485"/>
      <c r="E756" s="485"/>
      <c r="F756" s="485"/>
      <c r="G756" s="485"/>
      <c r="H756" s="485"/>
      <c r="I756" s="485"/>
      <c r="J756" s="485"/>
      <c r="K756" s="485"/>
      <c r="L756" s="485"/>
      <c r="M756" s="485"/>
      <c r="P756" s="485"/>
      <c r="Q756" s="485"/>
      <c r="R756" s="485"/>
      <c r="S756" s="485"/>
      <c r="T756" s="485"/>
      <c r="U756" s="485"/>
      <c r="V756" s="485"/>
      <c r="W756" s="485"/>
      <c r="X756" s="485"/>
      <c r="Y756" s="485"/>
      <c r="Z756" s="485"/>
      <c r="AA756" s="485"/>
      <c r="AB756" s="485"/>
      <c r="AC756" s="485"/>
      <c r="AD756" s="485"/>
      <c r="AE756" s="485"/>
      <c r="AF756" s="485"/>
      <c r="AG756" s="485"/>
      <c r="AH756" s="485"/>
      <c r="AI756" s="485"/>
      <c r="AJ756" s="485"/>
      <c r="AK756" s="485"/>
      <c r="AL756" s="485"/>
      <c r="AM756" s="485"/>
      <c r="AN756" s="485"/>
      <c r="AO756" s="485"/>
      <c r="AP756" s="485"/>
      <c r="AQ756" s="485"/>
      <c r="AR756" s="485"/>
      <c r="AS756" s="485"/>
      <c r="AT756" s="485"/>
      <c r="AU756" s="485"/>
      <c r="AV756" s="485"/>
      <c r="AW756" s="485"/>
      <c r="AX756" s="485"/>
      <c r="AY756" s="485"/>
      <c r="AZ756" s="485"/>
      <c r="BA756" s="485"/>
      <c r="BB756" s="485"/>
      <c r="BC756" s="485"/>
      <c r="BD756" s="485"/>
      <c r="BE756" s="485"/>
      <c r="BF756" s="485"/>
      <c r="BG756" s="485"/>
      <c r="BH756" s="485"/>
      <c r="BI756" s="485"/>
      <c r="BJ756" s="485"/>
      <c r="BK756" s="485"/>
      <c r="BL756" s="485"/>
      <c r="BM756" s="485"/>
      <c r="BN756" s="485"/>
      <c r="BO756" s="485"/>
      <c r="BP756" s="485"/>
      <c r="BQ756" s="485"/>
      <c r="BR756" s="485"/>
      <c r="BS756" s="485"/>
      <c r="BT756" s="485"/>
      <c r="BU756" s="485"/>
      <c r="BV756" s="485"/>
      <c r="BW756" s="485"/>
      <c r="BX756" s="485"/>
      <c r="BY756" s="485"/>
      <c r="BZ756" s="485"/>
      <c r="CA756" s="485"/>
      <c r="CB756" s="485"/>
      <c r="CC756" s="485"/>
      <c r="CD756" s="485"/>
      <c r="CE756" s="485"/>
      <c r="CF756" s="485"/>
      <c r="CG756" s="485"/>
      <c r="CH756" s="485"/>
      <c r="CI756" s="485"/>
      <c r="CJ756" s="485"/>
      <c r="CK756" s="485"/>
      <c r="CL756" s="485"/>
      <c r="CM756" s="485"/>
      <c r="CN756" s="485"/>
      <c r="CO756" s="485"/>
      <c r="CP756" s="485"/>
      <c r="CQ756" s="485"/>
      <c r="CR756" s="485"/>
      <c r="CS756" s="485"/>
      <c r="CT756" s="485"/>
      <c r="CU756" s="485"/>
      <c r="CV756" s="485"/>
      <c r="CW756" s="485"/>
      <c r="CX756" s="485"/>
      <c r="CY756" s="485"/>
      <c r="CZ756" s="485"/>
      <c r="DA756" s="485"/>
      <c r="DB756" s="485"/>
      <c r="DC756" s="485"/>
      <c r="DD756" s="485"/>
      <c r="DE756" s="485"/>
      <c r="DF756" s="485"/>
      <c r="DG756" s="485"/>
      <c r="DH756" s="485"/>
      <c r="DI756" s="485"/>
      <c r="DJ756" s="485"/>
      <c r="DK756" s="485"/>
      <c r="DL756" s="485"/>
      <c r="DM756" s="485"/>
      <c r="DN756" s="485"/>
      <c r="DO756" s="485"/>
      <c r="DP756" s="485"/>
      <c r="DQ756" s="485"/>
      <c r="DR756" s="485"/>
      <c r="DS756" s="485"/>
      <c r="DT756" s="485"/>
      <c r="DU756" s="485"/>
      <c r="DV756" s="485"/>
      <c r="DW756" s="485"/>
      <c r="DX756" s="485"/>
      <c r="DY756" s="485"/>
      <c r="DZ756" s="485"/>
      <c r="EA756" s="485"/>
      <c r="EB756" s="485"/>
      <c r="EC756" s="485"/>
      <c r="ED756" s="485"/>
      <c r="EE756" s="485"/>
      <c r="EF756" s="485"/>
      <c r="EG756" s="485"/>
      <c r="EH756" s="485"/>
      <c r="EI756" s="485"/>
      <c r="EJ756" s="485"/>
      <c r="EK756" s="485"/>
      <c r="EL756" s="485"/>
      <c r="EM756" s="485"/>
      <c r="EN756" s="485"/>
      <c r="EO756" s="485"/>
      <c r="EP756" s="485"/>
    </row>
    <row r="757" spans="1:146">
      <c r="A757" s="485"/>
      <c r="B757" s="485"/>
      <c r="C757" s="485"/>
      <c r="D757" s="485"/>
      <c r="E757" s="485"/>
      <c r="F757" s="485"/>
      <c r="G757" s="485"/>
      <c r="H757" s="485"/>
      <c r="I757" s="485"/>
      <c r="J757" s="485"/>
      <c r="K757" s="485"/>
      <c r="L757" s="485"/>
      <c r="M757" s="485"/>
      <c r="P757" s="485"/>
      <c r="Q757" s="485"/>
      <c r="R757" s="485"/>
      <c r="S757" s="485"/>
      <c r="T757" s="485"/>
      <c r="U757" s="485"/>
      <c r="V757" s="485"/>
      <c r="W757" s="485"/>
      <c r="X757" s="485"/>
      <c r="Y757" s="485"/>
      <c r="Z757" s="485"/>
      <c r="AA757" s="485"/>
      <c r="AB757" s="485"/>
      <c r="AC757" s="485"/>
      <c r="AD757" s="485"/>
      <c r="AE757" s="485"/>
      <c r="AF757" s="485"/>
      <c r="AG757" s="485"/>
      <c r="AH757" s="485"/>
      <c r="AI757" s="485"/>
      <c r="AJ757" s="485"/>
      <c r="AK757" s="485"/>
      <c r="AL757" s="485"/>
      <c r="AM757" s="485"/>
      <c r="AN757" s="485"/>
      <c r="AO757" s="485"/>
      <c r="AP757" s="485"/>
      <c r="AQ757" s="485"/>
      <c r="AR757" s="485"/>
      <c r="AS757" s="485"/>
      <c r="AT757" s="485"/>
      <c r="AU757" s="485"/>
      <c r="AV757" s="485"/>
      <c r="AW757" s="485"/>
      <c r="AX757" s="485"/>
      <c r="AY757" s="485"/>
      <c r="AZ757" s="485"/>
      <c r="BA757" s="485"/>
      <c r="BB757" s="485"/>
      <c r="BC757" s="485"/>
      <c r="BD757" s="485"/>
      <c r="BE757" s="485"/>
      <c r="BF757" s="485"/>
      <c r="BG757" s="485"/>
      <c r="BH757" s="485"/>
      <c r="BI757" s="485"/>
      <c r="BJ757" s="485"/>
      <c r="BK757" s="485"/>
      <c r="BL757" s="485"/>
      <c r="BM757" s="485"/>
      <c r="BN757" s="485"/>
      <c r="BO757" s="485"/>
      <c r="BP757" s="485"/>
      <c r="BQ757" s="485"/>
      <c r="BR757" s="485"/>
      <c r="BS757" s="485"/>
      <c r="BT757" s="485"/>
      <c r="BU757" s="485"/>
      <c r="BV757" s="485"/>
      <c r="BW757" s="485"/>
      <c r="BX757" s="485"/>
      <c r="BY757" s="485"/>
      <c r="BZ757" s="485"/>
      <c r="CA757" s="485"/>
      <c r="CB757" s="485"/>
      <c r="CC757" s="485"/>
      <c r="CD757" s="485"/>
      <c r="CE757" s="485"/>
      <c r="CF757" s="485"/>
      <c r="CG757" s="485"/>
      <c r="CH757" s="485"/>
      <c r="CI757" s="485"/>
      <c r="CJ757" s="485"/>
      <c r="CK757" s="485"/>
      <c r="CL757" s="485"/>
      <c r="CM757" s="485"/>
      <c r="CN757" s="485"/>
      <c r="CO757" s="485"/>
      <c r="CP757" s="485"/>
      <c r="CQ757" s="485"/>
      <c r="CR757" s="485"/>
      <c r="CS757" s="485"/>
      <c r="CT757" s="485"/>
      <c r="CU757" s="485"/>
      <c r="CV757" s="485"/>
      <c r="CW757" s="485"/>
      <c r="CX757" s="485"/>
      <c r="CY757" s="485"/>
      <c r="CZ757" s="485"/>
      <c r="DA757" s="485"/>
      <c r="DB757" s="485"/>
      <c r="DC757" s="485"/>
      <c r="DD757" s="485"/>
      <c r="DE757" s="485"/>
      <c r="DF757" s="485"/>
      <c r="DG757" s="485"/>
      <c r="DH757" s="485"/>
      <c r="DI757" s="485"/>
      <c r="DJ757" s="485"/>
      <c r="DK757" s="485"/>
      <c r="DL757" s="485"/>
      <c r="DM757" s="485"/>
      <c r="DN757" s="485"/>
      <c r="DO757" s="485"/>
      <c r="DP757" s="485"/>
      <c r="DQ757" s="485"/>
      <c r="DR757" s="485"/>
      <c r="DS757" s="485"/>
      <c r="DT757" s="485"/>
      <c r="DU757" s="485"/>
      <c r="DV757" s="485"/>
      <c r="DW757" s="485"/>
      <c r="DX757" s="485"/>
      <c r="DY757" s="485"/>
      <c r="DZ757" s="485"/>
      <c r="EA757" s="485"/>
      <c r="EB757" s="485"/>
      <c r="EC757" s="485"/>
      <c r="ED757" s="485"/>
      <c r="EE757" s="485"/>
      <c r="EF757" s="485"/>
      <c r="EG757" s="485"/>
      <c r="EH757" s="485"/>
      <c r="EI757" s="485"/>
      <c r="EJ757" s="485"/>
      <c r="EK757" s="485"/>
      <c r="EL757" s="485"/>
      <c r="EM757" s="485"/>
      <c r="EN757" s="485"/>
      <c r="EO757" s="485"/>
      <c r="EP757" s="485"/>
    </row>
    <row r="758" spans="1:146">
      <c r="A758" s="485"/>
      <c r="B758" s="485"/>
      <c r="C758" s="485"/>
      <c r="D758" s="485"/>
      <c r="E758" s="485"/>
      <c r="F758" s="485"/>
      <c r="G758" s="485"/>
      <c r="H758" s="485"/>
      <c r="I758" s="485"/>
      <c r="J758" s="485"/>
      <c r="K758" s="485"/>
      <c r="L758" s="485"/>
      <c r="M758" s="485"/>
      <c r="P758" s="485"/>
      <c r="Q758" s="485"/>
      <c r="R758" s="485"/>
      <c r="S758" s="485"/>
      <c r="T758" s="485"/>
      <c r="U758" s="485"/>
      <c r="V758" s="485"/>
      <c r="W758" s="485"/>
      <c r="X758" s="485"/>
      <c r="Y758" s="485"/>
      <c r="Z758" s="485"/>
      <c r="AA758" s="485"/>
      <c r="AB758" s="485"/>
      <c r="AC758" s="485"/>
      <c r="AD758" s="485"/>
      <c r="AE758" s="485"/>
      <c r="AF758" s="485"/>
      <c r="AG758" s="485"/>
      <c r="AH758" s="485"/>
      <c r="AI758" s="485"/>
      <c r="AJ758" s="485"/>
      <c r="AK758" s="485"/>
      <c r="AL758" s="485"/>
      <c r="AM758" s="485"/>
      <c r="AN758" s="485"/>
      <c r="AO758" s="485"/>
      <c r="AP758" s="485"/>
      <c r="AQ758" s="485"/>
      <c r="AR758" s="485"/>
      <c r="AS758" s="485"/>
      <c r="AT758" s="485"/>
      <c r="AU758" s="485"/>
      <c r="AV758" s="485"/>
      <c r="AW758" s="485"/>
      <c r="AX758" s="485"/>
      <c r="AY758" s="485"/>
      <c r="AZ758" s="485"/>
      <c r="BA758" s="485"/>
      <c r="BB758" s="485"/>
      <c r="BC758" s="485"/>
      <c r="BD758" s="485"/>
      <c r="BE758" s="485"/>
      <c r="BF758" s="485"/>
      <c r="BG758" s="485"/>
      <c r="BH758" s="485"/>
      <c r="BI758" s="485"/>
      <c r="BJ758" s="485"/>
      <c r="BK758" s="485"/>
      <c r="BL758" s="485"/>
      <c r="BM758" s="485"/>
      <c r="BN758" s="485"/>
      <c r="BO758" s="485"/>
      <c r="BP758" s="485"/>
      <c r="BQ758" s="485"/>
      <c r="BR758" s="485"/>
      <c r="BS758" s="485"/>
      <c r="BT758" s="485"/>
      <c r="BU758" s="485"/>
      <c r="BV758" s="485"/>
      <c r="BW758" s="485"/>
      <c r="BX758" s="485"/>
      <c r="BY758" s="485"/>
      <c r="BZ758" s="485"/>
      <c r="CA758" s="485"/>
      <c r="CB758" s="485"/>
      <c r="CC758" s="485"/>
      <c r="CD758" s="485"/>
      <c r="CE758" s="485"/>
      <c r="CF758" s="485"/>
      <c r="CG758" s="485"/>
      <c r="CH758" s="485"/>
      <c r="CI758" s="485"/>
      <c r="CJ758" s="485"/>
      <c r="CK758" s="485"/>
      <c r="CL758" s="485"/>
      <c r="CM758" s="485"/>
      <c r="CN758" s="485"/>
      <c r="CO758" s="485"/>
      <c r="CP758" s="485"/>
      <c r="CQ758" s="485"/>
      <c r="CR758" s="485"/>
      <c r="CS758" s="485"/>
      <c r="CT758" s="485"/>
      <c r="CU758" s="485"/>
      <c r="CV758" s="485"/>
      <c r="CW758" s="485"/>
      <c r="CX758" s="485"/>
      <c r="CY758" s="485"/>
      <c r="CZ758" s="485"/>
      <c r="DA758" s="485"/>
      <c r="DB758" s="485"/>
      <c r="DC758" s="485"/>
      <c r="DD758" s="485"/>
      <c r="DE758" s="485"/>
      <c r="DF758" s="485"/>
      <c r="DG758" s="485"/>
      <c r="DH758" s="485"/>
      <c r="DI758" s="485"/>
      <c r="DJ758" s="485"/>
      <c r="DK758" s="485"/>
      <c r="DL758" s="485"/>
      <c r="DM758" s="485"/>
      <c r="DN758" s="485"/>
      <c r="DO758" s="485"/>
      <c r="DP758" s="485"/>
      <c r="DQ758" s="485"/>
      <c r="DR758" s="485"/>
      <c r="DS758" s="485"/>
      <c r="DT758" s="485"/>
      <c r="DU758" s="485"/>
      <c r="DV758" s="485"/>
      <c r="DW758" s="485"/>
      <c r="DX758" s="485"/>
      <c r="DY758" s="485"/>
      <c r="DZ758" s="485"/>
      <c r="EA758" s="485"/>
      <c r="EB758" s="485"/>
      <c r="EC758" s="485"/>
      <c r="ED758" s="485"/>
      <c r="EE758" s="485"/>
      <c r="EF758" s="485"/>
      <c r="EG758" s="485"/>
      <c r="EH758" s="485"/>
      <c r="EI758" s="485"/>
      <c r="EJ758" s="485"/>
      <c r="EK758" s="485"/>
      <c r="EL758" s="485"/>
      <c r="EM758" s="485"/>
      <c r="EN758" s="485"/>
      <c r="EO758" s="485"/>
      <c r="EP758" s="485"/>
    </row>
    <row r="759" spans="1:146">
      <c r="A759" s="485"/>
      <c r="B759" s="485"/>
      <c r="C759" s="485"/>
      <c r="D759" s="485"/>
      <c r="E759" s="485"/>
      <c r="F759" s="485"/>
      <c r="G759" s="485"/>
      <c r="H759" s="485"/>
      <c r="I759" s="485"/>
      <c r="J759" s="485"/>
      <c r="K759" s="485"/>
      <c r="L759" s="485"/>
      <c r="M759" s="485"/>
      <c r="P759" s="485"/>
      <c r="Q759" s="485"/>
      <c r="R759" s="485"/>
      <c r="S759" s="485"/>
      <c r="T759" s="485"/>
      <c r="U759" s="485"/>
      <c r="V759" s="485"/>
      <c r="W759" s="485"/>
      <c r="X759" s="485"/>
      <c r="Y759" s="485"/>
      <c r="Z759" s="485"/>
      <c r="AA759" s="485"/>
      <c r="AB759" s="485"/>
      <c r="AC759" s="485"/>
      <c r="AD759" s="485"/>
      <c r="AE759" s="485"/>
      <c r="AF759" s="485"/>
      <c r="AG759" s="485"/>
      <c r="AH759" s="485"/>
      <c r="AI759" s="485"/>
      <c r="AJ759" s="485"/>
      <c r="AK759" s="485"/>
      <c r="AL759" s="485"/>
      <c r="AM759" s="485"/>
      <c r="AN759" s="485"/>
      <c r="AO759" s="485"/>
      <c r="AP759" s="485"/>
      <c r="AQ759" s="485"/>
      <c r="AR759" s="485"/>
      <c r="AS759" s="485"/>
      <c r="AT759" s="485"/>
      <c r="AU759" s="485"/>
      <c r="AV759" s="485"/>
      <c r="AW759" s="485"/>
      <c r="AX759" s="485"/>
      <c r="AY759" s="485"/>
      <c r="AZ759" s="485"/>
      <c r="BA759" s="485"/>
      <c r="BB759" s="485"/>
      <c r="BC759" s="485"/>
      <c r="BD759" s="485"/>
      <c r="BE759" s="485"/>
      <c r="BF759" s="485"/>
      <c r="BG759" s="485"/>
      <c r="BH759" s="485"/>
      <c r="BI759" s="485"/>
      <c r="BJ759" s="485"/>
      <c r="BK759" s="485"/>
      <c r="BL759" s="485"/>
      <c r="BM759" s="485"/>
      <c r="BN759" s="485"/>
      <c r="BO759" s="485"/>
      <c r="BP759" s="485"/>
      <c r="BQ759" s="485"/>
      <c r="BR759" s="485"/>
      <c r="BS759" s="485"/>
      <c r="BT759" s="485"/>
      <c r="BU759" s="485"/>
      <c r="BV759" s="485"/>
      <c r="BW759" s="485"/>
      <c r="BX759" s="485"/>
      <c r="BY759" s="485"/>
      <c r="BZ759" s="485"/>
      <c r="CA759" s="485"/>
      <c r="CB759" s="485"/>
      <c r="CC759" s="485"/>
      <c r="CD759" s="485"/>
      <c r="CE759" s="485"/>
      <c r="CF759" s="485"/>
      <c r="CG759" s="485"/>
      <c r="CH759" s="485"/>
      <c r="CI759" s="485"/>
      <c r="CJ759" s="485"/>
      <c r="CK759" s="485"/>
      <c r="CL759" s="485"/>
      <c r="CM759" s="485"/>
      <c r="CN759" s="485"/>
      <c r="CO759" s="485"/>
      <c r="CP759" s="485"/>
      <c r="CQ759" s="485"/>
      <c r="CR759" s="485"/>
      <c r="CS759" s="485"/>
      <c r="CT759" s="485"/>
      <c r="CU759" s="485"/>
      <c r="CV759" s="485"/>
      <c r="CW759" s="485"/>
      <c r="CX759" s="485"/>
      <c r="CY759" s="485"/>
      <c r="CZ759" s="485"/>
      <c r="DA759" s="485"/>
      <c r="DB759" s="485"/>
      <c r="DC759" s="485"/>
      <c r="DD759" s="485"/>
      <c r="DE759" s="485"/>
      <c r="DF759" s="485"/>
      <c r="DG759" s="485"/>
      <c r="DH759" s="485"/>
      <c r="DI759" s="485"/>
      <c r="DJ759" s="485"/>
      <c r="DK759" s="485"/>
      <c r="DL759" s="485"/>
      <c r="DM759" s="485"/>
      <c r="DN759" s="485"/>
      <c r="DO759" s="485"/>
      <c r="DP759" s="485"/>
      <c r="DQ759" s="485"/>
      <c r="DR759" s="485"/>
      <c r="DS759" s="485"/>
      <c r="DT759" s="485"/>
      <c r="DU759" s="485"/>
      <c r="DV759" s="485"/>
      <c r="DW759" s="485"/>
      <c r="DX759" s="485"/>
      <c r="DY759" s="485"/>
      <c r="DZ759" s="485"/>
      <c r="EA759" s="485"/>
      <c r="EB759" s="485"/>
      <c r="EC759" s="485"/>
      <c r="ED759" s="485"/>
      <c r="EE759" s="485"/>
      <c r="EF759" s="485"/>
      <c r="EG759" s="485"/>
      <c r="EH759" s="485"/>
      <c r="EI759" s="485"/>
      <c r="EJ759" s="485"/>
      <c r="EK759" s="485"/>
      <c r="EL759" s="485"/>
      <c r="EM759" s="485"/>
      <c r="EN759" s="485"/>
      <c r="EO759" s="485"/>
      <c r="EP759" s="485"/>
    </row>
    <row r="760" spans="1:146">
      <c r="A760" s="485"/>
      <c r="B760" s="485"/>
      <c r="C760" s="485"/>
      <c r="D760" s="485"/>
      <c r="E760" s="485"/>
      <c r="F760" s="485"/>
      <c r="G760" s="485"/>
      <c r="H760" s="485"/>
      <c r="I760" s="485"/>
      <c r="J760" s="485"/>
      <c r="K760" s="485"/>
      <c r="L760" s="485"/>
      <c r="M760" s="485"/>
      <c r="P760" s="485"/>
      <c r="Q760" s="485"/>
      <c r="R760" s="485"/>
      <c r="S760" s="485"/>
      <c r="T760" s="485"/>
      <c r="U760" s="485"/>
      <c r="V760" s="485"/>
      <c r="W760" s="485"/>
      <c r="X760" s="485"/>
      <c r="Y760" s="485"/>
      <c r="Z760" s="485"/>
      <c r="AA760" s="485"/>
      <c r="AB760" s="485"/>
      <c r="AC760" s="485"/>
      <c r="AD760" s="485"/>
      <c r="AE760" s="485"/>
      <c r="AF760" s="485"/>
      <c r="AG760" s="485"/>
      <c r="AH760" s="485"/>
      <c r="AI760" s="485"/>
      <c r="AJ760" s="485"/>
      <c r="AK760" s="485"/>
      <c r="AL760" s="485"/>
      <c r="AM760" s="485"/>
      <c r="AN760" s="485"/>
      <c r="AO760" s="485"/>
      <c r="AP760" s="485"/>
      <c r="AQ760" s="485"/>
      <c r="AR760" s="485"/>
      <c r="AS760" s="485"/>
      <c r="AT760" s="485"/>
      <c r="AU760" s="485"/>
      <c r="AV760" s="485"/>
      <c r="AW760" s="485"/>
      <c r="AX760" s="485"/>
      <c r="AY760" s="485"/>
      <c r="AZ760" s="485"/>
      <c r="BA760" s="485"/>
      <c r="BB760" s="485"/>
      <c r="BC760" s="485"/>
      <c r="BD760" s="485"/>
      <c r="BE760" s="485"/>
      <c r="BF760" s="485"/>
      <c r="BG760" s="485"/>
      <c r="BH760" s="485"/>
      <c r="BI760" s="485"/>
      <c r="BJ760" s="485"/>
      <c r="BK760" s="485"/>
      <c r="BL760" s="485"/>
      <c r="BM760" s="485"/>
      <c r="BN760" s="485"/>
      <c r="BO760" s="485"/>
      <c r="BP760" s="485"/>
      <c r="BQ760" s="485"/>
      <c r="BR760" s="485"/>
      <c r="BS760" s="485"/>
      <c r="BT760" s="485"/>
      <c r="BU760" s="485"/>
      <c r="BV760" s="485"/>
      <c r="BW760" s="485"/>
      <c r="BX760" s="485"/>
      <c r="BY760" s="485"/>
      <c r="BZ760" s="485"/>
      <c r="CA760" s="485"/>
      <c r="CB760" s="485"/>
      <c r="CC760" s="485"/>
      <c r="CD760" s="485"/>
      <c r="CE760" s="485"/>
      <c r="CF760" s="485"/>
      <c r="CG760" s="485"/>
      <c r="CH760" s="485"/>
      <c r="CI760" s="485"/>
      <c r="CJ760" s="485"/>
      <c r="CK760" s="485"/>
      <c r="CL760" s="485"/>
      <c r="CM760" s="485"/>
      <c r="CN760" s="485"/>
      <c r="CO760" s="485"/>
      <c r="CP760" s="485"/>
      <c r="CQ760" s="485"/>
      <c r="CR760" s="485"/>
      <c r="CS760" s="485"/>
      <c r="CT760" s="485"/>
      <c r="CU760" s="485"/>
      <c r="CV760" s="485"/>
      <c r="CW760" s="485"/>
      <c r="CX760" s="485"/>
      <c r="CY760" s="485"/>
      <c r="CZ760" s="485"/>
      <c r="DA760" s="485"/>
      <c r="DB760" s="485"/>
      <c r="DC760" s="485"/>
      <c r="DD760" s="485"/>
      <c r="DE760" s="485"/>
      <c r="DF760" s="485"/>
      <c r="DG760" s="485"/>
      <c r="DH760" s="485"/>
      <c r="DI760" s="485"/>
      <c r="DJ760" s="485"/>
      <c r="DK760" s="485"/>
      <c r="DL760" s="485"/>
      <c r="DM760" s="485"/>
      <c r="DN760" s="485"/>
      <c r="DO760" s="485"/>
      <c r="DP760" s="485"/>
      <c r="DQ760" s="485"/>
      <c r="DR760" s="485"/>
      <c r="DS760" s="485"/>
      <c r="DT760" s="485"/>
      <c r="DU760" s="485"/>
      <c r="DV760" s="485"/>
      <c r="DW760" s="485"/>
      <c r="DX760" s="485"/>
      <c r="DY760" s="485"/>
      <c r="DZ760" s="485"/>
      <c r="EA760" s="485"/>
      <c r="EB760" s="485"/>
      <c r="EC760" s="485"/>
      <c r="ED760" s="485"/>
      <c r="EE760" s="485"/>
      <c r="EF760" s="485"/>
      <c r="EG760" s="485"/>
      <c r="EH760" s="485"/>
      <c r="EI760" s="485"/>
      <c r="EJ760" s="485"/>
      <c r="EK760" s="485"/>
      <c r="EL760" s="485"/>
      <c r="EM760" s="485"/>
      <c r="EN760" s="485"/>
      <c r="EO760" s="485"/>
      <c r="EP760" s="485"/>
    </row>
    <row r="761" spans="1:146">
      <c r="A761" s="485"/>
      <c r="B761" s="485"/>
      <c r="C761" s="485"/>
      <c r="D761" s="485"/>
      <c r="E761" s="485"/>
      <c r="F761" s="485"/>
      <c r="G761" s="485"/>
      <c r="H761" s="485"/>
      <c r="I761" s="485"/>
      <c r="J761" s="485"/>
      <c r="K761" s="485"/>
      <c r="L761" s="485"/>
      <c r="M761" s="485"/>
      <c r="P761" s="485"/>
      <c r="Q761" s="485"/>
      <c r="R761" s="485"/>
      <c r="S761" s="485"/>
      <c r="T761" s="485"/>
      <c r="U761" s="485"/>
      <c r="V761" s="485"/>
      <c r="W761" s="485"/>
      <c r="X761" s="485"/>
      <c r="Y761" s="485"/>
      <c r="Z761" s="485"/>
      <c r="AA761" s="485"/>
      <c r="AB761" s="485"/>
      <c r="AC761" s="485"/>
      <c r="AD761" s="485"/>
      <c r="AE761" s="485"/>
      <c r="AF761" s="485"/>
      <c r="AG761" s="485"/>
      <c r="AH761" s="485"/>
      <c r="AI761" s="485"/>
      <c r="AJ761" s="485"/>
      <c r="AK761" s="485"/>
      <c r="AL761" s="485"/>
      <c r="AM761" s="485"/>
      <c r="AN761" s="485"/>
      <c r="AO761" s="485"/>
      <c r="AP761" s="485"/>
      <c r="AQ761" s="485"/>
      <c r="AR761" s="485"/>
      <c r="AS761" s="485"/>
      <c r="AT761" s="485"/>
      <c r="AU761" s="485"/>
      <c r="AV761" s="485"/>
      <c r="AW761" s="485"/>
      <c r="AX761" s="485"/>
      <c r="AY761" s="485"/>
      <c r="AZ761" s="485"/>
      <c r="BA761" s="485"/>
      <c r="BB761" s="485"/>
      <c r="BC761" s="485"/>
      <c r="BD761" s="485"/>
      <c r="BE761" s="485"/>
      <c r="BF761" s="485"/>
      <c r="BG761" s="485"/>
      <c r="BH761" s="485"/>
      <c r="BI761" s="485"/>
      <c r="BJ761" s="485"/>
      <c r="BK761" s="485"/>
      <c r="BL761" s="485"/>
      <c r="BM761" s="485"/>
      <c r="BN761" s="485"/>
      <c r="BO761" s="485"/>
      <c r="BP761" s="485"/>
      <c r="BQ761" s="485"/>
      <c r="BR761" s="485"/>
      <c r="BS761" s="485"/>
      <c r="BT761" s="485"/>
      <c r="BU761" s="485"/>
      <c r="BV761" s="485"/>
      <c r="BW761" s="485"/>
      <c r="BX761" s="485"/>
      <c r="BY761" s="485"/>
      <c r="BZ761" s="485"/>
      <c r="CA761" s="485"/>
      <c r="CB761" s="485"/>
      <c r="CC761" s="485"/>
      <c r="CD761" s="485"/>
      <c r="CE761" s="485"/>
      <c r="CF761" s="485"/>
      <c r="CG761" s="485"/>
      <c r="CH761" s="485"/>
      <c r="CI761" s="485"/>
      <c r="CJ761" s="485"/>
      <c r="CK761" s="485"/>
      <c r="CL761" s="485"/>
      <c r="CM761" s="485"/>
      <c r="CN761" s="485"/>
      <c r="CO761" s="485"/>
      <c r="CP761" s="485"/>
      <c r="CQ761" s="485"/>
      <c r="CR761" s="485"/>
      <c r="CS761" s="485"/>
      <c r="CT761" s="485"/>
      <c r="CU761" s="485"/>
      <c r="CV761" s="485"/>
      <c r="CW761" s="485"/>
      <c r="CX761" s="485"/>
      <c r="CY761" s="485"/>
      <c r="CZ761" s="485"/>
      <c r="DA761" s="485"/>
      <c r="DB761" s="485"/>
      <c r="DC761" s="485"/>
      <c r="DD761" s="485"/>
      <c r="DE761" s="485"/>
      <c r="DF761" s="485"/>
      <c r="DG761" s="485"/>
      <c r="DH761" s="485"/>
      <c r="DI761" s="485"/>
      <c r="DJ761" s="485"/>
      <c r="DK761" s="485"/>
      <c r="DL761" s="485"/>
      <c r="DM761" s="485"/>
      <c r="DN761" s="485"/>
      <c r="DO761" s="485"/>
      <c r="DP761" s="485"/>
      <c r="DQ761" s="485"/>
      <c r="DR761" s="485"/>
      <c r="DS761" s="485"/>
      <c r="DT761" s="485"/>
      <c r="DU761" s="485"/>
      <c r="DV761" s="485"/>
      <c r="DW761" s="485"/>
      <c r="DX761" s="485"/>
      <c r="DY761" s="485"/>
      <c r="DZ761" s="485"/>
      <c r="EA761" s="485"/>
      <c r="EB761" s="485"/>
      <c r="EC761" s="485"/>
      <c r="ED761" s="485"/>
      <c r="EE761" s="485"/>
      <c r="EF761" s="485"/>
      <c r="EG761" s="485"/>
      <c r="EH761" s="485"/>
      <c r="EI761" s="485"/>
      <c r="EJ761" s="485"/>
      <c r="EK761" s="485"/>
      <c r="EL761" s="485"/>
      <c r="EM761" s="485"/>
      <c r="EN761" s="485"/>
      <c r="EO761" s="485"/>
      <c r="EP761" s="485"/>
    </row>
    <row r="762" spans="1:146">
      <c r="A762" s="485"/>
      <c r="B762" s="485"/>
      <c r="C762" s="485"/>
      <c r="D762" s="485"/>
      <c r="E762" s="485"/>
      <c r="F762" s="485"/>
      <c r="G762" s="485"/>
      <c r="H762" s="485"/>
      <c r="I762" s="485"/>
      <c r="J762" s="485"/>
      <c r="K762" s="485"/>
      <c r="L762" s="485"/>
      <c r="M762" s="485"/>
      <c r="P762" s="485"/>
      <c r="Q762" s="485"/>
      <c r="R762" s="485"/>
      <c r="S762" s="485"/>
      <c r="T762" s="485"/>
      <c r="U762" s="485"/>
      <c r="V762" s="485"/>
      <c r="W762" s="485"/>
      <c r="X762" s="485"/>
      <c r="Y762" s="485"/>
      <c r="Z762" s="485"/>
      <c r="AA762" s="485"/>
      <c r="AB762" s="485"/>
      <c r="AC762" s="485"/>
      <c r="AD762" s="485"/>
      <c r="AE762" s="485"/>
      <c r="AF762" s="485"/>
      <c r="AG762" s="485"/>
      <c r="AH762" s="485"/>
      <c r="AI762" s="485"/>
      <c r="AJ762" s="485"/>
      <c r="AK762" s="485"/>
      <c r="AL762" s="485"/>
      <c r="AM762" s="485"/>
      <c r="AN762" s="485"/>
      <c r="AO762" s="485"/>
      <c r="AP762" s="485"/>
      <c r="AQ762" s="485"/>
      <c r="AR762" s="485"/>
      <c r="AS762" s="485"/>
      <c r="AT762" s="485"/>
      <c r="AU762" s="485"/>
      <c r="AV762" s="485"/>
      <c r="AW762" s="485"/>
      <c r="AX762" s="485"/>
      <c r="AY762" s="485"/>
      <c r="AZ762" s="485"/>
      <c r="BA762" s="485"/>
      <c r="BB762" s="485"/>
      <c r="BC762" s="485"/>
      <c r="BD762" s="485"/>
      <c r="BE762" s="485"/>
      <c r="BF762" s="485"/>
      <c r="BG762" s="485"/>
      <c r="BH762" s="485"/>
      <c r="BI762" s="485"/>
      <c r="BJ762" s="485"/>
      <c r="BK762" s="485"/>
      <c r="BL762" s="485"/>
      <c r="BM762" s="485"/>
      <c r="BN762" s="485"/>
      <c r="BO762" s="485"/>
      <c r="BP762" s="485"/>
      <c r="BQ762" s="485"/>
      <c r="BR762" s="485"/>
      <c r="BS762" s="485"/>
      <c r="BT762" s="485"/>
      <c r="BU762" s="485"/>
      <c r="BV762" s="485"/>
      <c r="BW762" s="485"/>
      <c r="BX762" s="485"/>
      <c r="BY762" s="485"/>
      <c r="BZ762" s="485"/>
      <c r="CA762" s="485"/>
      <c r="CB762" s="485"/>
      <c r="CC762" s="485"/>
      <c r="CD762" s="485"/>
      <c r="CE762" s="485"/>
      <c r="CF762" s="485"/>
      <c r="CG762" s="485"/>
      <c r="CH762" s="485"/>
      <c r="CI762" s="485"/>
      <c r="CJ762" s="485"/>
      <c r="CK762" s="485"/>
      <c r="CL762" s="485"/>
      <c r="CM762" s="485"/>
      <c r="CN762" s="485"/>
      <c r="CO762" s="485"/>
      <c r="CP762" s="485"/>
      <c r="CQ762" s="485"/>
      <c r="CR762" s="485"/>
      <c r="CS762" s="485"/>
      <c r="CT762" s="485"/>
      <c r="CU762" s="485"/>
      <c r="CV762" s="485"/>
      <c r="CW762" s="485"/>
      <c r="CX762" s="485"/>
      <c r="CY762" s="485"/>
      <c r="CZ762" s="485"/>
      <c r="DA762" s="485"/>
      <c r="DB762" s="485"/>
      <c r="DC762" s="485"/>
      <c r="DD762" s="485"/>
      <c r="DE762" s="485"/>
      <c r="DF762" s="485"/>
      <c r="DG762" s="485"/>
      <c r="DH762" s="485"/>
      <c r="DI762" s="485"/>
      <c r="DJ762" s="485"/>
      <c r="DK762" s="485"/>
      <c r="DL762" s="485"/>
      <c r="DM762" s="485"/>
      <c r="DN762" s="485"/>
      <c r="DO762" s="485"/>
      <c r="DP762" s="485"/>
      <c r="DQ762" s="485"/>
      <c r="DR762" s="485"/>
      <c r="DS762" s="485"/>
      <c r="DT762" s="485"/>
      <c r="DU762" s="485"/>
      <c r="DV762" s="485"/>
      <c r="DW762" s="485"/>
      <c r="DX762" s="485"/>
      <c r="DY762" s="485"/>
      <c r="DZ762" s="485"/>
      <c r="EA762" s="485"/>
      <c r="EB762" s="485"/>
      <c r="EC762" s="485"/>
      <c r="ED762" s="485"/>
      <c r="EE762" s="485"/>
      <c r="EF762" s="485"/>
      <c r="EG762" s="485"/>
      <c r="EH762" s="485"/>
      <c r="EI762" s="485"/>
      <c r="EJ762" s="485"/>
      <c r="EK762" s="485"/>
      <c r="EL762" s="485"/>
      <c r="EM762" s="485"/>
      <c r="EN762" s="485"/>
      <c r="EO762" s="485"/>
      <c r="EP762" s="485"/>
    </row>
    <row r="763" spans="1:146">
      <c r="A763" s="485"/>
      <c r="B763" s="485"/>
      <c r="C763" s="485"/>
      <c r="D763" s="485"/>
      <c r="E763" s="485"/>
      <c r="F763" s="485"/>
      <c r="G763" s="485"/>
      <c r="H763" s="485"/>
      <c r="I763" s="485"/>
      <c r="J763" s="485"/>
      <c r="K763" s="485"/>
      <c r="L763" s="485"/>
      <c r="M763" s="485"/>
      <c r="P763" s="485"/>
      <c r="Q763" s="485"/>
      <c r="R763" s="485"/>
      <c r="S763" s="485"/>
      <c r="T763" s="485"/>
      <c r="U763" s="485"/>
      <c r="V763" s="485"/>
      <c r="W763" s="485"/>
      <c r="X763" s="485"/>
      <c r="Y763" s="485"/>
      <c r="Z763" s="485"/>
      <c r="AA763" s="485"/>
      <c r="AB763" s="485"/>
      <c r="AC763" s="485"/>
      <c r="AD763" s="485"/>
      <c r="AE763" s="485"/>
      <c r="AF763" s="485"/>
      <c r="AG763" s="485"/>
      <c r="AH763" s="485"/>
      <c r="AI763" s="485"/>
      <c r="AJ763" s="485"/>
      <c r="AK763" s="485"/>
      <c r="AL763" s="485"/>
      <c r="AM763" s="485"/>
      <c r="AN763" s="485"/>
      <c r="AO763" s="485"/>
      <c r="AP763" s="485"/>
      <c r="AQ763" s="485"/>
      <c r="AR763" s="485"/>
      <c r="AS763" s="485"/>
      <c r="AT763" s="485"/>
      <c r="AU763" s="485"/>
      <c r="AV763" s="485"/>
      <c r="AW763" s="485"/>
      <c r="AX763" s="485"/>
      <c r="AY763" s="485"/>
      <c r="AZ763" s="485"/>
      <c r="BA763" s="485"/>
      <c r="BB763" s="485"/>
      <c r="BC763" s="485"/>
      <c r="BD763" s="485"/>
      <c r="BE763" s="485"/>
      <c r="BF763" s="485"/>
      <c r="BG763" s="485"/>
      <c r="BH763" s="485"/>
      <c r="BI763" s="485"/>
      <c r="BJ763" s="485"/>
      <c r="BK763" s="485"/>
      <c r="BL763" s="485"/>
      <c r="BM763" s="485"/>
      <c r="BN763" s="485"/>
      <c r="BO763" s="485"/>
      <c r="BP763" s="485"/>
      <c r="BQ763" s="485"/>
      <c r="BR763" s="485"/>
      <c r="BS763" s="485"/>
      <c r="BT763" s="485"/>
      <c r="BU763" s="485"/>
      <c r="BV763" s="485"/>
      <c r="BW763" s="485"/>
      <c r="BX763" s="485"/>
      <c r="BY763" s="485"/>
      <c r="BZ763" s="485"/>
      <c r="CA763" s="485"/>
      <c r="CB763" s="485"/>
      <c r="CC763" s="485"/>
      <c r="CD763" s="485"/>
      <c r="CE763" s="485"/>
      <c r="CF763" s="485"/>
      <c r="CG763" s="485"/>
      <c r="CH763" s="485"/>
      <c r="CI763" s="485"/>
      <c r="CJ763" s="485"/>
      <c r="CK763" s="485"/>
      <c r="CL763" s="485"/>
      <c r="CM763" s="485"/>
      <c r="CN763" s="485"/>
      <c r="CO763" s="485"/>
      <c r="CP763" s="485"/>
      <c r="CQ763" s="485"/>
      <c r="CR763" s="485"/>
      <c r="CS763" s="485"/>
      <c r="CT763" s="485"/>
      <c r="CU763" s="485"/>
      <c r="CV763" s="485"/>
      <c r="CW763" s="485"/>
      <c r="CX763" s="485"/>
      <c r="CY763" s="485"/>
      <c r="CZ763" s="485"/>
      <c r="DA763" s="485"/>
      <c r="DB763" s="485"/>
      <c r="DC763" s="485"/>
      <c r="DD763" s="485"/>
      <c r="DE763" s="485"/>
      <c r="DF763" s="485"/>
      <c r="DG763" s="485"/>
      <c r="DH763" s="485"/>
      <c r="DI763" s="485"/>
      <c r="DJ763" s="485"/>
      <c r="DK763" s="485"/>
      <c r="DL763" s="485"/>
      <c r="DM763" s="485"/>
      <c r="DN763" s="485"/>
      <c r="DO763" s="485"/>
      <c r="DP763" s="485"/>
      <c r="DQ763" s="485"/>
      <c r="DR763" s="485"/>
      <c r="DS763" s="485"/>
      <c r="DT763" s="485"/>
      <c r="DU763" s="485"/>
      <c r="DV763" s="485"/>
      <c r="DW763" s="485"/>
      <c r="DX763" s="485"/>
      <c r="DY763" s="485"/>
      <c r="DZ763" s="485"/>
      <c r="EA763" s="485"/>
      <c r="EB763" s="485"/>
      <c r="EC763" s="485"/>
      <c r="ED763" s="485"/>
      <c r="EE763" s="485"/>
      <c r="EF763" s="485"/>
      <c r="EG763" s="485"/>
      <c r="EH763" s="485"/>
      <c r="EI763" s="485"/>
      <c r="EJ763" s="485"/>
      <c r="EK763" s="485"/>
      <c r="EL763" s="485"/>
      <c r="EM763" s="485"/>
      <c r="EN763" s="485"/>
      <c r="EO763" s="485"/>
      <c r="EP763" s="485"/>
    </row>
    <row r="764" spans="1:146">
      <c r="A764" s="485"/>
      <c r="B764" s="485"/>
      <c r="C764" s="485"/>
      <c r="D764" s="485"/>
      <c r="E764" s="485"/>
      <c r="F764" s="485"/>
      <c r="G764" s="485"/>
      <c r="H764" s="485"/>
      <c r="I764" s="485"/>
      <c r="J764" s="485"/>
      <c r="K764" s="485"/>
      <c r="L764" s="485"/>
      <c r="M764" s="485"/>
      <c r="P764" s="485"/>
      <c r="Q764" s="485"/>
      <c r="R764" s="485"/>
      <c r="S764" s="485"/>
      <c r="T764" s="485"/>
      <c r="U764" s="485"/>
      <c r="V764" s="485"/>
      <c r="W764" s="485"/>
      <c r="X764" s="485"/>
      <c r="Y764" s="485"/>
      <c r="Z764" s="485"/>
      <c r="AA764" s="485"/>
      <c r="AB764" s="485"/>
      <c r="AC764" s="485"/>
      <c r="AD764" s="485"/>
      <c r="AE764" s="485"/>
      <c r="AF764" s="485"/>
      <c r="AG764" s="485"/>
      <c r="AH764" s="485"/>
      <c r="AI764" s="485"/>
      <c r="AJ764" s="485"/>
      <c r="AK764" s="485"/>
      <c r="AL764" s="485"/>
      <c r="AM764" s="485"/>
      <c r="AN764" s="485"/>
      <c r="AO764" s="485"/>
      <c r="AP764" s="485"/>
      <c r="AQ764" s="485"/>
      <c r="AR764" s="485"/>
      <c r="AS764" s="485"/>
      <c r="AT764" s="485"/>
      <c r="AU764" s="485"/>
      <c r="AV764" s="485"/>
      <c r="AW764" s="485"/>
      <c r="AX764" s="485"/>
      <c r="AY764" s="485"/>
      <c r="AZ764" s="485"/>
      <c r="BA764" s="485"/>
      <c r="BB764" s="485"/>
      <c r="BC764" s="485"/>
      <c r="BD764" s="485"/>
      <c r="BE764" s="485"/>
      <c r="BF764" s="485"/>
      <c r="BG764" s="485"/>
      <c r="BH764" s="485"/>
      <c r="BI764" s="485"/>
      <c r="BJ764" s="485"/>
      <c r="BK764" s="485"/>
      <c r="BL764" s="485"/>
      <c r="BM764" s="485"/>
      <c r="BN764" s="485"/>
      <c r="BO764" s="485"/>
      <c r="BP764" s="485"/>
      <c r="BQ764" s="485"/>
      <c r="BR764" s="485"/>
      <c r="BS764" s="485"/>
      <c r="BT764" s="485"/>
      <c r="BU764" s="485"/>
      <c r="BV764" s="485"/>
      <c r="BW764" s="485"/>
      <c r="BX764" s="485"/>
      <c r="BY764" s="485"/>
      <c r="BZ764" s="485"/>
      <c r="CA764" s="485"/>
      <c r="CB764" s="485"/>
      <c r="CC764" s="485"/>
      <c r="CD764" s="485"/>
      <c r="CE764" s="485"/>
      <c r="CF764" s="485"/>
      <c r="CG764" s="485"/>
      <c r="CH764" s="485"/>
      <c r="CI764" s="485"/>
      <c r="CJ764" s="485"/>
      <c r="CK764" s="485"/>
      <c r="CL764" s="485"/>
      <c r="CM764" s="485"/>
      <c r="CN764" s="485"/>
      <c r="CO764" s="485"/>
      <c r="CP764" s="485"/>
      <c r="CQ764" s="485"/>
      <c r="CR764" s="485"/>
      <c r="CS764" s="485"/>
      <c r="CT764" s="485"/>
      <c r="CU764" s="485"/>
      <c r="CV764" s="485"/>
      <c r="CW764" s="485"/>
      <c r="CX764" s="485"/>
      <c r="CY764" s="485"/>
      <c r="CZ764" s="485"/>
      <c r="DA764" s="485"/>
      <c r="DB764" s="485"/>
      <c r="DC764" s="485"/>
      <c r="DD764" s="485"/>
      <c r="DE764" s="485"/>
      <c r="DF764" s="485"/>
      <c r="DG764" s="485"/>
      <c r="DH764" s="485"/>
      <c r="DI764" s="485"/>
      <c r="DJ764" s="485"/>
      <c r="DK764" s="485"/>
      <c r="DL764" s="485"/>
      <c r="DM764" s="485"/>
      <c r="DN764" s="485"/>
      <c r="DO764" s="485"/>
      <c r="DP764" s="485"/>
      <c r="DQ764" s="485"/>
      <c r="DR764" s="485"/>
      <c r="DS764" s="485"/>
      <c r="DT764" s="485"/>
      <c r="DU764" s="485"/>
      <c r="DV764" s="485"/>
      <c r="DW764" s="485"/>
      <c r="DX764" s="485"/>
      <c r="DY764" s="485"/>
      <c r="DZ764" s="485"/>
      <c r="EA764" s="485"/>
      <c r="EB764" s="485"/>
      <c r="EC764" s="485"/>
      <c r="ED764" s="485"/>
      <c r="EE764" s="485"/>
      <c r="EF764" s="485"/>
      <c r="EG764" s="485"/>
      <c r="EH764" s="485"/>
      <c r="EI764" s="485"/>
      <c r="EJ764" s="485"/>
      <c r="EK764" s="485"/>
      <c r="EL764" s="485"/>
      <c r="EM764" s="485"/>
      <c r="EN764" s="485"/>
      <c r="EO764" s="485"/>
      <c r="EP764" s="485"/>
    </row>
    <row r="765" spans="1:146">
      <c r="A765" s="485"/>
      <c r="B765" s="485"/>
      <c r="C765" s="485"/>
      <c r="D765" s="485"/>
      <c r="E765" s="485"/>
      <c r="F765" s="485"/>
      <c r="G765" s="485"/>
      <c r="H765" s="485"/>
      <c r="I765" s="485"/>
      <c r="J765" s="485"/>
      <c r="K765" s="485"/>
      <c r="L765" s="485"/>
      <c r="M765" s="485"/>
      <c r="P765" s="485"/>
      <c r="Q765" s="485"/>
      <c r="R765" s="485"/>
      <c r="S765" s="485"/>
      <c r="T765" s="485"/>
      <c r="U765" s="485"/>
      <c r="V765" s="485"/>
      <c r="W765" s="485"/>
      <c r="X765" s="485"/>
      <c r="Y765" s="485"/>
      <c r="Z765" s="485"/>
      <c r="AA765" s="485"/>
      <c r="AB765" s="485"/>
      <c r="AC765" s="485"/>
      <c r="AD765" s="485"/>
      <c r="AE765" s="485"/>
      <c r="AF765" s="485"/>
      <c r="AG765" s="485"/>
      <c r="AH765" s="485"/>
      <c r="AI765" s="485"/>
      <c r="AJ765" s="485"/>
      <c r="AK765" s="485"/>
      <c r="AL765" s="485"/>
      <c r="AM765" s="485"/>
      <c r="AN765" s="485"/>
      <c r="AO765" s="485"/>
      <c r="AP765" s="485"/>
      <c r="AQ765" s="485"/>
      <c r="AR765" s="485"/>
      <c r="AS765" s="485"/>
      <c r="AT765" s="485"/>
      <c r="AU765" s="485"/>
      <c r="AV765" s="485"/>
      <c r="AW765" s="485"/>
      <c r="AX765" s="485"/>
      <c r="AY765" s="485"/>
      <c r="AZ765" s="485"/>
      <c r="BA765" s="485"/>
      <c r="BB765" s="485"/>
      <c r="BC765" s="485"/>
      <c r="BD765" s="485"/>
      <c r="BE765" s="485"/>
      <c r="BF765" s="485"/>
      <c r="BG765" s="485"/>
      <c r="BH765" s="485"/>
      <c r="BI765" s="485"/>
      <c r="BJ765" s="485"/>
      <c r="BK765" s="485"/>
      <c r="BL765" s="485"/>
      <c r="BM765" s="485"/>
      <c r="BN765" s="485"/>
      <c r="BO765" s="485"/>
      <c r="BP765" s="485"/>
      <c r="BQ765" s="485"/>
      <c r="BR765" s="485"/>
      <c r="BS765" s="485"/>
      <c r="BT765" s="485"/>
      <c r="BU765" s="485"/>
      <c r="BV765" s="485"/>
      <c r="BW765" s="485"/>
      <c r="BX765" s="485"/>
      <c r="BY765" s="485"/>
      <c r="BZ765" s="485"/>
      <c r="CA765" s="485"/>
      <c r="CB765" s="485"/>
      <c r="CC765" s="485"/>
      <c r="CD765" s="485"/>
      <c r="CE765" s="485"/>
      <c r="CF765" s="485"/>
      <c r="CG765" s="485"/>
      <c r="CH765" s="485"/>
      <c r="CI765" s="485"/>
      <c r="CJ765" s="485"/>
      <c r="CK765" s="485"/>
      <c r="CL765" s="485"/>
      <c r="CM765" s="485"/>
      <c r="CN765" s="485"/>
      <c r="CO765" s="485"/>
      <c r="CP765" s="485"/>
      <c r="CQ765" s="485"/>
      <c r="CR765" s="485"/>
      <c r="CS765" s="485"/>
      <c r="CT765" s="485"/>
      <c r="CU765" s="485"/>
      <c r="CV765" s="485"/>
      <c r="CW765" s="485"/>
      <c r="CX765" s="485"/>
      <c r="CY765" s="485"/>
      <c r="CZ765" s="485"/>
      <c r="DA765" s="485"/>
      <c r="DB765" s="485"/>
      <c r="DC765" s="485"/>
      <c r="DD765" s="485"/>
      <c r="DE765" s="485"/>
      <c r="DF765" s="485"/>
      <c r="DG765" s="485"/>
      <c r="DH765" s="485"/>
      <c r="DI765" s="485"/>
      <c r="DJ765" s="485"/>
      <c r="DK765" s="485"/>
      <c r="DL765" s="485"/>
      <c r="DM765" s="485"/>
      <c r="DN765" s="485"/>
      <c r="DO765" s="485"/>
      <c r="DP765" s="485"/>
      <c r="DQ765" s="485"/>
      <c r="DR765" s="485"/>
      <c r="DS765" s="485"/>
      <c r="DT765" s="485"/>
      <c r="DU765" s="485"/>
      <c r="DV765" s="485"/>
      <c r="DW765" s="485"/>
      <c r="DX765" s="485"/>
      <c r="DY765" s="485"/>
      <c r="DZ765" s="485"/>
      <c r="EA765" s="485"/>
      <c r="EB765" s="485"/>
      <c r="EC765" s="485"/>
      <c r="ED765" s="485"/>
      <c r="EE765" s="485"/>
      <c r="EF765" s="485"/>
      <c r="EG765" s="485"/>
      <c r="EH765" s="485"/>
      <c r="EI765" s="485"/>
      <c r="EJ765" s="485"/>
      <c r="EK765" s="485"/>
      <c r="EL765" s="485"/>
      <c r="EM765" s="485"/>
      <c r="EN765" s="485"/>
      <c r="EO765" s="485"/>
      <c r="EP765" s="485"/>
    </row>
    <row r="766" spans="1:146">
      <c r="A766" s="485"/>
      <c r="B766" s="485"/>
      <c r="C766" s="485"/>
      <c r="D766" s="485"/>
      <c r="E766" s="485"/>
      <c r="F766" s="485"/>
      <c r="G766" s="485"/>
      <c r="H766" s="485"/>
      <c r="I766" s="485"/>
      <c r="J766" s="485"/>
      <c r="K766" s="485"/>
      <c r="L766" s="485"/>
      <c r="M766" s="485"/>
      <c r="P766" s="485"/>
      <c r="Q766" s="485"/>
      <c r="R766" s="485"/>
      <c r="S766" s="485"/>
      <c r="T766" s="485"/>
      <c r="U766" s="485"/>
      <c r="V766" s="485"/>
      <c r="W766" s="485"/>
      <c r="X766" s="485"/>
      <c r="Y766" s="485"/>
      <c r="Z766" s="485"/>
      <c r="AA766" s="485"/>
      <c r="AB766" s="485"/>
      <c r="AC766" s="485"/>
      <c r="AD766" s="485"/>
      <c r="AE766" s="485"/>
      <c r="AF766" s="485"/>
      <c r="AG766" s="485"/>
      <c r="AH766" s="485"/>
      <c r="AI766" s="485"/>
      <c r="AJ766" s="485"/>
      <c r="AK766" s="485"/>
      <c r="AL766" s="485"/>
      <c r="AM766" s="485"/>
      <c r="AN766" s="485"/>
      <c r="AO766" s="485"/>
      <c r="AP766" s="485"/>
      <c r="AQ766" s="485"/>
      <c r="AR766" s="485"/>
      <c r="AS766" s="485"/>
      <c r="AT766" s="485"/>
      <c r="AU766" s="485"/>
      <c r="AV766" s="485"/>
      <c r="AW766" s="485"/>
      <c r="AX766" s="485"/>
      <c r="AY766" s="485"/>
      <c r="AZ766" s="485"/>
      <c r="BA766" s="485"/>
      <c r="BB766" s="485"/>
      <c r="BC766" s="485"/>
      <c r="BD766" s="485"/>
      <c r="BE766" s="485"/>
      <c r="BF766" s="485"/>
      <c r="BG766" s="485"/>
      <c r="BH766" s="485"/>
      <c r="BI766" s="485"/>
      <c r="BJ766" s="485"/>
      <c r="BK766" s="485"/>
      <c r="BL766" s="485"/>
      <c r="BM766" s="485"/>
      <c r="BN766" s="485"/>
      <c r="BO766" s="485"/>
      <c r="BP766" s="485"/>
      <c r="BQ766" s="485"/>
      <c r="BR766" s="485"/>
      <c r="BS766" s="485"/>
      <c r="BT766" s="485"/>
      <c r="BU766" s="485"/>
      <c r="BV766" s="485"/>
      <c r="BW766" s="485"/>
      <c r="BX766" s="485"/>
      <c r="BY766" s="485"/>
      <c r="BZ766" s="485"/>
      <c r="CA766" s="485"/>
      <c r="CB766" s="485"/>
      <c r="CC766" s="485"/>
      <c r="CD766" s="485"/>
      <c r="CE766" s="485"/>
      <c r="CF766" s="485"/>
      <c r="CG766" s="485"/>
      <c r="CH766" s="485"/>
      <c r="CI766" s="485"/>
      <c r="CJ766" s="485"/>
      <c r="CK766" s="485"/>
      <c r="CL766" s="485"/>
      <c r="CM766" s="485"/>
      <c r="CN766" s="485"/>
      <c r="CO766" s="485"/>
      <c r="CP766" s="485"/>
      <c r="CQ766" s="485"/>
      <c r="CR766" s="485"/>
      <c r="CS766" s="485"/>
      <c r="CT766" s="485"/>
      <c r="CU766" s="485"/>
      <c r="CV766" s="485"/>
      <c r="CW766" s="485"/>
      <c r="CX766" s="485"/>
      <c r="CY766" s="485"/>
      <c r="CZ766" s="485"/>
      <c r="DA766" s="485"/>
      <c r="DB766" s="485"/>
      <c r="DC766" s="485"/>
      <c r="DD766" s="485"/>
      <c r="DE766" s="485"/>
      <c r="DF766" s="485"/>
      <c r="DG766" s="485"/>
      <c r="DH766" s="485"/>
      <c r="DI766" s="485"/>
      <c r="DJ766" s="485"/>
      <c r="DK766" s="485"/>
      <c r="DL766" s="485"/>
      <c r="DM766" s="485"/>
      <c r="DN766" s="485"/>
      <c r="DO766" s="485"/>
      <c r="DP766" s="485"/>
      <c r="DQ766" s="485"/>
      <c r="DR766" s="485"/>
      <c r="DS766" s="485"/>
      <c r="DT766" s="485"/>
      <c r="DU766" s="485"/>
      <c r="DV766" s="485"/>
      <c r="DW766" s="485"/>
      <c r="DX766" s="485"/>
      <c r="DY766" s="485"/>
      <c r="DZ766" s="485"/>
      <c r="EA766" s="485"/>
      <c r="EB766" s="485"/>
      <c r="EC766" s="485"/>
      <c r="ED766" s="485"/>
      <c r="EE766" s="485"/>
      <c r="EF766" s="485"/>
      <c r="EG766" s="485"/>
      <c r="EH766" s="485"/>
      <c r="EI766" s="485"/>
      <c r="EJ766" s="485"/>
      <c r="EK766" s="485"/>
      <c r="EL766" s="485"/>
      <c r="EM766" s="485"/>
      <c r="EN766" s="485"/>
      <c r="EO766" s="485"/>
      <c r="EP766" s="485"/>
    </row>
    <row r="767" spans="1:146">
      <c r="A767" s="485"/>
      <c r="B767" s="485"/>
      <c r="C767" s="485"/>
      <c r="D767" s="485"/>
      <c r="E767" s="485"/>
      <c r="F767" s="485"/>
      <c r="G767" s="485"/>
      <c r="H767" s="485"/>
      <c r="I767" s="485"/>
      <c r="J767" s="485"/>
      <c r="K767" s="485"/>
      <c r="L767" s="485"/>
      <c r="M767" s="485"/>
      <c r="P767" s="485"/>
      <c r="Q767" s="485"/>
      <c r="R767" s="485"/>
      <c r="S767" s="485"/>
      <c r="T767" s="485"/>
      <c r="U767" s="485"/>
      <c r="V767" s="485"/>
      <c r="W767" s="485"/>
      <c r="X767" s="485"/>
      <c r="Y767" s="485"/>
      <c r="Z767" s="485"/>
      <c r="AA767" s="485"/>
      <c r="AB767" s="485"/>
      <c r="AC767" s="485"/>
      <c r="AD767" s="485"/>
      <c r="AE767" s="485"/>
      <c r="AF767" s="485"/>
      <c r="AG767" s="485"/>
      <c r="AH767" s="485"/>
      <c r="AI767" s="485"/>
      <c r="AJ767" s="485"/>
      <c r="AK767" s="485"/>
      <c r="AL767" s="485"/>
      <c r="AM767" s="485"/>
      <c r="AN767" s="485"/>
      <c r="AO767" s="485"/>
      <c r="AP767" s="485"/>
      <c r="AQ767" s="485"/>
      <c r="AR767" s="485"/>
      <c r="AS767" s="485"/>
      <c r="AT767" s="485"/>
      <c r="AU767" s="485"/>
      <c r="AV767" s="485"/>
      <c r="AW767" s="485"/>
      <c r="AX767" s="485"/>
      <c r="AY767" s="485"/>
      <c r="AZ767" s="485"/>
      <c r="BA767" s="485"/>
      <c r="BB767" s="485"/>
      <c r="BC767" s="485"/>
      <c r="BD767" s="485"/>
      <c r="BE767" s="485"/>
      <c r="BF767" s="485"/>
      <c r="BG767" s="485"/>
      <c r="BH767" s="485"/>
      <c r="BI767" s="485"/>
      <c r="BJ767" s="485"/>
      <c r="BK767" s="485"/>
      <c r="BL767" s="485"/>
      <c r="BM767" s="485"/>
      <c r="BN767" s="485"/>
      <c r="BO767" s="485"/>
      <c r="BP767" s="485"/>
      <c r="BQ767" s="485"/>
      <c r="BR767" s="485"/>
      <c r="BS767" s="485"/>
      <c r="BT767" s="485"/>
      <c r="BU767" s="485"/>
      <c r="BV767" s="485"/>
      <c r="BW767" s="485"/>
      <c r="BX767" s="485"/>
      <c r="BY767" s="485"/>
      <c r="BZ767" s="485"/>
      <c r="CA767" s="485"/>
      <c r="CB767" s="485"/>
      <c r="CC767" s="485"/>
      <c r="CD767" s="485"/>
      <c r="CE767" s="485"/>
      <c r="CF767" s="485"/>
      <c r="CG767" s="485"/>
      <c r="CH767" s="485"/>
      <c r="CI767" s="485"/>
      <c r="CJ767" s="485"/>
      <c r="CK767" s="485"/>
      <c r="CL767" s="485"/>
      <c r="CM767" s="485"/>
      <c r="CN767" s="485"/>
      <c r="CO767" s="485"/>
      <c r="CP767" s="485"/>
      <c r="CQ767" s="485"/>
      <c r="CR767" s="485"/>
      <c r="CS767" s="485"/>
      <c r="CT767" s="485"/>
      <c r="CU767" s="485"/>
      <c r="CV767" s="485"/>
      <c r="CW767" s="485"/>
      <c r="CX767" s="485"/>
      <c r="CY767" s="485"/>
      <c r="CZ767" s="485"/>
      <c r="DA767" s="485"/>
      <c r="DB767" s="485"/>
      <c r="DC767" s="485"/>
      <c r="DD767" s="485"/>
      <c r="DE767" s="485"/>
      <c r="DF767" s="485"/>
      <c r="DG767" s="485"/>
      <c r="DH767" s="485"/>
      <c r="DI767" s="485"/>
      <c r="DJ767" s="485"/>
      <c r="DK767" s="485"/>
      <c r="DL767" s="485"/>
      <c r="DM767" s="485"/>
      <c r="DN767" s="485"/>
      <c r="DO767" s="485"/>
      <c r="DP767" s="485"/>
      <c r="DQ767" s="485"/>
      <c r="DR767" s="485"/>
      <c r="DS767" s="485"/>
      <c r="DT767" s="485"/>
      <c r="DU767" s="485"/>
      <c r="DV767" s="485"/>
      <c r="DW767" s="485"/>
      <c r="DX767" s="485"/>
      <c r="DY767" s="485"/>
      <c r="DZ767" s="485"/>
      <c r="EA767" s="485"/>
      <c r="EB767" s="485"/>
      <c r="EC767" s="485"/>
      <c r="ED767" s="485"/>
      <c r="EE767" s="485"/>
      <c r="EF767" s="485"/>
      <c r="EG767" s="485"/>
      <c r="EH767" s="485"/>
      <c r="EI767" s="485"/>
      <c r="EJ767" s="485"/>
      <c r="EK767" s="485"/>
      <c r="EL767" s="485"/>
      <c r="EM767" s="485"/>
      <c r="EN767" s="485"/>
      <c r="EO767" s="485"/>
      <c r="EP767" s="485"/>
    </row>
    <row r="768" spans="1:146">
      <c r="A768" s="485"/>
      <c r="B768" s="485"/>
      <c r="C768" s="485"/>
      <c r="D768" s="485"/>
      <c r="E768" s="485"/>
      <c r="F768" s="485"/>
      <c r="G768" s="485"/>
      <c r="H768" s="485"/>
      <c r="I768" s="485"/>
      <c r="J768" s="485"/>
      <c r="K768" s="485"/>
      <c r="L768" s="485"/>
      <c r="M768" s="485"/>
      <c r="P768" s="485"/>
      <c r="Q768" s="485"/>
      <c r="R768" s="485"/>
      <c r="S768" s="485"/>
      <c r="T768" s="485"/>
      <c r="U768" s="485"/>
      <c r="V768" s="485"/>
      <c r="W768" s="485"/>
      <c r="X768" s="485"/>
      <c r="Y768" s="485"/>
      <c r="Z768" s="485"/>
      <c r="AA768" s="485"/>
      <c r="AB768" s="485"/>
      <c r="AC768" s="485"/>
      <c r="AD768" s="485"/>
      <c r="AE768" s="485"/>
      <c r="AF768" s="485"/>
      <c r="AG768" s="485"/>
      <c r="AH768" s="485"/>
      <c r="AI768" s="485"/>
      <c r="AJ768" s="485"/>
      <c r="AK768" s="485"/>
      <c r="AL768" s="485"/>
      <c r="AM768" s="485"/>
      <c r="AN768" s="485"/>
      <c r="AO768" s="485"/>
      <c r="AP768" s="485"/>
      <c r="AQ768" s="485"/>
      <c r="AR768" s="485"/>
      <c r="AS768" s="485"/>
      <c r="AT768" s="485"/>
      <c r="AU768" s="485"/>
      <c r="AV768" s="485"/>
      <c r="AW768" s="485"/>
      <c r="AX768" s="485"/>
      <c r="AY768" s="485"/>
      <c r="AZ768" s="485"/>
      <c r="BA768" s="485"/>
      <c r="BB768" s="485"/>
      <c r="BC768" s="485"/>
      <c r="BD768" s="485"/>
      <c r="BE768" s="485"/>
      <c r="BF768" s="485"/>
      <c r="BG768" s="485"/>
      <c r="BH768" s="485"/>
      <c r="BI768" s="485"/>
      <c r="BJ768" s="485"/>
      <c r="BK768" s="485"/>
      <c r="BL768" s="485"/>
      <c r="BM768" s="485"/>
      <c r="BN768" s="485"/>
      <c r="BO768" s="485"/>
      <c r="BP768" s="485"/>
      <c r="BQ768" s="485"/>
      <c r="BR768" s="485"/>
      <c r="BS768" s="485"/>
      <c r="BT768" s="485"/>
      <c r="BU768" s="485"/>
      <c r="BV768" s="485"/>
      <c r="BW768" s="485"/>
      <c r="BX768" s="485"/>
      <c r="BY768" s="485"/>
      <c r="BZ768" s="485"/>
      <c r="CA768" s="485"/>
      <c r="CB768" s="485"/>
      <c r="CC768" s="485"/>
      <c r="CD768" s="485"/>
      <c r="CE768" s="485"/>
      <c r="CF768" s="485"/>
      <c r="CG768" s="485"/>
      <c r="CH768" s="485"/>
      <c r="CI768" s="485"/>
      <c r="CJ768" s="485"/>
      <c r="CK768" s="485"/>
      <c r="CL768" s="485"/>
      <c r="CM768" s="485"/>
      <c r="CN768" s="485"/>
      <c r="CO768" s="485"/>
      <c r="CP768" s="485"/>
      <c r="CQ768" s="485"/>
      <c r="CR768" s="485"/>
      <c r="CS768" s="485"/>
      <c r="CT768" s="485"/>
      <c r="CU768" s="485"/>
      <c r="CV768" s="485"/>
      <c r="CW768" s="485"/>
      <c r="CX768" s="485"/>
      <c r="CY768" s="485"/>
      <c r="CZ768" s="485"/>
      <c r="DA768" s="485"/>
      <c r="DB768" s="485"/>
      <c r="DC768" s="485"/>
      <c r="DD768" s="485"/>
      <c r="DE768" s="485"/>
      <c r="DF768" s="485"/>
      <c r="DG768" s="485"/>
      <c r="DH768" s="485"/>
      <c r="DI768" s="485"/>
      <c r="DJ768" s="485"/>
      <c r="DK768" s="485"/>
      <c r="DL768" s="485"/>
      <c r="DM768" s="485"/>
      <c r="DN768" s="485"/>
      <c r="DO768" s="485"/>
      <c r="DP768" s="485"/>
      <c r="DQ768" s="485"/>
      <c r="DR768" s="485"/>
      <c r="DS768" s="485"/>
      <c r="DT768" s="485"/>
      <c r="DU768" s="485"/>
      <c r="DV768" s="485"/>
      <c r="DW768" s="485"/>
      <c r="DX768" s="485"/>
      <c r="DY768" s="485"/>
      <c r="DZ768" s="485"/>
      <c r="EA768" s="485"/>
      <c r="EB768" s="485"/>
      <c r="EC768" s="485"/>
      <c r="ED768" s="485"/>
      <c r="EE768" s="485"/>
      <c r="EF768" s="485"/>
      <c r="EG768" s="485"/>
      <c r="EH768" s="485"/>
      <c r="EI768" s="485"/>
      <c r="EJ768" s="485"/>
      <c r="EK768" s="485"/>
      <c r="EL768" s="485"/>
      <c r="EM768" s="485"/>
      <c r="EN768" s="485"/>
      <c r="EO768" s="485"/>
      <c r="EP768" s="485"/>
    </row>
    <row r="769" spans="1:146">
      <c r="A769" s="485"/>
      <c r="B769" s="485"/>
      <c r="C769" s="485"/>
      <c r="D769" s="485"/>
      <c r="E769" s="485"/>
      <c r="F769" s="485"/>
      <c r="G769" s="485"/>
      <c r="H769" s="485"/>
      <c r="I769" s="485"/>
      <c r="J769" s="485"/>
      <c r="K769" s="485"/>
      <c r="L769" s="485"/>
      <c r="M769" s="485"/>
      <c r="P769" s="485"/>
      <c r="Q769" s="485"/>
      <c r="R769" s="485"/>
      <c r="S769" s="485"/>
      <c r="T769" s="485"/>
      <c r="U769" s="485"/>
      <c r="V769" s="485"/>
      <c r="W769" s="485"/>
      <c r="X769" s="485"/>
      <c r="Y769" s="485"/>
      <c r="Z769" s="485"/>
      <c r="AA769" s="485"/>
      <c r="AB769" s="485"/>
      <c r="AC769" s="485"/>
      <c r="AD769" s="485"/>
      <c r="AE769" s="485"/>
      <c r="AF769" s="485"/>
      <c r="AG769" s="485"/>
      <c r="AH769" s="485"/>
      <c r="AI769" s="485"/>
      <c r="AJ769" s="485"/>
      <c r="AK769" s="485"/>
      <c r="AL769" s="485"/>
      <c r="AM769" s="485"/>
      <c r="AN769" s="485"/>
      <c r="AO769" s="485"/>
      <c r="AP769" s="485"/>
      <c r="AQ769" s="485"/>
      <c r="AR769" s="485"/>
      <c r="AS769" s="485"/>
      <c r="AT769" s="485"/>
      <c r="AU769" s="485"/>
      <c r="AV769" s="485"/>
      <c r="AW769" s="485"/>
      <c r="AX769" s="485"/>
      <c r="AY769" s="485"/>
      <c r="AZ769" s="485"/>
      <c r="BA769" s="485"/>
      <c r="BB769" s="485"/>
      <c r="BC769" s="485"/>
      <c r="BD769" s="485"/>
      <c r="BE769" s="485"/>
      <c r="BF769" s="485"/>
      <c r="BG769" s="485"/>
      <c r="BH769" s="485"/>
      <c r="BI769" s="485"/>
      <c r="BJ769" s="485"/>
      <c r="BK769" s="485"/>
      <c r="BL769" s="485"/>
      <c r="BM769" s="485"/>
      <c r="BN769" s="485"/>
      <c r="BO769" s="485"/>
      <c r="BP769" s="485"/>
      <c r="BQ769" s="485"/>
      <c r="BR769" s="485"/>
      <c r="BS769" s="485"/>
      <c r="BT769" s="485"/>
      <c r="BU769" s="485"/>
      <c r="BV769" s="485"/>
      <c r="BW769" s="485"/>
      <c r="BX769" s="485"/>
      <c r="BY769" s="485"/>
      <c r="BZ769" s="485"/>
      <c r="CA769" s="485"/>
      <c r="CB769" s="485"/>
      <c r="CC769" s="485"/>
      <c r="CD769" s="485"/>
      <c r="CE769" s="485"/>
      <c r="CF769" s="485"/>
      <c r="CG769" s="485"/>
      <c r="CH769" s="485"/>
      <c r="CI769" s="485"/>
      <c r="CJ769" s="485"/>
      <c r="CK769" s="485"/>
      <c r="CL769" s="485"/>
      <c r="CM769" s="485"/>
      <c r="CN769" s="485"/>
      <c r="CO769" s="485"/>
      <c r="CP769" s="485"/>
      <c r="CQ769" s="485"/>
      <c r="CR769" s="485"/>
      <c r="CS769" s="485"/>
      <c r="CT769" s="485"/>
      <c r="CU769" s="485"/>
      <c r="CV769" s="485"/>
      <c r="CW769" s="485"/>
      <c r="CX769" s="485"/>
      <c r="CY769" s="485"/>
      <c r="CZ769" s="485"/>
      <c r="DA769" s="485"/>
      <c r="DB769" s="485"/>
      <c r="DC769" s="485"/>
      <c r="DD769" s="485"/>
      <c r="DE769" s="485"/>
      <c r="DF769" s="485"/>
      <c r="DG769" s="485"/>
      <c r="DH769" s="485"/>
      <c r="DI769" s="485"/>
      <c r="DJ769" s="485"/>
      <c r="DK769" s="485"/>
      <c r="DL769" s="485"/>
      <c r="DM769" s="485"/>
      <c r="DN769" s="485"/>
      <c r="DO769" s="485"/>
      <c r="DP769" s="485"/>
      <c r="DQ769" s="485"/>
      <c r="DR769" s="485"/>
      <c r="DS769" s="485"/>
      <c r="DT769" s="485"/>
      <c r="DU769" s="485"/>
      <c r="DV769" s="485"/>
      <c r="DW769" s="485"/>
      <c r="DX769" s="485"/>
      <c r="DY769" s="485"/>
      <c r="DZ769" s="485"/>
      <c r="EA769" s="485"/>
      <c r="EB769" s="485"/>
      <c r="EC769" s="485"/>
      <c r="ED769" s="485"/>
      <c r="EE769" s="485"/>
      <c r="EF769" s="485"/>
      <c r="EG769" s="485"/>
      <c r="EH769" s="485"/>
      <c r="EI769" s="485"/>
      <c r="EJ769" s="485"/>
      <c r="EK769" s="485"/>
      <c r="EL769" s="485"/>
      <c r="EM769" s="485"/>
      <c r="EN769" s="485"/>
      <c r="EO769" s="485"/>
      <c r="EP769" s="485"/>
    </row>
    <row r="770" spans="1:146">
      <c r="A770" s="485"/>
      <c r="B770" s="485"/>
      <c r="C770" s="485"/>
      <c r="D770" s="485"/>
      <c r="E770" s="485"/>
      <c r="F770" s="485"/>
      <c r="G770" s="485"/>
      <c r="H770" s="485"/>
      <c r="I770" s="485"/>
      <c r="J770" s="485"/>
      <c r="K770" s="485"/>
      <c r="L770" s="485"/>
      <c r="M770" s="485"/>
      <c r="P770" s="485"/>
      <c r="Q770" s="485"/>
      <c r="R770" s="485"/>
      <c r="S770" s="485"/>
      <c r="T770" s="485"/>
      <c r="U770" s="485"/>
      <c r="V770" s="485"/>
      <c r="W770" s="485"/>
      <c r="X770" s="485"/>
      <c r="Y770" s="485"/>
      <c r="Z770" s="485"/>
      <c r="AA770" s="485"/>
      <c r="AB770" s="485"/>
      <c r="AC770" s="485"/>
      <c r="AD770" s="485"/>
      <c r="AE770" s="485"/>
      <c r="AF770" s="485"/>
      <c r="AG770" s="485"/>
      <c r="AH770" s="485"/>
      <c r="AI770" s="485"/>
      <c r="AJ770" s="485"/>
      <c r="AK770" s="485"/>
      <c r="AL770" s="485"/>
      <c r="AM770" s="485"/>
      <c r="AN770" s="485"/>
      <c r="AO770" s="485"/>
      <c r="AP770" s="485"/>
      <c r="AQ770" s="485"/>
      <c r="AR770" s="485"/>
      <c r="AS770" s="485"/>
      <c r="AT770" s="485"/>
      <c r="AU770" s="485"/>
      <c r="AV770" s="485"/>
      <c r="AW770" s="485"/>
      <c r="AX770" s="485"/>
      <c r="AY770" s="485"/>
      <c r="AZ770" s="485"/>
      <c r="BA770" s="485"/>
      <c r="BB770" s="485"/>
      <c r="BC770" s="485"/>
      <c r="BD770" s="485"/>
      <c r="BE770" s="485"/>
      <c r="BF770" s="485"/>
      <c r="BG770" s="485"/>
      <c r="BH770" s="485"/>
      <c r="BI770" s="485"/>
      <c r="BJ770" s="485"/>
      <c r="BK770" s="485"/>
      <c r="BL770" s="485"/>
      <c r="BM770" s="485"/>
      <c r="BN770" s="485"/>
      <c r="BO770" s="485"/>
      <c r="BP770" s="485"/>
      <c r="BQ770" s="485"/>
      <c r="BR770" s="485"/>
      <c r="BS770" s="485"/>
      <c r="BT770" s="485"/>
      <c r="BU770" s="485"/>
      <c r="BV770" s="485"/>
      <c r="BW770" s="485"/>
      <c r="BX770" s="485"/>
      <c r="BY770" s="485"/>
      <c r="BZ770" s="485"/>
      <c r="CA770" s="485"/>
      <c r="CB770" s="485"/>
      <c r="CC770" s="485"/>
      <c r="CD770" s="485"/>
      <c r="CE770" s="485"/>
      <c r="CF770" s="485"/>
      <c r="CG770" s="485"/>
      <c r="CH770" s="485"/>
      <c r="CI770" s="485"/>
      <c r="CJ770" s="485"/>
      <c r="CK770" s="485"/>
      <c r="CL770" s="485"/>
      <c r="CM770" s="485"/>
      <c r="CN770" s="485"/>
      <c r="CO770" s="485"/>
      <c r="CP770" s="485"/>
      <c r="CQ770" s="485"/>
      <c r="CR770" s="485"/>
      <c r="CS770" s="485"/>
      <c r="CT770" s="485"/>
      <c r="CU770" s="485"/>
      <c r="CV770" s="485"/>
      <c r="CW770" s="485"/>
      <c r="CX770" s="485"/>
      <c r="CY770" s="485"/>
      <c r="CZ770" s="485"/>
      <c r="DA770" s="485"/>
      <c r="DB770" s="485"/>
      <c r="DC770" s="485"/>
      <c r="DD770" s="485"/>
      <c r="DE770" s="485"/>
      <c r="DF770" s="485"/>
      <c r="DG770" s="485"/>
      <c r="DH770" s="485"/>
      <c r="DI770" s="485"/>
      <c r="DJ770" s="485"/>
      <c r="DK770" s="485"/>
      <c r="DL770" s="485"/>
      <c r="DM770" s="485"/>
      <c r="DN770" s="485"/>
      <c r="DO770" s="485"/>
      <c r="DP770" s="485"/>
      <c r="DQ770" s="485"/>
      <c r="DR770" s="485"/>
      <c r="DS770" s="485"/>
      <c r="DT770" s="485"/>
      <c r="DU770" s="485"/>
      <c r="DV770" s="485"/>
      <c r="DW770" s="485"/>
      <c r="DX770" s="485"/>
      <c r="DY770" s="485"/>
      <c r="DZ770" s="485"/>
      <c r="EA770" s="485"/>
      <c r="EB770" s="485"/>
      <c r="EC770" s="485"/>
      <c r="ED770" s="485"/>
      <c r="EE770" s="485"/>
      <c r="EF770" s="485"/>
      <c r="EG770" s="485"/>
      <c r="EH770" s="485"/>
      <c r="EI770" s="485"/>
      <c r="EJ770" s="485"/>
      <c r="EK770" s="485"/>
      <c r="EL770" s="485"/>
      <c r="EM770" s="485"/>
      <c r="EN770" s="485"/>
      <c r="EO770" s="485"/>
      <c r="EP770" s="485"/>
    </row>
    <row r="771" spans="1:146">
      <c r="A771" s="485"/>
      <c r="B771" s="485"/>
      <c r="C771" s="485"/>
      <c r="D771" s="485"/>
      <c r="E771" s="485"/>
      <c r="F771" s="485"/>
      <c r="G771" s="485"/>
      <c r="H771" s="485"/>
      <c r="I771" s="485"/>
      <c r="J771" s="485"/>
      <c r="K771" s="485"/>
      <c r="L771" s="485"/>
      <c r="M771" s="485"/>
      <c r="P771" s="485"/>
      <c r="Q771" s="485"/>
      <c r="R771" s="485"/>
      <c r="S771" s="485"/>
      <c r="T771" s="485"/>
      <c r="U771" s="485"/>
      <c r="V771" s="485"/>
      <c r="W771" s="485"/>
      <c r="X771" s="485"/>
      <c r="Y771" s="485"/>
      <c r="Z771" s="485"/>
      <c r="AA771" s="485"/>
      <c r="AB771" s="485"/>
      <c r="AC771" s="485"/>
      <c r="AD771" s="485"/>
      <c r="AE771" s="485"/>
      <c r="AF771" s="485"/>
      <c r="AG771" s="485"/>
      <c r="AH771" s="485"/>
      <c r="AI771" s="485"/>
      <c r="AJ771" s="485"/>
      <c r="AK771" s="485"/>
      <c r="AL771" s="485"/>
      <c r="AM771" s="485"/>
      <c r="AN771" s="485"/>
      <c r="AO771" s="485"/>
      <c r="AP771" s="485"/>
      <c r="AQ771" s="485"/>
      <c r="AR771" s="485"/>
      <c r="AS771" s="485"/>
      <c r="AT771" s="485"/>
      <c r="AU771" s="485"/>
      <c r="AV771" s="485"/>
      <c r="AW771" s="485"/>
      <c r="AX771" s="485"/>
      <c r="AY771" s="485"/>
      <c r="AZ771" s="485"/>
      <c r="BA771" s="485"/>
      <c r="BB771" s="485"/>
      <c r="BC771" s="485"/>
      <c r="BD771" s="485"/>
      <c r="BE771" s="485"/>
      <c r="BF771" s="485"/>
      <c r="BG771" s="485"/>
      <c r="BH771" s="485"/>
      <c r="BI771" s="485"/>
      <c r="BJ771" s="485"/>
      <c r="BK771" s="485"/>
      <c r="BL771" s="485"/>
      <c r="BM771" s="485"/>
      <c r="BN771" s="485"/>
      <c r="BO771" s="485"/>
      <c r="BP771" s="485"/>
      <c r="BQ771" s="485"/>
      <c r="BR771" s="485"/>
      <c r="BS771" s="485"/>
      <c r="BT771" s="485"/>
      <c r="BU771" s="485"/>
      <c r="BV771" s="485"/>
      <c r="BW771" s="485"/>
      <c r="BX771" s="485"/>
      <c r="BY771" s="485"/>
      <c r="BZ771" s="485"/>
      <c r="CA771" s="485"/>
      <c r="CB771" s="485"/>
      <c r="CC771" s="485"/>
      <c r="CD771" s="485"/>
      <c r="CE771" s="485"/>
      <c r="CF771" s="485"/>
      <c r="CG771" s="485"/>
      <c r="CH771" s="485"/>
      <c r="CI771" s="485"/>
      <c r="CJ771" s="485"/>
      <c r="CK771" s="485"/>
      <c r="CL771" s="485"/>
      <c r="CM771" s="485"/>
      <c r="CN771" s="485"/>
      <c r="CO771" s="485"/>
      <c r="CP771" s="485"/>
      <c r="CQ771" s="485"/>
      <c r="CR771" s="485"/>
      <c r="CS771" s="485"/>
      <c r="CT771" s="485"/>
      <c r="CU771" s="485"/>
      <c r="CV771" s="485"/>
      <c r="CW771" s="485"/>
      <c r="CX771" s="485"/>
      <c r="CY771" s="485"/>
      <c r="CZ771" s="485"/>
      <c r="DA771" s="485"/>
      <c r="DB771" s="485"/>
      <c r="DC771" s="485"/>
      <c r="DD771" s="485"/>
      <c r="DE771" s="485"/>
      <c r="DF771" s="485"/>
      <c r="DG771" s="485"/>
      <c r="DH771" s="485"/>
      <c r="DI771" s="485"/>
      <c r="DJ771" s="485"/>
      <c r="DK771" s="485"/>
      <c r="DL771" s="485"/>
      <c r="DM771" s="485"/>
      <c r="DN771" s="485"/>
      <c r="DO771" s="485"/>
      <c r="DP771" s="485"/>
      <c r="DQ771" s="485"/>
      <c r="DR771" s="485"/>
      <c r="DS771" s="485"/>
      <c r="DT771" s="485"/>
      <c r="DU771" s="485"/>
      <c r="DV771" s="485"/>
      <c r="DW771" s="485"/>
      <c r="DX771" s="485"/>
      <c r="DY771" s="485"/>
      <c r="DZ771" s="485"/>
      <c r="EA771" s="485"/>
      <c r="EB771" s="485"/>
      <c r="EC771" s="485"/>
      <c r="ED771" s="485"/>
      <c r="EE771" s="485"/>
      <c r="EF771" s="485"/>
      <c r="EG771" s="485"/>
      <c r="EH771" s="485"/>
      <c r="EI771" s="485"/>
      <c r="EJ771" s="485"/>
      <c r="EK771" s="485"/>
      <c r="EL771" s="485"/>
      <c r="EM771" s="485"/>
      <c r="EN771" s="485"/>
      <c r="EO771" s="485"/>
      <c r="EP771" s="485"/>
    </row>
    <row r="772" spans="1:146">
      <c r="A772" s="485"/>
      <c r="B772" s="485"/>
      <c r="C772" s="485"/>
      <c r="D772" s="485"/>
      <c r="E772" s="485"/>
      <c r="F772" s="485"/>
      <c r="G772" s="485"/>
      <c r="H772" s="485"/>
      <c r="I772" s="485"/>
      <c r="J772" s="485"/>
      <c r="K772" s="485"/>
      <c r="L772" s="485"/>
      <c r="M772" s="485"/>
      <c r="P772" s="485"/>
      <c r="Q772" s="485"/>
      <c r="R772" s="485"/>
      <c r="S772" s="485"/>
      <c r="T772" s="485"/>
      <c r="U772" s="485"/>
      <c r="V772" s="485"/>
      <c r="W772" s="485"/>
      <c r="X772" s="485"/>
      <c r="Y772" s="485"/>
      <c r="Z772" s="485"/>
      <c r="AA772" s="485"/>
      <c r="AB772" s="485"/>
      <c r="AC772" s="485"/>
      <c r="AD772" s="485"/>
      <c r="AE772" s="485"/>
      <c r="AF772" s="485"/>
      <c r="AG772" s="485"/>
      <c r="AH772" s="485"/>
      <c r="AI772" s="485"/>
      <c r="AJ772" s="485"/>
      <c r="AK772" s="485"/>
      <c r="AL772" s="485"/>
      <c r="AM772" s="485"/>
      <c r="AN772" s="485"/>
      <c r="AO772" s="485"/>
      <c r="AP772" s="485"/>
      <c r="AQ772" s="485"/>
      <c r="AR772" s="485"/>
      <c r="AS772" s="485"/>
      <c r="AT772" s="485"/>
      <c r="AU772" s="485"/>
      <c r="AV772" s="485"/>
      <c r="AW772" s="485"/>
      <c r="AX772" s="485"/>
      <c r="AY772" s="485"/>
      <c r="AZ772" s="485"/>
      <c r="BA772" s="485"/>
      <c r="BB772" s="485"/>
      <c r="BC772" s="485"/>
      <c r="BD772" s="485"/>
      <c r="BE772" s="485"/>
      <c r="BF772" s="485"/>
      <c r="BG772" s="485"/>
      <c r="BH772" s="485"/>
      <c r="BI772" s="485"/>
      <c r="BJ772" s="485"/>
      <c r="BK772" s="485"/>
      <c r="BL772" s="485"/>
      <c r="BM772" s="485"/>
      <c r="BN772" s="485"/>
      <c r="BO772" s="485"/>
      <c r="BP772" s="485"/>
      <c r="BQ772" s="485"/>
      <c r="BR772" s="485"/>
      <c r="BS772" s="485"/>
      <c r="BT772" s="485"/>
      <c r="BU772" s="485"/>
      <c r="BV772" s="485"/>
      <c r="BW772" s="485"/>
      <c r="BX772" s="485"/>
      <c r="BY772" s="485"/>
      <c r="BZ772" s="485"/>
      <c r="CA772" s="485"/>
      <c r="CB772" s="485"/>
      <c r="CC772" s="485"/>
      <c r="CD772" s="485"/>
      <c r="CE772" s="485"/>
      <c r="CF772" s="485"/>
      <c r="CG772" s="485"/>
      <c r="CH772" s="485"/>
      <c r="CI772" s="485"/>
      <c r="CJ772" s="485"/>
      <c r="CK772" s="485"/>
      <c r="CL772" s="485"/>
      <c r="CM772" s="485"/>
      <c r="CN772" s="485"/>
      <c r="CO772" s="485"/>
      <c r="CP772" s="485"/>
      <c r="CQ772" s="485"/>
      <c r="CR772" s="485"/>
      <c r="CS772" s="485"/>
      <c r="CT772" s="485"/>
      <c r="CU772" s="485"/>
      <c r="CV772" s="485"/>
      <c r="CW772" s="485"/>
      <c r="CX772" s="485"/>
      <c r="CY772" s="485"/>
      <c r="CZ772" s="485"/>
      <c r="DA772" s="485"/>
      <c r="DB772" s="485"/>
      <c r="DC772" s="485"/>
      <c r="DD772" s="485"/>
      <c r="DE772" s="485"/>
      <c r="DF772" s="485"/>
      <c r="DG772" s="485"/>
      <c r="DH772" s="485"/>
      <c r="DI772" s="485"/>
      <c r="DJ772" s="485"/>
      <c r="DK772" s="485"/>
      <c r="DL772" s="485"/>
      <c r="DM772" s="485"/>
      <c r="DN772" s="485"/>
      <c r="DO772" s="485"/>
      <c r="DP772" s="485"/>
      <c r="DQ772" s="485"/>
      <c r="DR772" s="485"/>
      <c r="DS772" s="485"/>
      <c r="DT772" s="485"/>
      <c r="DU772" s="485"/>
      <c r="DV772" s="485"/>
      <c r="DW772" s="485"/>
      <c r="DX772" s="485"/>
      <c r="DY772" s="485"/>
      <c r="DZ772" s="485"/>
      <c r="EA772" s="485"/>
      <c r="EB772" s="485"/>
      <c r="EC772" s="485"/>
      <c r="ED772" s="485"/>
      <c r="EE772" s="485"/>
      <c r="EF772" s="485"/>
      <c r="EG772" s="485"/>
      <c r="EH772" s="485"/>
      <c r="EI772" s="485"/>
      <c r="EJ772" s="485"/>
      <c r="EK772" s="485"/>
      <c r="EL772" s="485"/>
      <c r="EM772" s="485"/>
      <c r="EN772" s="485"/>
      <c r="EO772" s="485"/>
      <c r="EP772" s="485"/>
    </row>
    <row r="773" spans="1:146">
      <c r="A773" s="485"/>
      <c r="B773" s="485"/>
      <c r="C773" s="485"/>
      <c r="D773" s="485"/>
      <c r="E773" s="485"/>
      <c r="F773" s="485"/>
      <c r="G773" s="485"/>
      <c r="H773" s="485"/>
      <c r="I773" s="485"/>
      <c r="J773" s="485"/>
      <c r="K773" s="485"/>
      <c r="L773" s="485"/>
      <c r="M773" s="485"/>
      <c r="P773" s="485"/>
      <c r="Q773" s="485"/>
      <c r="R773" s="485"/>
      <c r="S773" s="485"/>
      <c r="T773" s="485"/>
      <c r="U773" s="485"/>
      <c r="V773" s="485"/>
      <c r="W773" s="485"/>
      <c r="X773" s="485"/>
      <c r="Y773" s="485"/>
      <c r="Z773" s="485"/>
      <c r="AA773" s="485"/>
      <c r="AB773" s="485"/>
      <c r="AC773" s="485"/>
      <c r="AD773" s="485"/>
      <c r="AE773" s="485"/>
      <c r="AF773" s="485"/>
      <c r="AG773" s="485"/>
      <c r="AH773" s="485"/>
      <c r="AI773" s="485"/>
      <c r="AJ773" s="485"/>
      <c r="AK773" s="485"/>
      <c r="AL773" s="485"/>
      <c r="AM773" s="485"/>
      <c r="AN773" s="485"/>
      <c r="AO773" s="485"/>
      <c r="AP773" s="485"/>
      <c r="AQ773" s="485"/>
      <c r="AR773" s="485"/>
      <c r="AS773" s="485"/>
      <c r="AT773" s="485"/>
      <c r="AU773" s="485"/>
      <c r="AV773" s="485"/>
      <c r="AW773" s="485"/>
      <c r="AX773" s="485"/>
      <c r="AY773" s="485"/>
      <c r="AZ773" s="485"/>
      <c r="BA773" s="485"/>
      <c r="BB773" s="485"/>
      <c r="BC773" s="485"/>
      <c r="BD773" s="485"/>
      <c r="BE773" s="485"/>
      <c r="BF773" s="485"/>
      <c r="BG773" s="485"/>
      <c r="BH773" s="485"/>
      <c r="BI773" s="485"/>
      <c r="BJ773" s="485"/>
      <c r="BK773" s="485"/>
      <c r="BL773" s="485"/>
      <c r="BM773" s="485"/>
      <c r="BN773" s="485"/>
      <c r="BO773" s="485"/>
      <c r="BP773" s="485"/>
      <c r="BQ773" s="485"/>
      <c r="BR773" s="485"/>
      <c r="BS773" s="485"/>
      <c r="BT773" s="485"/>
      <c r="BU773" s="485"/>
      <c r="BV773" s="485"/>
      <c r="BW773" s="485"/>
      <c r="BX773" s="485"/>
      <c r="BY773" s="485"/>
      <c r="BZ773" s="485"/>
      <c r="CA773" s="485"/>
      <c r="CB773" s="485"/>
      <c r="CC773" s="485"/>
      <c r="CD773" s="485"/>
      <c r="CE773" s="485"/>
      <c r="CF773" s="485"/>
      <c r="CG773" s="485"/>
      <c r="CH773" s="485"/>
      <c r="CI773" s="485"/>
      <c r="CJ773" s="485"/>
      <c r="CK773" s="485"/>
      <c r="CL773" s="485"/>
      <c r="CM773" s="485"/>
      <c r="CN773" s="485"/>
      <c r="CO773" s="485"/>
      <c r="CP773" s="485"/>
      <c r="CQ773" s="485"/>
      <c r="CR773" s="485"/>
      <c r="CS773" s="485"/>
      <c r="CT773" s="485"/>
      <c r="CU773" s="485"/>
      <c r="CV773" s="485"/>
      <c r="CW773" s="485"/>
      <c r="CX773" s="485"/>
      <c r="CY773" s="485"/>
      <c r="CZ773" s="485"/>
      <c r="DA773" s="485"/>
      <c r="DB773" s="485"/>
      <c r="DC773" s="485"/>
      <c r="DD773" s="485"/>
      <c r="DE773" s="485"/>
      <c r="DF773" s="485"/>
      <c r="DG773" s="485"/>
      <c r="DH773" s="485"/>
      <c r="DI773" s="485"/>
      <c r="DJ773" s="485"/>
      <c r="DK773" s="485"/>
      <c r="DL773" s="485"/>
      <c r="DM773" s="485"/>
      <c r="DN773" s="485"/>
      <c r="DO773" s="485"/>
      <c r="DP773" s="485"/>
      <c r="DQ773" s="485"/>
      <c r="DR773" s="485"/>
      <c r="DS773" s="485"/>
      <c r="DT773" s="485"/>
      <c r="DU773" s="485"/>
      <c r="DV773" s="485"/>
      <c r="DW773" s="485"/>
      <c r="DX773" s="485"/>
      <c r="DY773" s="485"/>
      <c r="DZ773" s="485"/>
      <c r="EA773" s="485"/>
      <c r="EB773" s="485"/>
      <c r="EC773" s="485"/>
      <c r="ED773" s="485"/>
      <c r="EE773" s="485"/>
      <c r="EF773" s="485"/>
      <c r="EG773" s="485"/>
      <c r="EH773" s="485"/>
      <c r="EI773" s="485"/>
      <c r="EJ773" s="485"/>
      <c r="EK773" s="485"/>
      <c r="EL773" s="485"/>
      <c r="EM773" s="485"/>
      <c r="EN773" s="485"/>
      <c r="EO773" s="485"/>
      <c r="EP773" s="485"/>
    </row>
    <row r="774" spans="1:146">
      <c r="A774" s="485"/>
      <c r="B774" s="485"/>
      <c r="C774" s="485"/>
      <c r="D774" s="485"/>
      <c r="E774" s="485"/>
      <c r="F774" s="485"/>
      <c r="G774" s="485"/>
      <c r="H774" s="485"/>
      <c r="I774" s="485"/>
      <c r="J774" s="485"/>
      <c r="K774" s="485"/>
      <c r="L774" s="485"/>
      <c r="M774" s="485"/>
      <c r="P774" s="485"/>
      <c r="Q774" s="485"/>
      <c r="R774" s="485"/>
      <c r="S774" s="485"/>
      <c r="T774" s="485"/>
      <c r="U774" s="485"/>
      <c r="V774" s="485"/>
      <c r="W774" s="485"/>
      <c r="X774" s="485"/>
      <c r="Y774" s="485"/>
      <c r="Z774" s="485"/>
      <c r="AA774" s="485"/>
      <c r="AB774" s="485"/>
      <c r="AC774" s="485"/>
      <c r="AD774" s="485"/>
      <c r="AE774" s="485"/>
      <c r="AF774" s="485"/>
      <c r="AG774" s="485"/>
      <c r="AH774" s="485"/>
      <c r="AI774" s="485"/>
      <c r="AJ774" s="485"/>
      <c r="AK774" s="485"/>
      <c r="AL774" s="485"/>
      <c r="AM774" s="485"/>
      <c r="AN774" s="485"/>
      <c r="AO774" s="485"/>
      <c r="AP774" s="485"/>
      <c r="AQ774" s="485"/>
      <c r="AR774" s="485"/>
      <c r="AS774" s="485"/>
      <c r="AT774" s="485"/>
      <c r="AU774" s="485"/>
      <c r="AV774" s="485"/>
      <c r="AW774" s="485"/>
      <c r="AX774" s="485"/>
      <c r="AY774" s="485"/>
      <c r="AZ774" s="485"/>
      <c r="BA774" s="485"/>
      <c r="BB774" s="485"/>
      <c r="BC774" s="485"/>
      <c r="BD774" s="485"/>
      <c r="BE774" s="485"/>
      <c r="BF774" s="485"/>
      <c r="BG774" s="485"/>
      <c r="BH774" s="485"/>
      <c r="BI774" s="485"/>
      <c r="BJ774" s="485"/>
      <c r="BK774" s="485"/>
      <c r="BL774" s="485"/>
      <c r="BM774" s="485"/>
      <c r="BN774" s="485"/>
      <c r="BO774" s="485"/>
      <c r="BP774" s="485"/>
      <c r="BQ774" s="485"/>
      <c r="BR774" s="485"/>
      <c r="BS774" s="485"/>
      <c r="BT774" s="485"/>
      <c r="BU774" s="485"/>
      <c r="BV774" s="485"/>
      <c r="BW774" s="485"/>
      <c r="BX774" s="485"/>
      <c r="BY774" s="485"/>
      <c r="BZ774" s="485"/>
      <c r="CA774" s="485"/>
      <c r="CB774" s="485"/>
      <c r="CC774" s="485"/>
      <c r="CD774" s="485"/>
      <c r="CE774" s="485"/>
      <c r="CF774" s="485"/>
      <c r="CG774" s="485"/>
      <c r="CH774" s="485"/>
      <c r="CI774" s="485"/>
      <c r="CJ774" s="485"/>
      <c r="CK774" s="485"/>
      <c r="CL774" s="485"/>
      <c r="CM774" s="485"/>
      <c r="CN774" s="485"/>
      <c r="CO774" s="485"/>
      <c r="CP774" s="485"/>
      <c r="CQ774" s="485"/>
      <c r="CR774" s="485"/>
      <c r="CS774" s="485"/>
      <c r="CT774" s="485"/>
      <c r="CU774" s="485"/>
      <c r="CV774" s="485"/>
      <c r="CW774" s="485"/>
      <c r="CX774" s="485"/>
      <c r="CY774" s="485"/>
      <c r="CZ774" s="485"/>
      <c r="DA774" s="485"/>
      <c r="DB774" s="485"/>
      <c r="DC774" s="485"/>
      <c r="DD774" s="485"/>
      <c r="DE774" s="485"/>
      <c r="DF774" s="485"/>
      <c r="DG774" s="485"/>
      <c r="DH774" s="485"/>
      <c r="DI774" s="485"/>
      <c r="DJ774" s="485"/>
      <c r="DK774" s="485"/>
      <c r="DL774" s="485"/>
      <c r="DM774" s="485"/>
      <c r="DN774" s="485"/>
      <c r="DO774" s="485"/>
      <c r="DP774" s="485"/>
      <c r="DQ774" s="485"/>
      <c r="DR774" s="485"/>
      <c r="DS774" s="485"/>
      <c r="DT774" s="485"/>
      <c r="DU774" s="485"/>
      <c r="DV774" s="485"/>
      <c r="DW774" s="485"/>
      <c r="DX774" s="485"/>
      <c r="DY774" s="485"/>
      <c r="DZ774" s="485"/>
      <c r="EA774" s="485"/>
      <c r="EB774" s="485"/>
      <c r="EC774" s="485"/>
      <c r="ED774" s="485"/>
      <c r="EE774" s="485"/>
      <c r="EF774" s="485"/>
      <c r="EG774" s="485"/>
      <c r="EH774" s="485"/>
      <c r="EI774" s="485"/>
      <c r="EJ774" s="485"/>
      <c r="EK774" s="485"/>
      <c r="EL774" s="485"/>
      <c r="EM774" s="485"/>
      <c r="EN774" s="485"/>
      <c r="EO774" s="485"/>
      <c r="EP774" s="485"/>
    </row>
    <row r="775" spans="1:146">
      <c r="A775" s="485"/>
      <c r="B775" s="485"/>
      <c r="C775" s="485"/>
      <c r="D775" s="485"/>
      <c r="E775" s="485"/>
      <c r="F775" s="485"/>
      <c r="G775" s="485"/>
      <c r="H775" s="485"/>
      <c r="I775" s="485"/>
      <c r="J775" s="485"/>
      <c r="K775" s="485"/>
      <c r="L775" s="485"/>
      <c r="M775" s="485"/>
      <c r="P775" s="485"/>
      <c r="Q775" s="485"/>
      <c r="R775" s="485"/>
      <c r="S775" s="485"/>
      <c r="T775" s="485"/>
      <c r="U775" s="485"/>
      <c r="V775" s="485"/>
      <c r="W775" s="485"/>
      <c r="X775" s="485"/>
      <c r="Y775" s="485"/>
      <c r="Z775" s="485"/>
      <c r="AA775" s="485"/>
      <c r="AB775" s="485"/>
      <c r="AC775" s="485"/>
      <c r="AD775" s="485"/>
      <c r="AE775" s="485"/>
      <c r="AF775" s="485"/>
      <c r="AG775" s="485"/>
      <c r="AH775" s="485"/>
      <c r="AI775" s="485"/>
      <c r="AJ775" s="485"/>
      <c r="AK775" s="485"/>
      <c r="AL775" s="485"/>
      <c r="AM775" s="485"/>
      <c r="AN775" s="485"/>
      <c r="AO775" s="485"/>
      <c r="AP775" s="485"/>
      <c r="AQ775" s="485"/>
      <c r="AR775" s="485"/>
      <c r="AS775" s="485"/>
      <c r="AT775" s="485"/>
      <c r="AU775" s="485"/>
      <c r="AV775" s="485"/>
      <c r="AW775" s="485"/>
      <c r="AX775" s="485"/>
      <c r="AY775" s="485"/>
      <c r="AZ775" s="485"/>
      <c r="BA775" s="485"/>
      <c r="BB775" s="485"/>
      <c r="BC775" s="485"/>
      <c r="BD775" s="485"/>
      <c r="BE775" s="485"/>
      <c r="BF775" s="485"/>
      <c r="BG775" s="485"/>
      <c r="BH775" s="485"/>
      <c r="BI775" s="485"/>
      <c r="BJ775" s="485"/>
      <c r="BK775" s="485"/>
      <c r="BL775" s="485"/>
      <c r="BM775" s="485"/>
      <c r="BN775" s="485"/>
      <c r="BO775" s="485"/>
      <c r="BP775" s="485"/>
      <c r="BQ775" s="485"/>
      <c r="BR775" s="485"/>
      <c r="BS775" s="485"/>
      <c r="BT775" s="485"/>
      <c r="BU775" s="485"/>
      <c r="BV775" s="485"/>
      <c r="BW775" s="485"/>
      <c r="BX775" s="485"/>
      <c r="BY775" s="485"/>
      <c r="BZ775" s="485"/>
      <c r="CA775" s="485"/>
      <c r="CB775" s="485"/>
      <c r="CC775" s="485"/>
      <c r="CD775" s="485"/>
      <c r="CE775" s="485"/>
      <c r="CF775" s="485"/>
      <c r="CG775" s="485"/>
      <c r="CH775" s="485"/>
      <c r="CI775" s="485"/>
      <c r="CJ775" s="485"/>
      <c r="CK775" s="485"/>
      <c r="CL775" s="485"/>
      <c r="CM775" s="485"/>
      <c r="CN775" s="485"/>
      <c r="CO775" s="485"/>
      <c r="CP775" s="485"/>
      <c r="CQ775" s="485"/>
      <c r="CR775" s="485"/>
      <c r="CS775" s="485"/>
      <c r="CT775" s="485"/>
      <c r="CU775" s="485"/>
      <c r="CV775" s="485"/>
      <c r="CW775" s="485"/>
      <c r="CX775" s="485"/>
      <c r="CY775" s="485"/>
      <c r="CZ775" s="485"/>
      <c r="DA775" s="485"/>
      <c r="DB775" s="485"/>
      <c r="DC775" s="485"/>
      <c r="DD775" s="485"/>
      <c r="DE775" s="485"/>
      <c r="DF775" s="485"/>
      <c r="DG775" s="485"/>
      <c r="DH775" s="485"/>
      <c r="DI775" s="485"/>
      <c r="DJ775" s="485"/>
      <c r="DK775" s="485"/>
      <c r="DL775" s="485"/>
      <c r="DM775" s="485"/>
      <c r="DN775" s="485"/>
      <c r="DO775" s="485"/>
      <c r="DP775" s="485"/>
      <c r="DQ775" s="485"/>
      <c r="DR775" s="485"/>
      <c r="DS775" s="485"/>
      <c r="DT775" s="485"/>
      <c r="DU775" s="485"/>
      <c r="DV775" s="485"/>
      <c r="DW775" s="485"/>
      <c r="DX775" s="485"/>
      <c r="DY775" s="485"/>
      <c r="DZ775" s="485"/>
      <c r="EA775" s="485"/>
      <c r="EB775" s="485"/>
      <c r="EC775" s="485"/>
      <c r="ED775" s="485"/>
      <c r="EE775" s="485"/>
      <c r="EF775" s="485"/>
      <c r="EG775" s="485"/>
      <c r="EH775" s="485"/>
      <c r="EI775" s="485"/>
      <c r="EJ775" s="485"/>
      <c r="EK775" s="485"/>
      <c r="EL775" s="485"/>
      <c r="EM775" s="485"/>
      <c r="EN775" s="485"/>
      <c r="EO775" s="485"/>
      <c r="EP775" s="485"/>
    </row>
    <row r="776" spans="1:146">
      <c r="A776" s="485"/>
      <c r="B776" s="485"/>
      <c r="C776" s="485"/>
      <c r="D776" s="485"/>
      <c r="E776" s="485"/>
      <c r="F776" s="485"/>
      <c r="G776" s="485"/>
      <c r="H776" s="485"/>
      <c r="I776" s="485"/>
      <c r="J776" s="485"/>
      <c r="K776" s="485"/>
      <c r="L776" s="485"/>
      <c r="M776" s="485"/>
      <c r="P776" s="485"/>
      <c r="Q776" s="485"/>
      <c r="R776" s="485"/>
      <c r="S776" s="485"/>
      <c r="T776" s="485"/>
      <c r="U776" s="485"/>
      <c r="V776" s="485"/>
      <c r="W776" s="485"/>
      <c r="X776" s="485"/>
      <c r="Y776" s="485"/>
      <c r="Z776" s="485"/>
      <c r="AA776" s="485"/>
      <c r="AB776" s="485"/>
      <c r="AC776" s="485"/>
      <c r="AD776" s="485"/>
      <c r="AE776" s="485"/>
      <c r="AF776" s="485"/>
      <c r="AG776" s="485"/>
      <c r="AH776" s="485"/>
      <c r="AI776" s="485"/>
      <c r="AJ776" s="485"/>
      <c r="AK776" s="485"/>
      <c r="AL776" s="485"/>
      <c r="AM776" s="485"/>
      <c r="AN776" s="485"/>
      <c r="AO776" s="485"/>
      <c r="AP776" s="485"/>
      <c r="AQ776" s="485"/>
      <c r="AR776" s="485"/>
      <c r="AS776" s="485"/>
      <c r="AT776" s="485"/>
      <c r="AU776" s="485"/>
      <c r="AV776" s="485"/>
      <c r="AW776" s="485"/>
      <c r="AX776" s="485"/>
      <c r="AY776" s="485"/>
      <c r="AZ776" s="485"/>
      <c r="BA776" s="485"/>
      <c r="BB776" s="485"/>
      <c r="BC776" s="485"/>
      <c r="BD776" s="485"/>
      <c r="BE776" s="485"/>
      <c r="BF776" s="485"/>
      <c r="BG776" s="485"/>
      <c r="BH776" s="485"/>
      <c r="BI776" s="485"/>
      <c r="BJ776" s="485"/>
      <c r="BK776" s="485"/>
      <c r="BL776" s="485"/>
      <c r="BM776" s="485"/>
      <c r="BN776" s="485"/>
      <c r="BO776" s="485"/>
      <c r="BP776" s="485"/>
      <c r="BQ776" s="485"/>
      <c r="BR776" s="485"/>
      <c r="BS776" s="485"/>
      <c r="BT776" s="485"/>
      <c r="BU776" s="485"/>
      <c r="BV776" s="485"/>
      <c r="BW776" s="485"/>
      <c r="BX776" s="485"/>
      <c r="BY776" s="485"/>
      <c r="BZ776" s="485"/>
      <c r="CA776" s="485"/>
      <c r="CB776" s="485"/>
      <c r="CC776" s="485"/>
      <c r="CD776" s="485"/>
      <c r="CE776" s="485"/>
      <c r="CF776" s="485"/>
      <c r="CG776" s="485"/>
      <c r="CH776" s="485"/>
      <c r="CI776" s="485"/>
      <c r="CJ776" s="485"/>
      <c r="CK776" s="485"/>
      <c r="CL776" s="485"/>
      <c r="CM776" s="485"/>
      <c r="CN776" s="485"/>
      <c r="CO776" s="485"/>
      <c r="CP776" s="485"/>
      <c r="CQ776" s="485"/>
      <c r="CR776" s="485"/>
      <c r="CS776" s="485"/>
      <c r="CT776" s="485"/>
      <c r="CU776" s="485"/>
      <c r="CV776" s="485"/>
      <c r="CW776" s="485"/>
      <c r="CX776" s="485"/>
      <c r="CY776" s="485"/>
      <c r="CZ776" s="485"/>
      <c r="DA776" s="485"/>
      <c r="DB776" s="485"/>
      <c r="DC776" s="485"/>
      <c r="DD776" s="485"/>
      <c r="DE776" s="485"/>
      <c r="DF776" s="485"/>
      <c r="DG776" s="485"/>
      <c r="DH776" s="485"/>
      <c r="DI776" s="485"/>
      <c r="DJ776" s="485"/>
      <c r="DK776" s="485"/>
      <c r="DL776" s="485"/>
      <c r="DM776" s="485"/>
      <c r="DN776" s="485"/>
      <c r="DO776" s="485"/>
      <c r="DP776" s="485"/>
      <c r="DQ776" s="485"/>
      <c r="DR776" s="485"/>
      <c r="DS776" s="485"/>
      <c r="DT776" s="485"/>
      <c r="DU776" s="485"/>
      <c r="DV776" s="485"/>
      <c r="DW776" s="485"/>
      <c r="DX776" s="485"/>
      <c r="DY776" s="485"/>
      <c r="DZ776" s="485"/>
      <c r="EA776" s="485"/>
      <c r="EB776" s="485"/>
      <c r="EC776" s="485"/>
      <c r="ED776" s="485"/>
      <c r="EE776" s="485"/>
      <c r="EF776" s="485"/>
      <c r="EG776" s="485"/>
      <c r="EH776" s="485"/>
      <c r="EI776" s="485"/>
      <c r="EJ776" s="485"/>
      <c r="EK776" s="485"/>
      <c r="EL776" s="485"/>
      <c r="EM776" s="485"/>
      <c r="EN776" s="485"/>
      <c r="EO776" s="485"/>
      <c r="EP776" s="485"/>
    </row>
    <row r="777" spans="1:146">
      <c r="A777" s="485"/>
      <c r="B777" s="485"/>
      <c r="C777" s="485"/>
      <c r="D777" s="485"/>
      <c r="E777" s="485"/>
      <c r="F777" s="485"/>
      <c r="G777" s="485"/>
      <c r="H777" s="485"/>
      <c r="I777" s="485"/>
      <c r="J777" s="485"/>
      <c r="K777" s="485"/>
      <c r="L777" s="485"/>
      <c r="M777" s="485"/>
      <c r="P777" s="485"/>
      <c r="Q777" s="485"/>
      <c r="R777" s="485"/>
      <c r="S777" s="485"/>
      <c r="T777" s="485"/>
      <c r="U777" s="485"/>
      <c r="V777" s="485"/>
      <c r="W777" s="485"/>
      <c r="X777" s="485"/>
      <c r="Y777" s="485"/>
      <c r="Z777" s="485"/>
      <c r="AA777" s="485"/>
      <c r="AB777" s="485"/>
      <c r="AC777" s="485"/>
      <c r="AD777" s="485"/>
      <c r="AE777" s="485"/>
      <c r="AF777" s="485"/>
      <c r="AG777" s="485"/>
      <c r="AH777" s="485"/>
      <c r="AI777" s="485"/>
      <c r="AJ777" s="485"/>
      <c r="AK777" s="485"/>
      <c r="AL777" s="485"/>
      <c r="AM777" s="485"/>
      <c r="AN777" s="485"/>
      <c r="AO777" s="485"/>
      <c r="AP777" s="485"/>
      <c r="AQ777" s="485"/>
      <c r="AR777" s="485"/>
      <c r="AS777" s="485"/>
      <c r="AT777" s="485"/>
      <c r="AU777" s="485"/>
      <c r="AV777" s="485"/>
      <c r="AW777" s="485"/>
      <c r="AX777" s="485"/>
      <c r="AY777" s="485"/>
      <c r="AZ777" s="485"/>
      <c r="BA777" s="485"/>
      <c r="BB777" s="485"/>
      <c r="BC777" s="485"/>
      <c r="BD777" s="485"/>
      <c r="BE777" s="485"/>
      <c r="BF777" s="485"/>
      <c r="BG777" s="485"/>
      <c r="BH777" s="485"/>
      <c r="BI777" s="485"/>
      <c r="BJ777" s="485"/>
      <c r="BK777" s="485"/>
      <c r="BL777" s="485"/>
      <c r="BM777" s="485"/>
      <c r="BN777" s="485"/>
      <c r="BO777" s="485"/>
      <c r="BP777" s="485"/>
      <c r="BQ777" s="485"/>
      <c r="BR777" s="485"/>
      <c r="BS777" s="485"/>
      <c r="BT777" s="485"/>
      <c r="BU777" s="485"/>
      <c r="BV777" s="485"/>
      <c r="BW777" s="485"/>
      <c r="BX777" s="485"/>
      <c r="BY777" s="485"/>
      <c r="BZ777" s="485"/>
      <c r="CA777" s="485"/>
      <c r="CB777" s="485"/>
      <c r="CC777" s="485"/>
      <c r="CD777" s="485"/>
      <c r="CE777" s="485"/>
      <c r="CF777" s="485"/>
      <c r="CG777" s="485"/>
      <c r="CH777" s="485"/>
      <c r="CI777" s="485"/>
      <c r="CJ777" s="485"/>
      <c r="CK777" s="485"/>
      <c r="CL777" s="485"/>
      <c r="CM777" s="485"/>
      <c r="CN777" s="485"/>
      <c r="CO777" s="485"/>
      <c r="CP777" s="485"/>
      <c r="CQ777" s="485"/>
      <c r="CR777" s="485"/>
      <c r="CS777" s="485"/>
      <c r="CT777" s="485"/>
      <c r="CU777" s="485"/>
      <c r="CV777" s="485"/>
      <c r="CW777" s="485"/>
      <c r="CX777" s="485"/>
      <c r="CY777" s="485"/>
      <c r="CZ777" s="485"/>
      <c r="DA777" s="485"/>
      <c r="DB777" s="485"/>
      <c r="DC777" s="485"/>
      <c r="DD777" s="485"/>
      <c r="DE777" s="485"/>
      <c r="DF777" s="485"/>
      <c r="DG777" s="485"/>
      <c r="DH777" s="485"/>
      <c r="DI777" s="485"/>
      <c r="DJ777" s="485"/>
      <c r="DK777" s="485"/>
      <c r="DL777" s="485"/>
      <c r="DM777" s="485"/>
      <c r="DN777" s="485"/>
      <c r="DO777" s="485"/>
      <c r="DP777" s="485"/>
      <c r="DQ777" s="485"/>
      <c r="DR777" s="485"/>
      <c r="DS777" s="485"/>
      <c r="DT777" s="485"/>
      <c r="DU777" s="485"/>
      <c r="DV777" s="485"/>
      <c r="DW777" s="485"/>
      <c r="DX777" s="485"/>
      <c r="DY777" s="485"/>
      <c r="DZ777" s="485"/>
      <c r="EA777" s="485"/>
      <c r="EB777" s="485"/>
      <c r="EC777" s="485"/>
      <c r="ED777" s="485"/>
      <c r="EE777" s="485"/>
      <c r="EF777" s="485"/>
      <c r="EG777" s="485"/>
      <c r="EH777" s="485"/>
      <c r="EI777" s="485"/>
      <c r="EJ777" s="485"/>
      <c r="EK777" s="485"/>
      <c r="EL777" s="485"/>
      <c r="EM777" s="485"/>
      <c r="EN777" s="485"/>
      <c r="EO777" s="485"/>
      <c r="EP777" s="485"/>
    </row>
    <row r="778" spans="1:146">
      <c r="A778" s="485"/>
      <c r="B778" s="485"/>
      <c r="C778" s="485"/>
      <c r="D778" s="485"/>
      <c r="E778" s="485"/>
      <c r="F778" s="485"/>
      <c r="G778" s="485"/>
      <c r="H778" s="485"/>
      <c r="I778" s="485"/>
      <c r="J778" s="485"/>
      <c r="K778" s="485"/>
      <c r="L778" s="485"/>
      <c r="M778" s="485"/>
      <c r="P778" s="485"/>
      <c r="Q778" s="485"/>
      <c r="R778" s="485"/>
      <c r="S778" s="485"/>
      <c r="T778" s="485"/>
      <c r="U778" s="485"/>
      <c r="V778" s="485"/>
      <c r="W778" s="485"/>
      <c r="X778" s="485"/>
      <c r="Y778" s="485"/>
      <c r="Z778" s="485"/>
      <c r="AA778" s="485"/>
      <c r="AB778" s="485"/>
      <c r="AC778" s="485"/>
      <c r="AD778" s="485"/>
      <c r="AE778" s="485"/>
      <c r="AF778" s="485"/>
      <c r="AG778" s="485"/>
      <c r="AH778" s="485"/>
      <c r="AI778" s="485"/>
      <c r="AJ778" s="485"/>
      <c r="AK778" s="485"/>
      <c r="AL778" s="485"/>
      <c r="AM778" s="485"/>
      <c r="AN778" s="485"/>
      <c r="AO778" s="485"/>
      <c r="AP778" s="485"/>
      <c r="AQ778" s="485"/>
      <c r="AR778" s="485"/>
      <c r="AS778" s="485"/>
      <c r="AT778" s="485"/>
      <c r="AU778" s="485"/>
      <c r="AV778" s="485"/>
      <c r="AW778" s="485"/>
      <c r="AX778" s="485"/>
      <c r="AY778" s="485"/>
      <c r="AZ778" s="485"/>
      <c r="BA778" s="485"/>
      <c r="BB778" s="485"/>
      <c r="BC778" s="485"/>
      <c r="BD778" s="485"/>
      <c r="BE778" s="485"/>
      <c r="BF778" s="485"/>
      <c r="BG778" s="485"/>
      <c r="BH778" s="485"/>
      <c r="BI778" s="485"/>
      <c r="BJ778" s="485"/>
      <c r="BK778" s="485"/>
      <c r="BL778" s="485"/>
      <c r="BM778" s="485"/>
      <c r="BN778" s="485"/>
      <c r="BO778" s="485"/>
      <c r="BP778" s="485"/>
      <c r="BQ778" s="485"/>
      <c r="BR778" s="485"/>
      <c r="BS778" s="485"/>
      <c r="BT778" s="485"/>
      <c r="BU778" s="485"/>
      <c r="BV778" s="485"/>
      <c r="BW778" s="485"/>
      <c r="BX778" s="485"/>
      <c r="BY778" s="485"/>
      <c r="BZ778" s="485"/>
      <c r="CA778" s="485"/>
      <c r="CB778" s="485"/>
      <c r="CC778" s="485"/>
      <c r="CD778" s="485"/>
      <c r="CE778" s="485"/>
      <c r="CF778" s="485"/>
      <c r="CG778" s="485"/>
      <c r="CH778" s="485"/>
      <c r="CI778" s="485"/>
      <c r="CJ778" s="485"/>
      <c r="CK778" s="485"/>
      <c r="CL778" s="485"/>
      <c r="CM778" s="485"/>
      <c r="CN778" s="485"/>
      <c r="CO778" s="485"/>
      <c r="CP778" s="485"/>
      <c r="CQ778" s="485"/>
      <c r="CR778" s="485"/>
      <c r="CS778" s="485"/>
      <c r="CT778" s="485"/>
      <c r="CU778" s="485"/>
      <c r="CV778" s="485"/>
      <c r="CW778" s="485"/>
      <c r="CX778" s="485"/>
      <c r="CY778" s="485"/>
      <c r="CZ778" s="485"/>
      <c r="DA778" s="485"/>
      <c r="DB778" s="485"/>
      <c r="DC778" s="485"/>
      <c r="DD778" s="485"/>
      <c r="DE778" s="485"/>
      <c r="DF778" s="485"/>
      <c r="DG778" s="485"/>
      <c r="DH778" s="485"/>
      <c r="DI778" s="485"/>
      <c r="DJ778" s="485"/>
      <c r="DK778" s="485"/>
      <c r="DL778" s="485"/>
      <c r="DM778" s="485"/>
      <c r="DN778" s="485"/>
      <c r="DO778" s="485"/>
      <c r="DP778" s="485"/>
      <c r="DQ778" s="485"/>
      <c r="DR778" s="485"/>
      <c r="DS778" s="485"/>
      <c r="DT778" s="485"/>
      <c r="DU778" s="485"/>
      <c r="DV778" s="485"/>
      <c r="DW778" s="485"/>
      <c r="DX778" s="485"/>
      <c r="DY778" s="485"/>
      <c r="DZ778" s="485"/>
      <c r="EA778" s="485"/>
      <c r="EB778" s="485"/>
      <c r="EC778" s="485"/>
      <c r="ED778" s="485"/>
      <c r="EE778" s="485"/>
      <c r="EF778" s="485"/>
      <c r="EG778" s="485"/>
      <c r="EH778" s="485"/>
      <c r="EI778" s="485"/>
      <c r="EJ778" s="485"/>
      <c r="EK778" s="485"/>
      <c r="EL778" s="485"/>
      <c r="EM778" s="485"/>
      <c r="EN778" s="485"/>
      <c r="EO778" s="485"/>
      <c r="EP778" s="485"/>
    </row>
    <row r="779" spans="1:146">
      <c r="A779" s="485"/>
      <c r="B779" s="485"/>
      <c r="C779" s="485"/>
      <c r="D779" s="485"/>
      <c r="E779" s="485"/>
      <c r="F779" s="485"/>
      <c r="G779" s="485"/>
      <c r="H779" s="485"/>
      <c r="I779" s="485"/>
      <c r="J779" s="485"/>
      <c r="K779" s="485"/>
      <c r="L779" s="485"/>
      <c r="M779" s="485"/>
      <c r="P779" s="485"/>
      <c r="Q779" s="485"/>
      <c r="R779" s="485"/>
      <c r="S779" s="485"/>
      <c r="T779" s="485"/>
      <c r="U779" s="485"/>
      <c r="V779" s="485"/>
      <c r="W779" s="485"/>
      <c r="X779" s="485"/>
      <c r="Y779" s="485"/>
      <c r="Z779" s="485"/>
      <c r="AA779" s="485"/>
      <c r="AB779" s="485"/>
      <c r="AC779" s="485"/>
      <c r="AD779" s="485"/>
      <c r="AE779" s="485"/>
      <c r="AF779" s="485"/>
      <c r="AG779" s="485"/>
      <c r="AH779" s="485"/>
      <c r="AI779" s="485"/>
      <c r="AJ779" s="485"/>
      <c r="AK779" s="485"/>
      <c r="AL779" s="485"/>
      <c r="AM779" s="485"/>
      <c r="AN779" s="485"/>
      <c r="AO779" s="485"/>
      <c r="AP779" s="485"/>
      <c r="AQ779" s="485"/>
      <c r="AR779" s="485"/>
      <c r="AS779" s="485"/>
      <c r="AT779" s="485"/>
      <c r="AU779" s="485"/>
      <c r="AV779" s="485"/>
      <c r="AW779" s="485"/>
      <c r="AX779" s="485"/>
      <c r="AY779" s="485"/>
      <c r="AZ779" s="485"/>
      <c r="BA779" s="485"/>
      <c r="BB779" s="485"/>
      <c r="BC779" s="485"/>
      <c r="BD779" s="485"/>
      <c r="BE779" s="485"/>
      <c r="BF779" s="485"/>
      <c r="BG779" s="485"/>
      <c r="BH779" s="485"/>
      <c r="BI779" s="485"/>
      <c r="BJ779" s="485"/>
      <c r="BK779" s="485"/>
      <c r="BL779" s="485"/>
      <c r="BM779" s="485"/>
      <c r="BN779" s="485"/>
      <c r="BO779" s="485"/>
      <c r="BP779" s="485"/>
      <c r="BQ779" s="485"/>
      <c r="BR779" s="485"/>
      <c r="BS779" s="485"/>
      <c r="BT779" s="485"/>
      <c r="BU779" s="485"/>
      <c r="BV779" s="485"/>
      <c r="BW779" s="485"/>
      <c r="BX779" s="485"/>
      <c r="BY779" s="485"/>
      <c r="BZ779" s="485"/>
      <c r="CA779" s="485"/>
      <c r="CB779" s="485"/>
      <c r="CC779" s="485"/>
      <c r="CD779" s="485"/>
      <c r="CE779" s="485"/>
      <c r="CF779" s="485"/>
      <c r="CG779" s="485"/>
      <c r="CH779" s="485"/>
      <c r="CI779" s="485"/>
      <c r="CJ779" s="485"/>
      <c r="CK779" s="485"/>
      <c r="CL779" s="485"/>
      <c r="CM779" s="485"/>
      <c r="CN779" s="485"/>
      <c r="CO779" s="485"/>
      <c r="CP779" s="485"/>
      <c r="CQ779" s="485"/>
      <c r="CR779" s="485"/>
      <c r="CS779" s="485"/>
      <c r="CT779" s="485"/>
      <c r="CU779" s="485"/>
      <c r="CV779" s="485"/>
      <c r="CW779" s="485"/>
      <c r="CX779" s="485"/>
      <c r="CY779" s="485"/>
      <c r="CZ779" s="485"/>
      <c r="DA779" s="485"/>
      <c r="DB779" s="485"/>
      <c r="DC779" s="485"/>
      <c r="DD779" s="485"/>
      <c r="DE779" s="485"/>
      <c r="DF779" s="485"/>
      <c r="DG779" s="485"/>
      <c r="DH779" s="485"/>
      <c r="DI779" s="485"/>
      <c r="DJ779" s="485"/>
      <c r="DK779" s="485"/>
      <c r="DL779" s="485"/>
      <c r="DM779" s="485"/>
      <c r="DN779" s="485"/>
      <c r="DO779" s="485"/>
      <c r="DP779" s="485"/>
      <c r="DQ779" s="485"/>
      <c r="DR779" s="485"/>
      <c r="DS779" s="485"/>
      <c r="DT779" s="485"/>
      <c r="DU779" s="485"/>
      <c r="DV779" s="485"/>
      <c r="DW779" s="485"/>
      <c r="DX779" s="485"/>
      <c r="DY779" s="485"/>
      <c r="DZ779" s="485"/>
      <c r="EA779" s="485"/>
      <c r="EB779" s="485"/>
      <c r="EC779" s="485"/>
      <c r="ED779" s="485"/>
      <c r="EE779" s="485"/>
      <c r="EF779" s="485"/>
      <c r="EG779" s="485"/>
      <c r="EH779" s="485"/>
      <c r="EI779" s="485"/>
      <c r="EJ779" s="485"/>
      <c r="EK779" s="485"/>
      <c r="EL779" s="485"/>
      <c r="EM779" s="485"/>
      <c r="EN779" s="485"/>
      <c r="EO779" s="485"/>
      <c r="EP779" s="485"/>
    </row>
    <row r="780" spans="1:146">
      <c r="A780" s="485"/>
      <c r="B780" s="485"/>
      <c r="C780" s="485"/>
      <c r="D780" s="485"/>
      <c r="E780" s="485"/>
      <c r="F780" s="485"/>
      <c r="G780" s="485"/>
      <c r="H780" s="485"/>
      <c r="I780" s="485"/>
      <c r="J780" s="485"/>
      <c r="K780" s="485"/>
      <c r="L780" s="485"/>
      <c r="M780" s="485"/>
      <c r="P780" s="485"/>
      <c r="Q780" s="485"/>
      <c r="R780" s="485"/>
      <c r="S780" s="485"/>
      <c r="T780" s="485"/>
      <c r="U780" s="485"/>
      <c r="V780" s="485"/>
      <c r="W780" s="485"/>
      <c r="X780" s="485"/>
      <c r="Y780" s="485"/>
      <c r="Z780" s="485"/>
      <c r="AA780" s="485"/>
      <c r="AB780" s="485"/>
      <c r="AC780" s="485"/>
      <c r="AD780" s="485"/>
      <c r="AE780" s="485"/>
      <c r="AF780" s="485"/>
      <c r="AG780" s="485"/>
      <c r="AH780" s="485"/>
      <c r="AI780" s="485"/>
      <c r="AJ780" s="485"/>
      <c r="AK780" s="485"/>
      <c r="AL780" s="485"/>
      <c r="AM780" s="485"/>
      <c r="AN780" s="485"/>
      <c r="AO780" s="485"/>
      <c r="AP780" s="485"/>
      <c r="AQ780" s="485"/>
      <c r="AR780" s="485"/>
      <c r="AS780" s="485"/>
      <c r="AT780" s="485"/>
      <c r="AU780" s="485"/>
      <c r="AV780" s="485"/>
      <c r="AW780" s="485"/>
      <c r="AX780" s="485"/>
      <c r="AY780" s="485"/>
      <c r="AZ780" s="485"/>
      <c r="BA780" s="485"/>
      <c r="BB780" s="485"/>
      <c r="BC780" s="485"/>
      <c r="BD780" s="485"/>
      <c r="BE780" s="485"/>
      <c r="BF780" s="485"/>
      <c r="BG780" s="485"/>
      <c r="BH780" s="485"/>
      <c r="BI780" s="485"/>
      <c r="BJ780" s="485"/>
      <c r="BK780" s="485"/>
      <c r="BL780" s="485"/>
      <c r="BM780" s="485"/>
      <c r="BN780" s="485"/>
      <c r="BO780" s="485"/>
      <c r="BP780" s="485"/>
      <c r="BQ780" s="485"/>
      <c r="BR780" s="485"/>
      <c r="BS780" s="485"/>
      <c r="BT780" s="485"/>
      <c r="BU780" s="485"/>
      <c r="BV780" s="485"/>
      <c r="BW780" s="485"/>
      <c r="BX780" s="485"/>
      <c r="BY780" s="485"/>
      <c r="BZ780" s="485"/>
      <c r="CA780" s="485"/>
      <c r="CB780" s="485"/>
      <c r="CC780" s="485"/>
      <c r="CD780" s="485"/>
      <c r="CE780" s="485"/>
      <c r="CF780" s="485"/>
      <c r="CG780" s="485"/>
      <c r="CH780" s="485"/>
      <c r="CI780" s="485"/>
      <c r="CJ780" s="485"/>
      <c r="CK780" s="485"/>
      <c r="CL780" s="485"/>
      <c r="CM780" s="485"/>
      <c r="CN780" s="485"/>
      <c r="CO780" s="485"/>
      <c r="CP780" s="485"/>
      <c r="CQ780" s="485"/>
      <c r="CR780" s="485"/>
      <c r="CS780" s="485"/>
      <c r="CT780" s="485"/>
      <c r="CU780" s="485"/>
      <c r="CV780" s="485"/>
      <c r="CW780" s="485"/>
      <c r="CX780" s="485"/>
      <c r="CY780" s="485"/>
      <c r="CZ780" s="485"/>
      <c r="DA780" s="485"/>
      <c r="DB780" s="485"/>
      <c r="DC780" s="485"/>
      <c r="DD780" s="485"/>
      <c r="DE780" s="485"/>
      <c r="DF780" s="485"/>
      <c r="DG780" s="485"/>
      <c r="DH780" s="485"/>
      <c r="DI780" s="485"/>
      <c r="DJ780" s="485"/>
      <c r="DK780" s="485"/>
      <c r="DL780" s="485"/>
      <c r="DM780" s="485"/>
      <c r="DN780" s="485"/>
      <c r="DO780" s="485"/>
      <c r="DP780" s="485"/>
      <c r="DQ780" s="485"/>
      <c r="DR780" s="485"/>
      <c r="DS780" s="485"/>
      <c r="DT780" s="485"/>
      <c r="DU780" s="485"/>
      <c r="DV780" s="485"/>
      <c r="DW780" s="485"/>
      <c r="DX780" s="485"/>
      <c r="DY780" s="485"/>
      <c r="DZ780" s="485"/>
      <c r="EA780" s="485"/>
      <c r="EB780" s="485"/>
      <c r="EC780" s="485"/>
      <c r="ED780" s="485"/>
      <c r="EE780" s="485"/>
      <c r="EF780" s="485"/>
      <c r="EG780" s="485"/>
      <c r="EH780" s="485"/>
      <c r="EI780" s="485"/>
      <c r="EJ780" s="485"/>
      <c r="EK780" s="485"/>
      <c r="EL780" s="485"/>
      <c r="EM780" s="485"/>
      <c r="EN780" s="485"/>
      <c r="EO780" s="485"/>
      <c r="EP780" s="485"/>
    </row>
    <row r="781" spans="1:146">
      <c r="A781" s="485"/>
      <c r="B781" s="485"/>
      <c r="C781" s="485"/>
      <c r="D781" s="485"/>
      <c r="E781" s="485"/>
      <c r="F781" s="485"/>
      <c r="G781" s="485"/>
      <c r="H781" s="485"/>
      <c r="I781" s="485"/>
      <c r="J781" s="485"/>
      <c r="K781" s="485"/>
      <c r="L781" s="485"/>
      <c r="M781" s="485"/>
      <c r="P781" s="485"/>
      <c r="Q781" s="485"/>
      <c r="R781" s="485"/>
      <c r="S781" s="485"/>
      <c r="T781" s="485"/>
      <c r="U781" s="485"/>
      <c r="V781" s="485"/>
      <c r="W781" s="485"/>
      <c r="X781" s="485"/>
      <c r="Y781" s="485"/>
      <c r="Z781" s="485"/>
      <c r="AA781" s="485"/>
      <c r="AB781" s="485"/>
      <c r="AC781" s="485"/>
      <c r="AD781" s="485"/>
      <c r="AE781" s="485"/>
      <c r="AF781" s="485"/>
      <c r="AG781" s="485"/>
      <c r="AH781" s="485"/>
      <c r="AI781" s="485"/>
      <c r="AJ781" s="485"/>
      <c r="AK781" s="485"/>
      <c r="AL781" s="485"/>
      <c r="AM781" s="485"/>
      <c r="AN781" s="485"/>
      <c r="AO781" s="485"/>
      <c r="AP781" s="485"/>
      <c r="AQ781" s="485"/>
      <c r="AR781" s="485"/>
      <c r="AS781" s="485"/>
      <c r="AT781" s="485"/>
      <c r="AU781" s="485"/>
      <c r="AV781" s="485"/>
      <c r="AW781" s="485"/>
      <c r="AX781" s="485"/>
      <c r="AY781" s="485"/>
      <c r="AZ781" s="485"/>
      <c r="BA781" s="485"/>
      <c r="BB781" s="485"/>
      <c r="BC781" s="485"/>
      <c r="BD781" s="485"/>
      <c r="BE781" s="485"/>
      <c r="BF781" s="485"/>
      <c r="BG781" s="485"/>
      <c r="BH781" s="485"/>
      <c r="BI781" s="485"/>
      <c r="BJ781" s="485"/>
      <c r="BK781" s="485"/>
      <c r="BL781" s="485"/>
      <c r="BM781" s="485"/>
      <c r="BN781" s="485"/>
      <c r="BO781" s="485"/>
      <c r="BP781" s="485"/>
      <c r="BQ781" s="485"/>
      <c r="BR781" s="485"/>
      <c r="BS781" s="485"/>
      <c r="BT781" s="485"/>
      <c r="BU781" s="485"/>
      <c r="BV781" s="485"/>
      <c r="BW781" s="485"/>
      <c r="BX781" s="485"/>
      <c r="BY781" s="485"/>
      <c r="BZ781" s="485"/>
      <c r="CA781" s="485"/>
      <c r="CB781" s="485"/>
      <c r="CC781" s="485"/>
      <c r="CD781" s="485"/>
      <c r="CE781" s="485"/>
      <c r="CF781" s="485"/>
      <c r="CG781" s="485"/>
      <c r="CH781" s="485"/>
      <c r="CI781" s="485"/>
      <c r="CJ781" s="485"/>
      <c r="CK781" s="485"/>
      <c r="CL781" s="485"/>
      <c r="CM781" s="485"/>
      <c r="CN781" s="485"/>
      <c r="CO781" s="485"/>
      <c r="CP781" s="485"/>
      <c r="CQ781" s="485"/>
      <c r="CR781" s="485"/>
      <c r="CS781" s="485"/>
      <c r="CT781" s="485"/>
      <c r="CU781" s="485"/>
      <c r="CV781" s="485"/>
      <c r="CW781" s="485"/>
      <c r="CX781" s="485"/>
      <c r="CY781" s="485"/>
      <c r="CZ781" s="485"/>
      <c r="DA781" s="485"/>
      <c r="DB781" s="485"/>
      <c r="DC781" s="485"/>
      <c r="DD781" s="485"/>
      <c r="DE781" s="485"/>
      <c r="DF781" s="485"/>
      <c r="DG781" s="485"/>
      <c r="DH781" s="485"/>
      <c r="DI781" s="485"/>
      <c r="DJ781" s="485"/>
      <c r="DK781" s="485"/>
      <c r="DL781" s="485"/>
      <c r="DM781" s="485"/>
      <c r="DN781" s="485"/>
      <c r="DO781" s="485"/>
      <c r="DP781" s="485"/>
      <c r="DQ781" s="485"/>
      <c r="DR781" s="485"/>
      <c r="DS781" s="485"/>
      <c r="DT781" s="485"/>
      <c r="DU781" s="485"/>
      <c r="DV781" s="485"/>
      <c r="DW781" s="485"/>
      <c r="DX781" s="485"/>
      <c r="DY781" s="485"/>
      <c r="DZ781" s="485"/>
      <c r="EA781" s="485"/>
      <c r="EB781" s="485"/>
      <c r="EC781" s="485"/>
      <c r="ED781" s="485"/>
      <c r="EE781" s="485"/>
      <c r="EF781" s="485"/>
      <c r="EG781" s="485"/>
      <c r="EH781" s="485"/>
      <c r="EI781" s="485"/>
      <c r="EJ781" s="485"/>
      <c r="EK781" s="485"/>
      <c r="EL781" s="485"/>
      <c r="EM781" s="485"/>
      <c r="EN781" s="485"/>
      <c r="EO781" s="485"/>
      <c r="EP781" s="485"/>
    </row>
    <row r="782" spans="1:146">
      <c r="A782" s="485"/>
      <c r="B782" s="485"/>
      <c r="C782" s="485"/>
      <c r="D782" s="485"/>
      <c r="E782" s="485"/>
      <c r="F782" s="485"/>
      <c r="G782" s="485"/>
      <c r="H782" s="485"/>
      <c r="I782" s="485"/>
      <c r="J782" s="485"/>
      <c r="K782" s="485"/>
      <c r="L782" s="485"/>
      <c r="M782" s="485"/>
      <c r="P782" s="485"/>
      <c r="Q782" s="485"/>
      <c r="R782" s="485"/>
      <c r="S782" s="485"/>
      <c r="T782" s="485"/>
      <c r="U782" s="485"/>
      <c r="V782" s="485"/>
      <c r="W782" s="485"/>
      <c r="X782" s="485"/>
      <c r="Y782" s="485"/>
      <c r="Z782" s="485"/>
      <c r="AA782" s="485"/>
      <c r="AB782" s="485"/>
      <c r="AC782" s="485"/>
      <c r="AD782" s="485"/>
      <c r="AE782" s="485"/>
      <c r="AF782" s="485"/>
      <c r="AG782" s="485"/>
      <c r="AH782" s="485"/>
      <c r="AI782" s="485"/>
      <c r="AJ782" s="485"/>
      <c r="AK782" s="485"/>
      <c r="AL782" s="485"/>
      <c r="AM782" s="485"/>
      <c r="AN782" s="485"/>
      <c r="AO782" s="485"/>
      <c r="AP782" s="485"/>
      <c r="AQ782" s="485"/>
      <c r="AR782" s="485"/>
      <c r="AS782" s="485"/>
      <c r="AT782" s="485"/>
      <c r="AU782" s="485"/>
      <c r="AV782" s="485"/>
      <c r="AW782" s="485"/>
      <c r="AX782" s="485"/>
      <c r="AY782" s="485"/>
      <c r="AZ782" s="485"/>
      <c r="BA782" s="485"/>
      <c r="BB782" s="485"/>
      <c r="BC782" s="485"/>
      <c r="BD782" s="485"/>
      <c r="BE782" s="485"/>
      <c r="BF782" s="485"/>
      <c r="BG782" s="485"/>
      <c r="BH782" s="485"/>
      <c r="BI782" s="485"/>
      <c r="BJ782" s="485"/>
      <c r="BK782" s="485"/>
      <c r="BL782" s="485"/>
      <c r="BM782" s="485"/>
      <c r="BN782" s="485"/>
      <c r="BO782" s="485"/>
      <c r="BP782" s="485"/>
      <c r="BQ782" s="485"/>
      <c r="BR782" s="485"/>
      <c r="BS782" s="485"/>
      <c r="BT782" s="485"/>
      <c r="BU782" s="485"/>
      <c r="BV782" s="485"/>
      <c r="BW782" s="485"/>
      <c r="BX782" s="485"/>
      <c r="BY782" s="485"/>
      <c r="BZ782" s="485"/>
      <c r="CA782" s="485"/>
      <c r="CB782" s="485"/>
      <c r="CC782" s="485"/>
      <c r="CD782" s="485"/>
      <c r="CE782" s="485"/>
      <c r="CF782" s="485"/>
      <c r="CG782" s="485"/>
      <c r="CH782" s="485"/>
      <c r="CI782" s="485"/>
      <c r="CJ782" s="485"/>
      <c r="CK782" s="485"/>
      <c r="CL782" s="485"/>
      <c r="CM782" s="485"/>
      <c r="CN782" s="485"/>
      <c r="CO782" s="485"/>
      <c r="CP782" s="485"/>
      <c r="CQ782" s="485"/>
      <c r="CR782" s="485"/>
      <c r="CS782" s="485"/>
      <c r="CT782" s="485"/>
      <c r="CU782" s="485"/>
      <c r="CV782" s="485"/>
      <c r="CW782" s="485"/>
      <c r="CX782" s="485"/>
      <c r="CY782" s="485"/>
      <c r="CZ782" s="485"/>
      <c r="DA782" s="485"/>
      <c r="DB782" s="485"/>
      <c r="DC782" s="485"/>
      <c r="DD782" s="485"/>
      <c r="DE782" s="485"/>
      <c r="DF782" s="485"/>
      <c r="DG782" s="485"/>
      <c r="DH782" s="485"/>
      <c r="DI782" s="485"/>
      <c r="DJ782" s="485"/>
      <c r="DK782" s="485"/>
      <c r="DL782" s="485"/>
      <c r="DM782" s="485"/>
      <c r="DN782" s="485"/>
      <c r="DO782" s="485"/>
      <c r="DP782" s="485"/>
      <c r="DQ782" s="485"/>
      <c r="DR782" s="485"/>
      <c r="DS782" s="485"/>
      <c r="DT782" s="485"/>
      <c r="DU782" s="485"/>
      <c r="DV782" s="485"/>
      <c r="DW782" s="485"/>
      <c r="DX782" s="485"/>
      <c r="DY782" s="485"/>
      <c r="DZ782" s="485"/>
      <c r="EA782" s="485"/>
      <c r="EB782" s="485"/>
      <c r="EC782" s="485"/>
      <c r="ED782" s="485"/>
      <c r="EE782" s="485"/>
      <c r="EF782" s="485"/>
      <c r="EG782" s="485"/>
      <c r="EH782" s="485"/>
      <c r="EI782" s="485"/>
      <c r="EJ782" s="485"/>
      <c r="EK782" s="485"/>
      <c r="EL782" s="485"/>
      <c r="EM782" s="485"/>
      <c r="EN782" s="485"/>
      <c r="EO782" s="485"/>
      <c r="EP782" s="485"/>
    </row>
    <row r="783" spans="1:146">
      <c r="A783" s="485"/>
      <c r="B783" s="485"/>
      <c r="C783" s="485"/>
      <c r="D783" s="485"/>
      <c r="E783" s="485"/>
      <c r="F783" s="485"/>
      <c r="G783" s="485"/>
      <c r="H783" s="485"/>
      <c r="I783" s="485"/>
      <c r="J783" s="485"/>
      <c r="K783" s="485"/>
      <c r="L783" s="485"/>
      <c r="M783" s="485"/>
      <c r="P783" s="485"/>
      <c r="Q783" s="485"/>
      <c r="R783" s="485"/>
      <c r="S783" s="485"/>
      <c r="T783" s="485"/>
      <c r="U783" s="485"/>
      <c r="V783" s="485"/>
      <c r="W783" s="485"/>
      <c r="X783" s="485"/>
      <c r="Y783" s="485"/>
      <c r="Z783" s="485"/>
      <c r="AA783" s="485"/>
      <c r="AB783" s="485"/>
      <c r="AC783" s="485"/>
      <c r="AD783" s="485"/>
      <c r="AE783" s="485"/>
      <c r="AF783" s="485"/>
      <c r="AG783" s="485"/>
      <c r="AH783" s="485"/>
      <c r="AI783" s="485"/>
      <c r="AJ783" s="485"/>
      <c r="AK783" s="485"/>
      <c r="AL783" s="485"/>
      <c r="AM783" s="485"/>
      <c r="AN783" s="485"/>
      <c r="AO783" s="485"/>
      <c r="AP783" s="485"/>
      <c r="AQ783" s="485"/>
      <c r="AR783" s="485"/>
      <c r="AS783" s="485"/>
      <c r="AT783" s="485"/>
      <c r="AU783" s="485"/>
      <c r="AV783" s="485"/>
      <c r="AW783" s="485"/>
      <c r="AX783" s="485"/>
      <c r="AY783" s="485"/>
      <c r="AZ783" s="485"/>
      <c r="BA783" s="485"/>
      <c r="BB783" s="485"/>
      <c r="BC783" s="485"/>
      <c r="BD783" s="485"/>
      <c r="BE783" s="485"/>
      <c r="BF783" s="485"/>
      <c r="BG783" s="485"/>
      <c r="BH783" s="485"/>
      <c r="BI783" s="485"/>
      <c r="BJ783" s="485"/>
      <c r="BK783" s="485"/>
      <c r="BL783" s="485"/>
      <c r="BM783" s="485"/>
      <c r="BN783" s="485"/>
      <c r="BO783" s="485"/>
      <c r="BP783" s="485"/>
      <c r="BQ783" s="485"/>
      <c r="BR783" s="485"/>
      <c r="BS783" s="485"/>
      <c r="BT783" s="485"/>
      <c r="BU783" s="485"/>
      <c r="BV783" s="485"/>
      <c r="BW783" s="485"/>
      <c r="BX783" s="485"/>
      <c r="BY783" s="485"/>
      <c r="BZ783" s="485"/>
      <c r="CA783" s="485"/>
      <c r="CB783" s="485"/>
      <c r="CC783" s="485"/>
      <c r="CD783" s="485"/>
      <c r="CE783" s="485"/>
      <c r="CF783" s="485"/>
      <c r="CG783" s="485"/>
      <c r="CH783" s="485"/>
      <c r="CI783" s="485"/>
      <c r="CJ783" s="485"/>
      <c r="CK783" s="485"/>
      <c r="CL783" s="485"/>
      <c r="CM783" s="485"/>
      <c r="CN783" s="485"/>
      <c r="CO783" s="485"/>
      <c r="CP783" s="485"/>
      <c r="CQ783" s="485"/>
      <c r="CR783" s="485"/>
      <c r="CS783" s="485"/>
      <c r="CT783" s="485"/>
      <c r="CU783" s="485"/>
      <c r="CV783" s="485"/>
      <c r="CW783" s="485"/>
      <c r="CX783" s="485"/>
      <c r="CY783" s="485"/>
      <c r="CZ783" s="485"/>
      <c r="DA783" s="485"/>
      <c r="DB783" s="485"/>
      <c r="DC783" s="485"/>
      <c r="DD783" s="485"/>
      <c r="DE783" s="485"/>
      <c r="DF783" s="485"/>
      <c r="DG783" s="485"/>
      <c r="DH783" s="485"/>
      <c r="DI783" s="485"/>
      <c r="DJ783" s="485"/>
      <c r="DK783" s="485"/>
      <c r="DL783" s="485"/>
      <c r="DM783" s="485"/>
      <c r="DN783" s="485"/>
      <c r="DO783" s="485"/>
      <c r="DP783" s="485"/>
      <c r="DQ783" s="485"/>
      <c r="DR783" s="485"/>
      <c r="DS783" s="485"/>
      <c r="DT783" s="485"/>
      <c r="DU783" s="485"/>
      <c r="DV783" s="485"/>
      <c r="DW783" s="485"/>
      <c r="DX783" s="485"/>
      <c r="DY783" s="485"/>
      <c r="DZ783" s="485"/>
      <c r="EA783" s="485"/>
      <c r="EB783" s="485"/>
      <c r="EC783" s="485"/>
      <c r="ED783" s="485"/>
      <c r="EE783" s="485"/>
      <c r="EF783" s="485"/>
      <c r="EG783" s="485"/>
      <c r="EH783" s="485"/>
      <c r="EI783" s="485"/>
      <c r="EJ783" s="485"/>
      <c r="EK783" s="485"/>
      <c r="EL783" s="485"/>
      <c r="EM783" s="485"/>
      <c r="EN783" s="485"/>
      <c r="EO783" s="485"/>
      <c r="EP783" s="485"/>
    </row>
    <row r="784" spans="1:146">
      <c r="A784" s="485"/>
      <c r="B784" s="485"/>
      <c r="C784" s="485"/>
      <c r="D784" s="485"/>
      <c r="E784" s="485"/>
      <c r="F784" s="485"/>
      <c r="G784" s="485"/>
      <c r="H784" s="485"/>
      <c r="I784" s="485"/>
      <c r="J784" s="485"/>
      <c r="K784" s="485"/>
      <c r="L784" s="485"/>
      <c r="M784" s="485"/>
      <c r="P784" s="485"/>
      <c r="Q784" s="485"/>
      <c r="R784" s="485"/>
      <c r="S784" s="485"/>
      <c r="T784" s="485"/>
      <c r="U784" s="485"/>
      <c r="V784" s="485"/>
      <c r="W784" s="485"/>
      <c r="X784" s="485"/>
      <c r="Y784" s="485"/>
      <c r="Z784" s="485"/>
      <c r="AA784" s="485"/>
      <c r="AB784" s="485"/>
      <c r="AC784" s="485"/>
      <c r="AD784" s="485"/>
      <c r="AE784" s="485"/>
      <c r="AF784" s="485"/>
      <c r="AG784" s="485"/>
      <c r="AH784" s="485"/>
      <c r="AI784" s="485"/>
      <c r="AJ784" s="485"/>
      <c r="AK784" s="485"/>
      <c r="AL784" s="485"/>
      <c r="AM784" s="485"/>
      <c r="AN784" s="485"/>
      <c r="AO784" s="485"/>
      <c r="AP784" s="485"/>
      <c r="AQ784" s="485"/>
      <c r="AR784" s="485"/>
      <c r="AS784" s="485"/>
      <c r="AT784" s="485"/>
      <c r="AU784" s="485"/>
      <c r="AV784" s="485"/>
      <c r="AW784" s="485"/>
      <c r="AX784" s="485"/>
      <c r="AY784" s="485"/>
      <c r="AZ784" s="485"/>
      <c r="BA784" s="485"/>
      <c r="BB784" s="485"/>
      <c r="BC784" s="485"/>
      <c r="BD784" s="485"/>
      <c r="BE784" s="485"/>
      <c r="BF784" s="485"/>
      <c r="BG784" s="485"/>
      <c r="BH784" s="485"/>
      <c r="BI784" s="485"/>
      <c r="BJ784" s="485"/>
      <c r="BK784" s="485"/>
      <c r="BL784" s="485"/>
      <c r="BM784" s="485"/>
      <c r="BN784" s="485"/>
      <c r="BO784" s="485"/>
      <c r="BP784" s="485"/>
      <c r="BQ784" s="485"/>
      <c r="BR784" s="485"/>
      <c r="BS784" s="485"/>
      <c r="BT784" s="485"/>
      <c r="BU784" s="485"/>
      <c r="BV784" s="485"/>
      <c r="BW784" s="485"/>
      <c r="BX784" s="485"/>
      <c r="BY784" s="485"/>
      <c r="BZ784" s="485"/>
      <c r="CA784" s="485"/>
      <c r="CB784" s="485"/>
      <c r="CC784" s="485"/>
      <c r="CD784" s="485"/>
      <c r="CE784" s="485"/>
      <c r="CF784" s="485"/>
      <c r="CG784" s="485"/>
      <c r="CH784" s="485"/>
      <c r="CI784" s="485"/>
      <c r="CJ784" s="485"/>
      <c r="CK784" s="485"/>
      <c r="CL784" s="485"/>
      <c r="CM784" s="485"/>
      <c r="CN784" s="485"/>
      <c r="CO784" s="485"/>
      <c r="CP784" s="485"/>
      <c r="CQ784" s="485"/>
      <c r="CR784" s="485"/>
      <c r="CS784" s="485"/>
      <c r="CT784" s="485"/>
      <c r="CU784" s="485"/>
      <c r="CV784" s="485"/>
      <c r="CW784" s="485"/>
      <c r="CX784" s="485"/>
      <c r="CY784" s="485"/>
      <c r="CZ784" s="485"/>
      <c r="DA784" s="485"/>
      <c r="DB784" s="485"/>
      <c r="DC784" s="485"/>
      <c r="DD784" s="485"/>
      <c r="DE784" s="485"/>
      <c r="DF784" s="485"/>
      <c r="DG784" s="485"/>
      <c r="DH784" s="485"/>
      <c r="DI784" s="485"/>
      <c r="DJ784" s="485"/>
      <c r="DK784" s="485"/>
      <c r="DL784" s="485"/>
      <c r="DM784" s="485"/>
      <c r="DN784" s="485"/>
      <c r="DO784" s="485"/>
      <c r="DP784" s="485"/>
      <c r="DQ784" s="485"/>
      <c r="DR784" s="485"/>
      <c r="DS784" s="485"/>
      <c r="DT784" s="485"/>
      <c r="DU784" s="485"/>
      <c r="DV784" s="485"/>
      <c r="DW784" s="485"/>
      <c r="DX784" s="485"/>
      <c r="DY784" s="485"/>
      <c r="DZ784" s="485"/>
      <c r="EA784" s="485"/>
      <c r="EB784" s="485"/>
      <c r="EC784" s="485"/>
      <c r="ED784" s="485"/>
      <c r="EE784" s="485"/>
      <c r="EF784" s="485"/>
      <c r="EG784" s="485"/>
      <c r="EH784" s="485"/>
      <c r="EI784" s="485"/>
      <c r="EJ784" s="485"/>
      <c r="EK784" s="485"/>
      <c r="EL784" s="485"/>
      <c r="EM784" s="485"/>
      <c r="EN784" s="485"/>
      <c r="EO784" s="485"/>
      <c r="EP784" s="485"/>
    </row>
    <row r="785" spans="1:146">
      <c r="A785" s="485"/>
      <c r="B785" s="485"/>
      <c r="C785" s="485"/>
      <c r="D785" s="485"/>
      <c r="E785" s="485"/>
      <c r="F785" s="485"/>
      <c r="G785" s="485"/>
      <c r="H785" s="485"/>
      <c r="I785" s="485"/>
      <c r="J785" s="485"/>
      <c r="K785" s="485"/>
      <c r="L785" s="485"/>
      <c r="M785" s="485"/>
      <c r="P785" s="485"/>
      <c r="Q785" s="485"/>
      <c r="R785" s="485"/>
      <c r="S785" s="485"/>
      <c r="T785" s="485"/>
      <c r="U785" s="485"/>
      <c r="V785" s="485"/>
      <c r="W785" s="485"/>
      <c r="X785" s="485"/>
      <c r="Y785" s="485"/>
      <c r="Z785" s="485"/>
      <c r="AA785" s="485"/>
      <c r="AB785" s="485"/>
      <c r="AC785" s="485"/>
      <c r="AD785" s="485"/>
      <c r="AE785" s="485"/>
      <c r="AF785" s="485"/>
      <c r="AG785" s="485"/>
      <c r="AH785" s="485"/>
      <c r="AI785" s="485"/>
      <c r="AJ785" s="485"/>
      <c r="AK785" s="485"/>
      <c r="AL785" s="485"/>
      <c r="AM785" s="485"/>
      <c r="AN785" s="485"/>
      <c r="AO785" s="485"/>
      <c r="AP785" s="485"/>
      <c r="AQ785" s="485"/>
      <c r="AR785" s="485"/>
      <c r="AS785" s="485"/>
      <c r="AT785" s="485"/>
      <c r="AU785" s="485"/>
      <c r="AV785" s="485"/>
      <c r="AW785" s="485"/>
      <c r="AX785" s="485"/>
      <c r="AY785" s="485"/>
      <c r="AZ785" s="485"/>
      <c r="BA785" s="485"/>
      <c r="BB785" s="485"/>
      <c r="BC785" s="485"/>
      <c r="BD785" s="485"/>
      <c r="BE785" s="485"/>
      <c r="BF785" s="485"/>
      <c r="BG785" s="485"/>
      <c r="BH785" s="485"/>
      <c r="BI785" s="485"/>
      <c r="BJ785" s="485"/>
      <c r="BK785" s="485"/>
      <c r="BL785" s="485"/>
      <c r="BM785" s="485"/>
      <c r="BN785" s="485"/>
      <c r="BO785" s="485"/>
      <c r="BP785" s="485"/>
      <c r="BQ785" s="485"/>
      <c r="BR785" s="485"/>
      <c r="BS785" s="485"/>
      <c r="BT785" s="485"/>
      <c r="BU785" s="485"/>
      <c r="BV785" s="485"/>
      <c r="BW785" s="485"/>
      <c r="BX785" s="485"/>
      <c r="BY785" s="485"/>
      <c r="BZ785" s="485"/>
      <c r="CA785" s="485"/>
      <c r="CB785" s="485"/>
      <c r="CC785" s="485"/>
      <c r="CD785" s="485"/>
      <c r="CE785" s="485"/>
      <c r="CF785" s="485"/>
      <c r="CG785" s="485"/>
      <c r="CH785" s="485"/>
      <c r="CI785" s="485"/>
      <c r="CJ785" s="485"/>
      <c r="CK785" s="485"/>
      <c r="CL785" s="485"/>
      <c r="CM785" s="485"/>
      <c r="CN785" s="485"/>
      <c r="CO785" s="485"/>
      <c r="CP785" s="485"/>
      <c r="CQ785" s="485"/>
      <c r="CR785" s="485"/>
      <c r="CS785" s="485"/>
      <c r="CT785" s="485"/>
      <c r="CU785" s="485"/>
      <c r="CV785" s="485"/>
      <c r="CW785" s="485"/>
      <c r="CX785" s="485"/>
      <c r="CY785" s="485"/>
      <c r="CZ785" s="485"/>
      <c r="DA785" s="485"/>
      <c r="DB785" s="485"/>
      <c r="DC785" s="485"/>
      <c r="DD785" s="485"/>
      <c r="DE785" s="485"/>
      <c r="DF785" s="485"/>
      <c r="DG785" s="485"/>
      <c r="DH785" s="485"/>
      <c r="DI785" s="485"/>
      <c r="DJ785" s="485"/>
      <c r="DK785" s="485"/>
      <c r="DL785" s="485"/>
      <c r="DM785" s="485"/>
      <c r="DN785" s="485"/>
      <c r="DO785" s="485"/>
      <c r="DP785" s="485"/>
      <c r="DQ785" s="485"/>
      <c r="DR785" s="485"/>
      <c r="DS785" s="485"/>
      <c r="DT785" s="485"/>
      <c r="DU785" s="485"/>
      <c r="DV785" s="485"/>
      <c r="DW785" s="485"/>
      <c r="DX785" s="485"/>
      <c r="DY785" s="485"/>
      <c r="DZ785" s="485"/>
      <c r="EA785" s="485"/>
      <c r="EB785" s="485"/>
      <c r="EC785" s="485"/>
      <c r="ED785" s="485"/>
      <c r="EE785" s="485"/>
      <c r="EF785" s="485"/>
      <c r="EG785" s="485"/>
      <c r="EH785" s="485"/>
      <c r="EI785" s="485"/>
      <c r="EJ785" s="485"/>
      <c r="EK785" s="485"/>
      <c r="EL785" s="485"/>
      <c r="EM785" s="485"/>
      <c r="EN785" s="485"/>
      <c r="EO785" s="485"/>
      <c r="EP785" s="485"/>
    </row>
    <row r="786" spans="1:146">
      <c r="A786" s="485"/>
      <c r="B786" s="485"/>
      <c r="C786" s="485"/>
      <c r="D786" s="485"/>
      <c r="E786" s="485"/>
      <c r="F786" s="485"/>
      <c r="G786" s="485"/>
      <c r="H786" s="485"/>
      <c r="I786" s="485"/>
      <c r="J786" s="485"/>
      <c r="K786" s="485"/>
      <c r="L786" s="485"/>
      <c r="M786" s="485"/>
      <c r="P786" s="485"/>
      <c r="Q786" s="485"/>
      <c r="R786" s="485"/>
      <c r="S786" s="485"/>
      <c r="T786" s="485"/>
      <c r="U786" s="485"/>
      <c r="V786" s="485"/>
      <c r="W786" s="485"/>
      <c r="X786" s="485"/>
      <c r="Y786" s="485"/>
      <c r="Z786" s="485"/>
      <c r="AA786" s="485"/>
      <c r="AB786" s="485"/>
      <c r="AC786" s="485"/>
      <c r="AD786" s="485"/>
      <c r="AE786" s="485"/>
      <c r="AF786" s="485"/>
      <c r="AG786" s="485"/>
      <c r="AH786" s="485"/>
      <c r="AI786" s="485"/>
      <c r="AJ786" s="485"/>
      <c r="AK786" s="485"/>
      <c r="AL786" s="485"/>
      <c r="AM786" s="485"/>
      <c r="AN786" s="485"/>
      <c r="AO786" s="485"/>
      <c r="AP786" s="485"/>
      <c r="AQ786" s="485"/>
      <c r="AR786" s="485"/>
      <c r="AS786" s="485"/>
      <c r="AT786" s="485"/>
      <c r="AU786" s="485"/>
      <c r="AV786" s="485"/>
      <c r="AW786" s="485"/>
      <c r="AX786" s="485"/>
      <c r="AY786" s="485"/>
      <c r="AZ786" s="485"/>
      <c r="BA786" s="485"/>
      <c r="BB786" s="485"/>
      <c r="BC786" s="485"/>
      <c r="BD786" s="485"/>
      <c r="BE786" s="485"/>
      <c r="BF786" s="485"/>
      <c r="BG786" s="485"/>
      <c r="BH786" s="485"/>
      <c r="BI786" s="485"/>
      <c r="BJ786" s="485"/>
      <c r="BK786" s="485"/>
      <c r="BL786" s="485"/>
      <c r="BM786" s="485"/>
      <c r="BN786" s="485"/>
      <c r="BO786" s="485"/>
      <c r="BP786" s="485"/>
      <c r="BQ786" s="485"/>
      <c r="BR786" s="485"/>
      <c r="BS786" s="485"/>
      <c r="BT786" s="485"/>
      <c r="BU786" s="485"/>
      <c r="BV786" s="485"/>
      <c r="BW786" s="485"/>
      <c r="BX786" s="485"/>
      <c r="BY786" s="485"/>
      <c r="BZ786" s="485"/>
      <c r="CA786" s="485"/>
      <c r="CB786" s="485"/>
      <c r="CC786" s="485"/>
      <c r="CD786" s="485"/>
      <c r="CE786" s="485"/>
      <c r="CF786" s="485"/>
      <c r="CG786" s="485"/>
      <c r="CH786" s="485"/>
      <c r="CI786" s="485"/>
      <c r="CJ786" s="485"/>
      <c r="CK786" s="485"/>
      <c r="CL786" s="485"/>
      <c r="CM786" s="485"/>
      <c r="CN786" s="485"/>
      <c r="CO786" s="485"/>
      <c r="CP786" s="485"/>
      <c r="CQ786" s="485"/>
      <c r="CR786" s="485"/>
      <c r="CS786" s="485"/>
      <c r="CT786" s="485"/>
      <c r="CU786" s="485"/>
      <c r="CV786" s="485"/>
      <c r="CW786" s="485"/>
      <c r="CX786" s="485"/>
      <c r="CY786" s="485"/>
      <c r="CZ786" s="485"/>
      <c r="DA786" s="485"/>
      <c r="DB786" s="485"/>
      <c r="DC786" s="485"/>
      <c r="DD786" s="485"/>
      <c r="DE786" s="485"/>
      <c r="DF786" s="485"/>
      <c r="DG786" s="485"/>
      <c r="DH786" s="485"/>
      <c r="DI786" s="485"/>
      <c r="DJ786" s="485"/>
      <c r="DK786" s="485"/>
      <c r="DL786" s="485"/>
      <c r="DM786" s="485"/>
      <c r="DN786" s="485"/>
      <c r="DO786" s="485"/>
      <c r="DP786" s="485"/>
      <c r="DQ786" s="485"/>
      <c r="DR786" s="485"/>
      <c r="DS786" s="485"/>
      <c r="DT786" s="485"/>
      <c r="DU786" s="485"/>
      <c r="DV786" s="485"/>
      <c r="DW786" s="485"/>
      <c r="DX786" s="485"/>
      <c r="DY786" s="485"/>
      <c r="DZ786" s="485"/>
      <c r="EA786" s="485"/>
      <c r="EB786" s="485"/>
      <c r="EC786" s="485"/>
      <c r="ED786" s="485"/>
      <c r="EE786" s="485"/>
      <c r="EF786" s="485"/>
      <c r="EG786" s="485"/>
      <c r="EH786" s="485"/>
      <c r="EI786" s="485"/>
      <c r="EJ786" s="485"/>
      <c r="EK786" s="485"/>
      <c r="EL786" s="485"/>
      <c r="EM786" s="485"/>
      <c r="EN786" s="485"/>
      <c r="EO786" s="485"/>
      <c r="EP786" s="485"/>
    </row>
    <row r="787" spans="1:146">
      <c r="A787" s="485"/>
      <c r="B787" s="485"/>
      <c r="C787" s="485"/>
      <c r="D787" s="485"/>
      <c r="E787" s="485"/>
      <c r="F787" s="485"/>
      <c r="G787" s="485"/>
      <c r="H787" s="485"/>
      <c r="I787" s="485"/>
      <c r="J787" s="485"/>
      <c r="K787" s="485"/>
      <c r="L787" s="485"/>
      <c r="M787" s="485"/>
      <c r="P787" s="485"/>
      <c r="Q787" s="485"/>
      <c r="R787" s="485"/>
      <c r="S787" s="485"/>
      <c r="T787" s="485"/>
      <c r="U787" s="485"/>
      <c r="V787" s="485"/>
      <c r="W787" s="485"/>
      <c r="X787" s="485"/>
      <c r="Y787" s="485"/>
      <c r="Z787" s="485"/>
      <c r="AA787" s="485"/>
      <c r="AB787" s="485"/>
      <c r="AC787" s="485"/>
      <c r="AD787" s="485"/>
      <c r="AE787" s="485"/>
      <c r="AF787" s="485"/>
      <c r="AG787" s="485"/>
      <c r="AH787" s="485"/>
      <c r="AI787" s="485"/>
      <c r="AJ787" s="485"/>
      <c r="AK787" s="485"/>
      <c r="AL787" s="485"/>
      <c r="AM787" s="485"/>
      <c r="AN787" s="485"/>
      <c r="AO787" s="485"/>
      <c r="AP787" s="485"/>
      <c r="AQ787" s="485"/>
      <c r="AR787" s="485"/>
      <c r="AS787" s="485"/>
      <c r="AT787" s="485"/>
      <c r="AU787" s="485"/>
      <c r="AV787" s="485"/>
      <c r="AW787" s="485"/>
      <c r="AX787" s="485"/>
      <c r="AY787" s="485"/>
      <c r="AZ787" s="485"/>
      <c r="BA787" s="485"/>
      <c r="BB787" s="485"/>
      <c r="BC787" s="485"/>
      <c r="BD787" s="485"/>
      <c r="BE787" s="485"/>
      <c r="BF787" s="485"/>
      <c r="BG787" s="485"/>
      <c r="BH787" s="485"/>
      <c r="BI787" s="485"/>
      <c r="BJ787" s="485"/>
      <c r="BK787" s="485"/>
      <c r="BL787" s="485"/>
      <c r="BM787" s="485"/>
      <c r="BN787" s="485"/>
      <c r="BO787" s="485"/>
      <c r="BP787" s="485"/>
      <c r="BQ787" s="485"/>
      <c r="BR787" s="485"/>
      <c r="BS787" s="485"/>
      <c r="BT787" s="485"/>
      <c r="BU787" s="485"/>
      <c r="BV787" s="485"/>
      <c r="BW787" s="485"/>
      <c r="BX787" s="485"/>
      <c r="BY787" s="485"/>
      <c r="BZ787" s="485"/>
      <c r="CA787" s="485"/>
      <c r="CB787" s="485"/>
      <c r="CC787" s="485"/>
      <c r="CD787" s="485"/>
      <c r="CE787" s="485"/>
      <c r="CF787" s="485"/>
      <c r="CG787" s="485"/>
      <c r="CH787" s="485"/>
      <c r="CI787" s="485"/>
      <c r="CJ787" s="485"/>
      <c r="CK787" s="485"/>
      <c r="CL787" s="485"/>
      <c r="CM787" s="485"/>
      <c r="CN787" s="485"/>
      <c r="CO787" s="485"/>
      <c r="CP787" s="485"/>
      <c r="CQ787" s="485"/>
      <c r="CR787" s="485"/>
      <c r="CS787" s="485"/>
      <c r="CT787" s="485"/>
      <c r="CU787" s="485"/>
      <c r="CV787" s="485"/>
      <c r="CW787" s="485"/>
      <c r="CX787" s="485"/>
      <c r="CY787" s="485"/>
      <c r="CZ787" s="485"/>
      <c r="DA787" s="485"/>
      <c r="DB787" s="485"/>
      <c r="DC787" s="485"/>
      <c r="DD787" s="485"/>
      <c r="DE787" s="485"/>
      <c r="DF787" s="485"/>
      <c r="DG787" s="485"/>
      <c r="DH787" s="485"/>
      <c r="DI787" s="485"/>
      <c r="DJ787" s="485"/>
      <c r="DK787" s="485"/>
      <c r="DL787" s="485"/>
      <c r="DM787" s="485"/>
      <c r="DN787" s="485"/>
      <c r="DO787" s="485"/>
      <c r="DP787" s="485"/>
      <c r="DQ787" s="485"/>
      <c r="DR787" s="485"/>
      <c r="DS787" s="485"/>
      <c r="DT787" s="485"/>
      <c r="DU787" s="485"/>
      <c r="DV787" s="485"/>
      <c r="DW787" s="485"/>
      <c r="DX787" s="485"/>
      <c r="DY787" s="485"/>
      <c r="DZ787" s="485"/>
      <c r="EA787" s="485"/>
      <c r="EB787" s="485"/>
      <c r="EC787" s="485"/>
      <c r="ED787" s="485"/>
      <c r="EE787" s="485"/>
      <c r="EF787" s="485"/>
      <c r="EG787" s="485"/>
      <c r="EH787" s="485"/>
      <c r="EI787" s="485"/>
      <c r="EJ787" s="485"/>
      <c r="EK787" s="485"/>
      <c r="EL787" s="485"/>
      <c r="EM787" s="485"/>
      <c r="EN787" s="485"/>
      <c r="EO787" s="485"/>
      <c r="EP787" s="485"/>
    </row>
    <row r="788" spans="1:146">
      <c r="A788" s="485"/>
      <c r="B788" s="485"/>
      <c r="C788" s="485"/>
      <c r="D788" s="485"/>
      <c r="E788" s="485"/>
      <c r="F788" s="485"/>
      <c r="G788" s="485"/>
      <c r="H788" s="485"/>
      <c r="I788" s="485"/>
      <c r="J788" s="485"/>
      <c r="K788" s="485"/>
      <c r="L788" s="485"/>
      <c r="M788" s="485"/>
      <c r="P788" s="485"/>
      <c r="Q788" s="485"/>
      <c r="R788" s="485"/>
      <c r="S788" s="485"/>
      <c r="T788" s="485"/>
      <c r="U788" s="485"/>
      <c r="V788" s="485"/>
      <c r="W788" s="485"/>
      <c r="X788" s="485"/>
      <c r="Y788" s="485"/>
      <c r="Z788" s="485"/>
      <c r="AA788" s="485"/>
      <c r="AB788" s="485"/>
      <c r="AC788" s="485"/>
      <c r="AD788" s="485"/>
      <c r="AE788" s="485"/>
      <c r="AF788" s="485"/>
      <c r="AG788" s="485"/>
      <c r="AH788" s="485"/>
      <c r="AI788" s="485"/>
      <c r="AJ788" s="485"/>
      <c r="AK788" s="485"/>
      <c r="AL788" s="485"/>
      <c r="AM788" s="485"/>
      <c r="AN788" s="485"/>
      <c r="AO788" s="485"/>
      <c r="AP788" s="485"/>
      <c r="AQ788" s="485"/>
      <c r="AR788" s="485"/>
      <c r="AS788" s="485"/>
      <c r="AT788" s="485"/>
      <c r="AU788" s="485"/>
      <c r="AV788" s="485"/>
      <c r="AW788" s="485"/>
      <c r="AX788" s="485"/>
      <c r="AY788" s="485"/>
      <c r="AZ788" s="485"/>
      <c r="BA788" s="485"/>
      <c r="BB788" s="485"/>
      <c r="BC788" s="485"/>
      <c r="BD788" s="485"/>
      <c r="BE788" s="485"/>
      <c r="BF788" s="485"/>
      <c r="BG788" s="485"/>
      <c r="BH788" s="485"/>
      <c r="BI788" s="485"/>
      <c r="BJ788" s="485"/>
      <c r="BK788" s="485"/>
      <c r="BL788" s="485"/>
      <c r="BM788" s="485"/>
      <c r="BN788" s="485"/>
      <c r="BO788" s="485"/>
      <c r="BP788" s="485"/>
      <c r="BQ788" s="485"/>
      <c r="BR788" s="485"/>
      <c r="BS788" s="485"/>
      <c r="BT788" s="485"/>
      <c r="BU788" s="485"/>
      <c r="BV788" s="485"/>
      <c r="BW788" s="485"/>
      <c r="BX788" s="485"/>
      <c r="BY788" s="485"/>
      <c r="BZ788" s="485"/>
      <c r="CA788" s="485"/>
      <c r="CB788" s="485"/>
      <c r="CC788" s="485"/>
      <c r="CD788" s="485"/>
      <c r="CE788" s="485"/>
      <c r="CF788" s="485"/>
      <c r="CG788" s="485"/>
      <c r="CH788" s="485"/>
      <c r="CI788" s="485"/>
      <c r="CJ788" s="485"/>
      <c r="CK788" s="485"/>
      <c r="CL788" s="485"/>
      <c r="CM788" s="485"/>
      <c r="CN788" s="485"/>
      <c r="CO788" s="485"/>
      <c r="CP788" s="485"/>
      <c r="CQ788" s="485"/>
      <c r="CR788" s="485"/>
      <c r="CS788" s="485"/>
      <c r="CT788" s="485"/>
      <c r="CU788" s="485"/>
      <c r="CV788" s="485"/>
      <c r="CW788" s="485"/>
      <c r="CX788" s="485"/>
      <c r="CY788" s="485"/>
      <c r="CZ788" s="485"/>
      <c r="DA788" s="485"/>
      <c r="DB788" s="485"/>
      <c r="DC788" s="485"/>
      <c r="DD788" s="485"/>
      <c r="DE788" s="485"/>
      <c r="DF788" s="485"/>
      <c r="DG788" s="485"/>
      <c r="DH788" s="485"/>
      <c r="DI788" s="485"/>
      <c r="DJ788" s="485"/>
      <c r="DK788" s="485"/>
      <c r="DL788" s="485"/>
      <c r="DM788" s="485"/>
      <c r="DN788" s="485"/>
      <c r="DO788" s="485"/>
      <c r="DP788" s="485"/>
      <c r="DQ788" s="485"/>
      <c r="DR788" s="485"/>
      <c r="DS788" s="485"/>
      <c r="DT788" s="485"/>
      <c r="DU788" s="485"/>
      <c r="DV788" s="485"/>
      <c r="DW788" s="485"/>
      <c r="DX788" s="485"/>
      <c r="DY788" s="485"/>
      <c r="DZ788" s="485"/>
      <c r="EA788" s="485"/>
      <c r="EB788" s="485"/>
      <c r="EC788" s="485"/>
      <c r="ED788" s="485"/>
      <c r="EE788" s="485"/>
      <c r="EF788" s="485"/>
      <c r="EG788" s="485"/>
      <c r="EH788" s="485"/>
      <c r="EI788" s="485"/>
      <c r="EJ788" s="485"/>
      <c r="EK788" s="485"/>
      <c r="EL788" s="485"/>
      <c r="EM788" s="485"/>
      <c r="EN788" s="485"/>
      <c r="EO788" s="485"/>
      <c r="EP788" s="485"/>
    </row>
    <row r="789" spans="1:146">
      <c r="A789" s="485"/>
      <c r="B789" s="485"/>
      <c r="C789" s="485"/>
      <c r="D789" s="485"/>
      <c r="E789" s="485"/>
      <c r="F789" s="485"/>
      <c r="G789" s="485"/>
      <c r="H789" s="485"/>
      <c r="I789" s="485"/>
      <c r="J789" s="485"/>
      <c r="K789" s="485"/>
      <c r="L789" s="485"/>
      <c r="M789" s="485"/>
      <c r="P789" s="485"/>
      <c r="Q789" s="485"/>
      <c r="R789" s="485"/>
      <c r="S789" s="485"/>
      <c r="T789" s="485"/>
      <c r="U789" s="485"/>
      <c r="V789" s="485"/>
      <c r="W789" s="485"/>
      <c r="X789" s="485"/>
      <c r="Y789" s="485"/>
      <c r="Z789" s="485"/>
      <c r="AA789" s="485"/>
      <c r="AB789" s="485"/>
      <c r="AC789" s="485"/>
      <c r="AD789" s="485"/>
      <c r="AE789" s="485"/>
      <c r="AF789" s="485"/>
      <c r="AG789" s="485"/>
      <c r="AH789" s="485"/>
      <c r="AI789" s="485"/>
      <c r="AJ789" s="485"/>
      <c r="AK789" s="485"/>
      <c r="AL789" s="485"/>
      <c r="AM789" s="485"/>
      <c r="AN789" s="485"/>
      <c r="AO789" s="485"/>
      <c r="AP789" s="485"/>
      <c r="AQ789" s="485"/>
      <c r="AR789" s="485"/>
      <c r="AS789" s="485"/>
      <c r="AT789" s="485"/>
      <c r="AU789" s="485"/>
      <c r="AV789" s="485"/>
      <c r="AW789" s="485"/>
      <c r="AX789" s="485"/>
      <c r="AY789" s="485"/>
      <c r="AZ789" s="485"/>
      <c r="BA789" s="485"/>
      <c r="BB789" s="485"/>
      <c r="BC789" s="485"/>
      <c r="BD789" s="485"/>
      <c r="BE789" s="485"/>
      <c r="BF789" s="485"/>
      <c r="BG789" s="485"/>
      <c r="BH789" s="485"/>
      <c r="BI789" s="485"/>
      <c r="BJ789" s="485"/>
      <c r="BK789" s="485"/>
      <c r="BL789" s="485"/>
      <c r="BM789" s="485"/>
      <c r="BN789" s="485"/>
      <c r="BO789" s="485"/>
      <c r="BP789" s="485"/>
      <c r="BQ789" s="485"/>
      <c r="BR789" s="485"/>
      <c r="BS789" s="485"/>
      <c r="BT789" s="485"/>
      <c r="BU789" s="485"/>
      <c r="BV789" s="485"/>
      <c r="BW789" s="485"/>
      <c r="BX789" s="485"/>
      <c r="BY789" s="485"/>
      <c r="BZ789" s="485"/>
      <c r="CA789" s="485"/>
      <c r="CB789" s="485"/>
      <c r="CC789" s="485"/>
      <c r="CD789" s="485"/>
      <c r="CE789" s="485"/>
      <c r="CF789" s="485"/>
      <c r="CG789" s="485"/>
      <c r="CH789" s="485"/>
      <c r="CI789" s="485"/>
      <c r="CJ789" s="485"/>
      <c r="CK789" s="485"/>
      <c r="CL789" s="485"/>
      <c r="CM789" s="485"/>
      <c r="CN789" s="485"/>
      <c r="CO789" s="485"/>
      <c r="CP789" s="485"/>
      <c r="CQ789" s="485"/>
      <c r="CR789" s="485"/>
      <c r="CS789" s="485"/>
      <c r="CT789" s="485"/>
      <c r="CU789" s="485"/>
      <c r="CV789" s="485"/>
      <c r="CW789" s="485"/>
      <c r="CX789" s="485"/>
      <c r="CY789" s="485"/>
      <c r="CZ789" s="485"/>
      <c r="DA789" s="485"/>
      <c r="DB789" s="485"/>
      <c r="DC789" s="485"/>
      <c r="DD789" s="485"/>
      <c r="DE789" s="485"/>
      <c r="DF789" s="485"/>
      <c r="DG789" s="485"/>
      <c r="DH789" s="485"/>
      <c r="DI789" s="485"/>
      <c r="DJ789" s="485"/>
      <c r="DK789" s="485"/>
      <c r="DL789" s="485"/>
      <c r="DM789" s="485"/>
      <c r="DN789" s="485"/>
      <c r="DO789" s="485"/>
      <c r="DP789" s="485"/>
      <c r="DQ789" s="485"/>
      <c r="DR789" s="485"/>
      <c r="DS789" s="485"/>
      <c r="DT789" s="485"/>
      <c r="DU789" s="485"/>
      <c r="DV789" s="485"/>
      <c r="DW789" s="485"/>
      <c r="DX789" s="485"/>
      <c r="DY789" s="485"/>
      <c r="DZ789" s="485"/>
      <c r="EA789" s="485"/>
      <c r="EB789" s="485"/>
      <c r="EC789" s="485"/>
      <c r="ED789" s="485"/>
      <c r="EE789" s="485"/>
      <c r="EF789" s="485"/>
      <c r="EG789" s="485"/>
      <c r="EH789" s="485"/>
      <c r="EI789" s="485"/>
      <c r="EJ789" s="485"/>
      <c r="EK789" s="485"/>
      <c r="EL789" s="485"/>
      <c r="EM789" s="485"/>
      <c r="EN789" s="485"/>
      <c r="EO789" s="485"/>
      <c r="EP789" s="485"/>
    </row>
    <row r="790" spans="1:146">
      <c r="A790" s="485"/>
      <c r="B790" s="485"/>
      <c r="C790" s="485"/>
      <c r="D790" s="485"/>
      <c r="E790" s="485"/>
      <c r="F790" s="485"/>
      <c r="G790" s="485"/>
      <c r="H790" s="485"/>
      <c r="I790" s="485"/>
      <c r="J790" s="485"/>
      <c r="K790" s="485"/>
      <c r="L790" s="485"/>
      <c r="M790" s="485"/>
      <c r="P790" s="485"/>
      <c r="Q790" s="485"/>
      <c r="R790" s="485"/>
      <c r="S790" s="485"/>
      <c r="T790" s="485"/>
      <c r="U790" s="485"/>
      <c r="V790" s="485"/>
      <c r="W790" s="485"/>
      <c r="X790" s="485"/>
      <c r="Y790" s="485"/>
      <c r="Z790" s="485"/>
      <c r="AA790" s="485"/>
      <c r="AB790" s="485"/>
      <c r="AC790" s="485"/>
      <c r="AD790" s="485"/>
      <c r="AE790" s="485"/>
      <c r="AF790" s="485"/>
      <c r="AG790" s="485"/>
      <c r="AH790" s="485"/>
      <c r="AI790" s="485"/>
      <c r="AJ790" s="485"/>
      <c r="AK790" s="485"/>
      <c r="AL790" s="485"/>
      <c r="AM790" s="485"/>
      <c r="AN790" s="485"/>
      <c r="AO790" s="485"/>
      <c r="AP790" s="485"/>
      <c r="AQ790" s="485"/>
      <c r="AR790" s="485"/>
      <c r="AS790" s="485"/>
      <c r="AT790" s="485"/>
      <c r="AU790" s="485"/>
      <c r="AV790" s="485"/>
      <c r="AW790" s="485"/>
      <c r="AX790" s="485"/>
      <c r="AY790" s="485"/>
      <c r="AZ790" s="485"/>
      <c r="BA790" s="485"/>
      <c r="BB790" s="485"/>
      <c r="BC790" s="485"/>
      <c r="BD790" s="485"/>
      <c r="BE790" s="485"/>
      <c r="BF790" s="485"/>
      <c r="BG790" s="485"/>
      <c r="BH790" s="485"/>
      <c r="BI790" s="485"/>
      <c r="BJ790" s="485"/>
      <c r="BK790" s="485"/>
      <c r="BL790" s="485"/>
      <c r="BM790" s="485"/>
      <c r="BN790" s="485"/>
      <c r="BO790" s="485"/>
      <c r="BP790" s="485"/>
      <c r="BQ790" s="485"/>
      <c r="BR790" s="485"/>
      <c r="BS790" s="485"/>
      <c r="BT790" s="485"/>
      <c r="BU790" s="485"/>
      <c r="BV790" s="485"/>
      <c r="BW790" s="485"/>
      <c r="BX790" s="485"/>
      <c r="BY790" s="485"/>
      <c r="BZ790" s="485"/>
      <c r="CA790" s="485"/>
      <c r="CB790" s="485"/>
      <c r="CC790" s="485"/>
      <c r="CD790" s="485"/>
      <c r="CE790" s="485"/>
      <c r="CF790" s="485"/>
      <c r="CG790" s="485"/>
      <c r="CH790" s="485"/>
      <c r="CI790" s="485"/>
      <c r="CJ790" s="485"/>
      <c r="CK790" s="485"/>
      <c r="CL790" s="485"/>
      <c r="CM790" s="485"/>
      <c r="CN790" s="485"/>
      <c r="CO790" s="485"/>
      <c r="CP790" s="485"/>
      <c r="CQ790" s="485"/>
      <c r="CR790" s="485"/>
      <c r="CS790" s="485"/>
      <c r="CT790" s="485"/>
      <c r="CU790" s="485"/>
      <c r="CV790" s="485"/>
      <c r="CW790" s="485"/>
      <c r="CX790" s="485"/>
      <c r="CY790" s="485"/>
      <c r="CZ790" s="485"/>
      <c r="DA790" s="485"/>
      <c r="DB790" s="485"/>
      <c r="DC790" s="485"/>
      <c r="DD790" s="485"/>
      <c r="DE790" s="485"/>
      <c r="DF790" s="485"/>
      <c r="DG790" s="485"/>
      <c r="DH790" s="485"/>
      <c r="DI790" s="485"/>
      <c r="DJ790" s="485"/>
      <c r="DK790" s="485"/>
      <c r="DL790" s="485"/>
      <c r="DM790" s="485"/>
      <c r="DN790" s="485"/>
      <c r="DO790" s="485"/>
      <c r="DP790" s="485"/>
      <c r="DQ790" s="485"/>
      <c r="DR790" s="485"/>
      <c r="DS790" s="485"/>
      <c r="DT790" s="485"/>
      <c r="DU790" s="485"/>
      <c r="DV790" s="485"/>
      <c r="DW790" s="485"/>
      <c r="DX790" s="485"/>
      <c r="DY790" s="485"/>
      <c r="DZ790" s="485"/>
      <c r="EA790" s="485"/>
      <c r="EB790" s="485"/>
      <c r="EC790" s="485"/>
      <c r="ED790" s="485"/>
      <c r="EE790" s="485"/>
      <c r="EF790" s="485"/>
      <c r="EG790" s="485"/>
      <c r="EH790" s="485"/>
      <c r="EI790" s="485"/>
      <c r="EJ790" s="485"/>
      <c r="EK790" s="485"/>
      <c r="EL790" s="485"/>
      <c r="EM790" s="485"/>
      <c r="EN790" s="485"/>
      <c r="EO790" s="485"/>
      <c r="EP790" s="485"/>
    </row>
    <row r="791" spans="1:146">
      <c r="A791" s="485"/>
      <c r="B791" s="485"/>
      <c r="C791" s="485"/>
      <c r="D791" s="485"/>
      <c r="E791" s="485"/>
      <c r="F791" s="485"/>
      <c r="G791" s="485"/>
      <c r="H791" s="485"/>
      <c r="I791" s="485"/>
      <c r="J791" s="485"/>
      <c r="K791" s="485"/>
      <c r="L791" s="485"/>
      <c r="M791" s="485"/>
      <c r="P791" s="485"/>
      <c r="Q791" s="485"/>
      <c r="R791" s="485"/>
      <c r="S791" s="485"/>
      <c r="T791" s="485"/>
      <c r="U791" s="485"/>
      <c r="V791" s="485"/>
      <c r="W791" s="485"/>
      <c r="X791" s="485"/>
      <c r="Y791" s="485"/>
      <c r="Z791" s="485"/>
      <c r="AA791" s="485"/>
      <c r="AB791" s="485"/>
      <c r="AC791" s="485"/>
      <c r="AD791" s="485"/>
      <c r="AE791" s="485"/>
      <c r="AF791" s="485"/>
      <c r="AG791" s="485"/>
      <c r="AH791" s="485"/>
      <c r="AI791" s="485"/>
      <c r="AJ791" s="485"/>
      <c r="AK791" s="485"/>
      <c r="AL791" s="485"/>
      <c r="AM791" s="485"/>
      <c r="AN791" s="485"/>
      <c r="AO791" s="485"/>
      <c r="AP791" s="485"/>
      <c r="AQ791" s="485"/>
      <c r="AR791" s="485"/>
      <c r="AS791" s="485"/>
      <c r="AT791" s="485"/>
      <c r="AU791" s="485"/>
      <c r="AV791" s="485"/>
      <c r="AW791" s="485"/>
      <c r="AX791" s="485"/>
      <c r="AY791" s="485"/>
      <c r="AZ791" s="485"/>
      <c r="BA791" s="485"/>
      <c r="BB791" s="485"/>
      <c r="BC791" s="485"/>
      <c r="BD791" s="485"/>
      <c r="BE791" s="485"/>
      <c r="BF791" s="485"/>
      <c r="BG791" s="485"/>
      <c r="BH791" s="485"/>
      <c r="BI791" s="485"/>
      <c r="BJ791" s="485"/>
      <c r="BK791" s="485"/>
      <c r="BL791" s="485"/>
      <c r="BM791" s="485"/>
      <c r="BN791" s="485"/>
      <c r="BO791" s="485"/>
      <c r="BP791" s="485"/>
      <c r="BQ791" s="485"/>
      <c r="BR791" s="485"/>
      <c r="BS791" s="485"/>
      <c r="BT791" s="485"/>
      <c r="BU791" s="485"/>
      <c r="BV791" s="485"/>
      <c r="BW791" s="485"/>
      <c r="BX791" s="485"/>
      <c r="BY791" s="485"/>
      <c r="BZ791" s="485"/>
      <c r="CA791" s="485"/>
      <c r="CB791" s="485"/>
      <c r="CC791" s="485"/>
      <c r="CD791" s="485"/>
      <c r="CE791" s="485"/>
      <c r="CF791" s="485"/>
      <c r="CG791" s="485"/>
      <c r="CH791" s="485"/>
      <c r="CI791" s="485"/>
      <c r="CJ791" s="485"/>
      <c r="CK791" s="485"/>
      <c r="CL791" s="485"/>
      <c r="CM791" s="485"/>
      <c r="CN791" s="485"/>
      <c r="CO791" s="485"/>
      <c r="CP791" s="485"/>
      <c r="CQ791" s="485"/>
      <c r="CR791" s="485"/>
      <c r="CS791" s="485"/>
      <c r="CT791" s="485"/>
      <c r="CU791" s="485"/>
      <c r="CV791" s="485"/>
      <c r="CW791" s="485"/>
      <c r="CX791" s="485"/>
      <c r="CY791" s="485"/>
      <c r="CZ791" s="485"/>
      <c r="DA791" s="485"/>
      <c r="DB791" s="485"/>
      <c r="DC791" s="485"/>
      <c r="DD791" s="485"/>
      <c r="DE791" s="485"/>
      <c r="DF791" s="485"/>
      <c r="DG791" s="485"/>
      <c r="DH791" s="485"/>
      <c r="DI791" s="485"/>
      <c r="DJ791" s="485"/>
      <c r="DK791" s="485"/>
      <c r="DL791" s="485"/>
      <c r="DM791" s="485"/>
      <c r="DN791" s="485"/>
      <c r="DO791" s="485"/>
      <c r="DP791" s="485"/>
      <c r="DQ791" s="485"/>
      <c r="DR791" s="485"/>
      <c r="DS791" s="485"/>
      <c r="DT791" s="485"/>
      <c r="DU791" s="485"/>
      <c r="DV791" s="485"/>
      <c r="DW791" s="485"/>
      <c r="DX791" s="485"/>
      <c r="DY791" s="485"/>
      <c r="DZ791" s="485"/>
      <c r="EA791" s="485"/>
      <c r="EB791" s="485"/>
      <c r="EC791" s="485"/>
      <c r="ED791" s="485"/>
      <c r="EE791" s="485"/>
      <c r="EF791" s="485"/>
      <c r="EG791" s="485"/>
      <c r="EH791" s="485"/>
      <c r="EI791" s="485"/>
      <c r="EJ791" s="485"/>
      <c r="EK791" s="485"/>
      <c r="EL791" s="485"/>
      <c r="EM791" s="485"/>
      <c r="EN791" s="485"/>
      <c r="EO791" s="485"/>
      <c r="EP791" s="485"/>
    </row>
    <row r="792" spans="1:146">
      <c r="A792" s="485"/>
      <c r="B792" s="485"/>
      <c r="C792" s="485"/>
      <c r="D792" s="485"/>
      <c r="E792" s="485"/>
      <c r="F792" s="485"/>
      <c r="G792" s="485"/>
      <c r="H792" s="485"/>
      <c r="I792" s="485"/>
      <c r="J792" s="485"/>
      <c r="K792" s="485"/>
      <c r="L792" s="485"/>
      <c r="M792" s="485"/>
      <c r="P792" s="485"/>
      <c r="Q792" s="485"/>
      <c r="R792" s="485"/>
      <c r="S792" s="485"/>
      <c r="T792" s="485"/>
      <c r="U792" s="485"/>
      <c r="V792" s="485"/>
      <c r="W792" s="485"/>
      <c r="X792" s="485"/>
      <c r="Y792" s="485"/>
      <c r="Z792" s="485"/>
      <c r="AA792" s="485"/>
      <c r="AB792" s="485"/>
      <c r="AC792" s="485"/>
      <c r="AD792" s="485"/>
      <c r="AE792" s="485"/>
      <c r="AF792" s="485"/>
      <c r="AG792" s="485"/>
      <c r="AH792" s="485"/>
      <c r="AI792" s="485"/>
      <c r="AJ792" s="485"/>
      <c r="AK792" s="485"/>
      <c r="AL792" s="485"/>
      <c r="AM792" s="485"/>
      <c r="AN792" s="485"/>
      <c r="AO792" s="485"/>
      <c r="AP792" s="485"/>
      <c r="AQ792" s="485"/>
      <c r="AR792" s="485"/>
      <c r="AS792" s="485"/>
      <c r="AT792" s="485"/>
      <c r="AU792" s="485"/>
      <c r="AV792" s="485"/>
      <c r="AW792" s="485"/>
      <c r="AX792" s="485"/>
      <c r="AY792" s="485"/>
      <c r="AZ792" s="485"/>
      <c r="BA792" s="485"/>
      <c r="BB792" s="485"/>
      <c r="BC792" s="485"/>
      <c r="BD792" s="485"/>
      <c r="BE792" s="485"/>
      <c r="BF792" s="485"/>
      <c r="BG792" s="485"/>
      <c r="BH792" s="485"/>
      <c r="BI792" s="485"/>
      <c r="BJ792" s="485"/>
      <c r="BK792" s="485"/>
      <c r="BL792" s="485"/>
      <c r="BM792" s="485"/>
      <c r="BN792" s="485"/>
      <c r="BO792" s="485"/>
      <c r="BP792" s="485"/>
      <c r="BQ792" s="485"/>
      <c r="BR792" s="485"/>
      <c r="BS792" s="485"/>
      <c r="BT792" s="485"/>
      <c r="BU792" s="485"/>
      <c r="BV792" s="485"/>
      <c r="BW792" s="485"/>
      <c r="BX792" s="485"/>
      <c r="BY792" s="485"/>
      <c r="BZ792" s="485"/>
      <c r="CA792" s="485"/>
      <c r="CB792" s="485"/>
      <c r="CC792" s="485"/>
      <c r="CD792" s="485"/>
      <c r="CE792" s="485"/>
      <c r="CF792" s="485"/>
      <c r="CG792" s="485"/>
      <c r="CH792" s="485"/>
      <c r="CI792" s="485"/>
      <c r="CJ792" s="485"/>
      <c r="CK792" s="485"/>
      <c r="CL792" s="485"/>
      <c r="CM792" s="485"/>
      <c r="CN792" s="485"/>
      <c r="CO792" s="485"/>
      <c r="CP792" s="485"/>
      <c r="CQ792" s="485"/>
      <c r="CR792" s="485"/>
      <c r="CS792" s="485"/>
      <c r="CT792" s="485"/>
      <c r="CU792" s="485"/>
      <c r="CV792" s="485"/>
      <c r="CW792" s="485"/>
      <c r="CX792" s="485"/>
      <c r="CY792" s="485"/>
      <c r="CZ792" s="485"/>
      <c r="DA792" s="485"/>
      <c r="DB792" s="485"/>
      <c r="DC792" s="485"/>
      <c r="DD792" s="485"/>
      <c r="DE792" s="485"/>
      <c r="DF792" s="485"/>
      <c r="DG792" s="485"/>
      <c r="DH792" s="485"/>
      <c r="DI792" s="485"/>
      <c r="DJ792" s="485"/>
      <c r="DK792" s="485"/>
      <c r="DL792" s="485"/>
      <c r="DM792" s="485"/>
      <c r="DN792" s="485"/>
      <c r="DO792" s="485"/>
      <c r="DP792" s="485"/>
      <c r="DQ792" s="485"/>
      <c r="DR792" s="485"/>
      <c r="DS792" s="485"/>
      <c r="DT792" s="485"/>
      <c r="DU792" s="485"/>
      <c r="DV792" s="485"/>
      <c r="DW792" s="485"/>
      <c r="DX792" s="485"/>
      <c r="DY792" s="485"/>
      <c r="DZ792" s="485"/>
      <c r="EA792" s="485"/>
      <c r="EB792" s="485"/>
      <c r="EC792" s="485"/>
      <c r="ED792" s="485"/>
      <c r="EE792" s="485"/>
      <c r="EF792" s="485"/>
      <c r="EG792" s="485"/>
      <c r="EH792" s="485"/>
      <c r="EI792" s="485"/>
      <c r="EJ792" s="485"/>
      <c r="EK792" s="485"/>
      <c r="EL792" s="485"/>
      <c r="EM792" s="485"/>
      <c r="EN792" s="485"/>
      <c r="EO792" s="485"/>
      <c r="EP792" s="485"/>
    </row>
    <row r="793" spans="1:146">
      <c r="A793" s="485"/>
      <c r="B793" s="485"/>
      <c r="C793" s="485"/>
      <c r="D793" s="485"/>
      <c r="E793" s="485"/>
      <c r="F793" s="485"/>
      <c r="G793" s="485"/>
      <c r="H793" s="485"/>
      <c r="I793" s="485"/>
      <c r="J793" s="485"/>
      <c r="K793" s="485"/>
      <c r="L793" s="485"/>
      <c r="M793" s="485"/>
      <c r="P793" s="485"/>
      <c r="Q793" s="485"/>
      <c r="R793" s="485"/>
      <c r="S793" s="485"/>
      <c r="T793" s="485"/>
      <c r="U793" s="485"/>
      <c r="V793" s="485"/>
      <c r="W793" s="485"/>
      <c r="X793" s="485"/>
      <c r="Y793" s="485"/>
      <c r="Z793" s="485"/>
      <c r="AA793" s="485"/>
      <c r="AB793" s="485"/>
      <c r="AC793" s="485"/>
      <c r="AD793" s="485"/>
      <c r="AE793" s="485"/>
      <c r="AF793" s="485"/>
      <c r="AG793" s="485"/>
      <c r="AH793" s="485"/>
      <c r="AI793" s="485"/>
      <c r="AJ793" s="485"/>
      <c r="AK793" s="485"/>
      <c r="AL793" s="485"/>
      <c r="AM793" s="485"/>
      <c r="AN793" s="485"/>
      <c r="AO793" s="485"/>
      <c r="AP793" s="485"/>
      <c r="AQ793" s="485"/>
      <c r="AR793" s="485"/>
      <c r="AS793" s="485"/>
      <c r="AT793" s="485"/>
      <c r="AU793" s="485"/>
      <c r="AV793" s="485"/>
      <c r="AW793" s="485"/>
      <c r="AX793" s="485"/>
      <c r="AY793" s="485"/>
      <c r="AZ793" s="485"/>
      <c r="BA793" s="485"/>
      <c r="BB793" s="485"/>
      <c r="BC793" s="485"/>
      <c r="BD793" s="485"/>
      <c r="BE793" s="485"/>
      <c r="BF793" s="485"/>
      <c r="BG793" s="485"/>
      <c r="BH793" s="485"/>
      <c r="BI793" s="485"/>
      <c r="BJ793" s="485"/>
      <c r="BK793" s="485"/>
      <c r="BL793" s="485"/>
      <c r="BM793" s="485"/>
      <c r="BN793" s="485"/>
      <c r="BO793" s="485"/>
      <c r="BP793" s="485"/>
      <c r="BQ793" s="485"/>
      <c r="BR793" s="485"/>
      <c r="BS793" s="485"/>
      <c r="BT793" s="485"/>
      <c r="BU793" s="485"/>
      <c r="BV793" s="485"/>
      <c r="BW793" s="485"/>
      <c r="BX793" s="485"/>
      <c r="BY793" s="485"/>
      <c r="BZ793" s="485"/>
      <c r="CA793" s="485"/>
      <c r="CB793" s="485"/>
      <c r="CC793" s="485"/>
      <c r="CD793" s="485"/>
      <c r="CE793" s="485"/>
      <c r="CF793" s="485"/>
      <c r="CG793" s="485"/>
      <c r="CH793" s="485"/>
      <c r="CI793" s="485"/>
      <c r="CJ793" s="485"/>
      <c r="CK793" s="485"/>
      <c r="CL793" s="485"/>
      <c r="CM793" s="485"/>
      <c r="CN793" s="485"/>
      <c r="CO793" s="485"/>
      <c r="CP793" s="485"/>
      <c r="CQ793" s="485"/>
      <c r="CR793" s="485"/>
      <c r="CS793" s="485"/>
      <c r="CT793" s="485"/>
      <c r="CU793" s="485"/>
      <c r="CV793" s="485"/>
      <c r="CW793" s="485"/>
      <c r="CX793" s="485"/>
      <c r="CY793" s="485"/>
      <c r="CZ793" s="485"/>
      <c r="DA793" s="485"/>
      <c r="DB793" s="485"/>
      <c r="DC793" s="485"/>
      <c r="DD793" s="485"/>
      <c r="DE793" s="485"/>
      <c r="DF793" s="485"/>
      <c r="DG793" s="485"/>
      <c r="DH793" s="485"/>
      <c r="DI793" s="485"/>
      <c r="DJ793" s="485"/>
      <c r="DK793" s="485"/>
      <c r="DL793" s="485"/>
      <c r="DM793" s="485"/>
      <c r="DN793" s="485"/>
      <c r="DO793" s="485"/>
      <c r="DP793" s="485"/>
      <c r="DQ793" s="485"/>
      <c r="DR793" s="485"/>
      <c r="DS793" s="485"/>
      <c r="DT793" s="485"/>
      <c r="DU793" s="485"/>
      <c r="DV793" s="485"/>
      <c r="DW793" s="485"/>
      <c r="DX793" s="485"/>
      <c r="DY793" s="485"/>
      <c r="DZ793" s="485"/>
      <c r="EA793" s="485"/>
      <c r="EB793" s="485"/>
      <c r="EC793" s="485"/>
      <c r="ED793" s="485"/>
      <c r="EE793" s="485"/>
      <c r="EF793" s="485"/>
      <c r="EG793" s="485"/>
      <c r="EH793" s="485"/>
      <c r="EI793" s="485"/>
      <c r="EJ793" s="485"/>
      <c r="EK793" s="485"/>
      <c r="EL793" s="485"/>
      <c r="EM793" s="485"/>
      <c r="EN793" s="485"/>
      <c r="EO793" s="485"/>
      <c r="EP793" s="485"/>
    </row>
    <row r="794" spans="1:146">
      <c r="A794" s="485"/>
      <c r="B794" s="485"/>
      <c r="C794" s="485"/>
      <c r="D794" s="485"/>
      <c r="E794" s="485"/>
      <c r="F794" s="485"/>
      <c r="G794" s="485"/>
      <c r="H794" s="485"/>
      <c r="I794" s="485"/>
      <c r="J794" s="485"/>
      <c r="K794" s="485"/>
      <c r="L794" s="485"/>
      <c r="M794" s="485"/>
      <c r="P794" s="485"/>
      <c r="Q794" s="485"/>
      <c r="R794" s="485"/>
      <c r="S794" s="485"/>
      <c r="T794" s="485"/>
      <c r="U794" s="485"/>
      <c r="V794" s="485"/>
      <c r="W794" s="485"/>
      <c r="X794" s="485"/>
      <c r="Y794" s="485"/>
      <c r="Z794" s="485"/>
      <c r="AA794" s="485"/>
      <c r="AB794" s="485"/>
      <c r="AC794" s="485"/>
      <c r="AD794" s="485"/>
      <c r="AE794" s="485"/>
      <c r="AF794" s="485"/>
      <c r="AG794" s="485"/>
      <c r="AH794" s="485"/>
      <c r="AI794" s="485"/>
      <c r="AJ794" s="485"/>
      <c r="AK794" s="485"/>
      <c r="AL794" s="485"/>
      <c r="AM794" s="485"/>
      <c r="AN794" s="485"/>
      <c r="AO794" s="485"/>
      <c r="AP794" s="485"/>
      <c r="AQ794" s="485"/>
      <c r="AR794" s="485"/>
      <c r="AS794" s="485"/>
      <c r="AT794" s="485"/>
      <c r="AU794" s="485"/>
      <c r="AV794" s="485"/>
      <c r="AW794" s="485"/>
      <c r="AX794" s="485"/>
      <c r="AY794" s="485"/>
      <c r="AZ794" s="485"/>
      <c r="BA794" s="485"/>
      <c r="BB794" s="485"/>
      <c r="BC794" s="485"/>
      <c r="BD794" s="485"/>
      <c r="BE794" s="485"/>
      <c r="BF794" s="485"/>
      <c r="BG794" s="485"/>
      <c r="BH794" s="485"/>
      <c r="BI794" s="485"/>
      <c r="BJ794" s="485"/>
      <c r="BK794" s="485"/>
      <c r="BL794" s="485"/>
      <c r="BM794" s="485"/>
      <c r="BN794" s="485"/>
      <c r="BO794" s="485"/>
      <c r="BP794" s="485"/>
      <c r="BQ794" s="485"/>
      <c r="BR794" s="485"/>
      <c r="BS794" s="485"/>
      <c r="BT794" s="485"/>
      <c r="BU794" s="485"/>
      <c r="BV794" s="485"/>
      <c r="BW794" s="485"/>
      <c r="BX794" s="485"/>
      <c r="BY794" s="485"/>
      <c r="BZ794" s="485"/>
      <c r="CA794" s="485"/>
      <c r="CB794" s="485"/>
      <c r="CC794" s="485"/>
      <c r="CD794" s="485"/>
      <c r="CE794" s="485"/>
      <c r="CF794" s="485"/>
      <c r="CG794" s="485"/>
      <c r="CH794" s="485"/>
      <c r="CI794" s="485"/>
      <c r="CJ794" s="485"/>
      <c r="CK794" s="485"/>
      <c r="CL794" s="485"/>
      <c r="CM794" s="485"/>
      <c r="CN794" s="485"/>
      <c r="CO794" s="485"/>
      <c r="CP794" s="485"/>
      <c r="CQ794" s="485"/>
      <c r="CR794" s="485"/>
      <c r="CS794" s="485"/>
      <c r="CT794" s="485"/>
      <c r="CU794" s="485"/>
      <c r="CV794" s="485"/>
      <c r="CW794" s="485"/>
      <c r="CX794" s="485"/>
      <c r="CY794" s="485"/>
      <c r="CZ794" s="485"/>
      <c r="DA794" s="485"/>
      <c r="DB794" s="485"/>
      <c r="DC794" s="485"/>
      <c r="DD794" s="485"/>
      <c r="DE794" s="485"/>
      <c r="DF794" s="485"/>
      <c r="DG794" s="485"/>
      <c r="DH794" s="485"/>
      <c r="DI794" s="485"/>
      <c r="DJ794" s="485"/>
      <c r="DK794" s="485"/>
      <c r="DL794" s="485"/>
      <c r="DM794" s="485"/>
      <c r="DN794" s="485"/>
      <c r="DO794" s="485"/>
      <c r="DP794" s="485"/>
      <c r="DQ794" s="485"/>
      <c r="DR794" s="485"/>
      <c r="DS794" s="485"/>
      <c r="DT794" s="485"/>
      <c r="DU794" s="485"/>
      <c r="DV794" s="485"/>
      <c r="DW794" s="485"/>
      <c r="DX794" s="485"/>
      <c r="DY794" s="485"/>
      <c r="DZ794" s="485"/>
      <c r="EA794" s="485"/>
      <c r="EB794" s="485"/>
      <c r="EC794" s="485"/>
      <c r="ED794" s="485"/>
      <c r="EE794" s="485"/>
      <c r="EF794" s="485"/>
      <c r="EG794" s="485"/>
      <c r="EH794" s="485"/>
      <c r="EI794" s="485"/>
      <c r="EJ794" s="485"/>
      <c r="EK794" s="485"/>
      <c r="EL794" s="485"/>
      <c r="EM794" s="485"/>
      <c r="EN794" s="485"/>
      <c r="EO794" s="485"/>
      <c r="EP794" s="485"/>
    </row>
    <row r="795" spans="1:146">
      <c r="A795" s="485"/>
      <c r="B795" s="485"/>
      <c r="C795" s="485"/>
      <c r="D795" s="485"/>
      <c r="E795" s="485"/>
      <c r="F795" s="485"/>
      <c r="G795" s="485"/>
      <c r="H795" s="485"/>
      <c r="I795" s="485"/>
      <c r="J795" s="485"/>
      <c r="K795" s="485"/>
      <c r="L795" s="485"/>
      <c r="M795" s="485"/>
      <c r="P795" s="485"/>
      <c r="Q795" s="485"/>
      <c r="R795" s="485"/>
      <c r="S795" s="485"/>
      <c r="T795" s="485"/>
      <c r="U795" s="485"/>
      <c r="V795" s="485"/>
      <c r="W795" s="485"/>
      <c r="X795" s="485"/>
      <c r="Y795" s="485"/>
      <c r="Z795" s="485"/>
      <c r="AA795" s="485"/>
      <c r="AB795" s="485"/>
      <c r="AC795" s="485"/>
      <c r="AD795" s="485"/>
      <c r="AE795" s="485"/>
      <c r="AF795" s="485"/>
      <c r="AG795" s="485"/>
      <c r="AH795" s="485"/>
      <c r="AI795" s="485"/>
      <c r="AJ795" s="485"/>
      <c r="AK795" s="485"/>
      <c r="AL795" s="485"/>
      <c r="AM795" s="485"/>
      <c r="AN795" s="485"/>
      <c r="AO795" s="485"/>
      <c r="AP795" s="485"/>
      <c r="AQ795" s="485"/>
      <c r="AR795" s="485"/>
      <c r="AS795" s="485"/>
      <c r="AT795" s="485"/>
      <c r="AU795" s="485"/>
      <c r="AV795" s="485"/>
      <c r="AW795" s="485"/>
      <c r="AX795" s="485"/>
      <c r="AY795" s="485"/>
      <c r="AZ795" s="485"/>
      <c r="BA795" s="485"/>
      <c r="BB795" s="485"/>
      <c r="BC795" s="485"/>
      <c r="BD795" s="485"/>
      <c r="BE795" s="485"/>
      <c r="BF795" s="485"/>
      <c r="BG795" s="485"/>
      <c r="BH795" s="485"/>
      <c r="BI795" s="485"/>
      <c r="BJ795" s="485"/>
      <c r="BK795" s="485"/>
      <c r="BL795" s="485"/>
      <c r="BM795" s="485"/>
      <c r="BN795" s="485"/>
      <c r="BO795" s="485"/>
      <c r="BP795" s="485"/>
      <c r="BQ795" s="485"/>
      <c r="BR795" s="485"/>
      <c r="BS795" s="485"/>
      <c r="BT795" s="485"/>
      <c r="BU795" s="485"/>
      <c r="BV795" s="485"/>
      <c r="BW795" s="485"/>
      <c r="BX795" s="485"/>
      <c r="BY795" s="485"/>
      <c r="BZ795" s="485"/>
      <c r="CA795" s="485"/>
      <c r="CB795" s="485"/>
      <c r="CC795" s="485"/>
      <c r="CD795" s="485"/>
      <c r="CE795" s="485"/>
      <c r="CF795" s="485"/>
      <c r="CG795" s="485"/>
      <c r="CH795" s="485"/>
      <c r="CI795" s="485"/>
      <c r="CJ795" s="485"/>
      <c r="CK795" s="485"/>
      <c r="CL795" s="485"/>
      <c r="CM795" s="485"/>
      <c r="CN795" s="485"/>
      <c r="CO795" s="485"/>
      <c r="CP795" s="485"/>
      <c r="CQ795" s="485"/>
      <c r="CR795" s="485"/>
      <c r="CS795" s="485"/>
      <c r="CT795" s="485"/>
      <c r="CU795" s="485"/>
      <c r="CV795" s="485"/>
      <c r="CW795" s="485"/>
      <c r="CX795" s="485"/>
      <c r="CY795" s="485"/>
      <c r="CZ795" s="485"/>
      <c r="DA795" s="485"/>
      <c r="DB795" s="485"/>
      <c r="DC795" s="485"/>
      <c r="DD795" s="485"/>
      <c r="DE795" s="485"/>
      <c r="DF795" s="485"/>
      <c r="DG795" s="485"/>
      <c r="DH795" s="485"/>
      <c r="DI795" s="485"/>
      <c r="DJ795" s="485"/>
      <c r="DK795" s="485"/>
      <c r="DL795" s="485"/>
      <c r="DM795" s="485"/>
      <c r="DN795" s="485"/>
      <c r="DO795" s="485"/>
      <c r="DP795" s="485"/>
      <c r="DQ795" s="485"/>
      <c r="DR795" s="485"/>
      <c r="DS795" s="485"/>
      <c r="DT795" s="485"/>
      <c r="DU795" s="485"/>
      <c r="DV795" s="485"/>
      <c r="DW795" s="485"/>
      <c r="DX795" s="485"/>
      <c r="DY795" s="485"/>
      <c r="DZ795" s="485"/>
      <c r="EA795" s="485"/>
      <c r="EB795" s="485"/>
      <c r="EC795" s="485"/>
      <c r="ED795" s="485"/>
      <c r="EE795" s="485"/>
      <c r="EF795" s="485"/>
      <c r="EG795" s="485"/>
      <c r="EH795" s="485"/>
      <c r="EI795" s="485"/>
      <c r="EJ795" s="485"/>
      <c r="EK795" s="485"/>
      <c r="EL795" s="485"/>
      <c r="EM795" s="485"/>
      <c r="EN795" s="485"/>
      <c r="EO795" s="485"/>
      <c r="EP795" s="485"/>
    </row>
    <row r="796" spans="1:146">
      <c r="A796" s="485"/>
      <c r="B796" s="485"/>
      <c r="C796" s="485"/>
      <c r="D796" s="485"/>
      <c r="E796" s="485"/>
      <c r="F796" s="485"/>
      <c r="G796" s="485"/>
      <c r="H796" s="485"/>
      <c r="I796" s="485"/>
      <c r="J796" s="485"/>
      <c r="K796" s="485"/>
      <c r="L796" s="485"/>
      <c r="M796" s="485"/>
      <c r="P796" s="485"/>
      <c r="Q796" s="485"/>
      <c r="R796" s="485"/>
      <c r="S796" s="485"/>
      <c r="T796" s="485"/>
      <c r="U796" s="485"/>
      <c r="V796" s="485"/>
      <c r="W796" s="485"/>
      <c r="X796" s="485"/>
      <c r="Y796" s="485"/>
      <c r="Z796" s="485"/>
      <c r="AA796" s="485"/>
      <c r="AB796" s="485"/>
      <c r="AC796" s="485"/>
      <c r="AD796" s="485"/>
      <c r="AE796" s="485"/>
      <c r="AF796" s="485"/>
      <c r="AG796" s="485"/>
      <c r="AH796" s="485"/>
      <c r="AI796" s="485"/>
      <c r="AJ796" s="485"/>
      <c r="AK796" s="485"/>
      <c r="AL796" s="485"/>
      <c r="AM796" s="485"/>
      <c r="AN796" s="485"/>
      <c r="AO796" s="485"/>
      <c r="AP796" s="485"/>
      <c r="AQ796" s="485"/>
      <c r="AR796" s="485"/>
      <c r="AS796" s="485"/>
      <c r="AT796" s="485"/>
      <c r="AU796" s="485"/>
      <c r="AV796" s="485"/>
      <c r="AW796" s="485"/>
      <c r="AX796" s="485"/>
      <c r="AY796" s="485"/>
      <c r="AZ796" s="485"/>
      <c r="BA796" s="485"/>
      <c r="BB796" s="485"/>
      <c r="BC796" s="485"/>
      <c r="BD796" s="485"/>
      <c r="BE796" s="485"/>
      <c r="BF796" s="485"/>
      <c r="BG796" s="485"/>
      <c r="BH796" s="485"/>
      <c r="BI796" s="485"/>
      <c r="BJ796" s="485"/>
      <c r="BK796" s="485"/>
      <c r="BL796" s="485"/>
      <c r="BM796" s="485"/>
      <c r="BN796" s="485"/>
      <c r="BO796" s="485"/>
      <c r="BP796" s="485"/>
      <c r="BQ796" s="485"/>
      <c r="BR796" s="485"/>
      <c r="BS796" s="485"/>
      <c r="BT796" s="485"/>
      <c r="BU796" s="485"/>
      <c r="BV796" s="485"/>
      <c r="BW796" s="485"/>
      <c r="BX796" s="485"/>
      <c r="BY796" s="485"/>
      <c r="BZ796" s="485"/>
      <c r="CA796" s="485"/>
      <c r="CB796" s="485"/>
      <c r="CC796" s="485"/>
      <c r="CD796" s="485"/>
      <c r="CE796" s="485"/>
      <c r="CF796" s="485"/>
      <c r="CG796" s="485"/>
      <c r="CH796" s="485"/>
      <c r="CI796" s="485"/>
      <c r="CJ796" s="485"/>
      <c r="CK796" s="485"/>
      <c r="CL796" s="485"/>
      <c r="CM796" s="485"/>
      <c r="CN796" s="485"/>
      <c r="CO796" s="485"/>
      <c r="CP796" s="485"/>
      <c r="CQ796" s="485"/>
      <c r="CR796" s="485"/>
      <c r="CS796" s="485"/>
      <c r="CT796" s="485"/>
      <c r="CU796" s="485"/>
      <c r="CV796" s="485"/>
      <c r="CW796" s="485"/>
      <c r="CX796" s="485"/>
      <c r="CY796" s="485"/>
      <c r="CZ796" s="485"/>
      <c r="DA796" s="485"/>
      <c r="DB796" s="485"/>
      <c r="DC796" s="485"/>
      <c r="DD796" s="485"/>
      <c r="DE796" s="485"/>
      <c r="DF796" s="485"/>
      <c r="DG796" s="485"/>
      <c r="DH796" s="485"/>
      <c r="DI796" s="485"/>
      <c r="DJ796" s="485"/>
      <c r="DK796" s="485"/>
      <c r="DL796" s="485"/>
      <c r="DM796" s="485"/>
      <c r="DN796" s="485"/>
      <c r="DO796" s="485"/>
      <c r="DP796" s="485"/>
      <c r="DQ796" s="485"/>
      <c r="DR796" s="485"/>
      <c r="DS796" s="485"/>
      <c r="DT796" s="485"/>
      <c r="DU796" s="485"/>
      <c r="DV796" s="485"/>
      <c r="DW796" s="485"/>
      <c r="DX796" s="485"/>
      <c r="DY796" s="485"/>
      <c r="DZ796" s="485"/>
      <c r="EA796" s="485"/>
      <c r="EB796" s="485"/>
      <c r="EC796" s="485"/>
      <c r="ED796" s="485"/>
      <c r="EE796" s="485"/>
      <c r="EF796" s="485"/>
      <c r="EG796" s="485"/>
      <c r="EH796" s="485"/>
      <c r="EI796" s="485"/>
      <c r="EJ796" s="485"/>
      <c r="EK796" s="485"/>
      <c r="EL796" s="485"/>
      <c r="EM796" s="485"/>
      <c r="EN796" s="485"/>
      <c r="EO796" s="485"/>
      <c r="EP796" s="485"/>
    </row>
    <row r="797" spans="1:146">
      <c r="A797" s="485"/>
      <c r="B797" s="485"/>
      <c r="C797" s="485"/>
      <c r="D797" s="485"/>
      <c r="E797" s="485"/>
      <c r="F797" s="485"/>
      <c r="G797" s="485"/>
      <c r="H797" s="485"/>
      <c r="I797" s="485"/>
      <c r="J797" s="485"/>
      <c r="K797" s="485"/>
      <c r="L797" s="485"/>
      <c r="M797" s="485"/>
      <c r="P797" s="485"/>
      <c r="Q797" s="485"/>
      <c r="R797" s="485"/>
      <c r="S797" s="485"/>
      <c r="T797" s="485"/>
      <c r="U797" s="485"/>
      <c r="V797" s="485"/>
      <c r="W797" s="485"/>
      <c r="X797" s="485"/>
      <c r="Y797" s="485"/>
      <c r="Z797" s="485"/>
      <c r="AA797" s="485"/>
      <c r="AB797" s="485"/>
      <c r="AC797" s="485"/>
      <c r="AD797" s="485"/>
      <c r="AE797" s="485"/>
      <c r="AF797" s="485"/>
      <c r="AG797" s="485"/>
      <c r="AH797" s="485"/>
      <c r="AI797" s="485"/>
      <c r="AJ797" s="485"/>
      <c r="AK797" s="485"/>
      <c r="AL797" s="485"/>
      <c r="AM797" s="485"/>
      <c r="AN797" s="485"/>
      <c r="AO797" s="485"/>
      <c r="AP797" s="485"/>
      <c r="AQ797" s="485"/>
      <c r="AR797" s="485"/>
      <c r="AS797" s="485"/>
      <c r="AT797" s="485"/>
      <c r="AU797" s="485"/>
      <c r="AV797" s="485"/>
      <c r="AW797" s="485"/>
      <c r="AX797" s="485"/>
      <c r="AY797" s="485"/>
      <c r="AZ797" s="485"/>
      <c r="BA797" s="485"/>
      <c r="BB797" s="485"/>
      <c r="BC797" s="485"/>
      <c r="BD797" s="485"/>
      <c r="BE797" s="485"/>
      <c r="BF797" s="485"/>
      <c r="BG797" s="485"/>
      <c r="BH797" s="485"/>
      <c r="BI797" s="485"/>
      <c r="BJ797" s="485"/>
      <c r="BK797" s="485"/>
      <c r="BL797" s="485"/>
      <c r="BM797" s="485"/>
      <c r="BN797" s="485"/>
      <c r="BO797" s="485"/>
      <c r="BP797" s="485"/>
      <c r="BQ797" s="485"/>
      <c r="BR797" s="485"/>
      <c r="BS797" s="485"/>
      <c r="BT797" s="485"/>
      <c r="BU797" s="485"/>
      <c r="BV797" s="485"/>
      <c r="BW797" s="485"/>
      <c r="BX797" s="485"/>
      <c r="BY797" s="485"/>
      <c r="BZ797" s="485"/>
      <c r="CA797" s="485"/>
      <c r="CB797" s="485"/>
      <c r="CC797" s="485"/>
      <c r="CD797" s="485"/>
      <c r="CE797" s="485"/>
      <c r="CF797" s="485"/>
      <c r="CG797" s="485"/>
      <c r="CH797" s="485"/>
      <c r="CI797" s="485"/>
      <c r="CJ797" s="485"/>
      <c r="CK797" s="485"/>
      <c r="CL797" s="485"/>
      <c r="CM797" s="485"/>
      <c r="CN797" s="485"/>
      <c r="CO797" s="485"/>
      <c r="CP797" s="485"/>
      <c r="CQ797" s="485"/>
      <c r="CR797" s="485"/>
      <c r="CS797" s="485"/>
      <c r="CT797" s="485"/>
      <c r="CU797" s="485"/>
      <c r="CV797" s="485"/>
      <c r="CW797" s="485"/>
      <c r="CX797" s="485"/>
      <c r="CY797" s="485"/>
      <c r="CZ797" s="485"/>
      <c r="DA797" s="485"/>
      <c r="DB797" s="485"/>
      <c r="DC797" s="485"/>
      <c r="DD797" s="485"/>
      <c r="DE797" s="485"/>
      <c r="DF797" s="485"/>
      <c r="DG797" s="485"/>
      <c r="DH797" s="485"/>
      <c r="DI797" s="485"/>
      <c r="DJ797" s="485"/>
      <c r="DK797" s="485"/>
      <c r="DL797" s="485"/>
      <c r="DM797" s="485"/>
      <c r="DN797" s="485"/>
      <c r="DO797" s="485"/>
      <c r="DP797" s="485"/>
      <c r="DQ797" s="485"/>
      <c r="DR797" s="485"/>
      <c r="DS797" s="485"/>
      <c r="DT797" s="485"/>
      <c r="DU797" s="485"/>
      <c r="DV797" s="485"/>
      <c r="DW797" s="485"/>
      <c r="DX797" s="485"/>
      <c r="DY797" s="485"/>
      <c r="DZ797" s="485"/>
      <c r="EA797" s="485"/>
      <c r="EB797" s="485"/>
      <c r="EC797" s="485"/>
      <c r="ED797" s="485"/>
      <c r="EE797" s="485"/>
      <c r="EF797" s="485"/>
      <c r="EG797" s="485"/>
      <c r="EH797" s="485"/>
      <c r="EI797" s="485"/>
      <c r="EJ797" s="485"/>
      <c r="EK797" s="485"/>
      <c r="EL797" s="485"/>
      <c r="EM797" s="485"/>
      <c r="EN797" s="485"/>
      <c r="EO797" s="485"/>
      <c r="EP797" s="485"/>
    </row>
    <row r="798" spans="1:146">
      <c r="A798" s="485"/>
      <c r="B798" s="485"/>
      <c r="C798" s="485"/>
      <c r="D798" s="485"/>
      <c r="E798" s="485"/>
      <c r="F798" s="485"/>
      <c r="G798" s="485"/>
      <c r="H798" s="485"/>
      <c r="I798" s="485"/>
      <c r="J798" s="485"/>
      <c r="K798" s="485"/>
      <c r="L798" s="485"/>
      <c r="M798" s="485"/>
      <c r="P798" s="485"/>
      <c r="Q798" s="485"/>
      <c r="R798" s="485"/>
      <c r="S798" s="485"/>
      <c r="T798" s="485"/>
      <c r="U798" s="485"/>
      <c r="V798" s="485"/>
      <c r="W798" s="485"/>
      <c r="X798" s="485"/>
      <c r="Y798" s="485"/>
      <c r="Z798" s="485"/>
      <c r="AA798" s="485"/>
      <c r="AB798" s="485"/>
      <c r="AC798" s="485"/>
      <c r="AD798" s="485"/>
      <c r="AE798" s="485"/>
      <c r="AF798" s="485"/>
      <c r="AG798" s="485"/>
      <c r="AH798" s="485"/>
      <c r="AI798" s="485"/>
      <c r="AJ798" s="485"/>
      <c r="AK798" s="485"/>
      <c r="AL798" s="485"/>
      <c r="AM798" s="485"/>
      <c r="AN798" s="485"/>
      <c r="AO798" s="485"/>
      <c r="AP798" s="485"/>
      <c r="AQ798" s="485"/>
      <c r="AR798" s="485"/>
      <c r="AS798" s="485"/>
      <c r="AT798" s="485"/>
      <c r="AU798" s="485"/>
      <c r="AV798" s="485"/>
      <c r="AW798" s="485"/>
      <c r="AX798" s="485"/>
      <c r="AY798" s="485"/>
      <c r="AZ798" s="485"/>
      <c r="BA798" s="485"/>
      <c r="BB798" s="485"/>
      <c r="BC798" s="485"/>
      <c r="BD798" s="485"/>
      <c r="BE798" s="485"/>
      <c r="BF798" s="485"/>
      <c r="BG798" s="485"/>
      <c r="BH798" s="485"/>
      <c r="BI798" s="485"/>
      <c r="BJ798" s="485"/>
      <c r="BK798" s="485"/>
      <c r="BL798" s="485"/>
      <c r="BM798" s="485"/>
      <c r="BN798" s="485"/>
      <c r="BO798" s="485"/>
      <c r="BP798" s="485"/>
      <c r="BQ798" s="485"/>
      <c r="BR798" s="485"/>
      <c r="BS798" s="485"/>
      <c r="BT798" s="485"/>
      <c r="BU798" s="485"/>
      <c r="BV798" s="485"/>
      <c r="BW798" s="485"/>
      <c r="BX798" s="485"/>
      <c r="BY798" s="485"/>
      <c r="BZ798" s="485"/>
      <c r="CA798" s="485"/>
      <c r="CB798" s="485"/>
      <c r="CC798" s="485"/>
      <c r="CD798" s="485"/>
      <c r="CE798" s="485"/>
      <c r="CF798" s="485"/>
      <c r="CG798" s="485"/>
      <c r="CH798" s="485"/>
      <c r="CI798" s="485"/>
      <c r="CJ798" s="485"/>
      <c r="CK798" s="485"/>
      <c r="CL798" s="485"/>
      <c r="CM798" s="485"/>
      <c r="CN798" s="485"/>
      <c r="CO798" s="485"/>
      <c r="CP798" s="485"/>
      <c r="CQ798" s="485"/>
      <c r="CR798" s="485"/>
      <c r="CS798" s="485"/>
      <c r="CT798" s="485"/>
      <c r="CU798" s="485"/>
      <c r="CV798" s="485"/>
      <c r="CW798" s="485"/>
      <c r="CX798" s="485"/>
      <c r="CY798" s="485"/>
      <c r="CZ798" s="485"/>
      <c r="DA798" s="485"/>
      <c r="DB798" s="485"/>
      <c r="DC798" s="485"/>
      <c r="DD798" s="485"/>
      <c r="DE798" s="485"/>
      <c r="DF798" s="485"/>
      <c r="DG798" s="485"/>
      <c r="DH798" s="485"/>
      <c r="DI798" s="485"/>
      <c r="DJ798" s="485"/>
      <c r="DK798" s="485"/>
      <c r="DL798" s="485"/>
      <c r="DM798" s="485"/>
      <c r="DN798" s="485"/>
      <c r="DO798" s="485"/>
      <c r="DP798" s="485"/>
      <c r="DQ798" s="485"/>
      <c r="DR798" s="485"/>
      <c r="DS798" s="485"/>
      <c r="DT798" s="485"/>
      <c r="DU798" s="485"/>
      <c r="DV798" s="485"/>
      <c r="DW798" s="485"/>
      <c r="DX798" s="485"/>
      <c r="DY798" s="485"/>
      <c r="DZ798" s="485"/>
      <c r="EA798" s="485"/>
      <c r="EB798" s="485"/>
      <c r="EC798" s="485"/>
      <c r="ED798" s="485"/>
      <c r="EE798" s="485"/>
      <c r="EF798" s="485"/>
      <c r="EG798" s="485"/>
      <c r="EH798" s="485"/>
      <c r="EI798" s="485"/>
      <c r="EJ798" s="485"/>
      <c r="EK798" s="485"/>
      <c r="EL798" s="485"/>
      <c r="EM798" s="485"/>
      <c r="EN798" s="485"/>
      <c r="EO798" s="485"/>
      <c r="EP798" s="485"/>
    </row>
    <row r="799" spans="1:146">
      <c r="A799" s="485"/>
      <c r="B799" s="485"/>
      <c r="C799" s="485"/>
      <c r="D799" s="485"/>
      <c r="E799" s="485"/>
      <c r="F799" s="485"/>
      <c r="G799" s="485"/>
      <c r="H799" s="485"/>
      <c r="I799" s="485"/>
      <c r="J799" s="485"/>
      <c r="K799" s="485"/>
      <c r="L799" s="485"/>
      <c r="M799" s="485"/>
      <c r="P799" s="485"/>
      <c r="Q799" s="485"/>
      <c r="R799" s="485"/>
      <c r="S799" s="485"/>
      <c r="T799" s="485"/>
      <c r="U799" s="485"/>
      <c r="V799" s="485"/>
      <c r="W799" s="485"/>
      <c r="X799" s="485"/>
      <c r="Y799" s="485"/>
      <c r="Z799" s="485"/>
      <c r="AA799" s="485"/>
      <c r="AB799" s="485"/>
      <c r="AC799" s="485"/>
      <c r="AD799" s="485"/>
      <c r="AE799" s="485"/>
      <c r="AF799" s="485"/>
      <c r="AG799" s="485"/>
      <c r="AH799" s="485"/>
      <c r="AI799" s="485"/>
      <c r="AJ799" s="485"/>
      <c r="AK799" s="485"/>
      <c r="AL799" s="485"/>
      <c r="AM799" s="485"/>
      <c r="AN799" s="485"/>
      <c r="AO799" s="485"/>
      <c r="AP799" s="485"/>
      <c r="AQ799" s="485"/>
      <c r="AR799" s="485"/>
      <c r="AS799" s="485"/>
      <c r="AT799" s="485"/>
      <c r="AU799" s="485"/>
      <c r="AV799" s="485"/>
      <c r="AW799" s="485"/>
      <c r="AX799" s="485"/>
      <c r="AY799" s="485"/>
      <c r="AZ799" s="485"/>
      <c r="BA799" s="485"/>
      <c r="BB799" s="485"/>
      <c r="BC799" s="485"/>
      <c r="BD799" s="485"/>
      <c r="BE799" s="485"/>
      <c r="BF799" s="485"/>
      <c r="BG799" s="485"/>
      <c r="BH799" s="485"/>
      <c r="BI799" s="485"/>
      <c r="BJ799" s="485"/>
      <c r="BK799" s="485"/>
      <c r="BL799" s="485"/>
      <c r="BM799" s="485"/>
      <c r="BN799" s="485"/>
      <c r="BO799" s="485"/>
      <c r="BP799" s="485"/>
      <c r="BQ799" s="485"/>
      <c r="BR799" s="485"/>
      <c r="BS799" s="485"/>
      <c r="BT799" s="485"/>
      <c r="BU799" s="485"/>
      <c r="BV799" s="485"/>
      <c r="BW799" s="485"/>
      <c r="BX799" s="485"/>
      <c r="BY799" s="485"/>
      <c r="BZ799" s="485"/>
      <c r="CA799" s="485"/>
      <c r="CB799" s="485"/>
      <c r="CC799" s="485"/>
      <c r="CD799" s="485"/>
      <c r="CE799" s="485"/>
      <c r="CF799" s="485"/>
      <c r="CG799" s="485"/>
      <c r="CH799" s="485"/>
      <c r="CI799" s="485"/>
      <c r="CJ799" s="485"/>
      <c r="CK799" s="485"/>
      <c r="CL799" s="485"/>
      <c r="CM799" s="485"/>
      <c r="CN799" s="485"/>
      <c r="CO799" s="485"/>
      <c r="CP799" s="485"/>
      <c r="CQ799" s="485"/>
      <c r="CR799" s="485"/>
      <c r="CS799" s="485"/>
      <c r="CT799" s="485"/>
      <c r="CU799" s="485"/>
      <c r="CV799" s="485"/>
      <c r="CW799" s="485"/>
      <c r="CX799" s="485"/>
      <c r="CY799" s="485"/>
      <c r="CZ799" s="485"/>
      <c r="DA799" s="485"/>
      <c r="DB799" s="485"/>
      <c r="DC799" s="485"/>
      <c r="DD799" s="485"/>
      <c r="DE799" s="485"/>
      <c r="DF799" s="485"/>
      <c r="DG799" s="485"/>
      <c r="DH799" s="485"/>
      <c r="DI799" s="485"/>
      <c r="DJ799" s="485"/>
      <c r="DK799" s="485"/>
      <c r="DL799" s="485"/>
      <c r="DM799" s="485"/>
      <c r="DN799" s="485"/>
      <c r="DO799" s="485"/>
      <c r="DP799" s="485"/>
      <c r="DQ799" s="485"/>
      <c r="DR799" s="485"/>
      <c r="DS799" s="485"/>
      <c r="DT799" s="485"/>
      <c r="DU799" s="485"/>
      <c r="DV799" s="485"/>
      <c r="DW799" s="485"/>
      <c r="DX799" s="485"/>
      <c r="DY799" s="485"/>
      <c r="DZ799" s="485"/>
      <c r="EA799" s="485"/>
      <c r="EB799" s="485"/>
      <c r="EC799" s="485"/>
      <c r="ED799" s="485"/>
      <c r="EE799" s="485"/>
      <c r="EF799" s="485"/>
      <c r="EG799" s="485"/>
      <c r="EH799" s="485"/>
      <c r="EI799" s="485"/>
      <c r="EJ799" s="485"/>
      <c r="EK799" s="485"/>
      <c r="EL799" s="485"/>
      <c r="EM799" s="485"/>
      <c r="EN799" s="485"/>
      <c r="EO799" s="485"/>
      <c r="EP799" s="485"/>
    </row>
    <row r="800" spans="1:146">
      <c r="A800" s="485"/>
      <c r="B800" s="485"/>
      <c r="C800" s="485"/>
      <c r="D800" s="485"/>
      <c r="E800" s="485"/>
      <c r="F800" s="485"/>
      <c r="G800" s="485"/>
      <c r="H800" s="485"/>
      <c r="I800" s="485"/>
      <c r="J800" s="485"/>
      <c r="K800" s="485"/>
      <c r="L800" s="485"/>
      <c r="M800" s="485"/>
      <c r="P800" s="485"/>
      <c r="Q800" s="485"/>
      <c r="R800" s="485"/>
      <c r="S800" s="485"/>
      <c r="T800" s="485"/>
      <c r="U800" s="485"/>
      <c r="V800" s="485"/>
      <c r="W800" s="485"/>
      <c r="X800" s="485"/>
      <c r="Y800" s="485"/>
      <c r="Z800" s="485"/>
      <c r="AA800" s="485"/>
      <c r="AB800" s="485"/>
      <c r="AC800" s="485"/>
      <c r="AD800" s="485"/>
      <c r="AE800" s="485"/>
      <c r="AF800" s="485"/>
      <c r="AG800" s="485"/>
      <c r="AH800" s="485"/>
      <c r="AI800" s="485"/>
      <c r="AJ800" s="485"/>
      <c r="AK800" s="485"/>
      <c r="AL800" s="485"/>
      <c r="AM800" s="485"/>
      <c r="AN800" s="485"/>
      <c r="AO800" s="485"/>
      <c r="AP800" s="485"/>
      <c r="AQ800" s="485"/>
      <c r="AR800" s="485"/>
      <c r="AS800" s="485"/>
      <c r="AT800" s="485"/>
      <c r="AU800" s="485"/>
      <c r="AV800" s="485"/>
      <c r="AW800" s="485"/>
      <c r="AX800" s="485"/>
      <c r="AY800" s="485"/>
      <c r="AZ800" s="485"/>
      <c r="BA800" s="485"/>
      <c r="BB800" s="485"/>
      <c r="BC800" s="485"/>
      <c r="BD800" s="485"/>
      <c r="BE800" s="485"/>
      <c r="BF800" s="485"/>
      <c r="BG800" s="485"/>
      <c r="BH800" s="485"/>
      <c r="BI800" s="485"/>
      <c r="BJ800" s="485"/>
      <c r="BK800" s="485"/>
      <c r="BL800" s="485"/>
      <c r="BM800" s="485"/>
      <c r="BN800" s="485"/>
      <c r="BO800" s="485"/>
      <c r="BP800" s="485"/>
      <c r="BQ800" s="485"/>
      <c r="BR800" s="485"/>
      <c r="BS800" s="485"/>
      <c r="BT800" s="485"/>
      <c r="BU800" s="485"/>
      <c r="BV800" s="485"/>
      <c r="BW800" s="485"/>
      <c r="BX800" s="485"/>
      <c r="BY800" s="485"/>
      <c r="BZ800" s="485"/>
      <c r="CA800" s="485"/>
      <c r="CB800" s="485"/>
      <c r="CC800" s="485"/>
      <c r="CD800" s="485"/>
      <c r="CE800" s="485"/>
      <c r="CF800" s="485"/>
      <c r="CG800" s="485"/>
      <c r="CH800" s="485"/>
      <c r="CI800" s="485"/>
      <c r="CJ800" s="485"/>
      <c r="CK800" s="485"/>
      <c r="CL800" s="485"/>
      <c r="CM800" s="485"/>
      <c r="CN800" s="485"/>
      <c r="CO800" s="485"/>
      <c r="CP800" s="485"/>
      <c r="CQ800" s="485"/>
      <c r="CR800" s="485"/>
      <c r="CS800" s="485"/>
      <c r="CT800" s="485"/>
      <c r="CU800" s="485"/>
      <c r="CV800" s="485"/>
      <c r="CW800" s="485"/>
      <c r="CX800" s="485"/>
      <c r="CY800" s="485"/>
      <c r="CZ800" s="485"/>
      <c r="DA800" s="485"/>
      <c r="DB800" s="485"/>
      <c r="DC800" s="485"/>
      <c r="DD800" s="485"/>
      <c r="DE800" s="485"/>
      <c r="DF800" s="485"/>
      <c r="DG800" s="485"/>
      <c r="DH800" s="485"/>
      <c r="DI800" s="485"/>
      <c r="DJ800" s="485"/>
      <c r="DK800" s="485"/>
      <c r="DL800" s="485"/>
      <c r="DM800" s="485"/>
      <c r="DN800" s="485"/>
      <c r="DO800" s="485"/>
      <c r="DP800" s="485"/>
      <c r="DQ800" s="485"/>
      <c r="DR800" s="485"/>
      <c r="DS800" s="485"/>
      <c r="DT800" s="485"/>
      <c r="DU800" s="485"/>
      <c r="DV800" s="485"/>
      <c r="DW800" s="485"/>
      <c r="DX800" s="485"/>
      <c r="DY800" s="485"/>
      <c r="DZ800" s="485"/>
      <c r="EA800" s="485"/>
      <c r="EB800" s="485"/>
      <c r="EC800" s="485"/>
      <c r="ED800" s="485"/>
      <c r="EE800" s="485"/>
      <c r="EF800" s="485"/>
      <c r="EG800" s="485"/>
      <c r="EH800" s="485"/>
      <c r="EI800" s="485"/>
      <c r="EJ800" s="485"/>
      <c r="EK800" s="485"/>
      <c r="EL800" s="485"/>
      <c r="EM800" s="485"/>
      <c r="EN800" s="485"/>
      <c r="EO800" s="485"/>
      <c r="EP800" s="485"/>
    </row>
    <row r="801" spans="1:146">
      <c r="A801" s="485"/>
      <c r="B801" s="485"/>
      <c r="C801" s="485"/>
      <c r="D801" s="485"/>
      <c r="E801" s="485"/>
      <c r="F801" s="485"/>
      <c r="G801" s="485"/>
      <c r="H801" s="485"/>
      <c r="I801" s="485"/>
      <c r="J801" s="485"/>
      <c r="K801" s="485"/>
      <c r="L801" s="485"/>
      <c r="M801" s="485"/>
      <c r="P801" s="485"/>
      <c r="Q801" s="485"/>
      <c r="R801" s="485"/>
      <c r="S801" s="485"/>
      <c r="T801" s="485"/>
      <c r="U801" s="485"/>
      <c r="V801" s="485"/>
      <c r="W801" s="485"/>
      <c r="X801" s="485"/>
      <c r="Y801" s="485"/>
      <c r="Z801" s="485"/>
      <c r="AA801" s="485"/>
      <c r="AB801" s="485"/>
      <c r="AC801" s="485"/>
      <c r="AD801" s="485"/>
      <c r="AE801" s="485"/>
      <c r="AF801" s="485"/>
      <c r="AG801" s="485"/>
      <c r="AH801" s="485"/>
      <c r="AI801" s="485"/>
      <c r="AJ801" s="485"/>
      <c r="AK801" s="485"/>
      <c r="AL801" s="485"/>
      <c r="AM801" s="485"/>
      <c r="AN801" s="485"/>
      <c r="AO801" s="485"/>
      <c r="AP801" s="485"/>
      <c r="AQ801" s="485"/>
      <c r="AR801" s="485"/>
      <c r="AS801" s="485"/>
      <c r="AT801" s="485"/>
      <c r="AU801" s="485"/>
      <c r="AV801" s="485"/>
      <c r="AW801" s="485"/>
      <c r="AX801" s="485"/>
      <c r="AY801" s="485"/>
      <c r="AZ801" s="485"/>
      <c r="BA801" s="485"/>
      <c r="BB801" s="485"/>
      <c r="BC801" s="485"/>
      <c r="BD801" s="485"/>
      <c r="BE801" s="485"/>
      <c r="BF801" s="485"/>
      <c r="BG801" s="485"/>
      <c r="BH801" s="485"/>
      <c r="BI801" s="485"/>
      <c r="BJ801" s="485"/>
      <c r="BK801" s="485"/>
      <c r="BL801" s="485"/>
      <c r="BM801" s="485"/>
      <c r="BN801" s="485"/>
      <c r="BO801" s="485"/>
      <c r="BP801" s="485"/>
      <c r="BQ801" s="485"/>
      <c r="BR801" s="485"/>
      <c r="BS801" s="485"/>
      <c r="BT801" s="485"/>
      <c r="BU801" s="485"/>
      <c r="BV801" s="485"/>
      <c r="BW801" s="485"/>
      <c r="BX801" s="485"/>
      <c r="BY801" s="485"/>
      <c r="BZ801" s="485"/>
      <c r="CA801" s="485"/>
      <c r="CB801" s="485"/>
      <c r="CC801" s="485"/>
      <c r="CD801" s="485"/>
      <c r="CE801" s="485"/>
      <c r="CF801" s="485"/>
      <c r="CG801" s="485"/>
      <c r="CH801" s="485"/>
      <c r="CI801" s="485"/>
      <c r="CJ801" s="485"/>
      <c r="CK801" s="485"/>
      <c r="CL801" s="485"/>
      <c r="CM801" s="485"/>
      <c r="CN801" s="485"/>
      <c r="CO801" s="485"/>
      <c r="CP801" s="485"/>
      <c r="CQ801" s="485"/>
      <c r="CR801" s="485"/>
      <c r="CS801" s="485"/>
      <c r="CT801" s="485"/>
      <c r="CU801" s="485"/>
      <c r="CV801" s="485"/>
      <c r="CW801" s="485"/>
      <c r="CX801" s="485"/>
      <c r="CY801" s="485"/>
      <c r="CZ801" s="485"/>
      <c r="DA801" s="485"/>
      <c r="DB801" s="485"/>
      <c r="DC801" s="485"/>
      <c r="DD801" s="485"/>
      <c r="DE801" s="485"/>
      <c r="DF801" s="485"/>
      <c r="DG801" s="485"/>
      <c r="DH801" s="485"/>
      <c r="DI801" s="485"/>
      <c r="DJ801" s="485"/>
      <c r="DK801" s="485"/>
      <c r="DL801" s="485"/>
      <c r="DM801" s="485"/>
      <c r="DN801" s="485"/>
      <c r="DO801" s="485"/>
      <c r="DP801" s="485"/>
      <c r="DQ801" s="485"/>
      <c r="DR801" s="485"/>
      <c r="DS801" s="485"/>
      <c r="DT801" s="485"/>
      <c r="DU801" s="485"/>
      <c r="DV801" s="485"/>
      <c r="DW801" s="485"/>
      <c r="DX801" s="485"/>
      <c r="DY801" s="485"/>
      <c r="DZ801" s="485"/>
      <c r="EA801" s="485"/>
      <c r="EB801" s="485"/>
      <c r="EC801" s="485"/>
      <c r="ED801" s="485"/>
      <c r="EE801" s="485"/>
      <c r="EF801" s="485"/>
      <c r="EG801" s="485"/>
      <c r="EH801" s="485"/>
      <c r="EI801" s="485"/>
      <c r="EJ801" s="485"/>
      <c r="EK801" s="485"/>
      <c r="EL801" s="485"/>
      <c r="EM801" s="485"/>
      <c r="EN801" s="485"/>
      <c r="EO801" s="485"/>
      <c r="EP801" s="485"/>
    </row>
    <row r="802" spans="1:146">
      <c r="A802" s="485"/>
      <c r="B802" s="485"/>
      <c r="C802" s="485"/>
      <c r="D802" s="485"/>
      <c r="E802" s="485"/>
      <c r="F802" s="485"/>
      <c r="G802" s="485"/>
      <c r="H802" s="485"/>
      <c r="I802" s="485"/>
      <c r="J802" s="485"/>
      <c r="K802" s="485"/>
      <c r="L802" s="485"/>
      <c r="M802" s="485"/>
      <c r="P802" s="485"/>
      <c r="Q802" s="485"/>
      <c r="R802" s="485"/>
      <c r="S802" s="485"/>
      <c r="T802" s="485"/>
      <c r="U802" s="485"/>
      <c r="V802" s="485"/>
      <c r="W802" s="485"/>
      <c r="X802" s="485"/>
      <c r="Y802" s="485"/>
      <c r="Z802" s="485"/>
      <c r="AA802" s="485"/>
      <c r="AB802" s="485"/>
      <c r="AC802" s="485"/>
      <c r="AD802" s="485"/>
      <c r="AE802" s="485"/>
      <c r="AF802" s="485"/>
      <c r="AG802" s="485"/>
      <c r="AH802" s="485"/>
      <c r="AI802" s="485"/>
      <c r="AJ802" s="485"/>
      <c r="AK802" s="485"/>
      <c r="AL802" s="485"/>
      <c r="AM802" s="485"/>
      <c r="AN802" s="485"/>
      <c r="AO802" s="485"/>
      <c r="AP802" s="485"/>
      <c r="AQ802" s="485"/>
      <c r="AR802" s="485"/>
      <c r="AS802" s="485"/>
      <c r="AT802" s="485"/>
      <c r="AU802" s="485"/>
      <c r="AV802" s="485"/>
      <c r="AW802" s="485"/>
      <c r="AX802" s="485"/>
      <c r="AY802" s="485"/>
      <c r="AZ802" s="485"/>
      <c r="BA802" s="485"/>
      <c r="BB802" s="485"/>
      <c r="BC802" s="485"/>
      <c r="BD802" s="485"/>
      <c r="BE802" s="485"/>
      <c r="BF802" s="485"/>
      <c r="BG802" s="485"/>
      <c r="BH802" s="485"/>
      <c r="BI802" s="485"/>
      <c r="BJ802" s="485"/>
      <c r="BK802" s="485"/>
      <c r="BL802" s="485"/>
      <c r="BM802" s="485"/>
      <c r="BN802" s="485"/>
      <c r="BO802" s="485"/>
      <c r="BP802" s="485"/>
      <c r="BQ802" s="485"/>
      <c r="BR802" s="485"/>
      <c r="BS802" s="485"/>
      <c r="BT802" s="485"/>
      <c r="BU802" s="485"/>
      <c r="BV802" s="485"/>
      <c r="BW802" s="485"/>
      <c r="BX802" s="485"/>
      <c r="BY802" s="485"/>
      <c r="BZ802" s="485"/>
      <c r="CA802" s="485"/>
      <c r="CB802" s="485"/>
      <c r="CC802" s="485"/>
      <c r="CD802" s="485"/>
      <c r="CE802" s="485"/>
      <c r="CF802" s="485"/>
      <c r="CG802" s="485"/>
      <c r="CH802" s="485"/>
      <c r="CI802" s="485"/>
      <c r="CJ802" s="485"/>
      <c r="CK802" s="485"/>
      <c r="CL802" s="485"/>
      <c r="CM802" s="485"/>
      <c r="CN802" s="485"/>
      <c r="CO802" s="485"/>
      <c r="CP802" s="485"/>
      <c r="CQ802" s="485"/>
      <c r="CR802" s="485"/>
      <c r="CS802" s="485"/>
      <c r="CT802" s="485"/>
      <c r="CU802" s="485"/>
      <c r="CV802" s="485"/>
      <c r="CW802" s="485"/>
      <c r="CX802" s="485"/>
      <c r="CY802" s="485"/>
      <c r="CZ802" s="485"/>
      <c r="DA802" s="485"/>
      <c r="DB802" s="485"/>
      <c r="DC802" s="485"/>
      <c r="DD802" s="485"/>
      <c r="DE802" s="485"/>
      <c r="DF802" s="485"/>
      <c r="DG802" s="485"/>
      <c r="DH802" s="485"/>
      <c r="DI802" s="485"/>
      <c r="DJ802" s="485"/>
      <c r="DK802" s="485"/>
      <c r="DL802" s="485"/>
      <c r="DM802" s="485"/>
      <c r="DN802" s="485"/>
      <c r="DO802" s="485"/>
      <c r="DP802" s="485"/>
      <c r="DQ802" s="485"/>
      <c r="DR802" s="485"/>
      <c r="DS802" s="485"/>
      <c r="DT802" s="485"/>
      <c r="DU802" s="485"/>
      <c r="DV802" s="485"/>
      <c r="DW802" s="485"/>
      <c r="DX802" s="485"/>
      <c r="DY802" s="485"/>
      <c r="DZ802" s="485"/>
      <c r="EA802" s="485"/>
      <c r="EB802" s="485"/>
      <c r="EC802" s="485"/>
      <c r="ED802" s="485"/>
      <c r="EE802" s="485"/>
      <c r="EF802" s="485"/>
      <c r="EG802" s="485"/>
      <c r="EH802" s="485"/>
      <c r="EI802" s="485"/>
      <c r="EJ802" s="485"/>
      <c r="EK802" s="485"/>
      <c r="EL802" s="485"/>
      <c r="EM802" s="485"/>
      <c r="EN802" s="485"/>
      <c r="EO802" s="485"/>
      <c r="EP802" s="485"/>
    </row>
    <row r="803" spans="1:146">
      <c r="A803" s="485"/>
      <c r="B803" s="485"/>
      <c r="C803" s="485"/>
      <c r="D803" s="485"/>
      <c r="E803" s="485"/>
      <c r="F803" s="485"/>
      <c r="G803" s="485"/>
      <c r="H803" s="485"/>
      <c r="I803" s="485"/>
      <c r="J803" s="485"/>
      <c r="K803" s="485"/>
      <c r="L803" s="485"/>
      <c r="M803" s="485"/>
      <c r="P803" s="485"/>
      <c r="Q803" s="485"/>
      <c r="R803" s="485"/>
      <c r="S803" s="485"/>
      <c r="T803" s="485"/>
      <c r="U803" s="485"/>
      <c r="V803" s="485"/>
      <c r="W803" s="485"/>
      <c r="X803" s="485"/>
      <c r="Y803" s="485"/>
      <c r="Z803" s="485"/>
      <c r="AA803" s="485"/>
      <c r="AB803" s="485"/>
      <c r="AC803" s="485"/>
      <c r="AD803" s="485"/>
      <c r="AE803" s="485"/>
      <c r="AF803" s="485"/>
      <c r="AG803" s="485"/>
      <c r="AH803" s="485"/>
      <c r="AI803" s="485"/>
      <c r="AJ803" s="485"/>
      <c r="AK803" s="485"/>
      <c r="AL803" s="485"/>
      <c r="AM803" s="485"/>
      <c r="AN803" s="485"/>
      <c r="AO803" s="485"/>
      <c r="AP803" s="485"/>
      <c r="AQ803" s="485"/>
      <c r="AR803" s="485"/>
      <c r="AS803" s="485"/>
      <c r="AT803" s="485"/>
      <c r="AU803" s="485"/>
      <c r="AV803" s="485"/>
      <c r="AW803" s="485"/>
      <c r="AX803" s="485"/>
      <c r="AY803" s="485"/>
      <c r="AZ803" s="485"/>
      <c r="BA803" s="485"/>
      <c r="BB803" s="485"/>
      <c r="BC803" s="485"/>
      <c r="BD803" s="485"/>
      <c r="BE803" s="485"/>
      <c r="BF803" s="485"/>
      <c r="BG803" s="485"/>
      <c r="BH803" s="485"/>
      <c r="BI803" s="485"/>
      <c r="BJ803" s="485"/>
      <c r="BK803" s="485"/>
      <c r="BL803" s="485"/>
      <c r="BM803" s="485"/>
      <c r="BN803" s="485"/>
      <c r="BO803" s="485"/>
      <c r="BP803" s="485"/>
      <c r="BQ803" s="485"/>
      <c r="BR803" s="485"/>
      <c r="BS803" s="485"/>
      <c r="BT803" s="485"/>
      <c r="BU803" s="485"/>
      <c r="BV803" s="485"/>
      <c r="BW803" s="485"/>
      <c r="BX803" s="485"/>
      <c r="BY803" s="485"/>
      <c r="BZ803" s="485"/>
      <c r="CA803" s="485"/>
      <c r="CB803" s="485"/>
      <c r="CC803" s="485"/>
      <c r="CD803" s="485"/>
      <c r="CE803" s="485"/>
      <c r="CF803" s="485"/>
      <c r="CG803" s="485"/>
      <c r="CH803" s="485"/>
      <c r="CI803" s="485"/>
      <c r="CJ803" s="485"/>
      <c r="CK803" s="485"/>
      <c r="CL803" s="485"/>
      <c r="CM803" s="485"/>
      <c r="CN803" s="485"/>
      <c r="CO803" s="485"/>
      <c r="CP803" s="485"/>
      <c r="CQ803" s="485"/>
      <c r="CR803" s="485"/>
      <c r="CS803" s="485"/>
      <c r="CT803" s="485"/>
      <c r="CU803" s="485"/>
      <c r="CV803" s="485"/>
      <c r="CW803" s="485"/>
      <c r="CX803" s="485"/>
      <c r="CY803" s="485"/>
      <c r="CZ803" s="485"/>
      <c r="DA803" s="485"/>
      <c r="DB803" s="485"/>
      <c r="DC803" s="485"/>
      <c r="DD803" s="485"/>
      <c r="DE803" s="485"/>
      <c r="DF803" s="485"/>
      <c r="DG803" s="485"/>
      <c r="DH803" s="485"/>
      <c r="DI803" s="485"/>
      <c r="DJ803" s="485"/>
      <c r="DK803" s="485"/>
      <c r="DL803" s="485"/>
      <c r="DM803" s="485"/>
      <c r="DN803" s="485"/>
      <c r="DO803" s="485"/>
      <c r="DP803" s="485"/>
      <c r="DQ803" s="485"/>
      <c r="DR803" s="485"/>
      <c r="DS803" s="485"/>
      <c r="DT803" s="485"/>
      <c r="DU803" s="485"/>
      <c r="DV803" s="485"/>
      <c r="DW803" s="485"/>
      <c r="DX803" s="485"/>
      <c r="DY803" s="485"/>
      <c r="DZ803" s="485"/>
      <c r="EA803" s="485"/>
      <c r="EB803" s="485"/>
      <c r="EC803" s="485"/>
      <c r="ED803" s="485"/>
      <c r="EE803" s="485"/>
      <c r="EF803" s="485"/>
      <c r="EG803" s="485"/>
      <c r="EH803" s="485"/>
      <c r="EI803" s="485"/>
      <c r="EJ803" s="485"/>
      <c r="EK803" s="485"/>
      <c r="EL803" s="485"/>
      <c r="EM803" s="485"/>
      <c r="EN803" s="485"/>
      <c r="EO803" s="485"/>
      <c r="EP803" s="485"/>
    </row>
    <row r="804" spans="1:146">
      <c r="A804" s="485"/>
      <c r="B804" s="485"/>
      <c r="C804" s="485"/>
      <c r="D804" s="485"/>
      <c r="E804" s="485"/>
      <c r="F804" s="485"/>
      <c r="G804" s="485"/>
      <c r="H804" s="485"/>
      <c r="I804" s="485"/>
      <c r="J804" s="485"/>
      <c r="K804" s="485"/>
      <c r="L804" s="485"/>
      <c r="M804" s="485"/>
      <c r="P804" s="485"/>
      <c r="Q804" s="485"/>
      <c r="R804" s="485"/>
      <c r="S804" s="485"/>
      <c r="T804" s="485"/>
      <c r="U804" s="485"/>
      <c r="V804" s="485"/>
      <c r="W804" s="485"/>
      <c r="X804" s="485"/>
      <c r="Y804" s="485"/>
      <c r="Z804" s="485"/>
      <c r="AA804" s="485"/>
      <c r="AB804" s="485"/>
      <c r="AC804" s="485"/>
      <c r="AD804" s="485"/>
      <c r="AE804" s="485"/>
      <c r="AF804" s="485"/>
      <c r="AG804" s="485"/>
      <c r="AH804" s="485"/>
      <c r="AI804" s="485"/>
      <c r="AJ804" s="485"/>
      <c r="AK804" s="485"/>
      <c r="AL804" s="485"/>
      <c r="AM804" s="485"/>
      <c r="AN804" s="485"/>
      <c r="AO804" s="485"/>
      <c r="AP804" s="485"/>
      <c r="AQ804" s="485"/>
      <c r="AR804" s="485"/>
      <c r="AS804" s="485"/>
      <c r="AT804" s="485"/>
      <c r="AU804" s="485"/>
      <c r="AV804" s="485"/>
      <c r="AW804" s="485"/>
      <c r="AX804" s="485"/>
      <c r="AY804" s="485"/>
      <c r="AZ804" s="485"/>
      <c r="BA804" s="485"/>
      <c r="BB804" s="485"/>
      <c r="BC804" s="485"/>
      <c r="BD804" s="485"/>
      <c r="BE804" s="485"/>
      <c r="BF804" s="485"/>
      <c r="BG804" s="485"/>
      <c r="BH804" s="485"/>
      <c r="BI804" s="485"/>
      <c r="BJ804" s="485"/>
      <c r="BK804" s="485"/>
      <c r="BL804" s="485"/>
      <c r="BM804" s="485"/>
      <c r="BN804" s="485"/>
      <c r="BO804" s="485"/>
      <c r="BP804" s="485"/>
      <c r="BQ804" s="485"/>
      <c r="BR804" s="485"/>
      <c r="BS804" s="485"/>
      <c r="BT804" s="485"/>
      <c r="BU804" s="485"/>
      <c r="BV804" s="485"/>
      <c r="BW804" s="485"/>
      <c r="BX804" s="485"/>
      <c r="BY804" s="485"/>
      <c r="BZ804" s="485"/>
      <c r="CA804" s="485"/>
      <c r="CB804" s="485"/>
      <c r="CC804" s="485"/>
      <c r="CD804" s="485"/>
      <c r="CE804" s="485"/>
      <c r="CF804" s="485"/>
      <c r="CG804" s="485"/>
      <c r="CH804" s="485"/>
      <c r="CI804" s="485"/>
      <c r="CJ804" s="485"/>
      <c r="CK804" s="485"/>
      <c r="CL804" s="485"/>
      <c r="CM804" s="485"/>
      <c r="CN804" s="485"/>
      <c r="CO804" s="485"/>
      <c r="CP804" s="485"/>
      <c r="CQ804" s="485"/>
      <c r="CR804" s="485"/>
      <c r="CS804" s="485"/>
      <c r="CT804" s="485"/>
      <c r="CU804" s="485"/>
      <c r="CV804" s="485"/>
      <c r="CW804" s="485"/>
      <c r="CX804" s="485"/>
      <c r="CY804" s="485"/>
      <c r="CZ804" s="485"/>
      <c r="DA804" s="485"/>
      <c r="DB804" s="485"/>
      <c r="DC804" s="485"/>
      <c r="DD804" s="485"/>
      <c r="DE804" s="485"/>
      <c r="DF804" s="485"/>
      <c r="DG804" s="485"/>
      <c r="DH804" s="485"/>
      <c r="DI804" s="485"/>
      <c r="DJ804" s="485"/>
      <c r="DK804" s="485"/>
      <c r="DL804" s="485"/>
      <c r="DM804" s="485"/>
      <c r="DN804" s="485"/>
      <c r="DO804" s="485"/>
      <c r="DP804" s="485"/>
      <c r="DQ804" s="485"/>
      <c r="DR804" s="485"/>
      <c r="DS804" s="485"/>
      <c r="DT804" s="485"/>
      <c r="DU804" s="485"/>
      <c r="DV804" s="485"/>
      <c r="DW804" s="485"/>
      <c r="DX804" s="485"/>
      <c r="DY804" s="485"/>
      <c r="DZ804" s="485"/>
      <c r="EA804" s="485"/>
      <c r="EB804" s="485"/>
      <c r="EC804" s="485"/>
      <c r="ED804" s="485"/>
      <c r="EE804" s="485"/>
      <c r="EF804" s="485"/>
      <c r="EG804" s="485"/>
      <c r="EH804" s="485"/>
      <c r="EI804" s="485"/>
      <c r="EJ804" s="485"/>
      <c r="EK804" s="485"/>
      <c r="EL804" s="485"/>
      <c r="EM804" s="485"/>
      <c r="EN804" s="485"/>
      <c r="EO804" s="485"/>
      <c r="EP804" s="485"/>
    </row>
    <row r="805" spans="1:146">
      <c r="A805" s="485"/>
      <c r="B805" s="485"/>
      <c r="C805" s="485"/>
      <c r="D805" s="485"/>
      <c r="E805" s="485"/>
      <c r="F805" s="485"/>
      <c r="G805" s="485"/>
      <c r="H805" s="485"/>
      <c r="I805" s="485"/>
      <c r="J805" s="485"/>
      <c r="K805" s="485"/>
      <c r="L805" s="485"/>
      <c r="M805" s="485"/>
      <c r="P805" s="485"/>
      <c r="Q805" s="485"/>
      <c r="R805" s="485"/>
      <c r="S805" s="485"/>
      <c r="T805" s="485"/>
      <c r="U805" s="485"/>
      <c r="V805" s="485"/>
      <c r="W805" s="485"/>
      <c r="X805" s="485"/>
      <c r="Y805" s="485"/>
      <c r="Z805" s="485"/>
      <c r="AA805" s="485"/>
      <c r="AB805" s="485"/>
      <c r="AC805" s="485"/>
      <c r="AD805" s="485"/>
      <c r="AE805" s="485"/>
      <c r="AF805" s="485"/>
      <c r="AG805" s="485"/>
      <c r="AH805" s="485"/>
      <c r="AI805" s="485"/>
      <c r="AJ805" s="485"/>
      <c r="AK805" s="485"/>
      <c r="AL805" s="485"/>
      <c r="AM805" s="485"/>
      <c r="AN805" s="485"/>
      <c r="AO805" s="485"/>
      <c r="AP805" s="485"/>
      <c r="AQ805" s="485"/>
      <c r="AR805" s="485"/>
      <c r="AS805" s="485"/>
      <c r="AT805" s="485"/>
      <c r="AU805" s="485"/>
      <c r="AV805" s="485"/>
      <c r="AW805" s="485"/>
      <c r="AX805" s="485"/>
      <c r="AY805" s="485"/>
      <c r="AZ805" s="485"/>
      <c r="BA805" s="485"/>
      <c r="BB805" s="485"/>
      <c r="BC805" s="485"/>
      <c r="BD805" s="485"/>
      <c r="BE805" s="485"/>
      <c r="BF805" s="485"/>
      <c r="BG805" s="485"/>
      <c r="BH805" s="485"/>
      <c r="BI805" s="485"/>
      <c r="BJ805" s="485"/>
      <c r="BK805" s="485"/>
      <c r="BL805" s="485"/>
      <c r="BM805" s="485"/>
      <c r="BN805" s="485"/>
      <c r="BO805" s="485"/>
      <c r="BP805" s="485"/>
      <c r="BQ805" s="485"/>
      <c r="BR805" s="485"/>
      <c r="BS805" s="485"/>
      <c r="BT805" s="485"/>
      <c r="BU805" s="485"/>
      <c r="BV805" s="485"/>
      <c r="BW805" s="485"/>
      <c r="BX805" s="485"/>
      <c r="BY805" s="485"/>
      <c r="BZ805" s="485"/>
      <c r="CA805" s="485"/>
      <c r="CB805" s="485"/>
      <c r="CC805" s="485"/>
      <c r="CD805" s="485"/>
      <c r="CE805" s="485"/>
      <c r="CF805" s="485"/>
      <c r="CG805" s="485"/>
      <c r="CH805" s="485"/>
      <c r="CI805" s="485"/>
      <c r="CJ805" s="485"/>
      <c r="CK805" s="485"/>
      <c r="CL805" s="485"/>
      <c r="CM805" s="485"/>
      <c r="CN805" s="485"/>
      <c r="CO805" s="485"/>
      <c r="CP805" s="485"/>
      <c r="CQ805" s="485"/>
      <c r="CR805" s="485"/>
      <c r="CS805" s="485"/>
      <c r="CT805" s="485"/>
      <c r="CU805" s="485"/>
      <c r="CV805" s="485"/>
      <c r="CW805" s="485"/>
      <c r="CX805" s="485"/>
      <c r="CY805" s="485"/>
      <c r="CZ805" s="485"/>
      <c r="DA805" s="485"/>
      <c r="DB805" s="485"/>
      <c r="DC805" s="485"/>
      <c r="DD805" s="485"/>
      <c r="DE805" s="485"/>
      <c r="DF805" s="485"/>
      <c r="DG805" s="485"/>
      <c r="DH805" s="485"/>
      <c r="DI805" s="485"/>
      <c r="DJ805" s="485"/>
      <c r="DK805" s="485"/>
      <c r="DL805" s="485"/>
      <c r="DM805" s="485"/>
      <c r="DN805" s="485"/>
      <c r="DO805" s="485"/>
      <c r="DP805" s="485"/>
      <c r="DQ805" s="485"/>
      <c r="DR805" s="485"/>
      <c r="DS805" s="485"/>
      <c r="DT805" s="485"/>
      <c r="DU805" s="485"/>
      <c r="DV805" s="485"/>
      <c r="DW805" s="485"/>
      <c r="DX805" s="485"/>
      <c r="DY805" s="485"/>
      <c r="DZ805" s="485"/>
      <c r="EA805" s="485"/>
      <c r="EB805" s="485"/>
      <c r="EC805" s="485"/>
      <c r="ED805" s="485"/>
      <c r="EE805" s="485"/>
      <c r="EF805" s="485"/>
      <c r="EG805" s="485"/>
      <c r="EH805" s="485"/>
      <c r="EI805" s="485"/>
      <c r="EJ805" s="485"/>
      <c r="EK805" s="485"/>
      <c r="EL805" s="485"/>
      <c r="EM805" s="485"/>
      <c r="EN805" s="485"/>
      <c r="EO805" s="485"/>
      <c r="EP805" s="485"/>
    </row>
    <row r="806" spans="1:146">
      <c r="A806" s="485"/>
      <c r="B806" s="485"/>
      <c r="C806" s="485"/>
      <c r="D806" s="485"/>
      <c r="E806" s="485"/>
      <c r="F806" s="485"/>
      <c r="G806" s="485"/>
      <c r="H806" s="485"/>
      <c r="I806" s="485"/>
      <c r="J806" s="485"/>
      <c r="K806" s="485"/>
      <c r="L806" s="485"/>
      <c r="M806" s="485"/>
      <c r="P806" s="485"/>
      <c r="Q806" s="485"/>
      <c r="R806" s="485"/>
      <c r="S806" s="485"/>
      <c r="T806" s="485"/>
      <c r="U806" s="485"/>
      <c r="V806" s="485"/>
      <c r="W806" s="485"/>
      <c r="X806" s="485"/>
      <c r="Y806" s="485"/>
      <c r="Z806" s="485"/>
      <c r="AA806" s="485"/>
      <c r="AB806" s="485"/>
      <c r="AC806" s="485"/>
      <c r="AD806" s="485"/>
      <c r="AE806" s="485"/>
      <c r="AF806" s="485"/>
      <c r="AG806" s="485"/>
      <c r="AH806" s="485"/>
      <c r="AI806" s="485"/>
      <c r="AJ806" s="485"/>
      <c r="AK806" s="485"/>
      <c r="AL806" s="485"/>
      <c r="AM806" s="485"/>
      <c r="AN806" s="485"/>
      <c r="AO806" s="485"/>
      <c r="AP806" s="485"/>
      <c r="AQ806" s="485"/>
      <c r="AR806" s="485"/>
      <c r="AS806" s="485"/>
      <c r="AT806" s="485"/>
      <c r="AU806" s="485"/>
      <c r="AV806" s="485"/>
      <c r="AW806" s="485"/>
      <c r="AX806" s="485"/>
      <c r="AY806" s="485"/>
      <c r="AZ806" s="485"/>
      <c r="BA806" s="485"/>
      <c r="BB806" s="485"/>
      <c r="BC806" s="485"/>
      <c r="BD806" s="485"/>
      <c r="BE806" s="485"/>
      <c r="BF806" s="485"/>
      <c r="BG806" s="485"/>
      <c r="BH806" s="485"/>
      <c r="BI806" s="485"/>
      <c r="BJ806" s="485"/>
      <c r="BK806" s="485"/>
      <c r="BL806" s="485"/>
      <c r="BM806" s="485"/>
      <c r="BN806" s="485"/>
      <c r="BO806" s="485"/>
      <c r="BP806" s="485"/>
      <c r="BQ806" s="485"/>
      <c r="BR806" s="485"/>
      <c r="BS806" s="485"/>
      <c r="BT806" s="485"/>
      <c r="BU806" s="485"/>
      <c r="BV806" s="485"/>
      <c r="BW806" s="485"/>
      <c r="BX806" s="485"/>
      <c r="BY806" s="485"/>
      <c r="BZ806" s="485"/>
      <c r="CA806" s="485"/>
      <c r="CB806" s="485"/>
      <c r="CC806" s="485"/>
      <c r="CD806" s="485"/>
      <c r="CE806" s="485"/>
      <c r="CF806" s="485"/>
      <c r="CG806" s="485"/>
      <c r="CH806" s="485"/>
      <c r="CI806" s="485"/>
      <c r="CJ806" s="485"/>
      <c r="CK806" s="485"/>
      <c r="CL806" s="485"/>
      <c r="CM806" s="485"/>
      <c r="CN806" s="485"/>
      <c r="CO806" s="485"/>
      <c r="CP806" s="485"/>
      <c r="CQ806" s="485"/>
      <c r="CR806" s="485"/>
      <c r="CS806" s="485"/>
      <c r="CT806" s="485"/>
      <c r="CU806" s="485"/>
      <c r="CV806" s="485"/>
      <c r="CW806" s="485"/>
      <c r="CX806" s="485"/>
      <c r="CY806" s="485"/>
      <c r="CZ806" s="485"/>
      <c r="DA806" s="485"/>
      <c r="DB806" s="485"/>
      <c r="DC806" s="485"/>
      <c r="DD806" s="485"/>
      <c r="DE806" s="485"/>
      <c r="DF806" s="485"/>
      <c r="DG806" s="485"/>
      <c r="DH806" s="485"/>
      <c r="DI806" s="485"/>
      <c r="DJ806" s="485"/>
      <c r="DK806" s="485"/>
      <c r="DL806" s="485"/>
      <c r="DM806" s="485"/>
      <c r="DN806" s="485"/>
      <c r="DO806" s="485"/>
      <c r="DP806" s="485"/>
      <c r="DQ806" s="485"/>
      <c r="DR806" s="485"/>
      <c r="DS806" s="485"/>
      <c r="DT806" s="485"/>
      <c r="DU806" s="485"/>
      <c r="DV806" s="485"/>
      <c r="DW806" s="485"/>
      <c r="DX806" s="485"/>
      <c r="DY806" s="485"/>
      <c r="DZ806" s="485"/>
      <c r="EA806" s="485"/>
      <c r="EB806" s="485"/>
      <c r="EC806" s="485"/>
      <c r="ED806" s="485"/>
      <c r="EE806" s="485"/>
      <c r="EF806" s="485"/>
      <c r="EG806" s="485"/>
      <c r="EH806" s="485"/>
      <c r="EI806" s="485"/>
      <c r="EJ806" s="485"/>
      <c r="EK806" s="485"/>
      <c r="EL806" s="485"/>
      <c r="EM806" s="485"/>
      <c r="EN806" s="485"/>
      <c r="EO806" s="485"/>
      <c r="EP806" s="485"/>
    </row>
    <row r="807" spans="1:146">
      <c r="A807" s="485"/>
      <c r="B807" s="485"/>
      <c r="C807" s="485"/>
      <c r="D807" s="485"/>
      <c r="E807" s="485"/>
      <c r="F807" s="485"/>
      <c r="G807" s="485"/>
      <c r="H807" s="485"/>
      <c r="I807" s="485"/>
      <c r="J807" s="485"/>
      <c r="K807" s="485"/>
      <c r="L807" s="485"/>
      <c r="M807" s="485"/>
      <c r="P807" s="485"/>
      <c r="Q807" s="485"/>
      <c r="R807" s="485"/>
      <c r="S807" s="485"/>
      <c r="T807" s="485"/>
      <c r="U807" s="485"/>
      <c r="V807" s="485"/>
      <c r="W807" s="485"/>
      <c r="X807" s="485"/>
      <c r="Y807" s="485"/>
      <c r="Z807" s="485"/>
      <c r="AA807" s="485"/>
      <c r="AB807" s="485"/>
      <c r="AC807" s="485"/>
      <c r="AD807" s="485"/>
      <c r="AE807" s="485"/>
      <c r="AF807" s="485"/>
      <c r="AG807" s="485"/>
      <c r="AH807" s="485"/>
      <c r="AI807" s="485"/>
      <c r="AJ807" s="485"/>
      <c r="AK807" s="485"/>
      <c r="AL807" s="485"/>
      <c r="AM807" s="485"/>
      <c r="AN807" s="485"/>
      <c r="AO807" s="485"/>
      <c r="AP807" s="485"/>
      <c r="AQ807" s="485"/>
      <c r="AR807" s="485"/>
      <c r="AS807" s="485"/>
      <c r="AT807" s="485"/>
      <c r="AU807" s="485"/>
      <c r="AV807" s="485"/>
      <c r="AW807" s="485"/>
      <c r="AX807" s="485"/>
      <c r="AY807" s="485"/>
      <c r="AZ807" s="485"/>
      <c r="BA807" s="485"/>
      <c r="BB807" s="485"/>
      <c r="BC807" s="485"/>
      <c r="BD807" s="485"/>
      <c r="BE807" s="485"/>
      <c r="BF807" s="485"/>
      <c r="BG807" s="485"/>
      <c r="BH807" s="485"/>
      <c r="BI807" s="485"/>
      <c r="BJ807" s="485"/>
      <c r="BK807" s="485"/>
      <c r="BL807" s="485"/>
      <c r="BM807" s="485"/>
      <c r="BN807" s="485"/>
      <c r="BO807" s="485"/>
      <c r="BP807" s="485"/>
      <c r="BQ807" s="485"/>
      <c r="BR807" s="485"/>
      <c r="BS807" s="485"/>
      <c r="BT807" s="485"/>
      <c r="BU807" s="485"/>
      <c r="BV807" s="485"/>
      <c r="BW807" s="485"/>
      <c r="BX807" s="485"/>
      <c r="BY807" s="485"/>
      <c r="BZ807" s="485"/>
      <c r="CA807" s="485"/>
      <c r="CB807" s="485"/>
      <c r="CC807" s="485"/>
      <c r="CD807" s="485"/>
      <c r="CE807" s="485"/>
      <c r="CF807" s="485"/>
      <c r="CG807" s="485"/>
      <c r="CH807" s="485"/>
      <c r="CI807" s="485"/>
      <c r="CJ807" s="485"/>
      <c r="CK807" s="485"/>
      <c r="CL807" s="485"/>
      <c r="CM807" s="485"/>
      <c r="CN807" s="485"/>
      <c r="CO807" s="485"/>
      <c r="CP807" s="485"/>
      <c r="CQ807" s="485"/>
      <c r="CR807" s="485"/>
      <c r="CS807" s="485"/>
      <c r="CT807" s="485"/>
      <c r="CU807" s="485"/>
      <c r="CV807" s="485"/>
      <c r="CW807" s="485"/>
      <c r="CX807" s="485"/>
      <c r="CY807" s="485"/>
      <c r="CZ807" s="485"/>
      <c r="DA807" s="485"/>
      <c r="DB807" s="485"/>
      <c r="DC807" s="485"/>
      <c r="DD807" s="485"/>
      <c r="DE807" s="485"/>
      <c r="DF807" s="485"/>
      <c r="DG807" s="485"/>
      <c r="DH807" s="485"/>
      <c r="DI807" s="485"/>
      <c r="DJ807" s="485"/>
      <c r="DK807" s="485"/>
      <c r="DL807" s="485"/>
      <c r="DM807" s="485"/>
      <c r="DN807" s="485"/>
      <c r="DO807" s="485"/>
      <c r="DP807" s="485"/>
      <c r="DQ807" s="485"/>
      <c r="DR807" s="485"/>
      <c r="DS807" s="485"/>
      <c r="DT807" s="485"/>
      <c r="DU807" s="485"/>
      <c r="DV807" s="485"/>
      <c r="DW807" s="485"/>
      <c r="DX807" s="485"/>
      <c r="DY807" s="485"/>
      <c r="DZ807" s="485"/>
      <c r="EA807" s="485"/>
      <c r="EB807" s="485"/>
      <c r="EC807" s="485"/>
      <c r="ED807" s="485"/>
      <c r="EE807" s="485"/>
      <c r="EF807" s="485"/>
      <c r="EG807" s="485"/>
      <c r="EH807" s="485"/>
      <c r="EI807" s="485"/>
      <c r="EJ807" s="485"/>
      <c r="EK807" s="485"/>
      <c r="EL807" s="485"/>
      <c r="EM807" s="485"/>
      <c r="EN807" s="485"/>
      <c r="EO807" s="485"/>
      <c r="EP807" s="485"/>
    </row>
    <row r="808" spans="1:146">
      <c r="A808" s="485"/>
      <c r="B808" s="485"/>
      <c r="C808" s="485"/>
      <c r="D808" s="485"/>
      <c r="E808" s="485"/>
      <c r="F808" s="485"/>
      <c r="G808" s="485"/>
      <c r="H808" s="485"/>
      <c r="I808" s="485"/>
      <c r="J808" s="485"/>
      <c r="K808" s="485"/>
      <c r="L808" s="485"/>
      <c r="M808" s="485"/>
      <c r="P808" s="485"/>
      <c r="Q808" s="485"/>
      <c r="R808" s="485"/>
      <c r="S808" s="485"/>
      <c r="T808" s="485"/>
      <c r="U808" s="485"/>
      <c r="V808" s="485"/>
      <c r="W808" s="485"/>
      <c r="X808" s="485"/>
      <c r="Y808" s="485"/>
      <c r="Z808" s="485"/>
      <c r="AA808" s="485"/>
      <c r="AB808" s="485"/>
      <c r="AC808" s="485"/>
      <c r="AD808" s="485"/>
      <c r="AE808" s="485"/>
      <c r="AF808" s="485"/>
      <c r="AG808" s="485"/>
      <c r="AH808" s="485"/>
      <c r="AI808" s="485"/>
      <c r="AJ808" s="485"/>
      <c r="AK808" s="485"/>
      <c r="AL808" s="485"/>
      <c r="AM808" s="485"/>
      <c r="AN808" s="485"/>
      <c r="AO808" s="485"/>
      <c r="AP808" s="485"/>
      <c r="AQ808" s="485"/>
      <c r="AR808" s="485"/>
      <c r="AS808" s="485"/>
      <c r="AT808" s="485"/>
      <c r="AU808" s="485"/>
      <c r="AV808" s="485"/>
      <c r="AW808" s="485"/>
      <c r="AX808" s="485"/>
      <c r="AY808" s="485"/>
      <c r="AZ808" s="485"/>
      <c r="BA808" s="485"/>
      <c r="BB808" s="485"/>
      <c r="BC808" s="485"/>
      <c r="BD808" s="485"/>
      <c r="BE808" s="485"/>
      <c r="BF808" s="485"/>
      <c r="BG808" s="485"/>
      <c r="BH808" s="485"/>
      <c r="BI808" s="485"/>
      <c r="BJ808" s="485"/>
      <c r="BK808" s="485"/>
      <c r="BL808" s="485"/>
      <c r="BM808" s="485"/>
      <c r="BN808" s="485"/>
      <c r="BO808" s="485"/>
      <c r="BP808" s="485"/>
      <c r="BQ808" s="485"/>
      <c r="BR808" s="485"/>
      <c r="BS808" s="485"/>
      <c r="BT808" s="485"/>
      <c r="BU808" s="485"/>
      <c r="BV808" s="485"/>
      <c r="BW808" s="485"/>
      <c r="BX808" s="485"/>
      <c r="BY808" s="485"/>
      <c r="BZ808" s="485"/>
      <c r="CA808" s="485"/>
      <c r="CB808" s="485"/>
      <c r="CC808" s="485"/>
      <c r="CD808" s="485"/>
      <c r="CE808" s="485"/>
      <c r="CF808" s="485"/>
      <c r="CG808" s="485"/>
      <c r="CH808" s="485"/>
      <c r="CI808" s="485"/>
      <c r="CJ808" s="485"/>
      <c r="CK808" s="485"/>
      <c r="CL808" s="485"/>
      <c r="CM808" s="485"/>
      <c r="CN808" s="485"/>
      <c r="CO808" s="485"/>
      <c r="CP808" s="485"/>
      <c r="CQ808" s="485"/>
      <c r="CR808" s="485"/>
      <c r="CS808" s="485"/>
      <c r="CT808" s="485"/>
      <c r="CU808" s="485"/>
      <c r="CV808" s="485"/>
      <c r="CW808" s="485"/>
      <c r="CX808" s="485"/>
      <c r="CY808" s="485"/>
      <c r="CZ808" s="485"/>
      <c r="DA808" s="485"/>
      <c r="DB808" s="485"/>
      <c r="DC808" s="485"/>
      <c r="DD808" s="485"/>
      <c r="DE808" s="485"/>
      <c r="DF808" s="485"/>
      <c r="DG808" s="485"/>
      <c r="DH808" s="485"/>
      <c r="DI808" s="485"/>
      <c r="DJ808" s="485"/>
      <c r="DK808" s="485"/>
      <c r="DL808" s="485"/>
      <c r="DM808" s="485"/>
      <c r="DN808" s="485"/>
      <c r="DO808" s="485"/>
      <c r="DP808" s="485"/>
      <c r="DQ808" s="485"/>
      <c r="DR808" s="485"/>
      <c r="DS808" s="485"/>
      <c r="DT808" s="485"/>
      <c r="DU808" s="485"/>
      <c r="DV808" s="485"/>
      <c r="DW808" s="485"/>
      <c r="DX808" s="485"/>
      <c r="DY808" s="485"/>
      <c r="DZ808" s="485"/>
      <c r="EA808" s="485"/>
      <c r="EB808" s="485"/>
      <c r="EC808" s="485"/>
      <c r="ED808" s="485"/>
      <c r="EE808" s="485"/>
      <c r="EF808" s="485"/>
      <c r="EG808" s="485"/>
      <c r="EH808" s="485"/>
      <c r="EI808" s="485"/>
      <c r="EJ808" s="485"/>
      <c r="EK808" s="485"/>
      <c r="EL808" s="485"/>
      <c r="EM808" s="485"/>
      <c r="EN808" s="485"/>
      <c r="EO808" s="485"/>
      <c r="EP808" s="485"/>
    </row>
    <row r="809" spans="1:146">
      <c r="A809" s="485"/>
      <c r="B809" s="485"/>
      <c r="C809" s="485"/>
      <c r="D809" s="485"/>
      <c r="E809" s="485"/>
      <c r="F809" s="485"/>
      <c r="G809" s="485"/>
      <c r="H809" s="485"/>
      <c r="I809" s="485"/>
      <c r="J809" s="485"/>
      <c r="K809" s="485"/>
      <c r="L809" s="485"/>
      <c r="M809" s="485"/>
      <c r="P809" s="485"/>
      <c r="Q809" s="485"/>
      <c r="R809" s="485"/>
      <c r="S809" s="485"/>
      <c r="T809" s="485"/>
      <c r="U809" s="485"/>
      <c r="V809" s="485"/>
      <c r="W809" s="485"/>
      <c r="X809" s="485"/>
      <c r="Y809" s="485"/>
      <c r="Z809" s="485"/>
      <c r="AA809" s="485"/>
      <c r="AB809" s="485"/>
      <c r="AC809" s="485"/>
      <c r="AD809" s="485"/>
      <c r="AE809" s="485"/>
      <c r="AF809" s="485"/>
      <c r="AG809" s="485"/>
      <c r="AH809" s="485"/>
      <c r="AI809" s="485"/>
      <c r="AJ809" s="485"/>
      <c r="AK809" s="485"/>
      <c r="AL809" s="485"/>
      <c r="AM809" s="485"/>
      <c r="AN809" s="485"/>
      <c r="AO809" s="485"/>
      <c r="AP809" s="485"/>
      <c r="AQ809" s="485"/>
      <c r="AR809" s="485"/>
      <c r="AS809" s="485"/>
      <c r="AT809" s="485"/>
      <c r="AU809" s="485"/>
      <c r="AV809" s="485"/>
      <c r="AW809" s="485"/>
      <c r="AX809" s="485"/>
      <c r="AY809" s="485"/>
      <c r="AZ809" s="485"/>
      <c r="BA809" s="485"/>
      <c r="BB809" s="485"/>
      <c r="BC809" s="485"/>
      <c r="BD809" s="485"/>
      <c r="BE809" s="485"/>
      <c r="BF809" s="485"/>
      <c r="BG809" s="485"/>
      <c r="BH809" s="485"/>
      <c r="BI809" s="485"/>
      <c r="BJ809" s="485"/>
      <c r="BK809" s="485"/>
      <c r="BL809" s="485"/>
      <c r="BM809" s="485"/>
      <c r="BN809" s="485"/>
      <c r="BO809" s="485"/>
      <c r="BP809" s="485"/>
      <c r="BQ809" s="485"/>
      <c r="BR809" s="485"/>
      <c r="BS809" s="485"/>
      <c r="BT809" s="485"/>
      <c r="BU809" s="485"/>
      <c r="BV809" s="485"/>
      <c r="BW809" s="485"/>
      <c r="BX809" s="485"/>
      <c r="BY809" s="485"/>
      <c r="BZ809" s="485"/>
      <c r="CA809" s="485"/>
      <c r="CB809" s="485"/>
      <c r="CC809" s="485"/>
      <c r="CD809" s="485"/>
      <c r="CE809" s="485"/>
      <c r="CF809" s="485"/>
      <c r="CG809" s="485"/>
      <c r="CH809" s="485"/>
      <c r="CI809" s="485"/>
      <c r="CJ809" s="485"/>
      <c r="CK809" s="485"/>
      <c r="CL809" s="485"/>
      <c r="CM809" s="485"/>
      <c r="CN809" s="485"/>
      <c r="CO809" s="485"/>
      <c r="CP809" s="485"/>
      <c r="CQ809" s="485"/>
      <c r="CR809" s="485"/>
      <c r="CS809" s="485"/>
      <c r="CT809" s="485"/>
      <c r="CU809" s="485"/>
      <c r="CV809" s="485"/>
      <c r="CW809" s="485"/>
      <c r="CX809" s="485"/>
      <c r="CY809" s="485"/>
      <c r="CZ809" s="485"/>
      <c r="DA809" s="485"/>
      <c r="DB809" s="485"/>
      <c r="DC809" s="485"/>
      <c r="DD809" s="485"/>
      <c r="DE809" s="485"/>
      <c r="DF809" s="485"/>
      <c r="DG809" s="485"/>
      <c r="DH809" s="485"/>
      <c r="DI809" s="485"/>
      <c r="DJ809" s="485"/>
      <c r="DK809" s="485"/>
      <c r="DL809" s="485"/>
      <c r="DM809" s="485"/>
      <c r="DN809" s="485"/>
      <c r="DO809" s="485"/>
      <c r="DP809" s="485"/>
      <c r="DQ809" s="485"/>
      <c r="DR809" s="485"/>
      <c r="DS809" s="485"/>
      <c r="DT809" s="485"/>
      <c r="DU809" s="485"/>
      <c r="DV809" s="485"/>
      <c r="DW809" s="485"/>
      <c r="DX809" s="485"/>
      <c r="DY809" s="485"/>
      <c r="DZ809" s="485"/>
      <c r="EA809" s="485"/>
      <c r="EB809" s="485"/>
      <c r="EC809" s="485"/>
      <c r="ED809" s="485"/>
      <c r="EE809" s="485"/>
      <c r="EF809" s="485"/>
      <c r="EG809" s="485"/>
      <c r="EH809" s="485"/>
      <c r="EI809" s="485"/>
      <c r="EJ809" s="485"/>
      <c r="EK809" s="485"/>
      <c r="EL809" s="485"/>
      <c r="EM809" s="485"/>
      <c r="EN809" s="485"/>
      <c r="EO809" s="485"/>
      <c r="EP809" s="485"/>
    </row>
    <row r="810" spans="1:146">
      <c r="A810" s="485"/>
      <c r="B810" s="485"/>
      <c r="C810" s="485"/>
      <c r="D810" s="485"/>
      <c r="E810" s="485"/>
      <c r="F810" s="485"/>
      <c r="G810" s="485"/>
      <c r="H810" s="485"/>
      <c r="I810" s="485"/>
      <c r="J810" s="485"/>
      <c r="K810" s="485"/>
      <c r="L810" s="485"/>
      <c r="M810" s="485"/>
      <c r="P810" s="485"/>
      <c r="Q810" s="485"/>
      <c r="R810" s="485"/>
      <c r="S810" s="485"/>
      <c r="T810" s="485"/>
      <c r="U810" s="485"/>
      <c r="V810" s="485"/>
      <c r="W810" s="485"/>
      <c r="X810" s="485"/>
      <c r="Y810" s="485"/>
      <c r="Z810" s="485"/>
      <c r="AA810" s="485"/>
      <c r="AB810" s="485"/>
      <c r="AC810" s="485"/>
      <c r="AD810" s="485"/>
      <c r="AE810" s="485"/>
      <c r="AF810" s="485"/>
      <c r="AG810" s="485"/>
      <c r="AH810" s="485"/>
      <c r="AI810" s="485"/>
      <c r="AJ810" s="485"/>
      <c r="AK810" s="485"/>
      <c r="AL810" s="485"/>
      <c r="AM810" s="485"/>
      <c r="AN810" s="485"/>
      <c r="AO810" s="485"/>
      <c r="AP810" s="485"/>
      <c r="AQ810" s="485"/>
      <c r="AR810" s="485"/>
      <c r="AS810" s="485"/>
      <c r="AT810" s="485"/>
      <c r="AU810" s="485"/>
      <c r="AV810" s="485"/>
      <c r="AW810" s="485"/>
      <c r="AX810" s="485"/>
      <c r="AY810" s="485"/>
      <c r="AZ810" s="485"/>
      <c r="BA810" s="485"/>
      <c r="BB810" s="485"/>
      <c r="BC810" s="485"/>
      <c r="BD810" s="485"/>
      <c r="BE810" s="485"/>
      <c r="BF810" s="485"/>
      <c r="BG810" s="485"/>
      <c r="BH810" s="485"/>
      <c r="BI810" s="485"/>
      <c r="BJ810" s="485"/>
      <c r="BK810" s="485"/>
      <c r="BL810" s="485"/>
      <c r="BM810" s="485"/>
      <c r="BN810" s="485"/>
      <c r="BO810" s="485"/>
      <c r="BP810" s="485"/>
      <c r="BQ810" s="485"/>
      <c r="BR810" s="485"/>
      <c r="BS810" s="485"/>
      <c r="BT810" s="485"/>
      <c r="BU810" s="485"/>
      <c r="BV810" s="485"/>
      <c r="BW810" s="485"/>
      <c r="BX810" s="485"/>
      <c r="BY810" s="485"/>
      <c r="BZ810" s="485"/>
      <c r="CA810" s="485"/>
      <c r="CB810" s="485"/>
      <c r="CC810" s="485"/>
      <c r="CD810" s="485"/>
      <c r="CE810" s="485"/>
      <c r="CF810" s="485"/>
      <c r="CG810" s="485"/>
      <c r="CH810" s="485"/>
      <c r="CI810" s="485"/>
      <c r="CJ810" s="485"/>
      <c r="CK810" s="485"/>
      <c r="CL810" s="485"/>
      <c r="CM810" s="485"/>
      <c r="CN810" s="485"/>
      <c r="CO810" s="485"/>
      <c r="CP810" s="485"/>
      <c r="CQ810" s="485"/>
      <c r="CR810" s="485"/>
      <c r="CS810" s="485"/>
      <c r="CT810" s="485"/>
      <c r="CU810" s="485"/>
      <c r="CV810" s="485"/>
      <c r="CW810" s="485"/>
      <c r="CX810" s="485"/>
      <c r="CY810" s="485"/>
      <c r="CZ810" s="485"/>
      <c r="DA810" s="485"/>
      <c r="DB810" s="485"/>
      <c r="DC810" s="485"/>
      <c r="DD810" s="485"/>
      <c r="DE810" s="485"/>
      <c r="DF810" s="485"/>
      <c r="DG810" s="485"/>
      <c r="DH810" s="485"/>
      <c r="DI810" s="485"/>
      <c r="DJ810" s="485"/>
      <c r="DK810" s="485"/>
      <c r="DL810" s="485"/>
      <c r="DM810" s="485"/>
      <c r="DN810" s="485"/>
      <c r="DO810" s="485"/>
      <c r="DP810" s="485"/>
      <c r="DQ810" s="485"/>
      <c r="DR810" s="485"/>
      <c r="DS810" s="485"/>
      <c r="DT810" s="485"/>
      <c r="DU810" s="485"/>
      <c r="DV810" s="485"/>
      <c r="DW810" s="485"/>
      <c r="DX810" s="485"/>
      <c r="DY810" s="485"/>
      <c r="DZ810" s="485"/>
      <c r="EA810" s="485"/>
      <c r="EB810" s="485"/>
      <c r="EC810" s="485"/>
      <c r="ED810" s="485"/>
      <c r="EE810" s="485"/>
      <c r="EF810" s="485"/>
      <c r="EG810" s="485"/>
      <c r="EH810" s="485"/>
      <c r="EI810" s="485"/>
      <c r="EJ810" s="485"/>
      <c r="EK810" s="485"/>
      <c r="EL810" s="485"/>
      <c r="EM810" s="485"/>
      <c r="EN810" s="485"/>
      <c r="EO810" s="485"/>
      <c r="EP810" s="485"/>
    </row>
    <row r="811" spans="1:146">
      <c r="A811" s="485"/>
      <c r="B811" s="485"/>
      <c r="C811" s="485"/>
      <c r="D811" s="485"/>
      <c r="E811" s="485"/>
      <c r="F811" s="485"/>
      <c r="G811" s="485"/>
      <c r="H811" s="485"/>
      <c r="I811" s="485"/>
      <c r="J811" s="485"/>
      <c r="K811" s="485"/>
      <c r="L811" s="485"/>
      <c r="M811" s="485"/>
      <c r="P811" s="485"/>
      <c r="Q811" s="485"/>
      <c r="R811" s="485"/>
      <c r="S811" s="485"/>
      <c r="T811" s="485"/>
      <c r="U811" s="485"/>
      <c r="V811" s="485"/>
      <c r="W811" s="485"/>
      <c r="X811" s="485"/>
      <c r="Y811" s="485"/>
      <c r="Z811" s="485"/>
      <c r="AA811" s="485"/>
      <c r="AB811" s="485"/>
      <c r="AC811" s="485"/>
      <c r="AD811" s="485"/>
      <c r="AE811" s="485"/>
      <c r="AF811" s="485"/>
      <c r="AG811" s="485"/>
      <c r="AH811" s="485"/>
      <c r="AI811" s="485"/>
      <c r="AJ811" s="485"/>
      <c r="AK811" s="485"/>
      <c r="AL811" s="485"/>
      <c r="AM811" s="485"/>
      <c r="AN811" s="485"/>
      <c r="AO811" s="485"/>
      <c r="AP811" s="485"/>
      <c r="AQ811" s="485"/>
      <c r="AR811" s="485"/>
      <c r="AS811" s="485"/>
      <c r="AT811" s="485"/>
      <c r="AU811" s="485"/>
      <c r="AV811" s="485"/>
      <c r="AW811" s="485"/>
      <c r="AX811" s="485"/>
      <c r="AY811" s="485"/>
      <c r="AZ811" s="485"/>
      <c r="BA811" s="485"/>
      <c r="BB811" s="485"/>
      <c r="BC811" s="485"/>
      <c r="BD811" s="485"/>
      <c r="BE811" s="485"/>
      <c r="BF811" s="485"/>
      <c r="BG811" s="485"/>
      <c r="BH811" s="485"/>
      <c r="BI811" s="485"/>
      <c r="BJ811" s="485"/>
      <c r="BK811" s="485"/>
      <c r="BL811" s="485"/>
      <c r="BM811" s="485"/>
      <c r="BN811" s="485"/>
      <c r="BO811" s="485"/>
      <c r="BP811" s="485"/>
      <c r="BQ811" s="485"/>
      <c r="BR811" s="485"/>
      <c r="BS811" s="485"/>
      <c r="BT811" s="485"/>
      <c r="BU811" s="485"/>
      <c r="BV811" s="485"/>
      <c r="BW811" s="485"/>
      <c r="BX811" s="485"/>
      <c r="BY811" s="485"/>
      <c r="BZ811" s="485"/>
      <c r="CA811" s="485"/>
      <c r="CB811" s="485"/>
      <c r="CC811" s="485"/>
      <c r="CD811" s="485"/>
      <c r="CE811" s="485"/>
      <c r="CF811" s="485"/>
      <c r="CG811" s="485"/>
      <c r="CH811" s="485"/>
      <c r="CI811" s="485"/>
      <c r="CJ811" s="485"/>
      <c r="CK811" s="485"/>
      <c r="CL811" s="485"/>
      <c r="CM811" s="485"/>
      <c r="CN811" s="485"/>
      <c r="CO811" s="485"/>
      <c r="CP811" s="485"/>
      <c r="CQ811" s="485"/>
      <c r="CR811" s="485"/>
      <c r="CS811" s="485"/>
      <c r="CT811" s="485"/>
      <c r="CU811" s="485"/>
      <c r="CV811" s="485"/>
      <c r="CW811" s="485"/>
      <c r="CX811" s="485"/>
      <c r="CY811" s="485"/>
      <c r="CZ811" s="485"/>
      <c r="DA811" s="485"/>
      <c r="DB811" s="485"/>
      <c r="DC811" s="485"/>
      <c r="DD811" s="485"/>
      <c r="DE811" s="485"/>
      <c r="DF811" s="485"/>
      <c r="DG811" s="485"/>
      <c r="DH811" s="485"/>
      <c r="DI811" s="485"/>
      <c r="DJ811" s="485"/>
      <c r="DK811" s="485"/>
      <c r="DL811" s="485"/>
      <c r="DM811" s="485"/>
      <c r="DN811" s="485"/>
      <c r="DO811" s="485"/>
      <c r="DP811" s="485"/>
      <c r="DQ811" s="485"/>
      <c r="DR811" s="485"/>
      <c r="DS811" s="485"/>
      <c r="DT811" s="485"/>
      <c r="DU811" s="485"/>
      <c r="DV811" s="485"/>
      <c r="DW811" s="485"/>
      <c r="DX811" s="485"/>
      <c r="DY811" s="485"/>
      <c r="DZ811" s="485"/>
      <c r="EA811" s="485"/>
      <c r="EB811" s="485"/>
      <c r="EC811" s="485"/>
      <c r="ED811" s="485"/>
      <c r="EE811" s="485"/>
      <c r="EF811" s="485"/>
      <c r="EG811" s="485"/>
      <c r="EH811" s="485"/>
      <c r="EI811" s="485"/>
      <c r="EJ811" s="485"/>
      <c r="EK811" s="485"/>
      <c r="EL811" s="485"/>
      <c r="EM811" s="485"/>
      <c r="EN811" s="485"/>
      <c r="EO811" s="485"/>
      <c r="EP811" s="485"/>
    </row>
    <row r="812" spans="1:146">
      <c r="A812" s="485"/>
      <c r="B812" s="485"/>
      <c r="C812" s="485"/>
      <c r="D812" s="485"/>
      <c r="E812" s="485"/>
      <c r="F812" s="485"/>
      <c r="G812" s="485"/>
      <c r="H812" s="485"/>
      <c r="I812" s="485"/>
      <c r="J812" s="485"/>
      <c r="K812" s="485"/>
      <c r="L812" s="485"/>
      <c r="M812" s="485"/>
      <c r="P812" s="485"/>
      <c r="Q812" s="485"/>
      <c r="R812" s="485"/>
      <c r="S812" s="485"/>
      <c r="T812" s="485"/>
      <c r="U812" s="485"/>
      <c r="V812" s="485"/>
      <c r="W812" s="485"/>
      <c r="X812" s="485"/>
      <c r="Y812" s="485"/>
      <c r="Z812" s="485"/>
      <c r="AA812" s="485"/>
      <c r="AB812" s="485"/>
      <c r="AC812" s="485"/>
      <c r="AD812" s="485"/>
      <c r="AE812" s="485"/>
      <c r="AF812" s="485"/>
      <c r="AG812" s="485"/>
      <c r="AH812" s="485"/>
      <c r="AI812" s="485"/>
      <c r="AJ812" s="485"/>
      <c r="AK812" s="485"/>
      <c r="AL812" s="485"/>
      <c r="AM812" s="485"/>
      <c r="AN812" s="485"/>
      <c r="AO812" s="485"/>
      <c r="AP812" s="485"/>
      <c r="AQ812" s="485"/>
      <c r="AR812" s="485"/>
      <c r="AS812" s="485"/>
      <c r="AT812" s="485"/>
      <c r="AU812" s="485"/>
      <c r="AV812" s="485"/>
      <c r="AW812" s="485"/>
      <c r="AX812" s="485"/>
      <c r="AY812" s="485"/>
      <c r="AZ812" s="485"/>
      <c r="BA812" s="485"/>
      <c r="BB812" s="485"/>
      <c r="BC812" s="485"/>
      <c r="BD812" s="485"/>
      <c r="BE812" s="485"/>
      <c r="BF812" s="485"/>
      <c r="BG812" s="485"/>
      <c r="BH812" s="485"/>
      <c r="BI812" s="485"/>
      <c r="BJ812" s="485"/>
      <c r="BK812" s="485"/>
      <c r="BL812" s="485"/>
      <c r="BM812" s="485"/>
      <c r="BN812" s="485"/>
      <c r="BO812" s="485"/>
      <c r="BP812" s="485"/>
      <c r="BQ812" s="485"/>
      <c r="BR812" s="485"/>
      <c r="BS812" s="485"/>
      <c r="BT812" s="485"/>
      <c r="BU812" s="485"/>
      <c r="BV812" s="485"/>
      <c r="BW812" s="485"/>
      <c r="BX812" s="485"/>
      <c r="BY812" s="485"/>
      <c r="BZ812" s="485"/>
      <c r="CA812" s="485"/>
      <c r="CB812" s="485"/>
      <c r="CC812" s="485"/>
      <c r="CD812" s="485"/>
      <c r="CE812" s="485"/>
      <c r="CF812" s="485"/>
      <c r="CG812" s="485"/>
      <c r="CH812" s="485"/>
      <c r="CI812" s="485"/>
      <c r="CJ812" s="485"/>
      <c r="CK812" s="485"/>
      <c r="CL812" s="485"/>
      <c r="CM812" s="485"/>
      <c r="CN812" s="485"/>
      <c r="CO812" s="485"/>
      <c r="CP812" s="485"/>
      <c r="CQ812" s="485"/>
      <c r="CR812" s="485"/>
      <c r="CS812" s="485"/>
      <c r="CT812" s="485"/>
      <c r="CU812" s="485"/>
      <c r="CV812" s="485"/>
      <c r="CW812" s="485"/>
      <c r="CX812" s="485"/>
      <c r="CY812" s="485"/>
      <c r="CZ812" s="485"/>
      <c r="DA812" s="485"/>
      <c r="DB812" s="485"/>
      <c r="DC812" s="485"/>
      <c r="DD812" s="485"/>
      <c r="DE812" s="485"/>
      <c r="DF812" s="485"/>
      <c r="DG812" s="485"/>
      <c r="DH812" s="485"/>
      <c r="DI812" s="485"/>
      <c r="DJ812" s="485"/>
      <c r="DK812" s="485"/>
      <c r="DL812" s="485"/>
      <c r="DM812" s="485"/>
      <c r="DN812" s="485"/>
      <c r="DO812" s="485"/>
      <c r="DP812" s="485"/>
      <c r="DQ812" s="485"/>
      <c r="DR812" s="485"/>
      <c r="DS812" s="485"/>
      <c r="DT812" s="485"/>
      <c r="DU812" s="485"/>
      <c r="DV812" s="485"/>
      <c r="DW812" s="485"/>
      <c r="DX812" s="485"/>
      <c r="DY812" s="485"/>
      <c r="DZ812" s="485"/>
      <c r="EA812" s="485"/>
      <c r="EB812" s="485"/>
      <c r="EC812" s="485"/>
      <c r="ED812" s="485"/>
      <c r="EE812" s="485"/>
      <c r="EF812" s="485"/>
      <c r="EG812" s="485"/>
      <c r="EH812" s="485"/>
      <c r="EI812" s="485"/>
      <c r="EJ812" s="485"/>
      <c r="EK812" s="485"/>
      <c r="EL812" s="485"/>
      <c r="EM812" s="485"/>
      <c r="EN812" s="485"/>
      <c r="EO812" s="485"/>
      <c r="EP812" s="485"/>
    </row>
    <row r="813" spans="1:146">
      <c r="A813" s="485"/>
      <c r="B813" s="485"/>
      <c r="C813" s="485"/>
      <c r="D813" s="485"/>
      <c r="E813" s="485"/>
      <c r="F813" s="485"/>
      <c r="G813" s="485"/>
      <c r="H813" s="485"/>
      <c r="I813" s="485"/>
      <c r="J813" s="485"/>
      <c r="K813" s="485"/>
      <c r="L813" s="485"/>
      <c r="M813" s="485"/>
      <c r="P813" s="485"/>
      <c r="Q813" s="485"/>
      <c r="R813" s="485"/>
      <c r="S813" s="485"/>
      <c r="T813" s="485"/>
      <c r="U813" s="485"/>
      <c r="V813" s="485"/>
      <c r="W813" s="485"/>
      <c r="X813" s="485"/>
      <c r="Y813" s="485"/>
      <c r="Z813" s="485"/>
      <c r="AA813" s="485"/>
      <c r="AB813" s="485"/>
      <c r="AC813" s="485"/>
      <c r="AD813" s="485"/>
      <c r="AE813" s="485"/>
      <c r="AF813" s="485"/>
      <c r="AG813" s="485"/>
      <c r="AH813" s="485"/>
      <c r="AI813" s="485"/>
      <c r="AJ813" s="485"/>
      <c r="AK813" s="485"/>
      <c r="AL813" s="485"/>
      <c r="AM813" s="485"/>
      <c r="AN813" s="485"/>
      <c r="AO813" s="485"/>
      <c r="AP813" s="485"/>
      <c r="AQ813" s="485"/>
      <c r="AR813" s="485"/>
      <c r="AS813" s="485"/>
      <c r="AT813" s="485"/>
      <c r="AU813" s="485"/>
      <c r="AV813" s="485"/>
      <c r="AW813" s="485"/>
      <c r="AX813" s="485"/>
      <c r="AY813" s="485"/>
      <c r="AZ813" s="485"/>
      <c r="BA813" s="485"/>
      <c r="BB813" s="485"/>
      <c r="BC813" s="485"/>
      <c r="BD813" s="485"/>
      <c r="BE813" s="485"/>
      <c r="BF813" s="485"/>
      <c r="BG813" s="485"/>
      <c r="BH813" s="485"/>
      <c r="BI813" s="485"/>
      <c r="BJ813" s="485"/>
      <c r="BK813" s="485"/>
      <c r="BL813" s="485"/>
      <c r="BM813" s="485"/>
      <c r="BN813" s="485"/>
      <c r="BO813" s="485"/>
      <c r="BP813" s="485"/>
      <c r="BQ813" s="485"/>
      <c r="BR813" s="485"/>
      <c r="BS813" s="485"/>
      <c r="BT813" s="485"/>
      <c r="BU813" s="485"/>
      <c r="BV813" s="485"/>
      <c r="BW813" s="485"/>
      <c r="BX813" s="485"/>
      <c r="BY813" s="485"/>
      <c r="BZ813" s="485"/>
      <c r="CA813" s="485"/>
      <c r="CB813" s="485"/>
      <c r="CC813" s="485"/>
      <c r="CD813" s="485"/>
      <c r="CE813" s="485"/>
      <c r="CF813" s="485"/>
      <c r="CG813" s="485"/>
      <c r="CH813" s="485"/>
      <c r="CI813" s="485"/>
      <c r="CJ813" s="485"/>
      <c r="CK813" s="485"/>
      <c r="CL813" s="485"/>
      <c r="CM813" s="485"/>
      <c r="CN813" s="485"/>
      <c r="CO813" s="485"/>
      <c r="CP813" s="485"/>
      <c r="CQ813" s="485"/>
      <c r="CR813" s="485"/>
      <c r="CS813" s="485"/>
      <c r="CT813" s="485"/>
      <c r="CU813" s="485"/>
      <c r="CV813" s="485"/>
      <c r="CW813" s="485"/>
      <c r="CX813" s="485"/>
      <c r="CY813" s="485"/>
      <c r="CZ813" s="485"/>
      <c r="DA813" s="485"/>
      <c r="DB813" s="485"/>
      <c r="DC813" s="485"/>
      <c r="DD813" s="485"/>
      <c r="DE813" s="485"/>
      <c r="DF813" s="485"/>
      <c r="DG813" s="485"/>
      <c r="DH813" s="485"/>
      <c r="DI813" s="485"/>
      <c r="DJ813" s="485"/>
      <c r="DK813" s="485"/>
      <c r="DL813" s="485"/>
      <c r="DM813" s="485"/>
      <c r="DN813" s="485"/>
      <c r="DO813" s="485"/>
      <c r="DP813" s="485"/>
      <c r="DQ813" s="485"/>
      <c r="DR813" s="485"/>
      <c r="DS813" s="485"/>
      <c r="DT813" s="485"/>
      <c r="DU813" s="485"/>
      <c r="DV813" s="485"/>
      <c r="DW813" s="485"/>
      <c r="DX813" s="485"/>
      <c r="DY813" s="485"/>
      <c r="DZ813" s="485"/>
      <c r="EA813" s="485"/>
      <c r="EB813" s="485"/>
      <c r="EC813" s="485"/>
      <c r="ED813" s="485"/>
      <c r="EE813" s="485"/>
      <c r="EF813" s="485"/>
      <c r="EG813" s="485"/>
      <c r="EH813" s="485"/>
      <c r="EI813" s="485"/>
      <c r="EJ813" s="485"/>
      <c r="EK813" s="485"/>
      <c r="EL813" s="485"/>
      <c r="EM813" s="485"/>
      <c r="EN813" s="485"/>
      <c r="EO813" s="485"/>
      <c r="EP813" s="485"/>
    </row>
    <row r="814" spans="1:146">
      <c r="A814" s="485"/>
      <c r="B814" s="485"/>
      <c r="C814" s="485"/>
      <c r="D814" s="485"/>
      <c r="E814" s="485"/>
      <c r="F814" s="485"/>
      <c r="G814" s="485"/>
      <c r="H814" s="485"/>
      <c r="I814" s="485"/>
      <c r="J814" s="485"/>
      <c r="K814" s="485"/>
      <c r="L814" s="485"/>
      <c r="M814" s="485"/>
      <c r="P814" s="485"/>
      <c r="Q814" s="485"/>
      <c r="R814" s="485"/>
      <c r="S814" s="485"/>
      <c r="T814" s="485"/>
      <c r="U814" s="485"/>
      <c r="V814" s="485"/>
      <c r="W814" s="485"/>
      <c r="X814" s="485"/>
      <c r="Y814" s="485"/>
      <c r="Z814" s="485"/>
      <c r="AA814" s="485"/>
      <c r="AB814" s="485"/>
      <c r="AC814" s="485"/>
      <c r="AD814" s="485"/>
      <c r="AE814" s="485"/>
      <c r="AF814" s="485"/>
      <c r="AG814" s="485"/>
      <c r="AH814" s="485"/>
      <c r="AI814" s="485"/>
      <c r="AJ814" s="485"/>
      <c r="AK814" s="485"/>
      <c r="AL814" s="485"/>
      <c r="AM814" s="485"/>
      <c r="AN814" s="485"/>
      <c r="AO814" s="485"/>
      <c r="AP814" s="485"/>
      <c r="AQ814" s="485"/>
      <c r="AR814" s="485"/>
      <c r="AS814" s="485"/>
      <c r="AT814" s="485"/>
      <c r="AU814" s="485"/>
      <c r="AV814" s="485"/>
      <c r="AW814" s="485"/>
      <c r="AX814" s="485"/>
      <c r="AY814" s="485"/>
      <c r="AZ814" s="485"/>
      <c r="BA814" s="485"/>
      <c r="BB814" s="485"/>
      <c r="BC814" s="485"/>
      <c r="BD814" s="485"/>
      <c r="BE814" s="485"/>
      <c r="BF814" s="485"/>
      <c r="BG814" s="485"/>
      <c r="BH814" s="485"/>
      <c r="BI814" s="485"/>
      <c r="BJ814" s="485"/>
      <c r="BK814" s="485"/>
      <c r="BL814" s="485"/>
      <c r="BM814" s="485"/>
      <c r="BN814" s="485"/>
      <c r="BO814" s="485"/>
      <c r="BP814" s="485"/>
      <c r="BQ814" s="485"/>
      <c r="BR814" s="485"/>
      <c r="BS814" s="485"/>
      <c r="BT814" s="485"/>
      <c r="BU814" s="485"/>
      <c r="BV814" s="485"/>
      <c r="BW814" s="485"/>
      <c r="BX814" s="485"/>
      <c r="BY814" s="485"/>
      <c r="BZ814" s="485"/>
      <c r="CA814" s="485"/>
      <c r="CB814" s="485"/>
      <c r="CC814" s="485"/>
      <c r="CD814" s="485"/>
      <c r="CE814" s="485"/>
      <c r="CF814" s="485"/>
      <c r="CG814" s="485"/>
      <c r="CH814" s="485"/>
      <c r="CI814" s="485"/>
      <c r="CJ814" s="485"/>
      <c r="CK814" s="485"/>
      <c r="CL814" s="485"/>
      <c r="CM814" s="485"/>
      <c r="CN814" s="485"/>
      <c r="CO814" s="485"/>
      <c r="CP814" s="485"/>
      <c r="CQ814" s="485"/>
      <c r="CR814" s="485"/>
      <c r="CS814" s="485"/>
      <c r="CT814" s="485"/>
      <c r="CU814" s="485"/>
      <c r="CV814" s="485"/>
      <c r="CW814" s="485"/>
      <c r="CX814" s="485"/>
      <c r="CY814" s="485"/>
      <c r="CZ814" s="485"/>
      <c r="DA814" s="485"/>
      <c r="DB814" s="485"/>
      <c r="DC814" s="485"/>
      <c r="DD814" s="485"/>
      <c r="DE814" s="485"/>
      <c r="DF814" s="485"/>
      <c r="DG814" s="485"/>
      <c r="DH814" s="485"/>
      <c r="DI814" s="485"/>
      <c r="DJ814" s="485"/>
      <c r="DK814" s="485"/>
      <c r="DL814" s="485"/>
      <c r="DM814" s="485"/>
      <c r="DN814" s="485"/>
      <c r="DO814" s="485"/>
      <c r="DP814" s="485"/>
      <c r="DQ814" s="485"/>
      <c r="DR814" s="485"/>
      <c r="DS814" s="485"/>
      <c r="DT814" s="485"/>
      <c r="DU814" s="485"/>
      <c r="DV814" s="485"/>
      <c r="DW814" s="485"/>
      <c r="DX814" s="485"/>
      <c r="DY814" s="485"/>
      <c r="DZ814" s="485"/>
      <c r="EA814" s="485"/>
      <c r="EB814" s="485"/>
      <c r="EC814" s="485"/>
      <c r="ED814" s="485"/>
      <c r="EE814" s="485"/>
      <c r="EF814" s="485"/>
      <c r="EG814" s="485"/>
      <c r="EH814" s="485"/>
      <c r="EI814" s="485"/>
      <c r="EJ814" s="485"/>
      <c r="EK814" s="485"/>
      <c r="EL814" s="485"/>
      <c r="EM814" s="485"/>
      <c r="EN814" s="485"/>
      <c r="EO814" s="485"/>
      <c r="EP814" s="485"/>
    </row>
    <row r="815" spans="1:146">
      <c r="A815" s="485"/>
      <c r="B815" s="485"/>
      <c r="C815" s="485"/>
      <c r="D815" s="485"/>
      <c r="E815" s="485"/>
      <c r="F815" s="485"/>
      <c r="G815" s="485"/>
      <c r="H815" s="485"/>
      <c r="I815" s="485"/>
      <c r="J815" s="485"/>
      <c r="K815" s="485"/>
      <c r="L815" s="485"/>
      <c r="M815" s="485"/>
      <c r="P815" s="485"/>
      <c r="Q815" s="485"/>
      <c r="R815" s="485"/>
      <c r="S815" s="485"/>
      <c r="T815" s="485"/>
      <c r="U815" s="485"/>
      <c r="V815" s="485"/>
      <c r="W815" s="485"/>
      <c r="X815" s="485"/>
      <c r="Y815" s="485"/>
      <c r="Z815" s="485"/>
      <c r="AA815" s="485"/>
      <c r="AB815" s="485"/>
      <c r="AC815" s="485"/>
      <c r="AD815" s="485"/>
      <c r="AE815" s="485"/>
      <c r="AF815" s="485"/>
      <c r="AG815" s="485"/>
      <c r="AH815" s="485"/>
      <c r="AI815" s="485"/>
      <c r="AJ815" s="485"/>
      <c r="AK815" s="485"/>
      <c r="AL815" s="485"/>
      <c r="AM815" s="485"/>
      <c r="AN815" s="485"/>
      <c r="AO815" s="485"/>
      <c r="AP815" s="485"/>
      <c r="AQ815" s="485"/>
      <c r="AR815" s="485"/>
      <c r="AS815" s="485"/>
      <c r="AT815" s="485"/>
      <c r="AU815" s="485"/>
      <c r="AV815" s="485"/>
      <c r="AW815" s="485"/>
      <c r="AX815" s="485"/>
      <c r="AY815" s="485"/>
      <c r="AZ815" s="485"/>
      <c r="BA815" s="485"/>
      <c r="BB815" s="485"/>
      <c r="BC815" s="485"/>
      <c r="BD815" s="485"/>
      <c r="BE815" s="485"/>
      <c r="BF815" s="485"/>
      <c r="BG815" s="485"/>
      <c r="BH815" s="485"/>
      <c r="BI815" s="485"/>
      <c r="BJ815" s="485"/>
      <c r="BK815" s="485"/>
      <c r="BL815" s="485"/>
      <c r="BM815" s="485"/>
      <c r="BN815" s="485"/>
      <c r="BO815" s="485"/>
      <c r="BP815" s="485"/>
      <c r="BQ815" s="485"/>
      <c r="BR815" s="485"/>
      <c r="BS815" s="485"/>
      <c r="BT815" s="485"/>
      <c r="BU815" s="485"/>
      <c r="BV815" s="485"/>
      <c r="BW815" s="485"/>
      <c r="BX815" s="485"/>
      <c r="BY815" s="485"/>
      <c r="BZ815" s="485"/>
      <c r="CA815" s="485"/>
      <c r="CB815" s="485"/>
      <c r="CC815" s="485"/>
      <c r="CD815" s="485"/>
      <c r="CE815" s="485"/>
      <c r="CF815" s="485"/>
      <c r="CG815" s="485"/>
      <c r="CH815" s="485"/>
      <c r="CI815" s="485"/>
      <c r="CJ815" s="485"/>
      <c r="CK815" s="485"/>
      <c r="CL815" s="485"/>
      <c r="CM815" s="485"/>
      <c r="CN815" s="485"/>
      <c r="CO815" s="485"/>
      <c r="CP815" s="485"/>
      <c r="CQ815" s="485"/>
      <c r="CR815" s="485"/>
      <c r="CS815" s="485"/>
      <c r="CT815" s="485"/>
      <c r="CU815" s="485"/>
      <c r="CV815" s="485"/>
      <c r="CW815" s="485"/>
      <c r="CX815" s="485"/>
      <c r="CY815" s="485"/>
      <c r="CZ815" s="485"/>
      <c r="DA815" s="485"/>
      <c r="DB815" s="485"/>
      <c r="DC815" s="485"/>
      <c r="DD815" s="485"/>
      <c r="DE815" s="485"/>
      <c r="DF815" s="485"/>
      <c r="DG815" s="485"/>
      <c r="DH815" s="485"/>
      <c r="DI815" s="485"/>
      <c r="DJ815" s="485"/>
      <c r="DK815" s="485"/>
      <c r="DL815" s="485"/>
      <c r="DM815" s="485"/>
      <c r="DN815" s="485"/>
      <c r="DO815" s="485"/>
      <c r="DP815" s="485"/>
      <c r="DQ815" s="485"/>
      <c r="DR815" s="485"/>
      <c r="DS815" s="485"/>
      <c r="DT815" s="485"/>
      <c r="DU815" s="485"/>
      <c r="DV815" s="485"/>
      <c r="DW815" s="485"/>
      <c r="DX815" s="485"/>
      <c r="DY815" s="485"/>
      <c r="DZ815" s="485"/>
      <c r="EA815" s="485"/>
      <c r="EB815" s="485"/>
      <c r="EC815" s="485"/>
      <c r="ED815" s="485"/>
      <c r="EE815" s="485"/>
      <c r="EF815" s="485"/>
      <c r="EG815" s="485"/>
      <c r="EH815" s="485"/>
      <c r="EI815" s="485"/>
      <c r="EJ815" s="485"/>
      <c r="EK815" s="485"/>
      <c r="EL815" s="485"/>
      <c r="EM815" s="485"/>
      <c r="EN815" s="485"/>
      <c r="EO815" s="485"/>
      <c r="EP815" s="485"/>
    </row>
    <row r="816" spans="1:146">
      <c r="A816" s="485"/>
      <c r="B816" s="485"/>
      <c r="C816" s="485"/>
      <c r="D816" s="485"/>
      <c r="E816" s="485"/>
      <c r="F816" s="485"/>
      <c r="G816" s="485"/>
      <c r="H816" s="485"/>
      <c r="I816" s="485"/>
      <c r="J816" s="485"/>
      <c r="K816" s="485"/>
      <c r="L816" s="485"/>
      <c r="M816" s="485"/>
      <c r="P816" s="485"/>
      <c r="Q816" s="485"/>
      <c r="R816" s="485"/>
      <c r="S816" s="485"/>
      <c r="T816" s="485"/>
      <c r="U816" s="485"/>
      <c r="V816" s="485"/>
      <c r="W816" s="485"/>
      <c r="X816" s="485"/>
      <c r="Y816" s="485"/>
      <c r="Z816" s="485"/>
      <c r="AA816" s="485"/>
      <c r="AB816" s="485"/>
      <c r="AC816" s="485"/>
      <c r="AD816" s="485"/>
      <c r="AE816" s="485"/>
      <c r="AF816" s="485"/>
      <c r="AG816" s="485"/>
      <c r="AH816" s="485"/>
      <c r="AI816" s="485"/>
      <c r="AJ816" s="485"/>
      <c r="AK816" s="485"/>
      <c r="AL816" s="485"/>
      <c r="AM816" s="485"/>
      <c r="AN816" s="485"/>
      <c r="AO816" s="485"/>
      <c r="AP816" s="485"/>
      <c r="AQ816" s="485"/>
      <c r="AR816" s="485"/>
      <c r="AS816" s="485"/>
      <c r="AT816" s="485"/>
      <c r="AU816" s="485"/>
      <c r="AV816" s="485"/>
      <c r="AW816" s="485"/>
      <c r="AX816" s="485"/>
      <c r="AY816" s="485"/>
      <c r="AZ816" s="485"/>
      <c r="BA816" s="485"/>
      <c r="BB816" s="485"/>
      <c r="BC816" s="485"/>
      <c r="BD816" s="485"/>
      <c r="BE816" s="485"/>
      <c r="BF816" s="485"/>
      <c r="BG816" s="485"/>
      <c r="BH816" s="485"/>
      <c r="BI816" s="485"/>
      <c r="BJ816" s="485"/>
      <c r="BK816" s="485"/>
      <c r="BL816" s="485"/>
      <c r="BM816" s="485"/>
      <c r="BN816" s="485"/>
      <c r="BO816" s="485"/>
      <c r="BP816" s="485"/>
      <c r="BQ816" s="485"/>
      <c r="BR816" s="485"/>
      <c r="BS816" s="485"/>
      <c r="BT816" s="485"/>
      <c r="BU816" s="485"/>
      <c r="BV816" s="485"/>
      <c r="BW816" s="485"/>
      <c r="BX816" s="485"/>
      <c r="BY816" s="485"/>
      <c r="BZ816" s="485"/>
      <c r="CA816" s="485"/>
      <c r="CB816" s="485"/>
      <c r="CC816" s="485"/>
      <c r="CD816" s="485"/>
      <c r="CE816" s="485"/>
      <c r="CF816" s="485"/>
      <c r="CG816" s="485"/>
      <c r="CH816" s="485"/>
      <c r="CI816" s="485"/>
      <c r="CJ816" s="485"/>
      <c r="CK816" s="485"/>
      <c r="CL816" s="485"/>
      <c r="CM816" s="485"/>
      <c r="CN816" s="485"/>
      <c r="CO816" s="485"/>
      <c r="CP816" s="485"/>
      <c r="CQ816" s="485"/>
      <c r="CR816" s="485"/>
      <c r="CS816" s="485"/>
      <c r="CT816" s="485"/>
      <c r="CU816" s="485"/>
      <c r="CV816" s="485"/>
      <c r="CW816" s="485"/>
      <c r="CX816" s="485"/>
      <c r="CY816" s="485"/>
      <c r="CZ816" s="485"/>
      <c r="DA816" s="485"/>
      <c r="DB816" s="485"/>
      <c r="DC816" s="485"/>
      <c r="DD816" s="485"/>
      <c r="DE816" s="485"/>
      <c r="DF816" s="485"/>
      <c r="DG816" s="485"/>
      <c r="DH816" s="485"/>
      <c r="DI816" s="485"/>
      <c r="DJ816" s="485"/>
      <c r="DK816" s="485"/>
      <c r="DL816" s="485"/>
      <c r="DM816" s="485"/>
      <c r="DN816" s="485"/>
      <c r="DO816" s="485"/>
      <c r="DP816" s="485"/>
      <c r="DQ816" s="485"/>
      <c r="DR816" s="485"/>
      <c r="DS816" s="485"/>
      <c r="DT816" s="485"/>
      <c r="DU816" s="485"/>
      <c r="DV816" s="485"/>
      <c r="DW816" s="485"/>
      <c r="DX816" s="485"/>
      <c r="DY816" s="485"/>
      <c r="DZ816" s="485"/>
      <c r="EA816" s="485"/>
      <c r="EB816" s="485"/>
      <c r="EC816" s="485"/>
      <c r="ED816" s="485"/>
      <c r="EE816" s="485"/>
      <c r="EF816" s="485"/>
      <c r="EG816" s="485"/>
      <c r="EH816" s="485"/>
      <c r="EI816" s="485"/>
      <c r="EJ816" s="485"/>
      <c r="EK816" s="485"/>
      <c r="EL816" s="485"/>
      <c r="EM816" s="485"/>
      <c r="EN816" s="485"/>
      <c r="EO816" s="485"/>
      <c r="EP816" s="485"/>
    </row>
    <row r="817" spans="1:146">
      <c r="A817" s="485"/>
      <c r="B817" s="485"/>
      <c r="C817" s="485"/>
      <c r="D817" s="485"/>
      <c r="E817" s="485"/>
      <c r="F817" s="485"/>
      <c r="G817" s="485"/>
      <c r="H817" s="485"/>
      <c r="I817" s="485"/>
      <c r="J817" s="485"/>
      <c r="K817" s="485"/>
      <c r="L817" s="485"/>
      <c r="M817" s="485"/>
      <c r="P817" s="485"/>
      <c r="Q817" s="485"/>
      <c r="R817" s="485"/>
      <c r="S817" s="485"/>
      <c r="T817" s="485"/>
      <c r="U817" s="485"/>
      <c r="V817" s="485"/>
      <c r="W817" s="485"/>
      <c r="X817" s="485"/>
      <c r="Y817" s="485"/>
      <c r="Z817" s="485"/>
      <c r="AA817" s="485"/>
      <c r="AB817" s="485"/>
      <c r="AC817" s="485"/>
      <c r="AD817" s="485"/>
      <c r="AE817" s="485"/>
      <c r="AF817" s="485"/>
      <c r="AG817" s="485"/>
      <c r="AH817" s="485"/>
      <c r="AI817" s="485"/>
      <c r="AJ817" s="485"/>
      <c r="AK817" s="485"/>
      <c r="AL817" s="485"/>
      <c r="AM817" s="485"/>
      <c r="AN817" s="485"/>
      <c r="AO817" s="485"/>
      <c r="AP817" s="485"/>
      <c r="AQ817" s="485"/>
      <c r="AR817" s="485"/>
      <c r="AS817" s="485"/>
      <c r="AT817" s="485"/>
      <c r="AU817" s="485"/>
      <c r="AV817" s="485"/>
      <c r="AW817" s="485"/>
      <c r="AX817" s="485"/>
      <c r="AY817" s="485"/>
      <c r="AZ817" s="485"/>
      <c r="BA817" s="485"/>
      <c r="BB817" s="485"/>
      <c r="BC817" s="485"/>
      <c r="BD817" s="485"/>
      <c r="BE817" s="485"/>
      <c r="BF817" s="485"/>
      <c r="BG817" s="485"/>
      <c r="BH817" s="485"/>
      <c r="BI817" s="485"/>
      <c r="BJ817" s="485"/>
      <c r="BK817" s="485"/>
      <c r="BL817" s="485"/>
      <c r="BM817" s="485"/>
      <c r="BN817" s="485"/>
      <c r="BO817" s="485"/>
      <c r="BP817" s="485"/>
      <c r="BQ817" s="485"/>
      <c r="BR817" s="485"/>
      <c r="BS817" s="485"/>
      <c r="BT817" s="485"/>
      <c r="BU817" s="485"/>
      <c r="BV817" s="485"/>
      <c r="BW817" s="485"/>
      <c r="BX817" s="485"/>
      <c r="BY817" s="485"/>
      <c r="BZ817" s="485"/>
      <c r="CA817" s="485"/>
      <c r="CB817" s="485"/>
      <c r="CC817" s="485"/>
      <c r="CD817" s="485"/>
      <c r="CE817" s="485"/>
      <c r="CF817" s="485"/>
      <c r="CG817" s="485"/>
      <c r="CH817" s="485"/>
      <c r="CI817" s="485"/>
      <c r="CJ817" s="485"/>
      <c r="CK817" s="485"/>
      <c r="CL817" s="485"/>
      <c r="CM817" s="485"/>
      <c r="CN817" s="485"/>
      <c r="CO817" s="485"/>
      <c r="CP817" s="485"/>
      <c r="CQ817" s="485"/>
      <c r="CR817" s="485"/>
      <c r="CS817" s="485"/>
      <c r="CT817" s="485"/>
      <c r="CU817" s="485"/>
      <c r="CV817" s="485"/>
      <c r="CW817" s="485"/>
      <c r="CX817" s="485"/>
      <c r="CY817" s="485"/>
      <c r="CZ817" s="485"/>
      <c r="DA817" s="485"/>
      <c r="DB817" s="485"/>
      <c r="DC817" s="485"/>
      <c r="DD817" s="485"/>
      <c r="DE817" s="485"/>
      <c r="DF817" s="485"/>
      <c r="DG817" s="485"/>
      <c r="DH817" s="485"/>
      <c r="DI817" s="485"/>
      <c r="DJ817" s="485"/>
      <c r="DK817" s="485"/>
      <c r="DL817" s="485"/>
      <c r="DM817" s="485"/>
      <c r="DN817" s="485"/>
      <c r="DO817" s="485"/>
      <c r="DP817" s="485"/>
      <c r="DQ817" s="485"/>
      <c r="DR817" s="485"/>
      <c r="DS817" s="485"/>
      <c r="DT817" s="485"/>
      <c r="DU817" s="485"/>
      <c r="DV817" s="485"/>
      <c r="DW817" s="485"/>
      <c r="DX817" s="485"/>
      <c r="DY817" s="485"/>
      <c r="DZ817" s="485"/>
      <c r="EA817" s="485"/>
      <c r="EB817" s="485"/>
      <c r="EC817" s="485"/>
      <c r="ED817" s="485"/>
      <c r="EE817" s="485"/>
      <c r="EF817" s="485"/>
      <c r="EG817" s="485"/>
      <c r="EH817" s="485"/>
      <c r="EI817" s="485"/>
      <c r="EJ817" s="485"/>
      <c r="EK817" s="485"/>
      <c r="EL817" s="485"/>
      <c r="EM817" s="485"/>
      <c r="EN817" s="485"/>
      <c r="EO817" s="485"/>
      <c r="EP817" s="485"/>
    </row>
    <row r="818" spans="1:146">
      <c r="A818" s="485"/>
      <c r="B818" s="485"/>
      <c r="C818" s="485"/>
      <c r="D818" s="485"/>
      <c r="E818" s="485"/>
      <c r="F818" s="485"/>
      <c r="G818" s="485"/>
      <c r="H818" s="485"/>
      <c r="I818" s="485"/>
      <c r="J818" s="485"/>
      <c r="K818" s="485"/>
      <c r="L818" s="485"/>
      <c r="M818" s="485"/>
      <c r="P818" s="485"/>
      <c r="Q818" s="485"/>
      <c r="R818" s="485"/>
      <c r="S818" s="485"/>
      <c r="T818" s="485"/>
      <c r="U818" s="485"/>
      <c r="V818" s="485"/>
      <c r="W818" s="485"/>
      <c r="X818" s="485"/>
      <c r="Y818" s="485"/>
      <c r="Z818" s="485"/>
      <c r="AA818" s="485"/>
      <c r="AB818" s="485"/>
      <c r="AC818" s="485"/>
      <c r="AD818" s="485"/>
      <c r="AE818" s="485"/>
      <c r="AF818" s="485"/>
      <c r="AG818" s="485"/>
      <c r="AH818" s="485"/>
      <c r="AI818" s="485"/>
      <c r="AJ818" s="485"/>
      <c r="AK818" s="485"/>
      <c r="AL818" s="485"/>
      <c r="AM818" s="485"/>
      <c r="AN818" s="485"/>
      <c r="AO818" s="485"/>
      <c r="AP818" s="485"/>
      <c r="AQ818" s="485"/>
      <c r="AR818" s="485"/>
      <c r="AS818" s="485"/>
      <c r="AT818" s="485"/>
      <c r="AU818" s="485"/>
      <c r="AV818" s="485"/>
      <c r="AW818" s="485"/>
      <c r="AX818" s="485"/>
      <c r="AY818" s="485"/>
      <c r="AZ818" s="485"/>
      <c r="BA818" s="485"/>
      <c r="BB818" s="485"/>
      <c r="BC818" s="485"/>
      <c r="BD818" s="485"/>
      <c r="BE818" s="485"/>
      <c r="BF818" s="485"/>
      <c r="BG818" s="485"/>
      <c r="BH818" s="485"/>
      <c r="BI818" s="485"/>
      <c r="BJ818" s="485"/>
      <c r="BK818" s="485"/>
      <c r="BL818" s="485"/>
      <c r="BM818" s="485"/>
      <c r="BN818" s="485"/>
      <c r="BO818" s="485"/>
      <c r="BP818" s="485"/>
      <c r="BQ818" s="485"/>
      <c r="BR818" s="485"/>
      <c r="BS818" s="485"/>
      <c r="BT818" s="485"/>
      <c r="BU818" s="485"/>
      <c r="BV818" s="485"/>
      <c r="BW818" s="485"/>
      <c r="BX818" s="485"/>
      <c r="BY818" s="485"/>
      <c r="BZ818" s="485"/>
      <c r="CA818" s="485"/>
      <c r="CB818" s="485"/>
      <c r="CC818" s="485"/>
      <c r="CD818" s="485"/>
      <c r="CE818" s="485"/>
      <c r="CF818" s="485"/>
      <c r="CG818" s="485"/>
      <c r="CH818" s="485"/>
      <c r="CI818" s="485"/>
      <c r="CJ818" s="485"/>
      <c r="CK818" s="485"/>
      <c r="CL818" s="485"/>
      <c r="CM818" s="485"/>
      <c r="CN818" s="485"/>
      <c r="CO818" s="485"/>
      <c r="CP818" s="485"/>
      <c r="CQ818" s="485"/>
      <c r="CR818" s="485"/>
      <c r="CS818" s="485"/>
      <c r="CT818" s="485"/>
      <c r="CU818" s="485"/>
      <c r="CV818" s="485"/>
      <c r="CW818" s="485"/>
      <c r="CX818" s="485"/>
      <c r="CY818" s="485"/>
      <c r="CZ818" s="485"/>
      <c r="DA818" s="485"/>
      <c r="DB818" s="485"/>
      <c r="DC818" s="485"/>
      <c r="DD818" s="485"/>
      <c r="DE818" s="485"/>
      <c r="DF818" s="485"/>
      <c r="DG818" s="485"/>
      <c r="DH818" s="485"/>
      <c r="DI818" s="485"/>
      <c r="DJ818" s="485"/>
      <c r="DK818" s="485"/>
      <c r="DL818" s="485"/>
      <c r="DM818" s="485"/>
      <c r="DN818" s="485"/>
      <c r="DO818" s="485"/>
      <c r="DP818" s="485"/>
      <c r="DQ818" s="485"/>
      <c r="DR818" s="485"/>
      <c r="DS818" s="485"/>
      <c r="DT818" s="485"/>
      <c r="DU818" s="485"/>
      <c r="DV818" s="485"/>
      <c r="DW818" s="485"/>
      <c r="DX818" s="485"/>
      <c r="DY818" s="485"/>
      <c r="DZ818" s="485"/>
      <c r="EA818" s="485"/>
      <c r="EB818" s="485"/>
      <c r="EC818" s="485"/>
      <c r="ED818" s="485"/>
      <c r="EE818" s="485"/>
      <c r="EF818" s="485"/>
      <c r="EG818" s="485"/>
      <c r="EH818" s="485"/>
      <c r="EI818" s="485"/>
      <c r="EJ818" s="485"/>
      <c r="EK818" s="485"/>
      <c r="EL818" s="485"/>
      <c r="EM818" s="485"/>
      <c r="EN818" s="485"/>
      <c r="EO818" s="485"/>
      <c r="EP818" s="485"/>
    </row>
    <row r="819" spans="1:146">
      <c r="A819" s="485"/>
      <c r="B819" s="485"/>
      <c r="C819" s="485"/>
      <c r="D819" s="485"/>
      <c r="E819" s="485"/>
      <c r="F819" s="485"/>
      <c r="G819" s="485"/>
      <c r="H819" s="485"/>
      <c r="I819" s="485"/>
      <c r="J819" s="485"/>
      <c r="K819" s="485"/>
      <c r="L819" s="485"/>
      <c r="M819" s="485"/>
      <c r="P819" s="485"/>
      <c r="Q819" s="485"/>
      <c r="R819" s="485"/>
      <c r="S819" s="485"/>
      <c r="T819" s="485"/>
      <c r="U819" s="485"/>
      <c r="V819" s="485"/>
      <c r="W819" s="485"/>
      <c r="X819" s="485"/>
      <c r="Y819" s="485"/>
      <c r="Z819" s="485"/>
      <c r="AA819" s="485"/>
      <c r="AB819" s="485"/>
      <c r="AC819" s="485"/>
      <c r="AD819" s="485"/>
      <c r="AE819" s="485"/>
      <c r="AF819" s="485"/>
      <c r="AG819" s="485"/>
      <c r="AH819" s="485"/>
      <c r="AI819" s="485"/>
      <c r="AJ819" s="485"/>
      <c r="AK819" s="485"/>
      <c r="AL819" s="485"/>
      <c r="AM819" s="485"/>
      <c r="AN819" s="485"/>
      <c r="AO819" s="485"/>
      <c r="AP819" s="485"/>
      <c r="AQ819" s="485"/>
      <c r="AR819" s="485"/>
      <c r="AS819" s="485"/>
      <c r="AT819" s="485"/>
      <c r="AU819" s="485"/>
      <c r="AV819" s="485"/>
      <c r="AW819" s="485"/>
      <c r="AX819" s="485"/>
      <c r="AY819" s="485"/>
      <c r="AZ819" s="485"/>
      <c r="BA819" s="485"/>
      <c r="BB819" s="485"/>
      <c r="BC819" s="485"/>
      <c r="BD819" s="485"/>
      <c r="BE819" s="485"/>
      <c r="BF819" s="485"/>
      <c r="BG819" s="485"/>
      <c r="BH819" s="485"/>
      <c r="BI819" s="485"/>
      <c r="BJ819" s="485"/>
      <c r="BK819" s="485"/>
      <c r="BL819" s="485"/>
      <c r="BM819" s="485"/>
      <c r="BN819" s="485"/>
      <c r="BO819" s="485"/>
      <c r="BP819" s="485"/>
      <c r="BQ819" s="485"/>
      <c r="BR819" s="485"/>
      <c r="BS819" s="485"/>
      <c r="BT819" s="485"/>
      <c r="BU819" s="485"/>
      <c r="BV819" s="485"/>
      <c r="BW819" s="485"/>
      <c r="BX819" s="485"/>
      <c r="BY819" s="485"/>
      <c r="BZ819" s="485"/>
      <c r="CA819" s="485"/>
      <c r="CB819" s="485"/>
      <c r="CC819" s="485"/>
      <c r="CD819" s="485"/>
      <c r="CE819" s="485"/>
      <c r="CF819" s="485"/>
      <c r="CG819" s="485"/>
      <c r="CH819" s="485"/>
      <c r="CI819" s="485"/>
      <c r="CJ819" s="485"/>
      <c r="CK819" s="485"/>
      <c r="CL819" s="485"/>
      <c r="CM819" s="485"/>
      <c r="CN819" s="485"/>
      <c r="CO819" s="485"/>
      <c r="CP819" s="485"/>
      <c r="CQ819" s="485"/>
      <c r="CR819" s="485"/>
      <c r="CS819" s="485"/>
      <c r="CT819" s="485"/>
      <c r="CU819" s="485"/>
      <c r="CV819" s="485"/>
      <c r="CW819" s="485"/>
      <c r="CX819" s="485"/>
      <c r="CY819" s="485"/>
      <c r="CZ819" s="485"/>
      <c r="DA819" s="485"/>
      <c r="DB819" s="485"/>
      <c r="DC819" s="485"/>
      <c r="DD819" s="485"/>
      <c r="DE819" s="485"/>
      <c r="DF819" s="485"/>
      <c r="DG819" s="485"/>
      <c r="DH819" s="485"/>
      <c r="DI819" s="485"/>
      <c r="DJ819" s="485"/>
      <c r="DK819" s="485"/>
      <c r="DL819" s="485"/>
      <c r="DM819" s="485"/>
      <c r="DN819" s="485"/>
      <c r="DO819" s="485"/>
      <c r="DP819" s="485"/>
      <c r="DQ819" s="485"/>
      <c r="DR819" s="485"/>
      <c r="DS819" s="485"/>
      <c r="DT819" s="485"/>
      <c r="DU819" s="485"/>
      <c r="DV819" s="485"/>
      <c r="DW819" s="485"/>
      <c r="DX819" s="485"/>
      <c r="DY819" s="485"/>
      <c r="DZ819" s="485"/>
      <c r="EA819" s="485"/>
      <c r="EB819" s="485"/>
      <c r="EC819" s="485"/>
      <c r="ED819" s="485"/>
      <c r="EE819" s="485"/>
      <c r="EF819" s="485"/>
      <c r="EG819" s="485"/>
      <c r="EH819" s="485"/>
      <c r="EI819" s="485"/>
      <c r="EJ819" s="485"/>
      <c r="EK819" s="485"/>
      <c r="EL819" s="485"/>
      <c r="EM819" s="485"/>
      <c r="EN819" s="485"/>
      <c r="EO819" s="485"/>
      <c r="EP819" s="485"/>
    </row>
    <row r="820" spans="1:146">
      <c r="A820" s="485"/>
      <c r="B820" s="485"/>
      <c r="C820" s="485"/>
      <c r="D820" s="485"/>
      <c r="E820" s="485"/>
      <c r="F820" s="485"/>
      <c r="G820" s="485"/>
      <c r="H820" s="485"/>
      <c r="I820" s="485"/>
      <c r="J820" s="485"/>
      <c r="K820" s="485"/>
      <c r="L820" s="485"/>
      <c r="M820" s="485"/>
      <c r="P820" s="485"/>
      <c r="Q820" s="485"/>
      <c r="R820" s="485"/>
      <c r="S820" s="485"/>
      <c r="T820" s="485"/>
      <c r="U820" s="485"/>
      <c r="V820" s="485"/>
      <c r="W820" s="485"/>
      <c r="X820" s="485"/>
      <c r="Y820" s="485"/>
      <c r="Z820" s="485"/>
      <c r="AA820" s="485"/>
      <c r="AB820" s="485"/>
      <c r="AC820" s="485"/>
      <c r="AD820" s="485"/>
      <c r="AE820" s="485"/>
      <c r="AF820" s="485"/>
      <c r="AG820" s="485"/>
      <c r="AH820" s="485"/>
      <c r="AI820" s="485"/>
      <c r="AJ820" s="485"/>
      <c r="AK820" s="485"/>
      <c r="AL820" s="485"/>
      <c r="AM820" s="485"/>
      <c r="AN820" s="485"/>
      <c r="AO820" s="485"/>
      <c r="AP820" s="485"/>
      <c r="AQ820" s="485"/>
      <c r="AR820" s="485"/>
      <c r="AS820" s="485"/>
      <c r="AT820" s="485"/>
      <c r="AU820" s="485"/>
      <c r="AV820" s="485"/>
      <c r="AW820" s="485"/>
      <c r="AX820" s="485"/>
      <c r="AY820" s="485"/>
      <c r="AZ820" s="485"/>
      <c r="BA820" s="485"/>
      <c r="BB820" s="485"/>
      <c r="BC820" s="485"/>
      <c r="BD820" s="485"/>
      <c r="BE820" s="485"/>
      <c r="BF820" s="485"/>
      <c r="BG820" s="485"/>
      <c r="BH820" s="485"/>
      <c r="BI820" s="485"/>
      <c r="BJ820" s="485"/>
      <c r="BK820" s="485"/>
      <c r="BL820" s="485"/>
      <c r="BM820" s="485"/>
      <c r="BN820" s="485"/>
      <c r="BO820" s="485"/>
      <c r="BP820" s="485"/>
      <c r="BQ820" s="485"/>
      <c r="BR820" s="485"/>
      <c r="BS820" s="485"/>
      <c r="BT820" s="485"/>
      <c r="BU820" s="485"/>
      <c r="BV820" s="485"/>
      <c r="BW820" s="485"/>
      <c r="BX820" s="485"/>
      <c r="BY820" s="485"/>
      <c r="BZ820" s="485"/>
      <c r="CA820" s="485"/>
      <c r="CB820" s="485"/>
      <c r="CC820" s="485"/>
      <c r="CD820" s="485"/>
      <c r="CE820" s="485"/>
      <c r="CF820" s="485"/>
      <c r="CG820" s="485"/>
      <c r="CH820" s="485"/>
      <c r="CI820" s="485"/>
      <c r="CJ820" s="485"/>
      <c r="CK820" s="485"/>
      <c r="CL820" s="485"/>
      <c r="CM820" s="485"/>
      <c r="CN820" s="485"/>
      <c r="CO820" s="485"/>
      <c r="CP820" s="485"/>
      <c r="CQ820" s="485"/>
      <c r="CR820" s="485"/>
      <c r="CS820" s="485"/>
      <c r="CT820" s="485"/>
      <c r="CU820" s="485"/>
      <c r="CV820" s="485"/>
      <c r="CW820" s="485"/>
      <c r="CX820" s="485"/>
      <c r="CY820" s="485"/>
      <c r="CZ820" s="485"/>
      <c r="DA820" s="485"/>
      <c r="DB820" s="485"/>
      <c r="DC820" s="485"/>
      <c r="DD820" s="485"/>
      <c r="DE820" s="485"/>
      <c r="DF820" s="485"/>
      <c r="DG820" s="485"/>
      <c r="DH820" s="485"/>
      <c r="DI820" s="485"/>
      <c r="DJ820" s="485"/>
      <c r="DK820" s="485"/>
      <c r="DL820" s="485"/>
      <c r="DM820" s="485"/>
      <c r="DN820" s="485"/>
      <c r="DO820" s="485"/>
      <c r="DP820" s="485"/>
      <c r="DQ820" s="485"/>
      <c r="DR820" s="485"/>
      <c r="DS820" s="485"/>
      <c r="DT820" s="485"/>
      <c r="DU820" s="485"/>
      <c r="DV820" s="485"/>
      <c r="DW820" s="485"/>
      <c r="DX820" s="485"/>
      <c r="DY820" s="485"/>
      <c r="DZ820" s="485"/>
      <c r="EA820" s="485"/>
      <c r="EB820" s="485"/>
      <c r="EC820" s="485"/>
      <c r="ED820" s="485"/>
      <c r="EE820" s="485"/>
      <c r="EF820" s="485"/>
      <c r="EG820" s="485"/>
      <c r="EH820" s="485"/>
      <c r="EI820" s="485"/>
      <c r="EJ820" s="485"/>
      <c r="EK820" s="485"/>
      <c r="EL820" s="485"/>
      <c r="EM820" s="485"/>
      <c r="EN820" s="485"/>
      <c r="EO820" s="485"/>
      <c r="EP820" s="485"/>
    </row>
    <row r="821" spans="1:146">
      <c r="A821" s="485"/>
      <c r="B821" s="485"/>
      <c r="C821" s="485"/>
      <c r="D821" s="485"/>
      <c r="E821" s="485"/>
      <c r="F821" s="485"/>
      <c r="G821" s="485"/>
      <c r="H821" s="485"/>
      <c r="I821" s="485"/>
      <c r="J821" s="485"/>
      <c r="K821" s="485"/>
      <c r="L821" s="485"/>
      <c r="M821" s="485"/>
      <c r="P821" s="485"/>
      <c r="Q821" s="485"/>
      <c r="R821" s="485"/>
      <c r="S821" s="485"/>
      <c r="T821" s="485"/>
      <c r="U821" s="485"/>
      <c r="V821" s="485"/>
      <c r="W821" s="485"/>
      <c r="X821" s="485"/>
      <c r="Y821" s="485"/>
      <c r="Z821" s="485"/>
      <c r="AA821" s="485"/>
      <c r="AB821" s="485"/>
      <c r="AC821" s="485"/>
      <c r="AD821" s="485"/>
      <c r="AE821" s="485"/>
      <c r="AF821" s="485"/>
      <c r="AG821" s="485"/>
      <c r="AH821" s="485"/>
      <c r="AI821" s="485"/>
      <c r="AJ821" s="485"/>
      <c r="AK821" s="485"/>
      <c r="AL821" s="485"/>
      <c r="AM821" s="485"/>
      <c r="AN821" s="485"/>
      <c r="AO821" s="485"/>
      <c r="AP821" s="485"/>
      <c r="AQ821" s="485"/>
      <c r="AR821" s="485"/>
      <c r="AS821" s="485"/>
      <c r="AT821" s="485"/>
      <c r="AU821" s="485"/>
      <c r="AV821" s="485"/>
      <c r="AW821" s="485"/>
      <c r="AX821" s="485"/>
      <c r="AY821" s="485"/>
      <c r="AZ821" s="485"/>
      <c r="BA821" s="485"/>
      <c r="BB821" s="485"/>
      <c r="BC821" s="485"/>
      <c r="BD821" s="485"/>
      <c r="BE821" s="485"/>
      <c r="BF821" s="485"/>
      <c r="BG821" s="485"/>
      <c r="BH821" s="485"/>
      <c r="BI821" s="485"/>
      <c r="BJ821" s="485"/>
      <c r="BK821" s="485"/>
      <c r="BL821" s="485"/>
      <c r="BM821" s="485"/>
      <c r="BN821" s="485"/>
      <c r="BO821" s="485"/>
      <c r="BP821" s="485"/>
      <c r="BQ821" s="485"/>
      <c r="BR821" s="485"/>
      <c r="BS821" s="485"/>
      <c r="BT821" s="485"/>
      <c r="BU821" s="485"/>
      <c r="BV821" s="485"/>
      <c r="BW821" s="485"/>
      <c r="BX821" s="485"/>
      <c r="BY821" s="485"/>
      <c r="BZ821" s="485"/>
      <c r="CA821" s="485"/>
      <c r="CB821" s="485"/>
      <c r="CC821" s="485"/>
      <c r="CD821" s="485"/>
      <c r="CE821" s="485"/>
      <c r="CF821" s="485"/>
      <c r="CG821" s="485"/>
      <c r="CH821" s="485"/>
      <c r="CI821" s="485"/>
      <c r="CJ821" s="485"/>
      <c r="CK821" s="485"/>
      <c r="CL821" s="485"/>
      <c r="CM821" s="485"/>
      <c r="CN821" s="485"/>
      <c r="CO821" s="485"/>
      <c r="CP821" s="485"/>
      <c r="CQ821" s="485"/>
      <c r="CR821" s="485"/>
      <c r="CS821" s="485"/>
      <c r="CT821" s="485"/>
      <c r="CU821" s="485"/>
      <c r="CV821" s="485"/>
      <c r="CW821" s="485"/>
      <c r="CX821" s="485"/>
      <c r="CY821" s="485"/>
      <c r="CZ821" s="485"/>
      <c r="DA821" s="485"/>
      <c r="DB821" s="485"/>
      <c r="DC821" s="485"/>
      <c r="DD821" s="485"/>
      <c r="DE821" s="485"/>
      <c r="DF821" s="485"/>
      <c r="DG821" s="485"/>
      <c r="DH821" s="485"/>
      <c r="DI821" s="485"/>
      <c r="DJ821" s="485"/>
      <c r="DK821" s="485"/>
      <c r="DL821" s="485"/>
      <c r="DM821" s="485"/>
      <c r="DN821" s="485"/>
      <c r="DO821" s="485"/>
      <c r="DP821" s="485"/>
      <c r="DQ821" s="485"/>
      <c r="DR821" s="485"/>
      <c r="DS821" s="485"/>
      <c r="DT821" s="485"/>
      <c r="DU821" s="485"/>
      <c r="DV821" s="485"/>
      <c r="DW821" s="485"/>
      <c r="DX821" s="485"/>
      <c r="DY821" s="485"/>
      <c r="DZ821" s="485"/>
      <c r="EA821" s="485"/>
      <c r="EB821" s="485"/>
      <c r="EC821" s="485"/>
      <c r="ED821" s="485"/>
      <c r="EE821" s="485"/>
      <c r="EF821" s="485"/>
      <c r="EG821" s="485"/>
      <c r="EH821" s="485"/>
      <c r="EI821" s="485"/>
      <c r="EJ821" s="485"/>
      <c r="EK821" s="485"/>
      <c r="EL821" s="485"/>
      <c r="EM821" s="485"/>
      <c r="EN821" s="485"/>
      <c r="EO821" s="485"/>
      <c r="EP821" s="485"/>
    </row>
    <row r="822" spans="1:146">
      <c r="A822" s="485"/>
      <c r="B822" s="485"/>
      <c r="C822" s="485"/>
      <c r="D822" s="485"/>
      <c r="E822" s="485"/>
      <c r="F822" s="485"/>
      <c r="G822" s="485"/>
      <c r="H822" s="485"/>
      <c r="I822" s="485"/>
      <c r="J822" s="485"/>
      <c r="K822" s="485"/>
      <c r="L822" s="485"/>
      <c r="M822" s="485"/>
      <c r="P822" s="485"/>
      <c r="Q822" s="485"/>
      <c r="R822" s="485"/>
      <c r="S822" s="485"/>
      <c r="T822" s="485"/>
      <c r="U822" s="485"/>
      <c r="V822" s="485"/>
      <c r="W822" s="485"/>
      <c r="X822" s="485"/>
      <c r="Y822" s="485"/>
      <c r="Z822" s="485"/>
      <c r="AA822" s="485"/>
      <c r="AB822" s="485"/>
      <c r="AC822" s="485"/>
      <c r="AD822" s="485"/>
      <c r="AE822" s="485"/>
      <c r="AF822" s="485"/>
      <c r="AG822" s="485"/>
      <c r="AH822" s="485"/>
      <c r="AI822" s="485"/>
      <c r="AJ822" s="485"/>
      <c r="AK822" s="485"/>
      <c r="AL822" s="485"/>
      <c r="AM822" s="485"/>
      <c r="AN822" s="485"/>
      <c r="AO822" s="485"/>
      <c r="AP822" s="485"/>
      <c r="AQ822" s="485"/>
      <c r="AR822" s="485"/>
      <c r="AS822" s="485"/>
      <c r="AT822" s="485"/>
      <c r="AU822" s="485"/>
      <c r="AV822" s="485"/>
      <c r="AW822" s="485"/>
      <c r="AX822" s="485"/>
      <c r="AY822" s="485"/>
      <c r="AZ822" s="485"/>
      <c r="BA822" s="485"/>
      <c r="BB822" s="485"/>
      <c r="BC822" s="485"/>
      <c r="BD822" s="485"/>
      <c r="BE822" s="485"/>
      <c r="BF822" s="485"/>
      <c r="BG822" s="485"/>
      <c r="BH822" s="485"/>
      <c r="BI822" s="485"/>
      <c r="BJ822" s="485"/>
      <c r="BK822" s="485"/>
      <c r="BL822" s="485"/>
      <c r="BM822" s="485"/>
      <c r="BN822" s="485"/>
      <c r="BO822" s="485"/>
      <c r="BP822" s="485"/>
      <c r="BQ822" s="485"/>
      <c r="BR822" s="485"/>
      <c r="BS822" s="485"/>
      <c r="BT822" s="485"/>
      <c r="BU822" s="485"/>
      <c r="BV822" s="485"/>
      <c r="BW822" s="485"/>
      <c r="BX822" s="485"/>
      <c r="BY822" s="485"/>
      <c r="BZ822" s="485"/>
      <c r="CA822" s="485"/>
      <c r="CB822" s="485"/>
      <c r="CC822" s="485"/>
      <c r="CD822" s="485"/>
      <c r="CE822" s="485"/>
      <c r="CF822" s="485"/>
      <c r="CG822" s="485"/>
      <c r="CH822" s="485"/>
      <c r="CI822" s="485"/>
      <c r="CJ822" s="485"/>
      <c r="CK822" s="485"/>
      <c r="CL822" s="485"/>
      <c r="CM822" s="485"/>
      <c r="CN822" s="485"/>
      <c r="CO822" s="485"/>
      <c r="CP822" s="485"/>
      <c r="CQ822" s="485"/>
      <c r="CR822" s="485"/>
      <c r="CS822" s="485"/>
      <c r="CT822" s="485"/>
      <c r="CU822" s="485"/>
      <c r="CV822" s="485"/>
      <c r="CW822" s="485"/>
      <c r="CX822" s="485"/>
      <c r="CY822" s="485"/>
      <c r="CZ822" s="485"/>
      <c r="DA822" s="485"/>
      <c r="DB822" s="485"/>
      <c r="DC822" s="485"/>
      <c r="DD822" s="485"/>
      <c r="DE822" s="485"/>
      <c r="DF822" s="485"/>
      <c r="DG822" s="485"/>
      <c r="DH822" s="485"/>
      <c r="DI822" s="485"/>
      <c r="DJ822" s="485"/>
      <c r="DK822" s="485"/>
      <c r="DL822" s="485"/>
      <c r="DM822" s="485"/>
      <c r="DN822" s="485"/>
      <c r="DO822" s="485"/>
      <c r="DP822" s="485"/>
      <c r="DQ822" s="485"/>
      <c r="DR822" s="485"/>
      <c r="DS822" s="485"/>
      <c r="DT822" s="485"/>
      <c r="DU822" s="485"/>
      <c r="DV822" s="485"/>
      <c r="DW822" s="485"/>
      <c r="DX822" s="485"/>
      <c r="DY822" s="485"/>
      <c r="DZ822" s="485"/>
      <c r="EA822" s="485"/>
      <c r="EB822" s="485"/>
      <c r="EC822" s="485"/>
      <c r="ED822" s="485"/>
      <c r="EE822" s="485"/>
      <c r="EF822" s="485"/>
      <c r="EG822" s="485"/>
      <c r="EH822" s="485"/>
      <c r="EI822" s="485"/>
      <c r="EJ822" s="485"/>
      <c r="EK822" s="485"/>
      <c r="EL822" s="485"/>
      <c r="EM822" s="485"/>
      <c r="EN822" s="485"/>
      <c r="EO822" s="485"/>
      <c r="EP822" s="485"/>
    </row>
    <row r="823" spans="1:146">
      <c r="A823" s="485"/>
      <c r="B823" s="485"/>
      <c r="C823" s="485"/>
      <c r="D823" s="485"/>
      <c r="E823" s="485"/>
      <c r="F823" s="485"/>
      <c r="G823" s="485"/>
      <c r="H823" s="485"/>
      <c r="I823" s="485"/>
      <c r="J823" s="485"/>
      <c r="K823" s="485"/>
      <c r="L823" s="485"/>
      <c r="M823" s="485"/>
      <c r="P823" s="485"/>
      <c r="Q823" s="485"/>
      <c r="R823" s="485"/>
      <c r="S823" s="485"/>
      <c r="T823" s="485"/>
      <c r="U823" s="485"/>
      <c r="V823" s="485"/>
      <c r="W823" s="485"/>
      <c r="X823" s="485"/>
      <c r="Y823" s="485"/>
      <c r="Z823" s="485"/>
      <c r="AA823" s="485"/>
      <c r="AB823" s="485"/>
      <c r="AC823" s="485"/>
      <c r="AD823" s="485"/>
      <c r="AE823" s="485"/>
      <c r="AF823" s="485"/>
      <c r="AG823" s="485"/>
      <c r="AH823" s="485"/>
      <c r="AI823" s="485"/>
      <c r="AJ823" s="485"/>
      <c r="AK823" s="485"/>
      <c r="AL823" s="485"/>
      <c r="AM823" s="485"/>
      <c r="AN823" s="485"/>
      <c r="AO823" s="485"/>
      <c r="AP823" s="485"/>
      <c r="AQ823" s="485"/>
      <c r="AR823" s="485"/>
      <c r="AS823" s="485"/>
      <c r="AT823" s="485"/>
      <c r="AU823" s="485"/>
      <c r="AV823" s="485"/>
      <c r="AW823" s="485"/>
      <c r="AX823" s="485"/>
      <c r="AY823" s="485"/>
      <c r="AZ823" s="485"/>
      <c r="BA823" s="485"/>
      <c r="BB823" s="485"/>
      <c r="BC823" s="485"/>
      <c r="BD823" s="485"/>
      <c r="BE823" s="485"/>
      <c r="BF823" s="485"/>
      <c r="BG823" s="485"/>
      <c r="BH823" s="485"/>
      <c r="BI823" s="485"/>
      <c r="BJ823" s="485"/>
      <c r="BK823" s="485"/>
      <c r="BL823" s="485"/>
      <c r="BM823" s="485"/>
      <c r="BN823" s="485"/>
      <c r="BO823" s="485"/>
      <c r="BP823" s="485"/>
      <c r="BQ823" s="485"/>
      <c r="BR823" s="485"/>
      <c r="BS823" s="485"/>
      <c r="BT823" s="485"/>
      <c r="BU823" s="485"/>
      <c r="BV823" s="485"/>
      <c r="BW823" s="485"/>
      <c r="BX823" s="485"/>
      <c r="BY823" s="485"/>
      <c r="BZ823" s="485"/>
      <c r="CA823" s="485"/>
      <c r="CB823" s="485"/>
      <c r="CC823" s="485"/>
      <c r="CD823" s="485"/>
      <c r="CE823" s="485"/>
      <c r="CF823" s="485"/>
      <c r="CG823" s="485"/>
      <c r="CH823" s="485"/>
      <c r="CI823" s="485"/>
      <c r="CJ823" s="485"/>
      <c r="CK823" s="485"/>
      <c r="CL823" s="485"/>
      <c r="CM823" s="485"/>
      <c r="CN823" s="485"/>
      <c r="CO823" s="485"/>
      <c r="CP823" s="485"/>
      <c r="CQ823" s="485"/>
      <c r="CR823" s="485"/>
      <c r="CS823" s="485"/>
      <c r="CT823" s="485"/>
      <c r="CU823" s="485"/>
      <c r="CV823" s="485"/>
      <c r="CW823" s="485"/>
      <c r="CX823" s="485"/>
      <c r="CY823" s="485"/>
      <c r="CZ823" s="485"/>
      <c r="DA823" s="485"/>
      <c r="DB823" s="485"/>
      <c r="DC823" s="485"/>
      <c r="DD823" s="485"/>
      <c r="DE823" s="485"/>
      <c r="DF823" s="485"/>
      <c r="DG823" s="485"/>
      <c r="DH823" s="485"/>
      <c r="DI823" s="485"/>
      <c r="DJ823" s="485"/>
      <c r="DK823" s="485"/>
      <c r="DL823" s="485"/>
      <c r="DM823" s="485"/>
      <c r="DN823" s="485"/>
      <c r="DO823" s="485"/>
      <c r="DP823" s="485"/>
      <c r="DQ823" s="485"/>
      <c r="DR823" s="485"/>
      <c r="DS823" s="485"/>
      <c r="DT823" s="485"/>
      <c r="DU823" s="485"/>
      <c r="DV823" s="485"/>
      <c r="DW823" s="485"/>
      <c r="DX823" s="485"/>
      <c r="DY823" s="485"/>
      <c r="DZ823" s="485"/>
      <c r="EA823" s="485"/>
      <c r="EB823" s="485"/>
      <c r="EC823" s="485"/>
      <c r="ED823" s="485"/>
      <c r="EE823" s="485"/>
      <c r="EF823" s="485"/>
      <c r="EG823" s="485"/>
      <c r="EH823" s="485"/>
      <c r="EI823" s="485"/>
      <c r="EJ823" s="485"/>
      <c r="EK823" s="485"/>
      <c r="EL823" s="485"/>
      <c r="EM823" s="485"/>
      <c r="EN823" s="485"/>
      <c r="EO823" s="485"/>
      <c r="EP823" s="485"/>
    </row>
    <row r="824" spans="1:146">
      <c r="A824" s="485"/>
      <c r="B824" s="485"/>
      <c r="C824" s="485"/>
      <c r="D824" s="485"/>
      <c r="E824" s="485"/>
      <c r="F824" s="485"/>
      <c r="G824" s="485"/>
      <c r="H824" s="485"/>
      <c r="I824" s="485"/>
      <c r="J824" s="485"/>
      <c r="K824" s="485"/>
      <c r="L824" s="485"/>
      <c r="M824" s="485"/>
      <c r="P824" s="485"/>
      <c r="Q824" s="485"/>
      <c r="R824" s="485"/>
      <c r="S824" s="485"/>
      <c r="T824" s="485"/>
      <c r="U824" s="485"/>
      <c r="V824" s="485"/>
      <c r="W824" s="485"/>
      <c r="X824" s="485"/>
      <c r="Y824" s="485"/>
      <c r="Z824" s="485"/>
      <c r="AA824" s="485"/>
      <c r="AB824" s="485"/>
      <c r="AC824" s="485"/>
      <c r="AD824" s="485"/>
      <c r="AE824" s="485"/>
      <c r="AF824" s="485"/>
      <c r="AG824" s="485"/>
      <c r="AH824" s="485"/>
      <c r="AI824" s="485"/>
      <c r="AJ824" s="485"/>
      <c r="AK824" s="485"/>
      <c r="AL824" s="485"/>
      <c r="AM824" s="485"/>
      <c r="AN824" s="485"/>
      <c r="AO824" s="485"/>
      <c r="AP824" s="485"/>
      <c r="AQ824" s="485"/>
      <c r="AR824" s="485"/>
      <c r="AS824" s="485"/>
      <c r="AT824" s="485"/>
      <c r="AU824" s="485"/>
      <c r="AV824" s="485"/>
      <c r="AW824" s="485"/>
      <c r="AX824" s="485"/>
      <c r="AY824" s="485"/>
      <c r="AZ824" s="485"/>
      <c r="BA824" s="485"/>
      <c r="BB824" s="485"/>
      <c r="BC824" s="485"/>
      <c r="BD824" s="485"/>
      <c r="BE824" s="485"/>
      <c r="BF824" s="485"/>
      <c r="BG824" s="485"/>
      <c r="BH824" s="485"/>
      <c r="BI824" s="485"/>
      <c r="BJ824" s="485"/>
      <c r="BK824" s="485"/>
      <c r="BL824" s="485"/>
      <c r="BM824" s="485"/>
      <c r="BN824" s="485"/>
      <c r="BO824" s="485"/>
      <c r="BP824" s="485"/>
      <c r="BQ824" s="485"/>
      <c r="BR824" s="485"/>
      <c r="BS824" s="485"/>
      <c r="BT824" s="485"/>
      <c r="BU824" s="485"/>
      <c r="BV824" s="485"/>
      <c r="BW824" s="485"/>
      <c r="BX824" s="485"/>
      <c r="BY824" s="485"/>
      <c r="BZ824" s="485"/>
      <c r="CA824" s="485"/>
      <c r="CB824" s="485"/>
      <c r="CC824" s="485"/>
      <c r="CD824" s="485"/>
      <c r="CE824" s="485"/>
      <c r="CF824" s="485"/>
      <c r="CG824" s="485"/>
      <c r="CH824" s="485"/>
      <c r="CI824" s="485"/>
      <c r="CJ824" s="485"/>
      <c r="CK824" s="485"/>
      <c r="CL824" s="485"/>
      <c r="CM824" s="485"/>
      <c r="CN824" s="485"/>
      <c r="CO824" s="485"/>
      <c r="CP824" s="485"/>
      <c r="CQ824" s="485"/>
      <c r="CR824" s="485"/>
      <c r="CS824" s="485"/>
      <c r="CT824" s="485"/>
      <c r="CU824" s="485"/>
      <c r="CV824" s="485"/>
      <c r="CW824" s="485"/>
      <c r="CX824" s="485"/>
      <c r="CY824" s="485"/>
      <c r="CZ824" s="485"/>
      <c r="DA824" s="485"/>
      <c r="DB824" s="485"/>
      <c r="DC824" s="485"/>
      <c r="DD824" s="485"/>
      <c r="DE824" s="485"/>
      <c r="DF824" s="485"/>
      <c r="DG824" s="485"/>
      <c r="DH824" s="485"/>
      <c r="DI824" s="485"/>
      <c r="DJ824" s="485"/>
      <c r="DK824" s="485"/>
      <c r="DL824" s="485"/>
      <c r="DM824" s="485"/>
      <c r="DN824" s="485"/>
      <c r="DO824" s="485"/>
      <c r="DP824" s="485"/>
      <c r="DQ824" s="485"/>
      <c r="DR824" s="485"/>
      <c r="DS824" s="485"/>
      <c r="DT824" s="485"/>
      <c r="DU824" s="485"/>
      <c r="DV824" s="485"/>
      <c r="DW824" s="485"/>
      <c r="DX824" s="485"/>
      <c r="DY824" s="485"/>
      <c r="DZ824" s="485"/>
      <c r="EA824" s="485"/>
      <c r="EB824" s="485"/>
      <c r="EC824" s="485"/>
      <c r="ED824" s="485"/>
      <c r="EE824" s="485"/>
      <c r="EF824" s="485"/>
      <c r="EG824" s="485"/>
      <c r="EH824" s="485"/>
      <c r="EI824" s="485"/>
      <c r="EJ824" s="485"/>
      <c r="EK824" s="485"/>
      <c r="EL824" s="485"/>
      <c r="EM824" s="485"/>
      <c r="EN824" s="485"/>
      <c r="EO824" s="485"/>
      <c r="EP824" s="485"/>
    </row>
    <row r="825" spans="1:146">
      <c r="A825" s="485"/>
      <c r="B825" s="485"/>
      <c r="C825" s="485"/>
      <c r="D825" s="485"/>
      <c r="E825" s="485"/>
      <c r="F825" s="485"/>
      <c r="G825" s="485"/>
      <c r="H825" s="485"/>
      <c r="I825" s="485"/>
      <c r="J825" s="485"/>
      <c r="K825" s="485"/>
      <c r="L825" s="485"/>
      <c r="M825" s="485"/>
      <c r="P825" s="485"/>
      <c r="Q825" s="485"/>
      <c r="R825" s="485"/>
      <c r="S825" s="485"/>
      <c r="T825" s="485"/>
      <c r="U825" s="485"/>
      <c r="V825" s="485"/>
      <c r="W825" s="485"/>
      <c r="X825" s="485"/>
      <c r="Y825" s="485"/>
      <c r="Z825" s="485"/>
      <c r="AA825" s="485"/>
      <c r="AB825" s="485"/>
      <c r="AC825" s="485"/>
      <c r="AD825" s="485"/>
      <c r="AE825" s="485"/>
      <c r="AF825" s="485"/>
      <c r="AG825" s="485"/>
      <c r="AH825" s="485"/>
      <c r="AI825" s="485"/>
      <c r="AJ825" s="485"/>
      <c r="AK825" s="485"/>
      <c r="AL825" s="485"/>
      <c r="AM825" s="485"/>
      <c r="AN825" s="485"/>
      <c r="AO825" s="485"/>
      <c r="AP825" s="485"/>
      <c r="AQ825" s="485"/>
      <c r="AR825" s="485"/>
      <c r="AS825" s="485"/>
      <c r="AT825" s="485"/>
      <c r="AU825" s="485"/>
      <c r="AV825" s="485"/>
      <c r="AW825" s="485"/>
      <c r="AX825" s="485"/>
      <c r="AY825" s="485"/>
      <c r="AZ825" s="485"/>
      <c r="BA825" s="485"/>
      <c r="BB825" s="485"/>
      <c r="BC825" s="485"/>
      <c r="BD825" s="485"/>
      <c r="BE825" s="485"/>
      <c r="BF825" s="485"/>
      <c r="BG825" s="485"/>
      <c r="BH825" s="485"/>
      <c r="BI825" s="485"/>
      <c r="BJ825" s="485"/>
      <c r="BK825" s="485"/>
      <c r="BL825" s="485"/>
      <c r="BM825" s="485"/>
      <c r="BN825" s="485"/>
      <c r="BO825" s="485"/>
      <c r="BP825" s="485"/>
      <c r="BQ825" s="485"/>
      <c r="BR825" s="485"/>
      <c r="BS825" s="485"/>
      <c r="BT825" s="485"/>
      <c r="BU825" s="485"/>
      <c r="BV825" s="485"/>
      <c r="BW825" s="485"/>
      <c r="BX825" s="485"/>
      <c r="BY825" s="485"/>
      <c r="BZ825" s="485"/>
      <c r="CA825" s="485"/>
      <c r="CB825" s="485"/>
      <c r="CC825" s="485"/>
      <c r="CD825" s="485"/>
      <c r="CE825" s="485"/>
      <c r="CF825" s="485"/>
      <c r="CG825" s="485"/>
      <c r="CH825" s="485"/>
      <c r="CI825" s="485"/>
      <c r="CJ825" s="485"/>
      <c r="CK825" s="485"/>
      <c r="CL825" s="485"/>
      <c r="CM825" s="485"/>
      <c r="CN825" s="485"/>
      <c r="CO825" s="485"/>
      <c r="CP825" s="485"/>
      <c r="CQ825" s="485"/>
      <c r="CR825" s="485"/>
      <c r="CS825" s="485"/>
      <c r="CT825" s="485"/>
      <c r="CU825" s="485"/>
      <c r="CV825" s="485"/>
      <c r="CW825" s="485"/>
      <c r="CX825" s="485"/>
      <c r="CY825" s="485"/>
      <c r="CZ825" s="485"/>
      <c r="DA825" s="485"/>
      <c r="DB825" s="485"/>
      <c r="DC825" s="485"/>
      <c r="DD825" s="485"/>
      <c r="DE825" s="485"/>
      <c r="DF825" s="485"/>
      <c r="DG825" s="485"/>
      <c r="DH825" s="485"/>
      <c r="DI825" s="485"/>
      <c r="DJ825" s="485"/>
      <c r="DK825" s="485"/>
      <c r="DL825" s="485"/>
      <c r="DM825" s="485"/>
      <c r="DN825" s="485"/>
      <c r="DO825" s="485"/>
      <c r="DP825" s="485"/>
      <c r="DQ825" s="485"/>
      <c r="DR825" s="485"/>
      <c r="DS825" s="485"/>
      <c r="DT825" s="485"/>
      <c r="DU825" s="485"/>
      <c r="DV825" s="485"/>
      <c r="DW825" s="485"/>
      <c r="DX825" s="485"/>
      <c r="DY825" s="485"/>
      <c r="DZ825" s="485"/>
      <c r="EA825" s="485"/>
      <c r="EB825" s="485"/>
      <c r="EC825" s="485"/>
      <c r="ED825" s="485"/>
      <c r="EE825" s="485"/>
      <c r="EF825" s="485"/>
      <c r="EG825" s="485"/>
      <c r="EH825" s="485"/>
      <c r="EI825" s="485"/>
      <c r="EJ825" s="485"/>
      <c r="EK825" s="485"/>
      <c r="EL825" s="485"/>
      <c r="EM825" s="485"/>
      <c r="EN825" s="485"/>
      <c r="EO825" s="485"/>
      <c r="EP825" s="485"/>
    </row>
    <row r="826" spans="1:146">
      <c r="A826" s="485"/>
      <c r="B826" s="485"/>
      <c r="C826" s="485"/>
      <c r="D826" s="485"/>
      <c r="E826" s="485"/>
      <c r="F826" s="485"/>
      <c r="G826" s="485"/>
      <c r="H826" s="485"/>
      <c r="I826" s="485"/>
      <c r="J826" s="485"/>
      <c r="K826" s="485"/>
      <c r="L826" s="485"/>
      <c r="M826" s="485"/>
      <c r="P826" s="485"/>
      <c r="Q826" s="485"/>
      <c r="R826" s="485"/>
      <c r="S826" s="485"/>
      <c r="T826" s="485"/>
      <c r="U826" s="485"/>
      <c r="V826" s="485"/>
      <c r="W826" s="485"/>
      <c r="X826" s="485"/>
      <c r="Y826" s="485"/>
      <c r="Z826" s="485"/>
      <c r="AA826" s="485"/>
      <c r="AB826" s="485"/>
      <c r="AC826" s="485"/>
      <c r="AD826" s="485"/>
      <c r="AE826" s="485"/>
      <c r="AF826" s="485"/>
      <c r="AG826" s="485"/>
      <c r="AH826" s="485"/>
      <c r="AI826" s="485"/>
      <c r="AJ826" s="485"/>
      <c r="AK826" s="485"/>
      <c r="AL826" s="485"/>
      <c r="AM826" s="485"/>
      <c r="AN826" s="485"/>
      <c r="AO826" s="485"/>
      <c r="AP826" s="485"/>
      <c r="AQ826" s="485"/>
      <c r="AR826" s="485"/>
      <c r="AS826" s="485"/>
      <c r="AT826" s="485"/>
      <c r="AU826" s="485"/>
      <c r="AV826" s="485"/>
      <c r="AW826" s="485"/>
      <c r="AX826" s="485"/>
      <c r="AY826" s="485"/>
      <c r="AZ826" s="485"/>
      <c r="BA826" s="485"/>
      <c r="BB826" s="485"/>
      <c r="BC826" s="485"/>
      <c r="BD826" s="485"/>
      <c r="BE826" s="485"/>
      <c r="BF826" s="485"/>
      <c r="BG826" s="485"/>
      <c r="BH826" s="485"/>
      <c r="BI826" s="485"/>
      <c r="BJ826" s="485"/>
      <c r="BK826" s="485"/>
      <c r="BL826" s="485"/>
      <c r="BM826" s="485"/>
      <c r="BN826" s="485"/>
      <c r="BO826" s="485"/>
      <c r="BP826" s="485"/>
      <c r="BQ826" s="485"/>
      <c r="BR826" s="485"/>
      <c r="BS826" s="485"/>
      <c r="BT826" s="485"/>
      <c r="BU826" s="485"/>
      <c r="BV826" s="485"/>
      <c r="BW826" s="485"/>
      <c r="BX826" s="485"/>
      <c r="BY826" s="485"/>
      <c r="BZ826" s="485"/>
      <c r="CA826" s="485"/>
      <c r="CB826" s="485"/>
      <c r="CC826" s="485"/>
      <c r="CD826" s="485"/>
      <c r="CE826" s="485"/>
      <c r="CF826" s="485"/>
      <c r="CG826" s="485"/>
      <c r="CH826" s="485"/>
      <c r="CI826" s="485"/>
      <c r="CJ826" s="485"/>
      <c r="CK826" s="485"/>
      <c r="CL826" s="485"/>
      <c r="CM826" s="485"/>
      <c r="CN826" s="485"/>
      <c r="CO826" s="485"/>
      <c r="CP826" s="485"/>
      <c r="CQ826" s="485"/>
      <c r="CR826" s="485"/>
      <c r="CS826" s="485"/>
      <c r="CT826" s="485"/>
      <c r="CU826" s="485"/>
      <c r="CV826" s="485"/>
      <c r="CW826" s="485"/>
      <c r="CX826" s="485"/>
      <c r="CY826" s="485"/>
      <c r="CZ826" s="485"/>
      <c r="DA826" s="485"/>
      <c r="DB826" s="485"/>
      <c r="DC826" s="485"/>
      <c r="DD826" s="485"/>
      <c r="DE826" s="485"/>
      <c r="DF826" s="485"/>
      <c r="DG826" s="485"/>
      <c r="DH826" s="485"/>
      <c r="DI826" s="485"/>
      <c r="DJ826" s="485"/>
      <c r="DK826" s="485"/>
      <c r="DL826" s="485"/>
      <c r="DM826" s="485"/>
      <c r="DN826" s="485"/>
      <c r="DO826" s="485"/>
      <c r="DP826" s="485"/>
      <c r="DQ826" s="485"/>
      <c r="DR826" s="485"/>
      <c r="DS826" s="485"/>
      <c r="DT826" s="485"/>
      <c r="DU826" s="485"/>
      <c r="DV826" s="485"/>
      <c r="DW826" s="485"/>
      <c r="DX826" s="485"/>
      <c r="DY826" s="485"/>
      <c r="DZ826" s="485"/>
      <c r="EA826" s="485"/>
      <c r="EB826" s="485"/>
      <c r="EC826" s="485"/>
      <c r="ED826" s="485"/>
      <c r="EE826" s="485"/>
      <c r="EF826" s="485"/>
      <c r="EG826" s="485"/>
      <c r="EH826" s="485"/>
      <c r="EI826" s="485"/>
      <c r="EJ826" s="485"/>
      <c r="EK826" s="485"/>
      <c r="EL826" s="485"/>
      <c r="EM826" s="485"/>
      <c r="EN826" s="485"/>
      <c r="EO826" s="485"/>
      <c r="EP826" s="485"/>
    </row>
    <row r="827" spans="1:146">
      <c r="A827" s="485"/>
      <c r="B827" s="485"/>
      <c r="C827" s="485"/>
      <c r="D827" s="485"/>
      <c r="E827" s="485"/>
      <c r="F827" s="485"/>
      <c r="G827" s="485"/>
      <c r="H827" s="485"/>
      <c r="I827" s="485"/>
      <c r="J827" s="485"/>
      <c r="K827" s="485"/>
      <c r="L827" s="485"/>
      <c r="M827" s="485"/>
      <c r="P827" s="485"/>
      <c r="Q827" s="485"/>
      <c r="R827" s="485"/>
      <c r="S827" s="485"/>
      <c r="T827" s="485"/>
      <c r="U827" s="485"/>
      <c r="V827" s="485"/>
      <c r="W827" s="485"/>
      <c r="X827" s="485"/>
      <c r="Y827" s="485"/>
      <c r="Z827" s="485"/>
      <c r="AA827" s="485"/>
      <c r="AB827" s="485"/>
      <c r="AC827" s="485"/>
      <c r="AD827" s="485"/>
      <c r="AE827" s="485"/>
      <c r="AF827" s="485"/>
      <c r="AG827" s="485"/>
      <c r="AH827" s="485"/>
      <c r="AI827" s="485"/>
      <c r="AJ827" s="485"/>
      <c r="AK827" s="485"/>
      <c r="AL827" s="485"/>
      <c r="AM827" s="485"/>
      <c r="AN827" s="485"/>
      <c r="AO827" s="485"/>
      <c r="AP827" s="485"/>
      <c r="AQ827" s="485"/>
      <c r="AR827" s="485"/>
      <c r="AS827" s="485"/>
      <c r="AT827" s="485"/>
      <c r="AU827" s="485"/>
      <c r="AV827" s="485"/>
      <c r="AW827" s="485"/>
      <c r="AX827" s="485"/>
      <c r="AY827" s="485"/>
      <c r="AZ827" s="485"/>
      <c r="BA827" s="485"/>
      <c r="BB827" s="485"/>
      <c r="BC827" s="485"/>
      <c r="BD827" s="485"/>
      <c r="BE827" s="485"/>
      <c r="BF827" s="485"/>
      <c r="BG827" s="485"/>
      <c r="BH827" s="485"/>
      <c r="BI827" s="485"/>
      <c r="BJ827" s="485"/>
      <c r="BK827" s="485"/>
      <c r="BL827" s="485"/>
      <c r="BM827" s="485"/>
      <c r="BN827" s="485"/>
      <c r="BO827" s="485"/>
      <c r="BP827" s="485"/>
      <c r="BQ827" s="485"/>
      <c r="BR827" s="485"/>
      <c r="BS827" s="485"/>
      <c r="BT827" s="485"/>
      <c r="BU827" s="485"/>
      <c r="BV827" s="485"/>
      <c r="BW827" s="485"/>
      <c r="BX827" s="485"/>
      <c r="BY827" s="485"/>
      <c r="BZ827" s="485"/>
      <c r="CA827" s="485"/>
      <c r="CB827" s="485"/>
      <c r="CC827" s="485"/>
      <c r="CD827" s="485"/>
      <c r="CE827" s="485"/>
      <c r="CF827" s="485"/>
      <c r="CG827" s="485"/>
      <c r="CH827" s="485"/>
      <c r="CI827" s="485"/>
      <c r="CJ827" s="485"/>
      <c r="CK827" s="485"/>
      <c r="CL827" s="485"/>
      <c r="CM827" s="485"/>
      <c r="CN827" s="485"/>
      <c r="CO827" s="485"/>
      <c r="CP827" s="485"/>
      <c r="CQ827" s="485"/>
      <c r="CR827" s="485"/>
      <c r="CS827" s="485"/>
      <c r="CT827" s="485"/>
      <c r="CU827" s="485"/>
      <c r="CV827" s="485"/>
      <c r="CW827" s="485"/>
      <c r="CX827" s="485"/>
      <c r="CY827" s="485"/>
      <c r="CZ827" s="485"/>
      <c r="DA827" s="485"/>
      <c r="DB827" s="485"/>
      <c r="DC827" s="485"/>
      <c r="DD827" s="485"/>
      <c r="DE827" s="485"/>
      <c r="DF827" s="485"/>
      <c r="DG827" s="485"/>
      <c r="DH827" s="485"/>
      <c r="DI827" s="485"/>
      <c r="DJ827" s="485"/>
      <c r="DK827" s="485"/>
      <c r="DL827" s="485"/>
      <c r="DM827" s="485"/>
      <c r="DN827" s="485"/>
      <c r="DO827" s="485"/>
      <c r="DP827" s="485"/>
      <c r="DQ827" s="485"/>
      <c r="DR827" s="485"/>
      <c r="DS827" s="485"/>
      <c r="DT827" s="485"/>
      <c r="DU827" s="485"/>
      <c r="DV827" s="485"/>
      <c r="DW827" s="485"/>
      <c r="DX827" s="485"/>
      <c r="DY827" s="485"/>
      <c r="DZ827" s="485"/>
      <c r="EA827" s="485"/>
      <c r="EB827" s="485"/>
      <c r="EC827" s="485"/>
      <c r="ED827" s="485"/>
      <c r="EE827" s="485"/>
      <c r="EF827" s="485"/>
      <c r="EG827" s="485"/>
      <c r="EH827" s="485"/>
      <c r="EI827" s="485"/>
      <c r="EJ827" s="485"/>
      <c r="EK827" s="485"/>
      <c r="EL827" s="485"/>
      <c r="EM827" s="485"/>
      <c r="EN827" s="485"/>
      <c r="EO827" s="485"/>
      <c r="EP827" s="485"/>
    </row>
    <row r="828" spans="1:146">
      <c r="A828" s="485"/>
      <c r="B828" s="485"/>
      <c r="C828" s="485"/>
      <c r="D828" s="485"/>
      <c r="E828" s="485"/>
      <c r="F828" s="485"/>
      <c r="G828" s="485"/>
      <c r="H828" s="485"/>
      <c r="I828" s="485"/>
      <c r="J828" s="485"/>
      <c r="K828" s="485"/>
      <c r="L828" s="485"/>
      <c r="M828" s="485"/>
      <c r="P828" s="485"/>
      <c r="Q828" s="485"/>
      <c r="R828" s="485"/>
      <c r="S828" s="485"/>
      <c r="T828" s="485"/>
      <c r="U828" s="485"/>
      <c r="V828" s="485"/>
      <c r="W828" s="485"/>
      <c r="X828" s="485"/>
      <c r="Y828" s="485"/>
      <c r="Z828" s="485"/>
      <c r="AA828" s="485"/>
      <c r="AB828" s="485"/>
      <c r="AC828" s="485"/>
      <c r="AD828" s="485"/>
      <c r="AE828" s="485"/>
      <c r="AF828" s="485"/>
      <c r="AG828" s="485"/>
      <c r="AH828" s="485"/>
      <c r="AI828" s="485"/>
      <c r="AJ828" s="485"/>
      <c r="AK828" s="485"/>
      <c r="AL828" s="485"/>
      <c r="AM828" s="485"/>
      <c r="AN828" s="485"/>
      <c r="AO828" s="485"/>
      <c r="AP828" s="485"/>
      <c r="AQ828" s="485"/>
      <c r="AR828" s="485"/>
      <c r="AS828" s="485"/>
      <c r="AT828" s="485"/>
      <c r="AU828" s="485"/>
      <c r="AV828" s="485"/>
      <c r="AW828" s="485"/>
      <c r="AX828" s="485"/>
      <c r="AY828" s="485"/>
      <c r="AZ828" s="485"/>
      <c r="BA828" s="485"/>
      <c r="BB828" s="485"/>
      <c r="BC828" s="485"/>
      <c r="BD828" s="485"/>
      <c r="BE828" s="485"/>
      <c r="BF828" s="485"/>
      <c r="BG828" s="485"/>
      <c r="BH828" s="485"/>
      <c r="BI828" s="485"/>
      <c r="BJ828" s="485"/>
      <c r="BK828" s="485"/>
      <c r="BL828" s="485"/>
      <c r="BM828" s="485"/>
      <c r="BN828" s="485"/>
      <c r="BO828" s="485"/>
      <c r="BP828" s="485"/>
      <c r="BQ828" s="485"/>
      <c r="BR828" s="485"/>
      <c r="BS828" s="485"/>
      <c r="BT828" s="485"/>
      <c r="BU828" s="485"/>
      <c r="BV828" s="485"/>
      <c r="BW828" s="485"/>
      <c r="BX828" s="485"/>
      <c r="BY828" s="485"/>
      <c r="BZ828" s="485"/>
      <c r="CA828" s="485"/>
      <c r="CB828" s="485"/>
      <c r="CC828" s="485"/>
      <c r="CD828" s="485"/>
      <c r="CE828" s="485"/>
      <c r="CF828" s="485"/>
      <c r="CG828" s="485"/>
      <c r="CH828" s="485"/>
      <c r="CI828" s="485"/>
      <c r="CJ828" s="485"/>
      <c r="CK828" s="485"/>
      <c r="CL828" s="485"/>
      <c r="CM828" s="485"/>
      <c r="CN828" s="485"/>
      <c r="CO828" s="485"/>
      <c r="CP828" s="485"/>
      <c r="CQ828" s="485"/>
      <c r="CR828" s="485"/>
      <c r="CS828" s="485"/>
      <c r="CT828" s="485"/>
      <c r="CU828" s="485"/>
      <c r="CV828" s="485"/>
      <c r="CW828" s="485"/>
      <c r="CX828" s="485"/>
      <c r="CY828" s="485"/>
      <c r="CZ828" s="485"/>
      <c r="DA828" s="485"/>
      <c r="DB828" s="485"/>
      <c r="DC828" s="485"/>
      <c r="DD828" s="485"/>
      <c r="DE828" s="485"/>
      <c r="DF828" s="485"/>
      <c r="DG828" s="485"/>
      <c r="DH828" s="485"/>
      <c r="DI828" s="485"/>
      <c r="DJ828" s="485"/>
      <c r="DK828" s="485"/>
      <c r="DL828" s="485"/>
      <c r="DM828" s="485"/>
      <c r="DN828" s="485"/>
      <c r="DO828" s="485"/>
      <c r="DP828" s="485"/>
      <c r="DQ828" s="485"/>
      <c r="DR828" s="485"/>
      <c r="DS828" s="485"/>
      <c r="DT828" s="485"/>
      <c r="DU828" s="485"/>
      <c r="DV828" s="485"/>
      <c r="DW828" s="485"/>
      <c r="DX828" s="485"/>
      <c r="DY828" s="485"/>
      <c r="DZ828" s="485"/>
      <c r="EA828" s="485"/>
      <c r="EB828" s="485"/>
      <c r="EC828" s="485"/>
      <c r="ED828" s="485"/>
      <c r="EE828" s="485"/>
      <c r="EF828" s="485"/>
      <c r="EG828" s="485"/>
      <c r="EH828" s="485"/>
      <c r="EI828" s="485"/>
      <c r="EJ828" s="485"/>
      <c r="EK828" s="485"/>
      <c r="EL828" s="485"/>
      <c r="EM828" s="485"/>
      <c r="EN828" s="485"/>
      <c r="EO828" s="485"/>
      <c r="EP828" s="485"/>
    </row>
    <row r="829" spans="1:146">
      <c r="A829" s="485"/>
      <c r="B829" s="485"/>
      <c r="C829" s="485"/>
      <c r="D829" s="485"/>
      <c r="E829" s="485"/>
      <c r="F829" s="485"/>
      <c r="G829" s="485"/>
      <c r="H829" s="485"/>
      <c r="I829" s="485"/>
      <c r="J829" s="485"/>
      <c r="K829" s="485"/>
      <c r="L829" s="485"/>
      <c r="M829" s="485"/>
      <c r="P829" s="485"/>
      <c r="Q829" s="485"/>
      <c r="R829" s="485"/>
      <c r="S829" s="485"/>
      <c r="T829" s="485"/>
      <c r="U829" s="485"/>
      <c r="V829" s="485"/>
      <c r="W829" s="485"/>
      <c r="X829" s="485"/>
      <c r="Y829" s="485"/>
      <c r="Z829" s="485"/>
      <c r="AA829" s="485"/>
      <c r="AB829" s="485"/>
      <c r="AC829" s="485"/>
      <c r="AD829" s="485"/>
      <c r="AE829" s="485"/>
      <c r="AF829" s="485"/>
      <c r="AG829" s="485"/>
      <c r="AH829" s="485"/>
      <c r="AI829" s="485"/>
      <c r="AJ829" s="485"/>
      <c r="AK829" s="485"/>
      <c r="AL829" s="485"/>
      <c r="AM829" s="485"/>
      <c r="AN829" s="485"/>
      <c r="AO829" s="485"/>
      <c r="AP829" s="485"/>
      <c r="AQ829" s="485"/>
      <c r="AR829" s="485"/>
      <c r="AS829" s="485"/>
      <c r="AT829" s="485"/>
      <c r="AU829" s="485"/>
      <c r="AV829" s="485"/>
      <c r="AW829" s="485"/>
      <c r="AX829" s="485"/>
      <c r="AY829" s="485"/>
      <c r="AZ829" s="485"/>
      <c r="BA829" s="485"/>
      <c r="BB829" s="485"/>
      <c r="BC829" s="485"/>
      <c r="BD829" s="485"/>
      <c r="BE829" s="485"/>
      <c r="BF829" s="485"/>
      <c r="BG829" s="485"/>
      <c r="BH829" s="485"/>
      <c r="BI829" s="485"/>
      <c r="BJ829" s="485"/>
      <c r="BK829" s="485"/>
      <c r="BL829" s="485"/>
      <c r="BM829" s="485"/>
      <c r="BN829" s="485"/>
      <c r="BO829" s="485"/>
      <c r="BP829" s="485"/>
      <c r="BQ829" s="485"/>
      <c r="BR829" s="485"/>
      <c r="BS829" s="485"/>
      <c r="BT829" s="485"/>
      <c r="BU829" s="485"/>
      <c r="BV829" s="485"/>
      <c r="BW829" s="485"/>
      <c r="BX829" s="485"/>
      <c r="BY829" s="485"/>
      <c r="BZ829" s="485"/>
      <c r="CA829" s="485"/>
      <c r="CB829" s="485"/>
      <c r="CC829" s="485"/>
      <c r="CD829" s="485"/>
      <c r="CE829" s="485"/>
      <c r="CF829" s="485"/>
      <c r="CG829" s="485"/>
      <c r="CH829" s="485"/>
      <c r="CI829" s="485"/>
      <c r="CJ829" s="485"/>
      <c r="CK829" s="485"/>
      <c r="CL829" s="485"/>
      <c r="CM829" s="485"/>
      <c r="CN829" s="485"/>
      <c r="CO829" s="485"/>
      <c r="CP829" s="485"/>
      <c r="CQ829" s="485"/>
      <c r="CR829" s="485"/>
      <c r="CS829" s="485"/>
      <c r="CT829" s="485"/>
      <c r="CU829" s="485"/>
      <c r="CV829" s="485"/>
      <c r="CW829" s="485"/>
      <c r="CX829" s="485"/>
      <c r="CY829" s="485"/>
      <c r="CZ829" s="485"/>
      <c r="DA829" s="485"/>
      <c r="DB829" s="485"/>
      <c r="DC829" s="485"/>
      <c r="DD829" s="485"/>
      <c r="DE829" s="485"/>
      <c r="DF829" s="485"/>
      <c r="DG829" s="485"/>
      <c r="DH829" s="485"/>
      <c r="DI829" s="485"/>
      <c r="DJ829" s="485"/>
      <c r="DK829" s="485"/>
      <c r="DL829" s="485"/>
      <c r="DM829" s="485"/>
      <c r="DN829" s="485"/>
      <c r="DO829" s="485"/>
      <c r="DP829" s="485"/>
      <c r="DQ829" s="485"/>
      <c r="DR829" s="485"/>
      <c r="DS829" s="485"/>
      <c r="DT829" s="485"/>
      <c r="DU829" s="485"/>
      <c r="DV829" s="485"/>
      <c r="DW829" s="485"/>
      <c r="DX829" s="485"/>
      <c r="DY829" s="485"/>
      <c r="DZ829" s="485"/>
      <c r="EA829" s="485"/>
      <c r="EB829" s="485"/>
      <c r="EC829" s="485"/>
      <c r="ED829" s="485"/>
      <c r="EE829" s="485"/>
      <c r="EF829" s="485"/>
      <c r="EG829" s="485"/>
      <c r="EH829" s="485"/>
      <c r="EI829" s="485"/>
      <c r="EJ829" s="485"/>
      <c r="EK829" s="485"/>
      <c r="EL829" s="485"/>
      <c r="EM829" s="485"/>
      <c r="EN829" s="485"/>
      <c r="EO829" s="485"/>
      <c r="EP829" s="485"/>
    </row>
    <row r="830" spans="1:146">
      <c r="A830" s="485"/>
      <c r="B830" s="485"/>
      <c r="C830" s="485"/>
      <c r="D830" s="485"/>
      <c r="E830" s="485"/>
      <c r="F830" s="485"/>
      <c r="G830" s="485"/>
      <c r="H830" s="485"/>
      <c r="I830" s="485"/>
      <c r="J830" s="485"/>
      <c r="K830" s="485"/>
      <c r="L830" s="485"/>
      <c r="M830" s="485"/>
      <c r="P830" s="485"/>
      <c r="Q830" s="485"/>
      <c r="R830" s="485"/>
      <c r="S830" s="485"/>
      <c r="T830" s="485"/>
      <c r="U830" s="485"/>
      <c r="V830" s="485"/>
      <c r="W830" s="485"/>
      <c r="X830" s="485"/>
      <c r="Y830" s="485"/>
      <c r="Z830" s="485"/>
      <c r="AA830" s="485"/>
      <c r="AB830" s="485"/>
      <c r="AC830" s="485"/>
      <c r="AD830" s="485"/>
      <c r="AE830" s="485"/>
      <c r="AF830" s="485"/>
      <c r="AG830" s="485"/>
      <c r="AH830" s="485"/>
      <c r="AI830" s="485"/>
      <c r="AJ830" s="485"/>
      <c r="AK830" s="485"/>
      <c r="AL830" s="485"/>
      <c r="AM830" s="485"/>
      <c r="AN830" s="485"/>
      <c r="AO830" s="485"/>
      <c r="AP830" s="485"/>
      <c r="AQ830" s="485"/>
      <c r="AR830" s="485"/>
      <c r="AS830" s="485"/>
      <c r="AT830" s="485"/>
      <c r="AU830" s="485"/>
      <c r="AV830" s="485"/>
      <c r="AW830" s="485"/>
      <c r="AX830" s="485"/>
      <c r="AY830" s="485"/>
      <c r="AZ830" s="485"/>
      <c r="BA830" s="485"/>
      <c r="BB830" s="485"/>
      <c r="BC830" s="485"/>
      <c r="BD830" s="485"/>
      <c r="BE830" s="485"/>
      <c r="BF830" s="485"/>
      <c r="BG830" s="485"/>
      <c r="BH830" s="485"/>
      <c r="BI830" s="485"/>
      <c r="BJ830" s="485"/>
      <c r="BK830" s="485"/>
      <c r="BL830" s="485"/>
      <c r="BM830" s="485"/>
      <c r="BN830" s="485"/>
      <c r="BO830" s="485"/>
      <c r="BP830" s="485"/>
      <c r="BQ830" s="485"/>
      <c r="BR830" s="485"/>
      <c r="BS830" s="485"/>
      <c r="BT830" s="485"/>
      <c r="BU830" s="485"/>
      <c r="BV830" s="485"/>
      <c r="BW830" s="485"/>
      <c r="BX830" s="485"/>
      <c r="BY830" s="485"/>
      <c r="BZ830" s="485"/>
      <c r="CA830" s="485"/>
      <c r="CB830" s="485"/>
      <c r="CC830" s="485"/>
      <c r="CD830" s="485"/>
      <c r="CE830" s="485"/>
      <c r="CF830" s="485"/>
      <c r="CG830" s="485"/>
      <c r="CH830" s="485"/>
      <c r="CI830" s="485"/>
      <c r="CJ830" s="485"/>
      <c r="CK830" s="485"/>
      <c r="CL830" s="485"/>
      <c r="CM830" s="485"/>
      <c r="CN830" s="485"/>
      <c r="CO830" s="485"/>
      <c r="CP830" s="485"/>
      <c r="CQ830" s="485"/>
      <c r="CR830" s="485"/>
      <c r="CS830" s="485"/>
      <c r="CT830" s="485"/>
      <c r="CU830" s="485"/>
      <c r="CV830" s="485"/>
      <c r="CW830" s="485"/>
      <c r="CX830" s="485"/>
      <c r="CY830" s="485"/>
      <c r="CZ830" s="485"/>
      <c r="DA830" s="485"/>
      <c r="DB830" s="485"/>
      <c r="DC830" s="485"/>
      <c r="DD830" s="485"/>
      <c r="DE830" s="485"/>
      <c r="DF830" s="485"/>
      <c r="DG830" s="485"/>
      <c r="DH830" s="485"/>
      <c r="DI830" s="485"/>
      <c r="DJ830" s="485"/>
      <c r="DK830" s="485"/>
      <c r="DL830" s="485"/>
      <c r="DM830" s="485"/>
      <c r="DN830" s="485"/>
      <c r="DO830" s="485"/>
      <c r="DP830" s="485"/>
      <c r="DQ830" s="485"/>
      <c r="DR830" s="485"/>
      <c r="DS830" s="485"/>
      <c r="DT830" s="485"/>
      <c r="DU830" s="485"/>
      <c r="DV830" s="485"/>
      <c r="DW830" s="485"/>
      <c r="DX830" s="485"/>
      <c r="DY830" s="485"/>
      <c r="DZ830" s="485"/>
      <c r="EA830" s="485"/>
      <c r="EB830" s="485"/>
      <c r="EC830" s="485"/>
      <c r="ED830" s="485"/>
      <c r="EE830" s="485"/>
      <c r="EF830" s="485"/>
      <c r="EG830" s="485"/>
      <c r="EH830" s="485"/>
      <c r="EI830" s="485"/>
      <c r="EJ830" s="485"/>
      <c r="EK830" s="485"/>
      <c r="EL830" s="485"/>
      <c r="EM830" s="485"/>
      <c r="EN830" s="485"/>
      <c r="EO830" s="485"/>
      <c r="EP830" s="485"/>
    </row>
    <row r="831" spans="1:146">
      <c r="A831" s="485"/>
      <c r="B831" s="485"/>
      <c r="C831" s="485"/>
      <c r="D831" s="485"/>
      <c r="E831" s="485"/>
      <c r="F831" s="485"/>
      <c r="G831" s="485"/>
      <c r="H831" s="485"/>
      <c r="I831" s="485"/>
      <c r="J831" s="485"/>
      <c r="K831" s="485"/>
      <c r="L831" s="485"/>
      <c r="M831" s="485"/>
      <c r="P831" s="485"/>
      <c r="Q831" s="485"/>
      <c r="R831" s="485"/>
      <c r="S831" s="485"/>
      <c r="T831" s="485"/>
      <c r="U831" s="485"/>
      <c r="V831" s="485"/>
      <c r="W831" s="485"/>
      <c r="X831" s="485"/>
      <c r="Y831" s="485"/>
      <c r="Z831" s="485"/>
      <c r="AA831" s="485"/>
      <c r="AB831" s="485"/>
      <c r="AC831" s="485"/>
      <c r="AD831" s="485"/>
      <c r="AE831" s="485"/>
      <c r="AF831" s="485"/>
      <c r="AG831" s="485"/>
      <c r="AH831" s="485"/>
      <c r="AI831" s="485"/>
      <c r="AJ831" s="485"/>
      <c r="AK831" s="485"/>
      <c r="AL831" s="485"/>
      <c r="AM831" s="485"/>
      <c r="AN831" s="485"/>
      <c r="AO831" s="485"/>
      <c r="AP831" s="485"/>
      <c r="AQ831" s="485"/>
      <c r="AR831" s="485"/>
      <c r="AS831" s="485"/>
      <c r="AT831" s="485"/>
      <c r="AU831" s="485"/>
      <c r="AV831" s="485"/>
      <c r="AW831" s="485"/>
      <c r="AX831" s="485"/>
      <c r="AY831" s="485"/>
      <c r="AZ831" s="485"/>
      <c r="BA831" s="485"/>
      <c r="BB831" s="485"/>
      <c r="BC831" s="485"/>
      <c r="BD831" s="485"/>
      <c r="BE831" s="485"/>
      <c r="BF831" s="485"/>
      <c r="BG831" s="485"/>
      <c r="BH831" s="485"/>
      <c r="BI831" s="485"/>
      <c r="BJ831" s="485"/>
      <c r="BK831" s="485"/>
      <c r="BL831" s="485"/>
      <c r="BM831" s="485"/>
      <c r="BN831" s="485"/>
      <c r="BO831" s="485"/>
      <c r="BP831" s="485"/>
      <c r="BQ831" s="485"/>
      <c r="BR831" s="485"/>
      <c r="BS831" s="485"/>
      <c r="BT831" s="485"/>
      <c r="BU831" s="485"/>
      <c r="BV831" s="485"/>
      <c r="BW831" s="485"/>
      <c r="BX831" s="485"/>
      <c r="BY831" s="485"/>
      <c r="BZ831" s="485"/>
      <c r="CA831" s="485"/>
      <c r="CB831" s="485"/>
      <c r="CC831" s="485"/>
      <c r="CD831" s="485"/>
      <c r="CE831" s="485"/>
      <c r="CF831" s="485"/>
      <c r="CG831" s="485"/>
      <c r="CH831" s="485"/>
      <c r="CI831" s="485"/>
      <c r="CJ831" s="485"/>
      <c r="CK831" s="485"/>
      <c r="CL831" s="485"/>
      <c r="CM831" s="485"/>
      <c r="CN831" s="485"/>
      <c r="CO831" s="485"/>
      <c r="CP831" s="485"/>
      <c r="CQ831" s="485"/>
      <c r="CR831" s="485"/>
      <c r="CS831" s="485"/>
      <c r="CT831" s="485"/>
      <c r="CU831" s="485"/>
      <c r="CV831" s="485"/>
      <c r="CW831" s="485"/>
      <c r="CX831" s="485"/>
      <c r="CY831" s="485"/>
      <c r="CZ831" s="485"/>
      <c r="DA831" s="485"/>
      <c r="DB831" s="485"/>
      <c r="DC831" s="485"/>
      <c r="DD831" s="485"/>
      <c r="DE831" s="485"/>
      <c r="DF831" s="485"/>
      <c r="DG831" s="485"/>
      <c r="DH831" s="485"/>
      <c r="DI831" s="485"/>
      <c r="DJ831" s="485"/>
      <c r="DK831" s="485"/>
      <c r="DL831" s="485"/>
      <c r="DM831" s="485"/>
      <c r="DN831" s="485"/>
      <c r="DO831" s="485"/>
      <c r="DP831" s="485"/>
      <c r="DQ831" s="485"/>
      <c r="DR831" s="485"/>
      <c r="DS831" s="485"/>
      <c r="DT831" s="485"/>
      <c r="DU831" s="485"/>
      <c r="DV831" s="485"/>
      <c r="DW831" s="485"/>
      <c r="DX831" s="485"/>
      <c r="DY831" s="485"/>
      <c r="DZ831" s="485"/>
      <c r="EA831" s="485"/>
      <c r="EB831" s="485"/>
      <c r="EC831" s="485"/>
      <c r="ED831" s="485"/>
      <c r="EE831" s="485"/>
      <c r="EF831" s="485"/>
      <c r="EG831" s="485"/>
      <c r="EH831" s="485"/>
      <c r="EI831" s="485"/>
      <c r="EJ831" s="485"/>
      <c r="EK831" s="485"/>
      <c r="EL831" s="485"/>
      <c r="EM831" s="485"/>
      <c r="EN831" s="485"/>
      <c r="EO831" s="485"/>
      <c r="EP831" s="485"/>
    </row>
    <row r="832" spans="1:146">
      <c r="A832" s="485"/>
      <c r="B832" s="485"/>
      <c r="C832" s="485"/>
      <c r="D832" s="485"/>
      <c r="E832" s="485"/>
      <c r="F832" s="485"/>
      <c r="G832" s="485"/>
      <c r="H832" s="485"/>
      <c r="I832" s="485"/>
      <c r="J832" s="485"/>
      <c r="K832" s="485"/>
      <c r="L832" s="485"/>
      <c r="M832" s="485"/>
      <c r="P832" s="485"/>
      <c r="Q832" s="485"/>
      <c r="R832" s="485"/>
      <c r="S832" s="485"/>
      <c r="T832" s="485"/>
      <c r="U832" s="485"/>
      <c r="V832" s="485"/>
      <c r="W832" s="485"/>
      <c r="X832" s="485"/>
      <c r="Y832" s="485"/>
      <c r="Z832" s="485"/>
      <c r="AA832" s="485"/>
      <c r="AB832" s="485"/>
      <c r="AC832" s="485"/>
      <c r="AD832" s="485"/>
      <c r="AE832" s="485"/>
      <c r="AF832" s="485"/>
      <c r="AG832" s="485"/>
      <c r="AH832" s="485"/>
      <c r="AI832" s="485"/>
      <c r="AJ832" s="485"/>
      <c r="AK832" s="485"/>
      <c r="AL832" s="485"/>
      <c r="AM832" s="485"/>
      <c r="AN832" s="485"/>
      <c r="AO832" s="485"/>
      <c r="AP832" s="485"/>
      <c r="AQ832" s="485"/>
      <c r="AR832" s="485"/>
      <c r="AS832" s="485"/>
      <c r="AT832" s="485"/>
      <c r="AU832" s="485"/>
      <c r="AV832" s="485"/>
      <c r="AW832" s="485"/>
      <c r="AX832" s="485"/>
      <c r="AY832" s="485"/>
      <c r="AZ832" s="485"/>
      <c r="BA832" s="485"/>
      <c r="BB832" s="485"/>
      <c r="BC832" s="485"/>
      <c r="BD832" s="485"/>
      <c r="BE832" s="485"/>
      <c r="BF832" s="485"/>
      <c r="BG832" s="485"/>
      <c r="BH832" s="485"/>
      <c r="BI832" s="485"/>
      <c r="BJ832" s="485"/>
      <c r="BK832" s="485"/>
      <c r="BL832" s="485"/>
      <c r="BM832" s="485"/>
      <c r="BN832" s="485"/>
      <c r="BO832" s="485"/>
      <c r="BP832" s="485"/>
      <c r="BQ832" s="485"/>
      <c r="BR832" s="485"/>
      <c r="BS832" s="485"/>
      <c r="BT832" s="485"/>
      <c r="BU832" s="485"/>
      <c r="BV832" s="485"/>
      <c r="BW832" s="485"/>
      <c r="BX832" s="485"/>
      <c r="BY832" s="485"/>
      <c r="BZ832" s="485"/>
      <c r="CA832" s="485"/>
      <c r="CB832" s="485"/>
      <c r="CC832" s="485"/>
      <c r="CD832" s="485"/>
      <c r="CE832" s="485"/>
      <c r="CF832" s="485"/>
      <c r="CG832" s="485"/>
      <c r="CH832" s="485"/>
      <c r="CI832" s="485"/>
      <c r="CJ832" s="485"/>
      <c r="CK832" s="485"/>
      <c r="CL832" s="485"/>
      <c r="CM832" s="485"/>
      <c r="CN832" s="485"/>
      <c r="CO832" s="485"/>
      <c r="CP832" s="485"/>
      <c r="CQ832" s="485"/>
      <c r="CR832" s="485"/>
      <c r="CS832" s="485"/>
      <c r="CT832" s="485"/>
      <c r="CU832" s="485"/>
      <c r="CV832" s="485"/>
      <c r="CW832" s="485"/>
      <c r="CX832" s="485"/>
      <c r="CY832" s="485"/>
      <c r="CZ832" s="485"/>
      <c r="DA832" s="485"/>
      <c r="DB832" s="485"/>
      <c r="DC832" s="485"/>
      <c r="DD832" s="485"/>
      <c r="DE832" s="485"/>
      <c r="DF832" s="485"/>
      <c r="DG832" s="485"/>
      <c r="DH832" s="485"/>
      <c r="DI832" s="485"/>
      <c r="DJ832" s="485"/>
      <c r="DK832" s="485"/>
      <c r="DL832" s="485"/>
      <c r="DM832" s="485"/>
      <c r="DN832" s="485"/>
      <c r="DO832" s="485"/>
      <c r="DP832" s="485"/>
      <c r="DQ832" s="485"/>
      <c r="DR832" s="485"/>
      <c r="DS832" s="485"/>
      <c r="DT832" s="485"/>
      <c r="DU832" s="485"/>
      <c r="DV832" s="485"/>
      <c r="DW832" s="485"/>
      <c r="DX832" s="485"/>
      <c r="DY832" s="485"/>
      <c r="DZ832" s="485"/>
      <c r="EA832" s="485"/>
      <c r="EB832" s="485"/>
      <c r="EC832" s="485"/>
      <c r="ED832" s="485"/>
      <c r="EE832" s="485"/>
      <c r="EF832" s="485"/>
      <c r="EG832" s="485"/>
      <c r="EH832" s="485"/>
      <c r="EI832" s="485"/>
      <c r="EJ832" s="485"/>
      <c r="EK832" s="485"/>
      <c r="EL832" s="485"/>
      <c r="EM832" s="485"/>
      <c r="EN832" s="485"/>
      <c r="EO832" s="485"/>
      <c r="EP832" s="485"/>
    </row>
    <row r="833" spans="1:146">
      <c r="A833" s="485"/>
      <c r="B833" s="485"/>
      <c r="C833" s="485"/>
      <c r="D833" s="485"/>
      <c r="E833" s="485"/>
      <c r="F833" s="485"/>
      <c r="G833" s="485"/>
      <c r="H833" s="485"/>
      <c r="I833" s="485"/>
      <c r="J833" s="485"/>
      <c r="K833" s="485"/>
      <c r="L833" s="485"/>
      <c r="M833" s="485"/>
      <c r="P833" s="485"/>
      <c r="Q833" s="485"/>
      <c r="R833" s="485"/>
      <c r="S833" s="485"/>
      <c r="T833" s="485"/>
      <c r="U833" s="485"/>
      <c r="V833" s="485"/>
      <c r="W833" s="485"/>
      <c r="X833" s="485"/>
      <c r="Y833" s="485"/>
      <c r="Z833" s="485"/>
      <c r="AA833" s="485"/>
      <c r="AB833" s="485"/>
      <c r="AC833" s="485"/>
      <c r="AD833" s="485"/>
      <c r="AE833" s="485"/>
      <c r="AF833" s="485"/>
      <c r="AG833" s="485"/>
      <c r="AH833" s="485"/>
      <c r="AI833" s="485"/>
      <c r="AJ833" s="485"/>
      <c r="AK833" s="485"/>
      <c r="AL833" s="485"/>
      <c r="AM833" s="485"/>
      <c r="AN833" s="485"/>
      <c r="AO833" s="485"/>
      <c r="AP833" s="485"/>
      <c r="AQ833" s="485"/>
      <c r="AR833" s="485"/>
      <c r="AS833" s="485"/>
      <c r="AT833" s="485"/>
      <c r="AU833" s="485"/>
      <c r="AV833" s="485"/>
      <c r="AW833" s="485"/>
      <c r="AX833" s="485"/>
      <c r="AY833" s="485"/>
      <c r="AZ833" s="485"/>
      <c r="BA833" s="485"/>
      <c r="BB833" s="485"/>
      <c r="BC833" s="485"/>
      <c r="BD833" s="485"/>
      <c r="BE833" s="485"/>
      <c r="BF833" s="485"/>
      <c r="BG833" s="485"/>
      <c r="BH833" s="485"/>
      <c r="BI833" s="485"/>
      <c r="BJ833" s="485"/>
      <c r="BK833" s="485"/>
      <c r="BL833" s="485"/>
      <c r="BM833" s="485"/>
      <c r="BN833" s="485"/>
      <c r="BO833" s="485"/>
      <c r="BP833" s="485"/>
      <c r="BQ833" s="485"/>
      <c r="BR833" s="485"/>
      <c r="BS833" s="485"/>
      <c r="BT833" s="485"/>
      <c r="BU833" s="485"/>
      <c r="BV833" s="485"/>
      <c r="BW833" s="485"/>
      <c r="BX833" s="485"/>
      <c r="BY833" s="485"/>
      <c r="BZ833" s="485"/>
      <c r="CA833" s="485"/>
      <c r="CB833" s="485"/>
      <c r="CC833" s="485"/>
      <c r="CD833" s="485"/>
      <c r="CE833" s="485"/>
      <c r="CF833" s="485"/>
      <c r="CG833" s="485"/>
      <c r="CH833" s="485"/>
      <c r="CI833" s="485"/>
      <c r="CJ833" s="485"/>
      <c r="CK833" s="485"/>
      <c r="CL833" s="485"/>
      <c r="CM833" s="485"/>
      <c r="CN833" s="485"/>
      <c r="CO833" s="485"/>
      <c r="CP833" s="485"/>
      <c r="CQ833" s="485"/>
      <c r="CR833" s="485"/>
      <c r="CS833" s="485"/>
      <c r="CT833" s="485"/>
      <c r="CU833" s="485"/>
      <c r="CV833" s="485"/>
      <c r="CW833" s="485"/>
      <c r="CX833" s="485"/>
      <c r="CY833" s="485"/>
      <c r="CZ833" s="485"/>
      <c r="DA833" s="485"/>
      <c r="DB833" s="485"/>
      <c r="DC833" s="485"/>
      <c r="DD833" s="485"/>
      <c r="DE833" s="485"/>
      <c r="DF833" s="485"/>
      <c r="DG833" s="485"/>
      <c r="DH833" s="485"/>
      <c r="DI833" s="485"/>
      <c r="DJ833" s="485"/>
      <c r="DK833" s="485"/>
      <c r="DL833" s="485"/>
      <c r="DM833" s="485"/>
      <c r="DN833" s="485"/>
      <c r="DO833" s="485"/>
      <c r="DP833" s="485"/>
      <c r="DQ833" s="485"/>
      <c r="DR833" s="485"/>
      <c r="DS833" s="485"/>
      <c r="DT833" s="485"/>
      <c r="DU833" s="485"/>
      <c r="DV833" s="485"/>
      <c r="DW833" s="485"/>
      <c r="DX833" s="485"/>
      <c r="DY833" s="485"/>
      <c r="DZ833" s="485"/>
      <c r="EA833" s="485"/>
      <c r="EB833" s="485"/>
      <c r="EC833" s="485"/>
      <c r="ED833" s="485"/>
      <c r="EE833" s="485"/>
      <c r="EF833" s="485"/>
      <c r="EG833" s="485"/>
      <c r="EH833" s="485"/>
      <c r="EI833" s="485"/>
      <c r="EJ833" s="485"/>
      <c r="EK833" s="485"/>
      <c r="EL833" s="485"/>
      <c r="EM833" s="485"/>
      <c r="EN833" s="485"/>
      <c r="EO833" s="485"/>
      <c r="EP833" s="485"/>
    </row>
    <row r="834" spans="1:146">
      <c r="A834" s="485"/>
      <c r="B834" s="485"/>
      <c r="C834" s="485"/>
      <c r="D834" s="485"/>
      <c r="E834" s="485"/>
      <c r="F834" s="485"/>
      <c r="G834" s="485"/>
      <c r="H834" s="485"/>
      <c r="I834" s="485"/>
      <c r="J834" s="485"/>
      <c r="K834" s="485"/>
      <c r="L834" s="485"/>
      <c r="M834" s="485"/>
      <c r="P834" s="485"/>
      <c r="Q834" s="485"/>
      <c r="R834" s="485"/>
      <c r="S834" s="485"/>
      <c r="T834" s="485"/>
      <c r="U834" s="485"/>
      <c r="V834" s="485"/>
      <c r="W834" s="485"/>
      <c r="X834" s="485"/>
      <c r="Y834" s="485"/>
      <c r="Z834" s="485"/>
      <c r="AA834" s="485"/>
      <c r="AB834" s="485"/>
      <c r="AC834" s="485"/>
      <c r="AD834" s="485"/>
      <c r="AE834" s="485"/>
      <c r="AF834" s="485"/>
      <c r="AG834" s="485"/>
      <c r="AH834" s="485"/>
      <c r="AI834" s="485"/>
      <c r="AJ834" s="485"/>
      <c r="AK834" s="485"/>
      <c r="AL834" s="485"/>
      <c r="AM834" s="485"/>
      <c r="AN834" s="485"/>
      <c r="AO834" s="485"/>
      <c r="AP834" s="485"/>
      <c r="AQ834" s="485"/>
      <c r="AR834" s="485"/>
      <c r="AS834" s="485"/>
      <c r="AT834" s="485"/>
      <c r="AU834" s="485"/>
      <c r="AV834" s="485"/>
      <c r="AW834" s="485"/>
      <c r="AX834" s="485"/>
      <c r="AY834" s="485"/>
      <c r="AZ834" s="485"/>
      <c r="BA834" s="485"/>
      <c r="BB834" s="485"/>
      <c r="BC834" s="485"/>
      <c r="BD834" s="485"/>
      <c r="BE834" s="485"/>
      <c r="BF834" s="485"/>
      <c r="BG834" s="485"/>
      <c r="BH834" s="485"/>
      <c r="BI834" s="485"/>
      <c r="BJ834" s="485"/>
      <c r="BK834" s="485"/>
      <c r="BL834" s="485"/>
      <c r="BM834" s="485"/>
      <c r="BN834" s="485"/>
      <c r="BO834" s="485"/>
      <c r="BP834" s="485"/>
      <c r="BQ834" s="485"/>
      <c r="BR834" s="485"/>
      <c r="BS834" s="485"/>
      <c r="BT834" s="485"/>
      <c r="BU834" s="485"/>
      <c r="BV834" s="485"/>
      <c r="BW834" s="485"/>
      <c r="BX834" s="485"/>
      <c r="BY834" s="485"/>
      <c r="BZ834" s="485"/>
      <c r="CA834" s="485"/>
      <c r="CB834" s="485"/>
      <c r="CC834" s="485"/>
      <c r="CD834" s="485"/>
      <c r="CE834" s="485"/>
      <c r="CF834" s="485"/>
      <c r="CG834" s="485"/>
      <c r="CH834" s="485"/>
      <c r="CI834" s="485"/>
      <c r="CJ834" s="485"/>
      <c r="CK834" s="485"/>
      <c r="CL834" s="485"/>
      <c r="CM834" s="485"/>
      <c r="CN834" s="485"/>
      <c r="CO834" s="485"/>
      <c r="CP834" s="485"/>
      <c r="CQ834" s="485"/>
      <c r="CR834" s="485"/>
      <c r="CS834" s="485"/>
      <c r="CT834" s="485"/>
      <c r="CU834" s="485"/>
      <c r="CV834" s="485"/>
      <c r="CW834" s="485"/>
      <c r="CX834" s="485"/>
      <c r="CY834" s="485"/>
      <c r="CZ834" s="485"/>
      <c r="DA834" s="485"/>
      <c r="DB834" s="485"/>
      <c r="DC834" s="485"/>
      <c r="DD834" s="485"/>
      <c r="DE834" s="485"/>
      <c r="DF834" s="485"/>
      <c r="DG834" s="485"/>
      <c r="DH834" s="485"/>
      <c r="DI834" s="485"/>
      <c r="DJ834" s="485"/>
      <c r="DK834" s="485"/>
      <c r="DL834" s="485"/>
      <c r="DM834" s="485"/>
      <c r="DN834" s="485"/>
      <c r="DO834" s="485"/>
      <c r="DP834" s="485"/>
      <c r="DQ834" s="485"/>
      <c r="DR834" s="485"/>
      <c r="DS834" s="485"/>
      <c r="DT834" s="485"/>
      <c r="DU834" s="485"/>
      <c r="DV834" s="485"/>
      <c r="DW834" s="485"/>
      <c r="DX834" s="485"/>
      <c r="DY834" s="485"/>
      <c r="DZ834" s="485"/>
      <c r="EA834" s="485"/>
      <c r="EB834" s="485"/>
      <c r="EC834" s="485"/>
      <c r="ED834" s="485"/>
      <c r="EE834" s="485"/>
      <c r="EF834" s="485"/>
      <c r="EG834" s="485"/>
      <c r="EH834" s="485"/>
      <c r="EI834" s="485"/>
      <c r="EJ834" s="485"/>
      <c r="EK834" s="485"/>
      <c r="EL834" s="485"/>
      <c r="EM834" s="485"/>
      <c r="EN834" s="485"/>
      <c r="EO834" s="485"/>
      <c r="EP834" s="485"/>
    </row>
    <row r="835" spans="1:146">
      <c r="A835" s="485"/>
      <c r="B835" s="485"/>
      <c r="C835" s="485"/>
      <c r="D835" s="485"/>
      <c r="E835" s="485"/>
      <c r="F835" s="485"/>
      <c r="G835" s="485"/>
      <c r="H835" s="485"/>
      <c r="I835" s="485"/>
      <c r="J835" s="485"/>
      <c r="K835" s="485"/>
      <c r="L835" s="485"/>
      <c r="M835" s="485"/>
      <c r="P835" s="485"/>
      <c r="Q835" s="485"/>
      <c r="R835" s="485"/>
      <c r="S835" s="485"/>
      <c r="T835" s="485"/>
      <c r="U835" s="485"/>
      <c r="V835" s="485"/>
      <c r="W835" s="485"/>
      <c r="X835" s="485"/>
      <c r="Y835" s="485"/>
      <c r="Z835" s="485"/>
      <c r="AA835" s="485"/>
      <c r="AB835" s="485"/>
      <c r="AC835" s="485"/>
      <c r="AD835" s="485"/>
      <c r="AE835" s="485"/>
      <c r="AF835" s="485"/>
      <c r="AG835" s="485"/>
      <c r="AH835" s="485"/>
      <c r="AI835" s="485"/>
      <c r="AJ835" s="485"/>
      <c r="AK835" s="485"/>
      <c r="AL835" s="485"/>
      <c r="AM835" s="485"/>
      <c r="AN835" s="485"/>
      <c r="AO835" s="485"/>
      <c r="AP835" s="485"/>
      <c r="AQ835" s="485"/>
      <c r="AR835" s="485"/>
      <c r="AS835" s="485"/>
      <c r="AT835" s="485"/>
      <c r="AU835" s="485"/>
      <c r="AV835" s="485"/>
      <c r="AW835" s="485"/>
      <c r="AX835" s="485"/>
      <c r="AY835" s="485"/>
      <c r="AZ835" s="485"/>
      <c r="BA835" s="485"/>
      <c r="BB835" s="485"/>
      <c r="BC835" s="485"/>
      <c r="BD835" s="485"/>
      <c r="BE835" s="485"/>
      <c r="BF835" s="485"/>
      <c r="BG835" s="485"/>
      <c r="BH835" s="485"/>
      <c r="BI835" s="485"/>
      <c r="BJ835" s="485"/>
      <c r="BK835" s="485"/>
      <c r="BL835" s="485"/>
      <c r="BM835" s="485"/>
      <c r="BN835" s="485"/>
      <c r="BO835" s="485"/>
      <c r="BP835" s="485"/>
      <c r="BQ835" s="485"/>
      <c r="BR835" s="485"/>
      <c r="BS835" s="485"/>
      <c r="BT835" s="485"/>
      <c r="BU835" s="485"/>
      <c r="BV835" s="485"/>
      <c r="BW835" s="485"/>
      <c r="BX835" s="485"/>
      <c r="BY835" s="485"/>
      <c r="BZ835" s="485"/>
      <c r="CA835" s="485"/>
      <c r="CB835" s="485"/>
      <c r="CC835" s="485"/>
      <c r="CD835" s="485"/>
      <c r="CE835" s="485"/>
      <c r="CF835" s="485"/>
      <c r="CG835" s="485"/>
      <c r="CH835" s="485"/>
      <c r="CI835" s="485"/>
      <c r="CJ835" s="485"/>
      <c r="CK835" s="485"/>
      <c r="CL835" s="485"/>
      <c r="CM835" s="485"/>
      <c r="CN835" s="485"/>
      <c r="CO835" s="485"/>
      <c r="CP835" s="485"/>
      <c r="CQ835" s="485"/>
      <c r="CR835" s="485"/>
      <c r="CS835" s="485"/>
      <c r="CT835" s="485"/>
      <c r="CU835" s="485"/>
      <c r="CV835" s="485"/>
      <c r="CW835" s="485"/>
      <c r="CX835" s="485"/>
      <c r="CY835" s="485"/>
      <c r="CZ835" s="485"/>
      <c r="DA835" s="485"/>
      <c r="DB835" s="485"/>
      <c r="DC835" s="485"/>
      <c r="DD835" s="485"/>
      <c r="DE835" s="485"/>
      <c r="DF835" s="485"/>
      <c r="DG835" s="485"/>
      <c r="DH835" s="485"/>
      <c r="DI835" s="485"/>
      <c r="DJ835" s="485"/>
      <c r="DK835" s="485"/>
      <c r="DL835" s="485"/>
      <c r="DM835" s="485"/>
      <c r="DN835" s="485"/>
      <c r="DO835" s="485"/>
      <c r="DP835" s="485"/>
      <c r="DQ835" s="485"/>
      <c r="DR835" s="485"/>
      <c r="DS835" s="485"/>
      <c r="DT835" s="485"/>
      <c r="DU835" s="485"/>
      <c r="DV835" s="485"/>
      <c r="DW835" s="485"/>
      <c r="DX835" s="485"/>
      <c r="DY835" s="485"/>
      <c r="DZ835" s="485"/>
      <c r="EA835" s="485"/>
      <c r="EB835" s="485"/>
      <c r="EC835" s="485"/>
      <c r="ED835" s="485"/>
      <c r="EE835" s="485"/>
      <c r="EF835" s="485"/>
      <c r="EG835" s="485"/>
      <c r="EH835" s="485"/>
      <c r="EI835" s="485"/>
      <c r="EJ835" s="485"/>
      <c r="EK835" s="485"/>
      <c r="EL835" s="485"/>
      <c r="EM835" s="485"/>
      <c r="EN835" s="485"/>
      <c r="EO835" s="485"/>
      <c r="EP835" s="485"/>
    </row>
    <row r="836" spans="1:146">
      <c r="A836" s="485"/>
      <c r="B836" s="485"/>
      <c r="C836" s="485"/>
      <c r="D836" s="485"/>
      <c r="E836" s="485"/>
      <c r="F836" s="485"/>
      <c r="G836" s="485"/>
      <c r="H836" s="485"/>
      <c r="I836" s="485"/>
      <c r="J836" s="485"/>
      <c r="K836" s="485"/>
      <c r="L836" s="485"/>
      <c r="M836" s="485"/>
      <c r="P836" s="485"/>
      <c r="Q836" s="485"/>
      <c r="R836" s="485"/>
      <c r="S836" s="485"/>
      <c r="T836" s="485"/>
      <c r="U836" s="485"/>
      <c r="V836" s="485"/>
      <c r="W836" s="485"/>
      <c r="X836" s="485"/>
      <c r="Y836" s="485"/>
      <c r="Z836" s="485"/>
      <c r="AA836" s="485"/>
      <c r="AB836" s="485"/>
      <c r="AC836" s="485"/>
      <c r="AD836" s="485"/>
      <c r="AE836" s="485"/>
      <c r="AF836" s="485"/>
      <c r="AG836" s="485"/>
      <c r="AH836" s="485"/>
      <c r="AI836" s="485"/>
      <c r="AJ836" s="485"/>
      <c r="AK836" s="485"/>
      <c r="AL836" s="485"/>
      <c r="AM836" s="485"/>
      <c r="AN836" s="485"/>
      <c r="AO836" s="485"/>
      <c r="AP836" s="485"/>
      <c r="AQ836" s="485"/>
      <c r="AR836" s="485"/>
      <c r="AS836" s="485"/>
      <c r="AT836" s="485"/>
      <c r="AU836" s="485"/>
      <c r="AV836" s="485"/>
      <c r="AW836" s="485"/>
      <c r="AX836" s="485"/>
      <c r="AY836" s="485"/>
      <c r="AZ836" s="485"/>
      <c r="BA836" s="485"/>
      <c r="BB836" s="485"/>
      <c r="BC836" s="485"/>
      <c r="BD836" s="485"/>
      <c r="BE836" s="485"/>
      <c r="BF836" s="485"/>
      <c r="BG836" s="485"/>
      <c r="BH836" s="485"/>
      <c r="BI836" s="485"/>
      <c r="BJ836" s="485"/>
      <c r="BK836" s="485"/>
      <c r="BL836" s="485"/>
      <c r="BM836" s="485"/>
      <c r="BN836" s="485"/>
      <c r="BO836" s="485"/>
      <c r="BP836" s="485"/>
      <c r="BQ836" s="485"/>
      <c r="BR836" s="485"/>
      <c r="BS836" s="485"/>
      <c r="BT836" s="485"/>
      <c r="BU836" s="485"/>
      <c r="BV836" s="485"/>
      <c r="BW836" s="485"/>
      <c r="BX836" s="485"/>
      <c r="BY836" s="485"/>
      <c r="BZ836" s="485"/>
      <c r="CA836" s="485"/>
      <c r="CB836" s="485"/>
      <c r="CC836" s="485"/>
      <c r="CD836" s="485"/>
      <c r="CE836" s="485"/>
      <c r="CF836" s="485"/>
      <c r="CG836" s="485"/>
      <c r="CH836" s="485"/>
      <c r="CI836" s="485"/>
      <c r="CJ836" s="485"/>
      <c r="CK836" s="485"/>
      <c r="CL836" s="485"/>
      <c r="CM836" s="485"/>
      <c r="CN836" s="485"/>
      <c r="CO836" s="485"/>
      <c r="CP836" s="485"/>
      <c r="CQ836" s="485"/>
      <c r="CR836" s="485"/>
      <c r="CS836" s="485"/>
      <c r="CT836" s="485"/>
      <c r="CU836" s="485"/>
      <c r="CV836" s="485"/>
      <c r="CW836" s="485"/>
      <c r="CX836" s="485"/>
      <c r="CY836" s="485"/>
      <c r="CZ836" s="485"/>
      <c r="DA836" s="485"/>
      <c r="DB836" s="485"/>
      <c r="DC836" s="485"/>
      <c r="DD836" s="485"/>
      <c r="DE836" s="485"/>
      <c r="DF836" s="485"/>
      <c r="DG836" s="485"/>
      <c r="DH836" s="485"/>
      <c r="DI836" s="485"/>
      <c r="DJ836" s="485"/>
      <c r="DK836" s="485"/>
      <c r="DL836" s="485"/>
      <c r="DM836" s="485"/>
      <c r="DN836" s="485"/>
      <c r="DO836" s="485"/>
      <c r="DP836" s="485"/>
      <c r="DQ836" s="485"/>
      <c r="DR836" s="485"/>
      <c r="DS836" s="485"/>
      <c r="DT836" s="485"/>
      <c r="DU836" s="485"/>
      <c r="DV836" s="485"/>
      <c r="DW836" s="485"/>
      <c r="DX836" s="485"/>
      <c r="DY836" s="485"/>
      <c r="DZ836" s="485"/>
      <c r="EA836" s="485"/>
      <c r="EB836" s="485"/>
      <c r="EC836" s="485"/>
      <c r="ED836" s="485"/>
      <c r="EE836" s="485"/>
      <c r="EF836" s="485"/>
      <c r="EG836" s="485"/>
      <c r="EH836" s="485"/>
      <c r="EI836" s="485"/>
      <c r="EJ836" s="485"/>
      <c r="EK836" s="485"/>
      <c r="EL836" s="485"/>
      <c r="EM836" s="485"/>
      <c r="EN836" s="485"/>
      <c r="EO836" s="485"/>
      <c r="EP836" s="485"/>
    </row>
    <row r="837" spans="1:146">
      <c r="A837" s="485"/>
      <c r="B837" s="485"/>
      <c r="C837" s="485"/>
      <c r="D837" s="485"/>
      <c r="E837" s="485"/>
      <c r="F837" s="485"/>
      <c r="G837" s="485"/>
      <c r="H837" s="485"/>
      <c r="I837" s="485"/>
      <c r="J837" s="485"/>
      <c r="K837" s="485"/>
      <c r="L837" s="485"/>
      <c r="M837" s="485"/>
      <c r="P837" s="485"/>
      <c r="Q837" s="485"/>
      <c r="R837" s="485"/>
      <c r="S837" s="485"/>
      <c r="T837" s="485"/>
      <c r="U837" s="485"/>
      <c r="V837" s="485"/>
      <c r="W837" s="485"/>
      <c r="X837" s="485"/>
      <c r="Y837" s="485"/>
      <c r="Z837" s="485"/>
      <c r="AA837" s="485"/>
      <c r="AB837" s="485"/>
      <c r="AC837" s="485"/>
      <c r="AD837" s="485"/>
      <c r="AE837" s="485"/>
      <c r="AF837" s="485"/>
      <c r="AG837" s="485"/>
      <c r="AH837" s="485"/>
      <c r="AI837" s="485"/>
      <c r="AJ837" s="485"/>
      <c r="AK837" s="485"/>
      <c r="AL837" s="485"/>
      <c r="AM837" s="485"/>
      <c r="AN837" s="485"/>
      <c r="AO837" s="485"/>
      <c r="AP837" s="485"/>
      <c r="AQ837" s="485"/>
      <c r="AR837" s="485"/>
      <c r="AS837" s="485"/>
      <c r="AT837" s="485"/>
      <c r="AU837" s="485"/>
      <c r="AV837" s="485"/>
      <c r="AW837" s="485"/>
      <c r="AX837" s="485"/>
      <c r="AY837" s="485"/>
      <c r="AZ837" s="485"/>
      <c r="BA837" s="485"/>
      <c r="BB837" s="485"/>
      <c r="BC837" s="485"/>
      <c r="BD837" s="485"/>
      <c r="BE837" s="485"/>
      <c r="BF837" s="485"/>
      <c r="BG837" s="485"/>
      <c r="BH837" s="485"/>
      <c r="BI837" s="485"/>
      <c r="BJ837" s="485"/>
      <c r="BK837" s="485"/>
      <c r="BL837" s="485"/>
      <c r="BM837" s="485"/>
      <c r="BN837" s="485"/>
      <c r="BO837" s="485"/>
      <c r="BP837" s="485"/>
      <c r="BQ837" s="485"/>
      <c r="BR837" s="485"/>
      <c r="BS837" s="485"/>
      <c r="BT837" s="485"/>
      <c r="BU837" s="485"/>
      <c r="BV837" s="485"/>
      <c r="BW837" s="485"/>
      <c r="BX837" s="485"/>
      <c r="BY837" s="485"/>
      <c r="BZ837" s="485"/>
      <c r="CA837" s="485"/>
      <c r="CB837" s="485"/>
      <c r="CC837" s="485"/>
      <c r="CD837" s="485"/>
      <c r="CE837" s="485"/>
      <c r="CF837" s="485"/>
      <c r="CG837" s="485"/>
      <c r="CH837" s="485"/>
      <c r="CI837" s="485"/>
      <c r="CJ837" s="485"/>
      <c r="CK837" s="485"/>
      <c r="CL837" s="485"/>
      <c r="CM837" s="485"/>
      <c r="CN837" s="485"/>
      <c r="CO837" s="485"/>
      <c r="CP837" s="485"/>
      <c r="CQ837" s="485"/>
      <c r="CR837" s="485"/>
      <c r="CS837" s="485"/>
      <c r="CT837" s="485"/>
      <c r="CU837" s="485"/>
      <c r="CV837" s="485"/>
      <c r="CW837" s="485"/>
      <c r="CX837" s="485"/>
      <c r="CY837" s="485"/>
      <c r="CZ837" s="485"/>
      <c r="DA837" s="485"/>
      <c r="DB837" s="485"/>
      <c r="DC837" s="485"/>
      <c r="DD837" s="485"/>
      <c r="DE837" s="485"/>
      <c r="DF837" s="485"/>
      <c r="DG837" s="485"/>
      <c r="DH837" s="485"/>
      <c r="DI837" s="485"/>
      <c r="DJ837" s="485"/>
      <c r="DK837" s="485"/>
      <c r="DL837" s="485"/>
      <c r="DM837" s="485"/>
      <c r="DN837" s="485"/>
      <c r="DO837" s="485"/>
      <c r="DP837" s="485"/>
      <c r="DQ837" s="485"/>
      <c r="DR837" s="485"/>
      <c r="DS837" s="485"/>
      <c r="DT837" s="485"/>
      <c r="DU837" s="485"/>
      <c r="DV837" s="485"/>
      <c r="DW837" s="485"/>
      <c r="DX837" s="485"/>
      <c r="DY837" s="485"/>
      <c r="DZ837" s="485"/>
      <c r="EA837" s="485"/>
      <c r="EB837" s="485"/>
      <c r="EC837" s="485"/>
      <c r="ED837" s="485"/>
      <c r="EE837" s="485"/>
      <c r="EF837" s="485"/>
      <c r="EG837" s="485"/>
      <c r="EH837" s="485"/>
      <c r="EI837" s="485"/>
      <c r="EJ837" s="485"/>
      <c r="EK837" s="485"/>
      <c r="EL837" s="485"/>
      <c r="EM837" s="485"/>
      <c r="EN837" s="485"/>
      <c r="EO837" s="485"/>
      <c r="EP837" s="485"/>
    </row>
    <row r="838" spans="1:146">
      <c r="A838" s="485"/>
      <c r="B838" s="485"/>
      <c r="C838" s="485"/>
      <c r="D838" s="485"/>
      <c r="E838" s="485"/>
      <c r="F838" s="485"/>
      <c r="G838" s="485"/>
      <c r="H838" s="485"/>
      <c r="I838" s="485"/>
      <c r="J838" s="485"/>
      <c r="K838" s="485"/>
      <c r="L838" s="485"/>
      <c r="M838" s="485"/>
      <c r="P838" s="485"/>
      <c r="Q838" s="485"/>
      <c r="R838" s="485"/>
      <c r="S838" s="485"/>
      <c r="T838" s="485"/>
      <c r="U838" s="485"/>
      <c r="V838" s="485"/>
      <c r="W838" s="485"/>
      <c r="X838" s="485"/>
      <c r="Y838" s="485"/>
      <c r="Z838" s="485"/>
      <c r="AA838" s="485"/>
      <c r="AB838" s="485"/>
      <c r="AC838" s="485"/>
      <c r="AD838" s="485"/>
      <c r="AE838" s="485"/>
      <c r="AF838" s="485"/>
      <c r="AG838" s="485"/>
      <c r="AH838" s="485"/>
      <c r="AI838" s="485"/>
      <c r="AJ838" s="485"/>
      <c r="AK838" s="485"/>
      <c r="AL838" s="485"/>
      <c r="AM838" s="485"/>
      <c r="AN838" s="485"/>
      <c r="AO838" s="485"/>
      <c r="AP838" s="485"/>
      <c r="AQ838" s="485"/>
      <c r="AR838" s="485"/>
      <c r="AS838" s="485"/>
      <c r="AT838" s="485"/>
      <c r="AU838" s="485"/>
      <c r="AV838" s="485"/>
      <c r="AW838" s="485"/>
      <c r="AX838" s="485"/>
      <c r="AY838" s="485"/>
      <c r="AZ838" s="485"/>
      <c r="BA838" s="485"/>
      <c r="BB838" s="485"/>
      <c r="BC838" s="485"/>
      <c r="BD838" s="485"/>
      <c r="BE838" s="485"/>
      <c r="BF838" s="485"/>
      <c r="BG838" s="485"/>
      <c r="BH838" s="485"/>
      <c r="BI838" s="485"/>
      <c r="BJ838" s="485"/>
      <c r="BK838" s="485"/>
      <c r="BL838" s="485"/>
      <c r="BM838" s="485"/>
      <c r="BN838" s="485"/>
      <c r="BO838" s="485"/>
      <c r="BP838" s="485"/>
      <c r="BQ838" s="485"/>
      <c r="BR838" s="485"/>
      <c r="BS838" s="485"/>
      <c r="BT838" s="485"/>
      <c r="BU838" s="485"/>
      <c r="BV838" s="485"/>
      <c r="BW838" s="485"/>
      <c r="BX838" s="485"/>
      <c r="BY838" s="485"/>
      <c r="BZ838" s="485"/>
      <c r="CA838" s="485"/>
      <c r="CB838" s="485"/>
      <c r="CC838" s="485"/>
      <c r="CD838" s="485"/>
      <c r="CE838" s="485"/>
      <c r="CF838" s="485"/>
      <c r="CG838" s="485"/>
      <c r="CH838" s="485"/>
      <c r="CI838" s="485"/>
      <c r="CJ838" s="485"/>
      <c r="CK838" s="485"/>
      <c r="CL838" s="485"/>
      <c r="CM838" s="485"/>
      <c r="CN838" s="485"/>
      <c r="CO838" s="485"/>
      <c r="CP838" s="485"/>
      <c r="CQ838" s="485"/>
      <c r="CR838" s="485"/>
      <c r="CS838" s="485"/>
      <c r="CT838" s="485"/>
      <c r="CU838" s="485"/>
      <c r="CV838" s="485"/>
      <c r="CW838" s="485"/>
      <c r="CX838" s="485"/>
      <c r="CY838" s="485"/>
      <c r="CZ838" s="485"/>
      <c r="DA838" s="485"/>
      <c r="DB838" s="485"/>
      <c r="DC838" s="485"/>
      <c r="DD838" s="485"/>
      <c r="DE838" s="485"/>
      <c r="DF838" s="485"/>
      <c r="DG838" s="485"/>
      <c r="DH838" s="485"/>
      <c r="DI838" s="485"/>
      <c r="DJ838" s="485"/>
      <c r="DK838" s="485"/>
      <c r="DL838" s="485"/>
      <c r="DM838" s="485"/>
      <c r="DN838" s="485"/>
      <c r="DO838" s="485"/>
      <c r="DP838" s="485"/>
      <c r="DQ838" s="485"/>
      <c r="DR838" s="485"/>
      <c r="DS838" s="485"/>
      <c r="DT838" s="485"/>
      <c r="DU838" s="485"/>
      <c r="DV838" s="485"/>
      <c r="DW838" s="485"/>
      <c r="DX838" s="485"/>
      <c r="DY838" s="485"/>
      <c r="DZ838" s="485"/>
      <c r="EA838" s="485"/>
      <c r="EB838" s="485"/>
      <c r="EC838" s="485"/>
      <c r="ED838" s="485"/>
      <c r="EE838" s="485"/>
      <c r="EF838" s="485"/>
      <c r="EG838" s="485"/>
      <c r="EH838" s="485"/>
      <c r="EI838" s="485"/>
      <c r="EJ838" s="485"/>
      <c r="EK838" s="485"/>
      <c r="EL838" s="485"/>
      <c r="EM838" s="485"/>
      <c r="EN838" s="485"/>
      <c r="EO838" s="485"/>
      <c r="EP838" s="485"/>
    </row>
    <row r="839" spans="1:146">
      <c r="A839" s="485"/>
      <c r="B839" s="485"/>
      <c r="C839" s="485"/>
      <c r="D839" s="485"/>
      <c r="E839" s="485"/>
      <c r="F839" s="485"/>
      <c r="G839" s="485"/>
      <c r="H839" s="485"/>
      <c r="I839" s="485"/>
      <c r="J839" s="485"/>
      <c r="K839" s="485"/>
      <c r="L839" s="485"/>
      <c r="M839" s="485"/>
      <c r="P839" s="485"/>
      <c r="Q839" s="485"/>
      <c r="R839" s="485"/>
      <c r="S839" s="485"/>
      <c r="T839" s="485"/>
      <c r="U839" s="485"/>
      <c r="V839" s="485"/>
      <c r="W839" s="485"/>
      <c r="X839" s="485"/>
      <c r="Y839" s="485"/>
      <c r="Z839" s="485"/>
      <c r="AA839" s="485"/>
      <c r="AB839" s="485"/>
      <c r="AC839" s="485"/>
      <c r="AD839" s="485"/>
      <c r="AE839" s="485"/>
      <c r="AF839" s="485"/>
      <c r="AG839" s="485"/>
      <c r="AH839" s="485"/>
      <c r="AI839" s="485"/>
      <c r="AJ839" s="485"/>
      <c r="AK839" s="485"/>
      <c r="AL839" s="485"/>
      <c r="AM839" s="485"/>
      <c r="AN839" s="485"/>
      <c r="AO839" s="485"/>
      <c r="AP839" s="485"/>
      <c r="AQ839" s="485"/>
      <c r="AR839" s="485"/>
      <c r="AS839" s="485"/>
      <c r="AT839" s="485"/>
      <c r="AU839" s="485"/>
      <c r="AV839" s="485"/>
      <c r="AW839" s="485"/>
      <c r="AX839" s="485"/>
      <c r="AY839" s="485"/>
      <c r="AZ839" s="485"/>
      <c r="BA839" s="485"/>
      <c r="BB839" s="485"/>
      <c r="BC839" s="485"/>
      <c r="BD839" s="485"/>
      <c r="BE839" s="485"/>
      <c r="BF839" s="485"/>
      <c r="BG839" s="485"/>
      <c r="BH839" s="485"/>
      <c r="BI839" s="485"/>
      <c r="BJ839" s="485"/>
      <c r="BK839" s="485"/>
      <c r="BL839" s="485"/>
      <c r="BM839" s="485"/>
      <c r="BN839" s="485"/>
      <c r="BO839" s="485"/>
      <c r="BP839" s="485"/>
      <c r="BQ839" s="485"/>
      <c r="BR839" s="485"/>
      <c r="BS839" s="485"/>
      <c r="BT839" s="485"/>
      <c r="BU839" s="485"/>
      <c r="BV839" s="485"/>
      <c r="BW839" s="485"/>
      <c r="BX839" s="485"/>
      <c r="BY839" s="485"/>
      <c r="BZ839" s="485"/>
      <c r="CA839" s="485"/>
      <c r="CB839" s="485"/>
      <c r="CC839" s="485"/>
      <c r="CD839" s="485"/>
      <c r="CE839" s="485"/>
      <c r="CF839" s="485"/>
      <c r="CG839" s="485"/>
      <c r="CH839" s="485"/>
      <c r="CI839" s="485"/>
      <c r="CJ839" s="485"/>
      <c r="CK839" s="485"/>
      <c r="CL839" s="485"/>
      <c r="CM839" s="485"/>
      <c r="CN839" s="485"/>
      <c r="CO839" s="485"/>
      <c r="CP839" s="485"/>
      <c r="CQ839" s="485"/>
      <c r="CR839" s="485"/>
      <c r="CS839" s="485"/>
      <c r="CT839" s="485"/>
      <c r="CU839" s="485"/>
      <c r="CV839" s="485"/>
      <c r="CW839" s="485"/>
      <c r="CX839" s="485"/>
      <c r="CY839" s="485"/>
      <c r="CZ839" s="485"/>
      <c r="DA839" s="485"/>
      <c r="DB839" s="485"/>
      <c r="DC839" s="485"/>
      <c r="DD839" s="485"/>
      <c r="DE839" s="485"/>
      <c r="DF839" s="485"/>
      <c r="DG839" s="485"/>
      <c r="DH839" s="485"/>
      <c r="DI839" s="485"/>
      <c r="DJ839" s="485"/>
      <c r="DK839" s="485"/>
      <c r="DL839" s="485"/>
      <c r="DM839" s="485"/>
      <c r="DN839" s="485"/>
      <c r="DO839" s="485"/>
      <c r="DP839" s="485"/>
      <c r="DQ839" s="485"/>
      <c r="DR839" s="485"/>
      <c r="DS839" s="485"/>
      <c r="DT839" s="485"/>
      <c r="DU839" s="485"/>
      <c r="DV839" s="485"/>
      <c r="DW839" s="485"/>
      <c r="DX839" s="485"/>
      <c r="DY839" s="485"/>
      <c r="DZ839" s="485"/>
      <c r="EA839" s="485"/>
      <c r="EB839" s="485"/>
      <c r="EC839" s="485"/>
      <c r="ED839" s="485"/>
      <c r="EE839" s="485"/>
      <c r="EF839" s="485"/>
      <c r="EG839" s="485"/>
      <c r="EH839" s="485"/>
      <c r="EI839" s="485"/>
      <c r="EJ839" s="485"/>
      <c r="EK839" s="485"/>
      <c r="EL839" s="485"/>
      <c r="EM839" s="485"/>
      <c r="EN839" s="485"/>
      <c r="EO839" s="485"/>
      <c r="EP839" s="485"/>
    </row>
    <row r="840" spans="1:146">
      <c r="A840" s="485"/>
      <c r="B840" s="485"/>
      <c r="C840" s="485"/>
      <c r="D840" s="485"/>
      <c r="E840" s="485"/>
      <c r="F840" s="485"/>
      <c r="G840" s="485"/>
      <c r="H840" s="485"/>
      <c r="I840" s="485"/>
      <c r="J840" s="485"/>
      <c r="K840" s="485"/>
      <c r="L840" s="485"/>
      <c r="M840" s="485"/>
      <c r="P840" s="485"/>
      <c r="Q840" s="485"/>
      <c r="R840" s="485"/>
      <c r="S840" s="485"/>
      <c r="T840" s="485"/>
      <c r="U840" s="485"/>
      <c r="V840" s="485"/>
      <c r="W840" s="485"/>
      <c r="X840" s="485"/>
      <c r="Y840" s="485"/>
      <c r="Z840" s="485"/>
      <c r="AA840" s="485"/>
      <c r="AB840" s="485"/>
      <c r="AC840" s="485"/>
      <c r="AD840" s="485"/>
      <c r="AE840" s="485"/>
      <c r="AF840" s="485"/>
      <c r="AG840" s="485"/>
      <c r="AH840" s="485"/>
      <c r="AI840" s="485"/>
      <c r="AJ840" s="485"/>
      <c r="AK840" s="485"/>
      <c r="AL840" s="485"/>
      <c r="AM840" s="485"/>
      <c r="AN840" s="485"/>
      <c r="AO840" s="485"/>
      <c r="AP840" s="485"/>
      <c r="AQ840" s="485"/>
      <c r="AR840" s="485"/>
      <c r="AS840" s="485"/>
      <c r="AT840" s="485"/>
      <c r="AU840" s="485"/>
      <c r="AV840" s="485"/>
      <c r="AW840" s="485"/>
      <c r="AX840" s="485"/>
      <c r="AY840" s="485"/>
      <c r="AZ840" s="485"/>
      <c r="BA840" s="485"/>
      <c r="BB840" s="485"/>
      <c r="BC840" s="485"/>
      <c r="BD840" s="485"/>
      <c r="BE840" s="485"/>
      <c r="BF840" s="485"/>
      <c r="BG840" s="485"/>
      <c r="BH840" s="485"/>
      <c r="BI840" s="485"/>
      <c r="BJ840" s="485"/>
      <c r="BK840" s="485"/>
      <c r="BL840" s="485"/>
      <c r="BM840" s="485"/>
      <c r="BN840" s="485"/>
      <c r="BO840" s="485"/>
      <c r="BP840" s="485"/>
      <c r="BQ840" s="485"/>
      <c r="BR840" s="485"/>
      <c r="BS840" s="485"/>
      <c r="BT840" s="485"/>
      <c r="BU840" s="485"/>
      <c r="BV840" s="485"/>
      <c r="BW840" s="485"/>
      <c r="BX840" s="485"/>
      <c r="BY840" s="485"/>
      <c r="BZ840" s="485"/>
      <c r="CA840" s="485"/>
      <c r="CB840" s="485"/>
      <c r="CC840" s="485"/>
      <c r="CD840" s="485"/>
      <c r="CE840" s="485"/>
      <c r="CF840" s="485"/>
      <c r="CG840" s="485"/>
      <c r="CH840" s="485"/>
      <c r="CI840" s="485"/>
      <c r="CJ840" s="485"/>
      <c r="CK840" s="485"/>
      <c r="CL840" s="485"/>
      <c r="CM840" s="485"/>
      <c r="CN840" s="485"/>
      <c r="CO840" s="485"/>
      <c r="CP840" s="485"/>
      <c r="CQ840" s="485"/>
      <c r="CR840" s="485"/>
      <c r="CS840" s="485"/>
      <c r="CT840" s="485"/>
      <c r="CU840" s="485"/>
      <c r="CV840" s="485"/>
      <c r="CW840" s="485"/>
      <c r="CX840" s="485"/>
      <c r="CY840" s="485"/>
      <c r="CZ840" s="485"/>
      <c r="DA840" s="485"/>
      <c r="DB840" s="485"/>
      <c r="DC840" s="485"/>
      <c r="DD840" s="485"/>
      <c r="DE840" s="485"/>
      <c r="DF840" s="485"/>
      <c r="DG840" s="485"/>
      <c r="DH840" s="485"/>
      <c r="DI840" s="485"/>
      <c r="DJ840" s="485"/>
      <c r="DK840" s="485"/>
      <c r="DL840" s="485"/>
      <c r="DM840" s="485"/>
      <c r="DN840" s="485"/>
      <c r="DO840" s="485"/>
      <c r="DP840" s="485"/>
      <c r="DQ840" s="485"/>
      <c r="DR840" s="485"/>
      <c r="DS840" s="485"/>
      <c r="DT840" s="485"/>
      <c r="DU840" s="485"/>
      <c r="DV840" s="485"/>
      <c r="DW840" s="485"/>
      <c r="DX840" s="485"/>
      <c r="DY840" s="485"/>
      <c r="DZ840" s="485"/>
      <c r="EA840" s="485"/>
      <c r="EB840" s="485"/>
      <c r="EC840" s="485"/>
      <c r="ED840" s="485"/>
      <c r="EE840" s="485"/>
      <c r="EF840" s="485"/>
      <c r="EG840" s="485"/>
      <c r="EH840" s="485"/>
      <c r="EI840" s="485"/>
      <c r="EJ840" s="485"/>
      <c r="EK840" s="485"/>
      <c r="EL840" s="485"/>
      <c r="EM840" s="485"/>
      <c r="EN840" s="485"/>
      <c r="EO840" s="485"/>
      <c r="EP840" s="485"/>
    </row>
    <row r="841" spans="1:146">
      <c r="A841" s="485"/>
      <c r="B841" s="485"/>
      <c r="C841" s="485"/>
      <c r="D841" s="485"/>
      <c r="E841" s="485"/>
      <c r="F841" s="485"/>
      <c r="G841" s="485"/>
      <c r="H841" s="485"/>
      <c r="I841" s="485"/>
      <c r="J841" s="485"/>
      <c r="K841" s="485"/>
      <c r="L841" s="485"/>
      <c r="M841" s="485"/>
      <c r="P841" s="485"/>
      <c r="Q841" s="485"/>
      <c r="R841" s="485"/>
      <c r="S841" s="485"/>
      <c r="T841" s="485"/>
      <c r="U841" s="485"/>
      <c r="V841" s="485"/>
      <c r="W841" s="485"/>
      <c r="X841" s="485"/>
      <c r="Y841" s="485"/>
      <c r="Z841" s="485"/>
      <c r="AA841" s="485"/>
      <c r="AB841" s="485"/>
      <c r="AC841" s="485"/>
      <c r="AD841" s="485"/>
      <c r="AE841" s="485"/>
      <c r="AF841" s="485"/>
      <c r="AG841" s="485"/>
      <c r="AH841" s="485"/>
      <c r="AI841" s="485"/>
      <c r="AJ841" s="485"/>
      <c r="AK841" s="485"/>
      <c r="AL841" s="485"/>
      <c r="AM841" s="485"/>
      <c r="AN841" s="485"/>
      <c r="AO841" s="485"/>
      <c r="AP841" s="485"/>
      <c r="AQ841" s="485"/>
      <c r="AR841" s="485"/>
      <c r="AS841" s="485"/>
      <c r="AT841" s="485"/>
      <c r="AU841" s="485"/>
      <c r="AV841" s="485"/>
      <c r="AW841" s="485"/>
      <c r="AX841" s="485"/>
      <c r="AY841" s="485"/>
      <c r="AZ841" s="485"/>
      <c r="BA841" s="485"/>
      <c r="BB841" s="485"/>
      <c r="BC841" s="485"/>
      <c r="BD841" s="485"/>
      <c r="BE841" s="485"/>
      <c r="BF841" s="485"/>
      <c r="BG841" s="485"/>
      <c r="BH841" s="485"/>
      <c r="BI841" s="485"/>
      <c r="BJ841" s="485"/>
      <c r="BK841" s="485"/>
      <c r="BL841" s="485"/>
      <c r="BM841" s="485"/>
      <c r="BN841" s="485"/>
      <c r="BO841" s="485"/>
      <c r="BP841" s="485"/>
      <c r="BQ841" s="485"/>
      <c r="BR841" s="485"/>
      <c r="BS841" s="485"/>
      <c r="BT841" s="485"/>
      <c r="BU841" s="485"/>
      <c r="BV841" s="485"/>
      <c r="BW841" s="485"/>
      <c r="BX841" s="485"/>
      <c r="BY841" s="485"/>
      <c r="BZ841" s="485"/>
      <c r="CA841" s="485"/>
      <c r="CB841" s="485"/>
      <c r="CC841" s="485"/>
      <c r="CD841" s="485"/>
      <c r="CE841" s="485"/>
      <c r="CF841" s="485"/>
      <c r="CG841" s="485"/>
      <c r="CH841" s="485"/>
      <c r="CI841" s="485"/>
      <c r="CJ841" s="485"/>
      <c r="CK841" s="485"/>
      <c r="CL841" s="485"/>
      <c r="CM841" s="485"/>
      <c r="CN841" s="485"/>
      <c r="CO841" s="485"/>
      <c r="CP841" s="485"/>
      <c r="CQ841" s="485"/>
      <c r="CR841" s="485"/>
      <c r="CS841" s="485"/>
      <c r="CT841" s="485"/>
      <c r="CU841" s="485"/>
      <c r="CV841" s="485"/>
      <c r="CW841" s="485"/>
      <c r="CX841" s="485"/>
      <c r="CY841" s="485"/>
      <c r="CZ841" s="485"/>
      <c r="DA841" s="485"/>
      <c r="DB841" s="485"/>
      <c r="DC841" s="485"/>
      <c r="DD841" s="485"/>
      <c r="DE841" s="485"/>
      <c r="DF841" s="485"/>
      <c r="DG841" s="485"/>
      <c r="DH841" s="485"/>
      <c r="DI841" s="485"/>
      <c r="DJ841" s="485"/>
      <c r="DK841" s="485"/>
      <c r="DL841" s="485"/>
      <c r="DM841" s="485"/>
      <c r="DN841" s="485"/>
      <c r="DO841" s="485"/>
      <c r="DP841" s="485"/>
      <c r="DQ841" s="485"/>
      <c r="DR841" s="485"/>
      <c r="DS841" s="485"/>
      <c r="DT841" s="485"/>
      <c r="DU841" s="485"/>
      <c r="DV841" s="485"/>
      <c r="DW841" s="485"/>
      <c r="DX841" s="485"/>
      <c r="DY841" s="485"/>
      <c r="DZ841" s="485"/>
      <c r="EA841" s="485"/>
      <c r="EB841" s="485"/>
      <c r="EC841" s="485"/>
      <c r="ED841" s="485"/>
      <c r="EE841" s="485"/>
      <c r="EF841" s="485"/>
      <c r="EG841" s="485"/>
      <c r="EH841" s="485"/>
      <c r="EI841" s="485"/>
      <c r="EJ841" s="485"/>
      <c r="EK841" s="485"/>
      <c r="EL841" s="485"/>
      <c r="EM841" s="485"/>
      <c r="EN841" s="485"/>
      <c r="EO841" s="485"/>
      <c r="EP841" s="485"/>
    </row>
    <row r="842" spans="1:146">
      <c r="A842" s="485"/>
      <c r="B842" s="485"/>
      <c r="C842" s="485"/>
      <c r="D842" s="485"/>
      <c r="E842" s="485"/>
      <c r="F842" s="485"/>
      <c r="G842" s="485"/>
      <c r="H842" s="485"/>
      <c r="I842" s="485"/>
      <c r="J842" s="485"/>
      <c r="K842" s="485"/>
      <c r="L842" s="485"/>
      <c r="M842" s="485"/>
      <c r="P842" s="485"/>
      <c r="Q842" s="485"/>
      <c r="R842" s="485"/>
      <c r="S842" s="485"/>
      <c r="T842" s="485"/>
      <c r="U842" s="485"/>
      <c r="V842" s="485"/>
      <c r="W842" s="485"/>
      <c r="X842" s="485"/>
      <c r="Y842" s="485"/>
      <c r="Z842" s="485"/>
      <c r="AA842" s="485"/>
      <c r="AB842" s="485"/>
      <c r="AC842" s="485"/>
      <c r="AD842" s="485"/>
      <c r="AE842" s="485"/>
      <c r="AF842" s="485"/>
      <c r="AG842" s="485"/>
      <c r="AH842" s="485"/>
      <c r="AI842" s="485"/>
      <c r="AJ842" s="485"/>
      <c r="AK842" s="485"/>
      <c r="AL842" s="485"/>
      <c r="AM842" s="485"/>
      <c r="AN842" s="485"/>
      <c r="AO842" s="485"/>
      <c r="AP842" s="485"/>
      <c r="AQ842" s="485"/>
      <c r="AR842" s="485"/>
      <c r="AS842" s="485"/>
      <c r="AT842" s="485"/>
      <c r="AU842" s="485"/>
      <c r="AV842" s="485"/>
      <c r="AW842" s="485"/>
      <c r="AX842" s="485"/>
      <c r="AY842" s="485"/>
      <c r="AZ842" s="485"/>
      <c r="BA842" s="485"/>
      <c r="BB842" s="485"/>
      <c r="BC842" s="485"/>
      <c r="BD842" s="485"/>
      <c r="BE842" s="485"/>
      <c r="BF842" s="485"/>
      <c r="BG842" s="485"/>
      <c r="BH842" s="485"/>
      <c r="BI842" s="485"/>
      <c r="BJ842" s="485"/>
      <c r="BK842" s="485"/>
      <c r="BL842" s="485"/>
      <c r="BM842" s="485"/>
      <c r="BN842" s="485"/>
      <c r="BO842" s="485"/>
      <c r="BP842" s="485"/>
      <c r="BQ842" s="485"/>
      <c r="BR842" s="485"/>
      <c r="BS842" s="485"/>
      <c r="BT842" s="485"/>
      <c r="BU842" s="485"/>
      <c r="BV842" s="485"/>
      <c r="BW842" s="485"/>
      <c r="BX842" s="485"/>
      <c r="BY842" s="485"/>
      <c r="BZ842" s="485"/>
      <c r="CA842" s="485"/>
      <c r="CB842" s="485"/>
      <c r="CC842" s="485"/>
      <c r="CD842" s="485"/>
      <c r="CE842" s="485"/>
      <c r="CF842" s="485"/>
      <c r="CG842" s="485"/>
      <c r="CH842" s="485"/>
      <c r="CI842" s="485"/>
      <c r="CJ842" s="485"/>
      <c r="CK842" s="485"/>
      <c r="CL842" s="485"/>
      <c r="CM842" s="485"/>
      <c r="CN842" s="485"/>
      <c r="CO842" s="485"/>
      <c r="CP842" s="485"/>
      <c r="CQ842" s="485"/>
      <c r="CR842" s="485"/>
      <c r="CS842" s="485"/>
      <c r="CT842" s="485"/>
      <c r="CU842" s="485"/>
      <c r="CV842" s="485"/>
      <c r="CW842" s="485"/>
      <c r="CX842" s="485"/>
      <c r="CY842" s="485"/>
      <c r="CZ842" s="485"/>
      <c r="DA842" s="485"/>
      <c r="DB842" s="485"/>
      <c r="DC842" s="485"/>
      <c r="DD842" s="485"/>
      <c r="DE842" s="485"/>
      <c r="DF842" s="485"/>
      <c r="DG842" s="485"/>
      <c r="DH842" s="485"/>
      <c r="DI842" s="485"/>
      <c r="DJ842" s="485"/>
      <c r="DK842" s="485"/>
      <c r="DL842" s="485"/>
      <c r="DM842" s="485"/>
      <c r="DN842" s="485"/>
      <c r="DO842" s="485"/>
      <c r="DP842" s="485"/>
      <c r="DQ842" s="485"/>
      <c r="DR842" s="485"/>
      <c r="DS842" s="485"/>
      <c r="DT842" s="485"/>
      <c r="DU842" s="485"/>
      <c r="DV842" s="485"/>
      <c r="DW842" s="485"/>
      <c r="DX842" s="485"/>
      <c r="DY842" s="485"/>
      <c r="DZ842" s="485"/>
      <c r="EA842" s="485"/>
      <c r="EB842" s="485"/>
      <c r="EC842" s="485"/>
      <c r="ED842" s="485"/>
      <c r="EE842" s="485"/>
      <c r="EF842" s="485"/>
      <c r="EG842" s="485"/>
      <c r="EH842" s="485"/>
      <c r="EI842" s="485"/>
      <c r="EJ842" s="485"/>
      <c r="EK842" s="485"/>
      <c r="EL842" s="485"/>
      <c r="EM842" s="485"/>
      <c r="EN842" s="485"/>
      <c r="EO842" s="485"/>
      <c r="EP842" s="485"/>
    </row>
    <row r="843" spans="1:146">
      <c r="A843" s="485"/>
      <c r="B843" s="485"/>
      <c r="C843" s="485"/>
      <c r="D843" s="485"/>
      <c r="E843" s="485"/>
      <c r="F843" s="485"/>
      <c r="G843" s="485"/>
      <c r="H843" s="485"/>
      <c r="I843" s="485"/>
      <c r="J843" s="485"/>
      <c r="K843" s="485"/>
      <c r="L843" s="485"/>
      <c r="M843" s="485"/>
      <c r="P843" s="485"/>
      <c r="Q843" s="485"/>
      <c r="R843" s="485"/>
      <c r="S843" s="485"/>
      <c r="T843" s="485"/>
      <c r="U843" s="485"/>
      <c r="V843" s="485"/>
      <c r="W843" s="485"/>
      <c r="X843" s="485"/>
      <c r="Y843" s="485"/>
      <c r="Z843" s="485"/>
      <c r="AA843" s="485"/>
      <c r="AB843" s="485"/>
      <c r="AC843" s="485"/>
      <c r="AD843" s="485"/>
      <c r="AE843" s="485"/>
      <c r="AF843" s="485"/>
      <c r="AG843" s="485"/>
      <c r="AH843" s="485"/>
      <c r="AI843" s="485"/>
      <c r="AJ843" s="485"/>
      <c r="AK843" s="485"/>
      <c r="AL843" s="485"/>
      <c r="AM843" s="485"/>
      <c r="AN843" s="485"/>
      <c r="AO843" s="485"/>
      <c r="AP843" s="485"/>
      <c r="AQ843" s="485"/>
      <c r="AR843" s="485"/>
      <c r="AS843" s="485"/>
      <c r="AT843" s="485"/>
      <c r="AU843" s="485"/>
      <c r="AV843" s="485"/>
      <c r="AW843" s="485"/>
      <c r="AX843" s="485"/>
      <c r="AY843" s="485"/>
      <c r="AZ843" s="485"/>
      <c r="BA843" s="485"/>
      <c r="BB843" s="485"/>
      <c r="BC843" s="485"/>
      <c r="BD843" s="485"/>
      <c r="BE843" s="485"/>
      <c r="BF843" s="485"/>
      <c r="BG843" s="485"/>
      <c r="BH843" s="485"/>
      <c r="BI843" s="485"/>
      <c r="BJ843" s="485"/>
      <c r="BK843" s="485"/>
      <c r="BL843" s="485"/>
      <c r="BM843" s="485"/>
      <c r="BN843" s="485"/>
      <c r="BO843" s="485"/>
      <c r="BP843" s="485"/>
      <c r="BQ843" s="485"/>
      <c r="BR843" s="485"/>
      <c r="BS843" s="485"/>
      <c r="BT843" s="485"/>
      <c r="BU843" s="485"/>
      <c r="BV843" s="485"/>
      <c r="BW843" s="485"/>
      <c r="BX843" s="485"/>
      <c r="BY843" s="485"/>
      <c r="BZ843" s="485"/>
      <c r="CA843" s="485"/>
      <c r="CB843" s="485"/>
      <c r="CC843" s="485"/>
      <c r="CD843" s="485"/>
      <c r="CE843" s="485"/>
      <c r="CF843" s="485"/>
      <c r="CG843" s="485"/>
      <c r="CH843" s="485"/>
      <c r="CI843" s="485"/>
      <c r="CJ843" s="485"/>
      <c r="CK843" s="485"/>
      <c r="CL843" s="485"/>
      <c r="CM843" s="485"/>
      <c r="CN843" s="485"/>
      <c r="CO843" s="485"/>
      <c r="CP843" s="485"/>
      <c r="CQ843" s="485"/>
      <c r="CR843" s="485"/>
      <c r="CS843" s="485"/>
      <c r="CT843" s="485"/>
      <c r="CU843" s="485"/>
      <c r="CV843" s="485"/>
      <c r="CW843" s="485"/>
      <c r="CX843" s="485"/>
      <c r="CY843" s="485"/>
      <c r="CZ843" s="485"/>
      <c r="DA843" s="485"/>
      <c r="DB843" s="485"/>
      <c r="DC843" s="485"/>
      <c r="DD843" s="485"/>
      <c r="DE843" s="485"/>
      <c r="DF843" s="485"/>
      <c r="DG843" s="485"/>
      <c r="DH843" s="485"/>
      <c r="DI843" s="485"/>
      <c r="DJ843" s="485"/>
      <c r="DK843" s="485"/>
      <c r="DL843" s="485"/>
      <c r="DM843" s="485"/>
      <c r="DN843" s="485"/>
      <c r="DO843" s="485"/>
      <c r="DP843" s="485"/>
      <c r="DQ843" s="485"/>
      <c r="DR843" s="485"/>
      <c r="DS843" s="485"/>
      <c r="DT843" s="485"/>
      <c r="DU843" s="485"/>
      <c r="DV843" s="485"/>
      <c r="DW843" s="485"/>
      <c r="DX843" s="485"/>
      <c r="DY843" s="485"/>
      <c r="DZ843" s="485"/>
      <c r="EA843" s="485"/>
      <c r="EB843" s="485"/>
      <c r="EC843" s="485"/>
      <c r="ED843" s="485"/>
      <c r="EE843" s="485"/>
      <c r="EF843" s="485"/>
      <c r="EG843" s="485"/>
      <c r="EH843" s="485"/>
      <c r="EI843" s="485"/>
      <c r="EJ843" s="485"/>
      <c r="EK843" s="485"/>
      <c r="EL843" s="485"/>
      <c r="EM843" s="485"/>
      <c r="EN843" s="485"/>
      <c r="EO843" s="485"/>
      <c r="EP843" s="485"/>
    </row>
    <row r="844" spans="1:146">
      <c r="A844" s="485"/>
      <c r="B844" s="485"/>
      <c r="C844" s="485"/>
      <c r="D844" s="485"/>
      <c r="E844" s="485"/>
      <c r="F844" s="485"/>
      <c r="G844" s="485"/>
      <c r="H844" s="485"/>
      <c r="I844" s="485"/>
      <c r="J844" s="485"/>
      <c r="K844" s="485"/>
      <c r="L844" s="485"/>
      <c r="M844" s="485"/>
      <c r="P844" s="485"/>
      <c r="Q844" s="485"/>
      <c r="R844" s="485"/>
      <c r="S844" s="485"/>
      <c r="T844" s="485"/>
      <c r="U844" s="485"/>
      <c r="V844" s="485"/>
      <c r="W844" s="485"/>
      <c r="X844" s="485"/>
      <c r="Y844" s="485"/>
      <c r="Z844" s="485"/>
      <c r="AA844" s="485"/>
      <c r="AB844" s="485"/>
      <c r="AC844" s="485"/>
      <c r="AD844" s="485"/>
      <c r="AE844" s="485"/>
      <c r="AF844" s="485"/>
      <c r="AG844" s="485"/>
      <c r="AH844" s="485"/>
      <c r="AI844" s="485"/>
      <c r="AJ844" s="485"/>
      <c r="AK844" s="485"/>
      <c r="AL844" s="485"/>
      <c r="AM844" s="485"/>
      <c r="AN844" s="485"/>
      <c r="AO844" s="485"/>
      <c r="AP844" s="485"/>
      <c r="AQ844" s="485"/>
      <c r="AR844" s="485"/>
      <c r="AS844" s="485"/>
      <c r="AT844" s="485"/>
      <c r="AU844" s="485"/>
      <c r="AV844" s="485"/>
      <c r="AW844" s="485"/>
      <c r="AX844" s="485"/>
      <c r="AY844" s="485"/>
      <c r="AZ844" s="485"/>
      <c r="BA844" s="485"/>
      <c r="BB844" s="485"/>
      <c r="BC844" s="485"/>
      <c r="BD844" s="485"/>
      <c r="BE844" s="485"/>
      <c r="BF844" s="485"/>
      <c r="BG844" s="485"/>
      <c r="BH844" s="485"/>
      <c r="BI844" s="485"/>
      <c r="BJ844" s="485"/>
      <c r="BK844" s="485"/>
      <c r="BL844" s="485"/>
      <c r="BM844" s="485"/>
      <c r="BN844" s="485"/>
      <c r="BO844" s="485"/>
      <c r="BP844" s="485"/>
      <c r="BQ844" s="485"/>
      <c r="BR844" s="485"/>
      <c r="BS844" s="485"/>
      <c r="BT844" s="485"/>
      <c r="BU844" s="485"/>
      <c r="BV844" s="485"/>
      <c r="BW844" s="485"/>
      <c r="BX844" s="485"/>
      <c r="BY844" s="485"/>
      <c r="BZ844" s="485"/>
      <c r="CA844" s="485"/>
      <c r="CB844" s="485"/>
      <c r="CC844" s="485"/>
      <c r="CD844" s="485"/>
      <c r="CE844" s="485"/>
      <c r="CF844" s="485"/>
      <c r="CG844" s="485"/>
      <c r="CH844" s="485"/>
      <c r="CI844" s="485"/>
      <c r="CJ844" s="485"/>
      <c r="CK844" s="485"/>
      <c r="CL844" s="485"/>
      <c r="CM844" s="485"/>
      <c r="CN844" s="485"/>
      <c r="CO844" s="485"/>
      <c r="CP844" s="485"/>
      <c r="CQ844" s="485"/>
      <c r="CR844" s="485"/>
      <c r="CS844" s="485"/>
      <c r="CT844" s="485"/>
      <c r="CU844" s="485"/>
      <c r="CV844" s="485"/>
      <c r="CW844" s="485"/>
      <c r="CX844" s="485"/>
      <c r="CY844" s="485"/>
      <c r="CZ844" s="485"/>
      <c r="DA844" s="485"/>
      <c r="DB844" s="485"/>
      <c r="DC844" s="485"/>
      <c r="DD844" s="485"/>
      <c r="DE844" s="485"/>
      <c r="DF844" s="485"/>
      <c r="DG844" s="485"/>
      <c r="DH844" s="485"/>
      <c r="DI844" s="485"/>
      <c r="DJ844" s="485"/>
      <c r="DK844" s="485"/>
      <c r="DL844" s="485"/>
      <c r="DM844" s="485"/>
      <c r="DN844" s="485"/>
      <c r="DO844" s="485"/>
      <c r="DP844" s="485"/>
      <c r="DQ844" s="485"/>
      <c r="DR844" s="485"/>
      <c r="DS844" s="485"/>
      <c r="DT844" s="485"/>
      <c r="DU844" s="485"/>
      <c r="DV844" s="485"/>
      <c r="DW844" s="485"/>
      <c r="DX844" s="485"/>
      <c r="DY844" s="485"/>
      <c r="DZ844" s="485"/>
      <c r="EA844" s="485"/>
      <c r="EB844" s="485"/>
      <c r="EC844" s="485"/>
      <c r="ED844" s="485"/>
      <c r="EE844" s="485"/>
      <c r="EF844" s="485"/>
      <c r="EG844" s="485"/>
      <c r="EH844" s="485"/>
      <c r="EI844" s="485"/>
      <c r="EJ844" s="485"/>
      <c r="EK844" s="485"/>
      <c r="EL844" s="485"/>
      <c r="EM844" s="485"/>
      <c r="EN844" s="485"/>
      <c r="EO844" s="485"/>
      <c r="EP844" s="485"/>
    </row>
    <row r="845" spans="1:146">
      <c r="A845" s="485"/>
      <c r="B845" s="485"/>
      <c r="C845" s="485"/>
      <c r="D845" s="485"/>
      <c r="E845" s="485"/>
      <c r="F845" s="485"/>
      <c r="G845" s="485"/>
      <c r="H845" s="485"/>
      <c r="I845" s="485"/>
      <c r="J845" s="485"/>
      <c r="K845" s="485"/>
      <c r="L845" s="485"/>
      <c r="M845" s="485"/>
      <c r="P845" s="485"/>
      <c r="Q845" s="485"/>
      <c r="R845" s="485"/>
      <c r="S845" s="485"/>
      <c r="T845" s="485"/>
      <c r="U845" s="485"/>
      <c r="V845" s="485"/>
      <c r="W845" s="485"/>
      <c r="X845" s="485"/>
      <c r="Y845" s="485"/>
      <c r="Z845" s="485"/>
      <c r="AA845" s="485"/>
      <c r="AB845" s="485"/>
      <c r="AC845" s="485"/>
      <c r="AD845" s="485"/>
      <c r="AE845" s="485"/>
      <c r="AF845" s="485"/>
      <c r="AG845" s="485"/>
      <c r="AH845" s="485"/>
      <c r="AI845" s="485"/>
      <c r="AJ845" s="485"/>
      <c r="AK845" s="485"/>
      <c r="AL845" s="485"/>
      <c r="AM845" s="485"/>
      <c r="AN845" s="485"/>
      <c r="AO845" s="485"/>
      <c r="AP845" s="485"/>
      <c r="AQ845" s="485"/>
      <c r="AR845" s="485"/>
      <c r="AS845" s="485"/>
      <c r="AT845" s="485"/>
      <c r="AU845" s="485"/>
      <c r="AV845" s="485"/>
      <c r="AW845" s="485"/>
      <c r="AX845" s="485"/>
      <c r="AY845" s="485"/>
      <c r="AZ845" s="485"/>
      <c r="BA845" s="485"/>
      <c r="BB845" s="485"/>
      <c r="BC845" s="485"/>
      <c r="BD845" s="485"/>
      <c r="BE845" s="485"/>
      <c r="BF845" s="485"/>
      <c r="BG845" s="485"/>
      <c r="BH845" s="485"/>
      <c r="BI845" s="485"/>
      <c r="BJ845" s="485"/>
      <c r="BK845" s="485"/>
      <c r="BL845" s="485"/>
      <c r="BM845" s="485"/>
      <c r="BN845" s="485"/>
      <c r="BO845" s="485"/>
      <c r="BP845" s="485"/>
      <c r="BQ845" s="485"/>
      <c r="BR845" s="485"/>
      <c r="BS845" s="485"/>
      <c r="BT845" s="485"/>
      <c r="BU845" s="485"/>
      <c r="BV845" s="485"/>
      <c r="BW845" s="485"/>
      <c r="BX845" s="485"/>
      <c r="BY845" s="485"/>
      <c r="BZ845" s="485"/>
      <c r="CA845" s="485"/>
      <c r="CB845" s="485"/>
      <c r="CC845" s="485"/>
      <c r="CD845" s="485"/>
      <c r="CE845" s="485"/>
      <c r="CF845" s="485"/>
      <c r="CG845" s="485"/>
      <c r="CH845" s="485"/>
      <c r="CI845" s="485"/>
      <c r="CJ845" s="485"/>
      <c r="CK845" s="485"/>
      <c r="CL845" s="485"/>
      <c r="CM845" s="485"/>
      <c r="CN845" s="485"/>
      <c r="CO845" s="485"/>
      <c r="CP845" s="485"/>
      <c r="CQ845" s="485"/>
      <c r="CR845" s="485"/>
      <c r="CS845" s="485"/>
      <c r="CT845" s="485"/>
      <c r="CU845" s="485"/>
      <c r="CV845" s="485"/>
      <c r="CW845" s="485"/>
      <c r="CX845" s="485"/>
      <c r="CY845" s="485"/>
      <c r="CZ845" s="485"/>
      <c r="DA845" s="485"/>
      <c r="DB845" s="485"/>
      <c r="DC845" s="485"/>
      <c r="DD845" s="485"/>
      <c r="DE845" s="485"/>
      <c r="DF845" s="485"/>
      <c r="DG845" s="485"/>
      <c r="DH845" s="485"/>
      <c r="DI845" s="485"/>
      <c r="DJ845" s="485"/>
      <c r="DK845" s="485"/>
      <c r="DL845" s="485"/>
      <c r="DM845" s="485"/>
      <c r="DN845" s="485"/>
      <c r="DO845" s="485"/>
      <c r="DP845" s="485"/>
      <c r="DQ845" s="485"/>
      <c r="DR845" s="485"/>
      <c r="DS845" s="485"/>
      <c r="DT845" s="485"/>
      <c r="DU845" s="485"/>
      <c r="DV845" s="485"/>
      <c r="DW845" s="485"/>
      <c r="DX845" s="485"/>
      <c r="DY845" s="485"/>
      <c r="DZ845" s="485"/>
      <c r="EA845" s="485"/>
      <c r="EB845" s="485"/>
      <c r="EC845" s="485"/>
      <c r="ED845" s="485"/>
      <c r="EE845" s="485"/>
      <c r="EF845" s="485"/>
      <c r="EG845" s="485"/>
      <c r="EH845" s="485"/>
      <c r="EI845" s="485"/>
      <c r="EJ845" s="485"/>
      <c r="EK845" s="485"/>
      <c r="EL845" s="485"/>
      <c r="EM845" s="485"/>
      <c r="EN845" s="485"/>
      <c r="EO845" s="485"/>
      <c r="EP845" s="485"/>
    </row>
    <row r="846" spans="1:146">
      <c r="A846" s="485"/>
      <c r="B846" s="485"/>
      <c r="C846" s="485"/>
      <c r="D846" s="485"/>
      <c r="E846" s="485"/>
      <c r="F846" s="485"/>
      <c r="G846" s="485"/>
      <c r="H846" s="485"/>
      <c r="I846" s="485"/>
      <c r="J846" s="485"/>
      <c r="K846" s="485"/>
      <c r="L846" s="485"/>
      <c r="M846" s="485"/>
      <c r="P846" s="485"/>
      <c r="Q846" s="485"/>
      <c r="R846" s="485"/>
      <c r="S846" s="485"/>
      <c r="T846" s="485"/>
      <c r="U846" s="485"/>
      <c r="V846" s="485"/>
      <c r="W846" s="485"/>
      <c r="X846" s="485"/>
      <c r="Y846" s="485"/>
      <c r="Z846" s="485"/>
      <c r="AA846" s="485"/>
      <c r="AB846" s="485"/>
      <c r="AC846" s="485"/>
      <c r="AD846" s="485"/>
      <c r="AE846" s="485"/>
      <c r="AF846" s="485"/>
      <c r="AG846" s="485"/>
      <c r="AH846" s="485"/>
      <c r="AI846" s="485"/>
      <c r="AJ846" s="485"/>
      <c r="AK846" s="485"/>
      <c r="AL846" s="485"/>
      <c r="AM846" s="485"/>
      <c r="AN846" s="485"/>
      <c r="AO846" s="485"/>
      <c r="AP846" s="485"/>
      <c r="AQ846" s="485"/>
      <c r="AR846" s="485"/>
      <c r="AS846" s="485"/>
      <c r="AT846" s="485"/>
      <c r="AU846" s="485"/>
      <c r="AV846" s="485"/>
      <c r="AW846" s="485"/>
      <c r="AX846" s="485"/>
      <c r="AY846" s="485"/>
      <c r="AZ846" s="485"/>
      <c r="BA846" s="485"/>
      <c r="BB846" s="485"/>
      <c r="BC846" s="485"/>
      <c r="BD846" s="485"/>
      <c r="BE846" s="485"/>
      <c r="BF846" s="485"/>
      <c r="BG846" s="485"/>
      <c r="BH846" s="485"/>
      <c r="BI846" s="485"/>
      <c r="BJ846" s="485"/>
      <c r="BK846" s="485"/>
      <c r="BL846" s="485"/>
      <c r="BM846" s="485"/>
      <c r="BN846" s="485"/>
      <c r="BO846" s="485"/>
      <c r="BP846" s="485"/>
      <c r="BQ846" s="485"/>
      <c r="BR846" s="485"/>
      <c r="BS846" s="485"/>
      <c r="BT846" s="485"/>
      <c r="BU846" s="485"/>
      <c r="BV846" s="485"/>
      <c r="BW846" s="485"/>
      <c r="BX846" s="485"/>
      <c r="BY846" s="485"/>
      <c r="BZ846" s="485"/>
      <c r="CA846" s="485"/>
      <c r="CB846" s="485"/>
      <c r="CC846" s="485"/>
      <c r="CD846" s="485"/>
      <c r="CE846" s="485"/>
      <c r="CF846" s="485"/>
      <c r="CG846" s="485"/>
      <c r="CH846" s="485"/>
      <c r="CI846" s="485"/>
      <c r="CJ846" s="485"/>
      <c r="CK846" s="485"/>
      <c r="CL846" s="485"/>
      <c r="CM846" s="485"/>
      <c r="CN846" s="485"/>
      <c r="CO846" s="485"/>
      <c r="CP846" s="485"/>
      <c r="CQ846" s="485"/>
      <c r="CR846" s="485"/>
      <c r="CS846" s="485"/>
      <c r="CT846" s="485"/>
      <c r="CU846" s="485"/>
      <c r="CV846" s="485"/>
      <c r="CW846" s="485"/>
      <c r="CX846" s="485"/>
      <c r="CY846" s="485"/>
      <c r="CZ846" s="485"/>
      <c r="DA846" s="485"/>
      <c r="DB846" s="485"/>
      <c r="DC846" s="485"/>
      <c r="DD846" s="485"/>
      <c r="DE846" s="485"/>
      <c r="DF846" s="485"/>
      <c r="DG846" s="485"/>
      <c r="DH846" s="485"/>
      <c r="DI846" s="485"/>
      <c r="DJ846" s="485"/>
      <c r="DK846" s="485"/>
      <c r="DL846" s="485"/>
      <c r="DM846" s="485"/>
      <c r="DN846" s="485"/>
      <c r="DO846" s="485"/>
      <c r="DP846" s="485"/>
      <c r="DQ846" s="485"/>
      <c r="DR846" s="485"/>
      <c r="DS846" s="485"/>
      <c r="DT846" s="485"/>
      <c r="DU846" s="485"/>
      <c r="DV846" s="485"/>
      <c r="DW846" s="485"/>
      <c r="DX846" s="485"/>
      <c r="DY846" s="485"/>
      <c r="DZ846" s="485"/>
      <c r="EA846" s="485"/>
      <c r="EB846" s="485"/>
      <c r="EC846" s="485"/>
      <c r="ED846" s="485"/>
      <c r="EE846" s="485"/>
      <c r="EF846" s="485"/>
      <c r="EG846" s="485"/>
      <c r="EH846" s="485"/>
      <c r="EI846" s="485"/>
      <c r="EJ846" s="485"/>
      <c r="EK846" s="485"/>
      <c r="EL846" s="485"/>
      <c r="EM846" s="485"/>
      <c r="EN846" s="485"/>
      <c r="EO846" s="485"/>
      <c r="EP846" s="485"/>
    </row>
    <row r="847" spans="1:146">
      <c r="A847" s="485"/>
      <c r="B847" s="485"/>
      <c r="C847" s="485"/>
      <c r="D847" s="485"/>
      <c r="E847" s="485"/>
      <c r="F847" s="485"/>
      <c r="G847" s="485"/>
      <c r="H847" s="485"/>
      <c r="I847" s="485"/>
      <c r="J847" s="485"/>
      <c r="K847" s="485"/>
      <c r="L847" s="485"/>
      <c r="M847" s="485"/>
      <c r="P847" s="485"/>
      <c r="Q847" s="485"/>
      <c r="R847" s="485"/>
      <c r="S847" s="485"/>
      <c r="T847" s="485"/>
      <c r="U847" s="485"/>
      <c r="V847" s="485"/>
      <c r="W847" s="485"/>
      <c r="X847" s="485"/>
      <c r="Y847" s="485"/>
      <c r="Z847" s="485"/>
      <c r="AA847" s="485"/>
      <c r="AB847" s="485"/>
      <c r="AC847" s="485"/>
      <c r="AD847" s="485"/>
      <c r="AE847" s="485"/>
      <c r="AF847" s="485"/>
      <c r="AG847" s="485"/>
      <c r="AH847" s="485"/>
      <c r="AI847" s="485"/>
      <c r="AJ847" s="485"/>
      <c r="AK847" s="485"/>
      <c r="AL847" s="485"/>
      <c r="AM847" s="485"/>
      <c r="AN847" s="485"/>
      <c r="AO847" s="485"/>
      <c r="AP847" s="485"/>
      <c r="AQ847" s="485"/>
      <c r="AR847" s="485"/>
      <c r="AS847" s="485"/>
      <c r="AT847" s="485"/>
      <c r="AU847" s="485"/>
      <c r="AV847" s="485"/>
      <c r="AW847" s="485"/>
      <c r="AX847" s="485"/>
      <c r="AY847" s="485"/>
      <c r="AZ847" s="485"/>
      <c r="BA847" s="485"/>
      <c r="BB847" s="485"/>
      <c r="BC847" s="485"/>
      <c r="BD847" s="485"/>
      <c r="BE847" s="485"/>
      <c r="BF847" s="485"/>
      <c r="BG847" s="485"/>
      <c r="BH847" s="485"/>
      <c r="BI847" s="485"/>
      <c r="BJ847" s="485"/>
      <c r="BK847" s="485"/>
      <c r="BL847" s="485"/>
      <c r="BM847" s="485"/>
      <c r="BN847" s="485"/>
      <c r="BO847" s="485"/>
      <c r="BP847" s="485"/>
      <c r="BQ847" s="485"/>
      <c r="BR847" s="485"/>
      <c r="BS847" s="485"/>
      <c r="BT847" s="485"/>
      <c r="BU847" s="485"/>
      <c r="BV847" s="485"/>
      <c r="BW847" s="485"/>
      <c r="BX847" s="485"/>
      <c r="BY847" s="485"/>
      <c r="BZ847" s="485"/>
      <c r="CA847" s="485"/>
      <c r="CB847" s="485"/>
      <c r="CC847" s="485"/>
      <c r="CD847" s="485"/>
      <c r="CE847" s="485"/>
      <c r="CF847" s="485"/>
      <c r="CG847" s="485"/>
      <c r="CH847" s="485"/>
      <c r="CI847" s="485"/>
      <c r="CJ847" s="485"/>
      <c r="CK847" s="485"/>
      <c r="CL847" s="485"/>
      <c r="CM847" s="485"/>
      <c r="CN847" s="485"/>
      <c r="CO847" s="485"/>
      <c r="CP847" s="485"/>
      <c r="CQ847" s="485"/>
      <c r="CR847" s="485"/>
      <c r="CS847" s="485"/>
      <c r="CT847" s="485"/>
      <c r="CU847" s="485"/>
      <c r="CV847" s="485"/>
      <c r="CW847" s="485"/>
      <c r="CX847" s="485"/>
      <c r="CY847" s="485"/>
      <c r="CZ847" s="485"/>
      <c r="DA847" s="485"/>
      <c r="DB847" s="485"/>
      <c r="DC847" s="485"/>
      <c r="DD847" s="485"/>
      <c r="DE847" s="485"/>
      <c r="DF847" s="485"/>
      <c r="DG847" s="485"/>
      <c r="DH847" s="485"/>
      <c r="DI847" s="485"/>
      <c r="DJ847" s="485"/>
      <c r="DK847" s="485"/>
      <c r="DL847" s="485"/>
      <c r="DM847" s="485"/>
      <c r="DN847" s="485"/>
      <c r="DO847" s="485"/>
      <c r="DP847" s="485"/>
      <c r="DQ847" s="485"/>
      <c r="DR847" s="485"/>
      <c r="DS847" s="485"/>
      <c r="DT847" s="485"/>
      <c r="DU847" s="485"/>
      <c r="DV847" s="485"/>
      <c r="DW847" s="485"/>
      <c r="DX847" s="485"/>
      <c r="DY847" s="485"/>
      <c r="DZ847" s="485"/>
      <c r="EA847" s="485"/>
      <c r="EB847" s="485"/>
      <c r="EC847" s="485"/>
      <c r="ED847" s="485"/>
      <c r="EE847" s="485"/>
      <c r="EF847" s="485"/>
      <c r="EG847" s="485"/>
      <c r="EH847" s="485"/>
      <c r="EI847" s="485"/>
      <c r="EJ847" s="485"/>
      <c r="EK847" s="485"/>
      <c r="EL847" s="485"/>
      <c r="EM847" s="485"/>
      <c r="EN847" s="485"/>
      <c r="EO847" s="485"/>
      <c r="EP847" s="485"/>
    </row>
    <row r="848" spans="1:146">
      <c r="A848" s="485"/>
      <c r="B848" s="485"/>
      <c r="C848" s="485"/>
      <c r="D848" s="485"/>
      <c r="E848" s="485"/>
      <c r="F848" s="485"/>
      <c r="G848" s="485"/>
      <c r="H848" s="485"/>
      <c r="I848" s="485"/>
      <c r="J848" s="485"/>
      <c r="K848" s="485"/>
      <c r="L848" s="485"/>
      <c r="M848" s="485"/>
      <c r="P848" s="485"/>
      <c r="Q848" s="485"/>
      <c r="R848" s="485"/>
      <c r="S848" s="485"/>
      <c r="T848" s="485"/>
      <c r="U848" s="485"/>
      <c r="V848" s="485"/>
      <c r="W848" s="485"/>
      <c r="X848" s="485"/>
      <c r="Y848" s="485"/>
      <c r="Z848" s="485"/>
      <c r="AA848" s="485"/>
      <c r="AB848" s="485"/>
      <c r="AC848" s="485"/>
      <c r="AD848" s="485"/>
      <c r="AE848" s="485"/>
      <c r="AF848" s="485"/>
      <c r="AG848" s="485"/>
      <c r="AH848" s="485"/>
      <c r="AI848" s="485"/>
      <c r="AJ848" s="485"/>
      <c r="AK848" s="485"/>
      <c r="AL848" s="485"/>
      <c r="AM848" s="485"/>
      <c r="AN848" s="485"/>
      <c r="AO848" s="485"/>
      <c r="AP848" s="485"/>
      <c r="AQ848" s="485"/>
      <c r="AR848" s="485"/>
      <c r="AS848" s="485"/>
      <c r="AT848" s="485"/>
      <c r="AU848" s="485"/>
      <c r="AV848" s="485"/>
      <c r="AW848" s="485"/>
      <c r="AX848" s="485"/>
      <c r="AY848" s="485"/>
      <c r="AZ848" s="485"/>
      <c r="BA848" s="485"/>
      <c r="BB848" s="485"/>
      <c r="BC848" s="485"/>
      <c r="BD848" s="485"/>
      <c r="BE848" s="485"/>
      <c r="BF848" s="485"/>
      <c r="BG848" s="485"/>
      <c r="BH848" s="485"/>
      <c r="BI848" s="485"/>
      <c r="BJ848" s="485"/>
      <c r="BK848" s="485"/>
      <c r="BL848" s="485"/>
      <c r="BM848" s="485"/>
      <c r="BN848" s="485"/>
      <c r="BO848" s="485"/>
      <c r="BP848" s="485"/>
      <c r="BQ848" s="485"/>
      <c r="BR848" s="485"/>
      <c r="BS848" s="485"/>
      <c r="BT848" s="485"/>
      <c r="BU848" s="485"/>
      <c r="BV848" s="485"/>
      <c r="BW848" s="485"/>
      <c r="BX848" s="485"/>
      <c r="BY848" s="485"/>
      <c r="BZ848" s="485"/>
      <c r="CA848" s="485"/>
      <c r="CB848" s="485"/>
      <c r="CC848" s="485"/>
      <c r="CD848" s="485"/>
      <c r="CE848" s="485"/>
      <c r="CF848" s="485"/>
      <c r="CG848" s="485"/>
      <c r="CH848" s="485"/>
      <c r="CI848" s="485"/>
      <c r="CJ848" s="485"/>
      <c r="CK848" s="485"/>
      <c r="CL848" s="485"/>
      <c r="CM848" s="485"/>
      <c r="CN848" s="485"/>
      <c r="CO848" s="485"/>
      <c r="CP848" s="485"/>
      <c r="CQ848" s="485"/>
      <c r="CR848" s="485"/>
      <c r="CS848" s="485"/>
      <c r="CT848" s="485"/>
      <c r="CU848" s="485"/>
      <c r="CV848" s="485"/>
      <c r="CW848" s="485"/>
      <c r="CX848" s="485"/>
      <c r="CY848" s="485"/>
      <c r="CZ848" s="485"/>
      <c r="DA848" s="485"/>
      <c r="DB848" s="485"/>
      <c r="DC848" s="485"/>
      <c r="DD848" s="485"/>
      <c r="DE848" s="485"/>
      <c r="DF848" s="485"/>
      <c r="DG848" s="485"/>
      <c r="DH848" s="485"/>
      <c r="DI848" s="485"/>
      <c r="DJ848" s="485"/>
      <c r="DK848" s="485"/>
      <c r="DL848" s="485"/>
      <c r="DM848" s="485"/>
      <c r="DN848" s="485"/>
      <c r="DO848" s="485"/>
      <c r="DP848" s="485"/>
      <c r="DQ848" s="485"/>
      <c r="DR848" s="485"/>
      <c r="DS848" s="485"/>
      <c r="DT848" s="485"/>
      <c r="DU848" s="485"/>
      <c r="DV848" s="485"/>
      <c r="DW848" s="485"/>
      <c r="DX848" s="485"/>
      <c r="DY848" s="485"/>
      <c r="DZ848" s="485"/>
      <c r="EA848" s="485"/>
      <c r="EB848" s="485"/>
      <c r="EC848" s="485"/>
      <c r="ED848" s="485"/>
      <c r="EE848" s="485"/>
      <c r="EF848" s="485"/>
      <c r="EG848" s="485"/>
      <c r="EH848" s="485"/>
      <c r="EI848" s="485"/>
      <c r="EJ848" s="485"/>
      <c r="EK848" s="485"/>
      <c r="EL848" s="485"/>
      <c r="EM848" s="485"/>
      <c r="EN848" s="485"/>
      <c r="EO848" s="485"/>
      <c r="EP848" s="485"/>
    </row>
    <row r="849" spans="1:146">
      <c r="A849" s="485"/>
      <c r="B849" s="485"/>
      <c r="C849" s="485"/>
      <c r="D849" s="485"/>
      <c r="E849" s="485"/>
      <c r="F849" s="485"/>
      <c r="G849" s="485"/>
      <c r="H849" s="485"/>
      <c r="I849" s="485"/>
      <c r="J849" s="485"/>
      <c r="K849" s="485"/>
      <c r="L849" s="485"/>
      <c r="M849" s="485"/>
      <c r="P849" s="485"/>
      <c r="Q849" s="485"/>
      <c r="R849" s="485"/>
      <c r="S849" s="485"/>
      <c r="T849" s="485"/>
      <c r="U849" s="485"/>
      <c r="V849" s="485"/>
      <c r="W849" s="485"/>
      <c r="X849" s="485"/>
      <c r="Y849" s="485"/>
      <c r="Z849" s="485"/>
      <c r="AA849" s="485"/>
      <c r="AB849" s="485"/>
      <c r="AC849" s="485"/>
      <c r="AD849" s="485"/>
      <c r="AE849" s="485"/>
      <c r="AF849" s="485"/>
      <c r="AG849" s="485"/>
      <c r="AH849" s="485"/>
      <c r="AI849" s="485"/>
      <c r="AJ849" s="485"/>
      <c r="AK849" s="485"/>
      <c r="AL849" s="485"/>
      <c r="AM849" s="485"/>
      <c r="AN849" s="485"/>
      <c r="AO849" s="485"/>
      <c r="AP849" s="485"/>
      <c r="AQ849" s="485"/>
      <c r="AR849" s="485"/>
      <c r="AS849" s="485"/>
      <c r="AT849" s="485"/>
      <c r="AU849" s="485"/>
      <c r="AV849" s="485"/>
      <c r="AW849" s="485"/>
      <c r="AX849" s="485"/>
      <c r="AY849" s="485"/>
      <c r="AZ849" s="485"/>
      <c r="BA849" s="485"/>
      <c r="BB849" s="485"/>
      <c r="BC849" s="485"/>
      <c r="BD849" s="485"/>
      <c r="BE849" s="485"/>
      <c r="BF849" s="485"/>
      <c r="BG849" s="485"/>
      <c r="BH849" s="485"/>
      <c r="BI849" s="485"/>
      <c r="BJ849" s="485"/>
      <c r="BK849" s="485"/>
      <c r="BL849" s="485"/>
      <c r="BM849" s="485"/>
      <c r="BN849" s="485"/>
      <c r="BO849" s="485"/>
      <c r="BP849" s="485"/>
      <c r="BQ849" s="485"/>
      <c r="BR849" s="485"/>
      <c r="BS849" s="485"/>
      <c r="BT849" s="485"/>
      <c r="BU849" s="485"/>
      <c r="BV849" s="485"/>
      <c r="BW849" s="485"/>
      <c r="BX849" s="485"/>
      <c r="BY849" s="485"/>
      <c r="BZ849" s="485"/>
      <c r="CA849" s="485"/>
      <c r="CB849" s="485"/>
      <c r="CC849" s="485"/>
      <c r="CD849" s="485"/>
      <c r="CE849" s="485"/>
      <c r="CF849" s="485"/>
      <c r="CG849" s="485"/>
      <c r="CH849" s="485"/>
      <c r="CI849" s="485"/>
      <c r="CJ849" s="485"/>
      <c r="CK849" s="485"/>
      <c r="CL849" s="485"/>
      <c r="CM849" s="485"/>
      <c r="CN849" s="485"/>
      <c r="CO849" s="485"/>
      <c r="CP849" s="485"/>
      <c r="CQ849" s="485"/>
      <c r="CR849" s="485"/>
      <c r="CS849" s="485"/>
      <c r="CT849" s="485"/>
      <c r="CU849" s="485"/>
      <c r="CV849" s="485"/>
      <c r="CW849" s="485"/>
      <c r="CX849" s="485"/>
      <c r="CY849" s="485"/>
      <c r="CZ849" s="485"/>
      <c r="DA849" s="485"/>
      <c r="DB849" s="485"/>
      <c r="DC849" s="485"/>
      <c r="DD849" s="485"/>
      <c r="DE849" s="485"/>
      <c r="DF849" s="485"/>
      <c r="DG849" s="485"/>
      <c r="DH849" s="485"/>
      <c r="DI849" s="485"/>
      <c r="DJ849" s="485"/>
      <c r="DK849" s="485"/>
      <c r="DL849" s="485"/>
      <c r="DM849" s="485"/>
      <c r="DN849" s="485"/>
      <c r="DO849" s="485"/>
      <c r="DP849" s="485"/>
      <c r="DQ849" s="485"/>
      <c r="DR849" s="485"/>
      <c r="DS849" s="485"/>
      <c r="DT849" s="485"/>
      <c r="DU849" s="485"/>
      <c r="DV849" s="485"/>
      <c r="DW849" s="485"/>
      <c r="DX849" s="485"/>
      <c r="DY849" s="485"/>
      <c r="DZ849" s="485"/>
      <c r="EA849" s="485"/>
      <c r="EB849" s="485"/>
      <c r="EC849" s="485"/>
      <c r="ED849" s="485"/>
      <c r="EE849" s="485"/>
      <c r="EF849" s="485"/>
      <c r="EG849" s="485"/>
      <c r="EH849" s="485"/>
      <c r="EI849" s="485"/>
      <c r="EJ849" s="485"/>
      <c r="EK849" s="485"/>
      <c r="EL849" s="485"/>
      <c r="EM849" s="485"/>
      <c r="EN849" s="485"/>
      <c r="EO849" s="485"/>
      <c r="EP849" s="485"/>
    </row>
    <row r="850" spans="1:146">
      <c r="A850" s="485"/>
      <c r="B850" s="485"/>
      <c r="C850" s="485"/>
      <c r="D850" s="485"/>
      <c r="E850" s="485"/>
      <c r="F850" s="485"/>
      <c r="G850" s="485"/>
      <c r="H850" s="485"/>
      <c r="I850" s="485"/>
      <c r="J850" s="485"/>
      <c r="K850" s="485"/>
      <c r="L850" s="485"/>
      <c r="M850" s="485"/>
      <c r="P850" s="485"/>
      <c r="Q850" s="485"/>
      <c r="R850" s="485"/>
      <c r="S850" s="485"/>
      <c r="T850" s="485"/>
      <c r="U850" s="485"/>
      <c r="V850" s="485"/>
      <c r="W850" s="485"/>
      <c r="X850" s="485"/>
      <c r="Y850" s="485"/>
      <c r="Z850" s="485"/>
      <c r="AA850" s="485"/>
      <c r="AB850" s="485"/>
      <c r="AC850" s="485"/>
      <c r="AD850" s="485"/>
      <c r="AE850" s="485"/>
      <c r="AF850" s="485"/>
      <c r="AG850" s="485"/>
      <c r="AH850" s="485"/>
      <c r="AI850" s="485"/>
      <c r="AJ850" s="485"/>
      <c r="AK850" s="485"/>
      <c r="AL850" s="485"/>
      <c r="AM850" s="485"/>
      <c r="AN850" s="485"/>
      <c r="AO850" s="485"/>
      <c r="AP850" s="485"/>
      <c r="AQ850" s="485"/>
      <c r="AR850" s="485"/>
      <c r="AS850" s="485"/>
      <c r="AT850" s="485"/>
      <c r="AU850" s="485"/>
      <c r="AV850" s="485"/>
      <c r="AW850" s="485"/>
      <c r="AX850" s="485"/>
      <c r="AY850" s="485"/>
      <c r="AZ850" s="485"/>
      <c r="BA850" s="485"/>
      <c r="BB850" s="485"/>
      <c r="BC850" s="485"/>
      <c r="BD850" s="485"/>
      <c r="BE850" s="485"/>
      <c r="BF850" s="485"/>
      <c r="BG850" s="485"/>
      <c r="BH850" s="485"/>
      <c r="BI850" s="485"/>
      <c r="BJ850" s="485"/>
      <c r="BK850" s="485"/>
      <c r="BL850" s="485"/>
      <c r="BM850" s="485"/>
      <c r="BN850" s="485"/>
      <c r="BO850" s="485"/>
      <c r="BP850" s="485"/>
      <c r="BQ850" s="485"/>
      <c r="BR850" s="485"/>
      <c r="BS850" s="485"/>
      <c r="BT850" s="485"/>
      <c r="BU850" s="485"/>
      <c r="BV850" s="485"/>
      <c r="BW850" s="485"/>
      <c r="BX850" s="485"/>
      <c r="BY850" s="485"/>
      <c r="BZ850" s="485"/>
      <c r="CA850" s="485"/>
      <c r="CB850" s="485"/>
      <c r="CC850" s="485"/>
      <c r="CD850" s="485"/>
      <c r="CE850" s="485"/>
      <c r="CF850" s="485"/>
      <c r="CG850" s="485"/>
      <c r="CH850" s="485"/>
      <c r="CI850" s="485"/>
      <c r="CJ850" s="485"/>
      <c r="CK850" s="485"/>
      <c r="CL850" s="485"/>
      <c r="CM850" s="485"/>
      <c r="CN850" s="485"/>
      <c r="CO850" s="485"/>
      <c r="CP850" s="485"/>
      <c r="CQ850" s="485"/>
      <c r="CR850" s="485"/>
      <c r="CS850" s="485"/>
      <c r="CT850" s="485"/>
      <c r="CU850" s="485"/>
      <c r="CV850" s="485"/>
      <c r="CW850" s="485"/>
      <c r="CX850" s="485"/>
      <c r="CY850" s="485"/>
      <c r="CZ850" s="485"/>
      <c r="DA850" s="485"/>
      <c r="DB850" s="485"/>
      <c r="DC850" s="485"/>
      <c r="DD850" s="485"/>
      <c r="DE850" s="485"/>
      <c r="DF850" s="485"/>
      <c r="DG850" s="485"/>
      <c r="DH850" s="485"/>
      <c r="DI850" s="485"/>
      <c r="DJ850" s="485"/>
      <c r="DK850" s="485"/>
      <c r="DL850" s="485"/>
      <c r="DM850" s="485"/>
      <c r="DN850" s="485"/>
      <c r="DO850" s="485"/>
      <c r="DP850" s="485"/>
      <c r="DQ850" s="485"/>
      <c r="DR850" s="485"/>
      <c r="DS850" s="485"/>
      <c r="DT850" s="485"/>
      <c r="DU850" s="485"/>
      <c r="DV850" s="485"/>
      <c r="DW850" s="485"/>
      <c r="DX850" s="485"/>
      <c r="DY850" s="485"/>
      <c r="DZ850" s="485"/>
      <c r="EA850" s="485"/>
      <c r="EB850" s="485"/>
      <c r="EC850" s="485"/>
      <c r="ED850" s="485"/>
      <c r="EE850" s="485"/>
      <c r="EF850" s="485"/>
      <c r="EG850" s="485"/>
      <c r="EH850" s="485"/>
      <c r="EI850" s="485"/>
      <c r="EJ850" s="485"/>
      <c r="EK850" s="485"/>
      <c r="EL850" s="485"/>
      <c r="EM850" s="485"/>
      <c r="EN850" s="485"/>
      <c r="EO850" s="485"/>
      <c r="EP850" s="485"/>
    </row>
    <row r="851" spans="1:146">
      <c r="A851" s="485"/>
      <c r="B851" s="485"/>
      <c r="C851" s="485"/>
      <c r="D851" s="485"/>
      <c r="E851" s="485"/>
      <c r="F851" s="485"/>
      <c r="G851" s="485"/>
      <c r="H851" s="485"/>
      <c r="I851" s="485"/>
      <c r="J851" s="485"/>
      <c r="K851" s="485"/>
      <c r="L851" s="485"/>
      <c r="M851" s="485"/>
      <c r="P851" s="485"/>
      <c r="Q851" s="485"/>
      <c r="R851" s="485"/>
      <c r="S851" s="485"/>
      <c r="T851" s="485"/>
      <c r="U851" s="485"/>
      <c r="V851" s="485"/>
      <c r="W851" s="485"/>
      <c r="X851" s="485"/>
      <c r="Y851" s="485"/>
      <c r="Z851" s="485"/>
      <c r="AA851" s="485"/>
      <c r="AB851" s="485"/>
      <c r="AC851" s="485"/>
      <c r="AD851" s="485"/>
      <c r="AE851" s="485"/>
      <c r="AF851" s="485"/>
      <c r="AG851" s="485"/>
      <c r="AH851" s="485"/>
      <c r="AI851" s="485"/>
      <c r="AJ851" s="485"/>
      <c r="AK851" s="485"/>
      <c r="AL851" s="485"/>
      <c r="AM851" s="485"/>
      <c r="AN851" s="485"/>
      <c r="AO851" s="485"/>
      <c r="AP851" s="485"/>
      <c r="AQ851" s="485"/>
      <c r="AR851" s="485"/>
      <c r="AS851" s="485"/>
      <c r="AT851" s="485"/>
      <c r="AU851" s="485"/>
      <c r="AV851" s="485"/>
      <c r="AW851" s="485"/>
      <c r="AX851" s="485"/>
      <c r="AY851" s="485"/>
      <c r="AZ851" s="485"/>
      <c r="BA851" s="485"/>
      <c r="BB851" s="485"/>
      <c r="BC851" s="485"/>
      <c r="BD851" s="485"/>
      <c r="BE851" s="485"/>
      <c r="BF851" s="485"/>
      <c r="BG851" s="485"/>
      <c r="BH851" s="485"/>
      <c r="BI851" s="485"/>
      <c r="BJ851" s="485"/>
      <c r="BK851" s="485"/>
      <c r="BL851" s="485"/>
      <c r="BM851" s="485"/>
      <c r="BN851" s="485"/>
      <c r="BO851" s="485"/>
      <c r="BP851" s="485"/>
      <c r="BQ851" s="485"/>
      <c r="BR851" s="485"/>
      <c r="BS851" s="485"/>
      <c r="BT851" s="485"/>
      <c r="BU851" s="485"/>
      <c r="BV851" s="485"/>
      <c r="BW851" s="485"/>
      <c r="BX851" s="485"/>
      <c r="BY851" s="485"/>
      <c r="BZ851" s="485"/>
      <c r="CA851" s="485"/>
      <c r="CB851" s="485"/>
      <c r="CC851" s="485"/>
      <c r="CD851" s="485"/>
      <c r="CE851" s="485"/>
      <c r="CF851" s="485"/>
      <c r="CG851" s="485"/>
      <c r="CH851" s="485"/>
      <c r="CI851" s="485"/>
      <c r="CJ851" s="485"/>
      <c r="CK851" s="485"/>
      <c r="CL851" s="485"/>
      <c r="CM851" s="485"/>
      <c r="CN851" s="485"/>
      <c r="CO851" s="485"/>
      <c r="CP851" s="485"/>
      <c r="CQ851" s="485"/>
      <c r="CR851" s="485"/>
      <c r="CS851" s="485"/>
      <c r="CT851" s="485"/>
      <c r="CU851" s="485"/>
      <c r="CV851" s="485"/>
      <c r="CW851" s="485"/>
      <c r="CX851" s="485"/>
      <c r="CY851" s="485"/>
      <c r="CZ851" s="485"/>
      <c r="DA851" s="485"/>
      <c r="DB851" s="485"/>
      <c r="DC851" s="485"/>
      <c r="DD851" s="485"/>
      <c r="DE851" s="485"/>
      <c r="DF851" s="485"/>
      <c r="DG851" s="485"/>
      <c r="DH851" s="485"/>
      <c r="DI851" s="485"/>
      <c r="DJ851" s="485"/>
      <c r="DK851" s="485"/>
      <c r="DL851" s="485"/>
      <c r="DM851" s="485"/>
      <c r="DN851" s="485"/>
      <c r="DO851" s="485"/>
      <c r="DP851" s="485"/>
      <c r="DQ851" s="485"/>
      <c r="DR851" s="485"/>
      <c r="DS851" s="485"/>
      <c r="DT851" s="485"/>
      <c r="DU851" s="485"/>
      <c r="DV851" s="485"/>
      <c r="DW851" s="485"/>
      <c r="DX851" s="485"/>
      <c r="DY851" s="485"/>
      <c r="DZ851" s="485"/>
      <c r="EA851" s="485"/>
      <c r="EB851" s="485"/>
      <c r="EC851" s="485"/>
      <c r="ED851" s="485"/>
      <c r="EE851" s="485"/>
      <c r="EF851" s="485"/>
      <c r="EG851" s="485"/>
      <c r="EH851" s="485"/>
      <c r="EI851" s="485"/>
      <c r="EJ851" s="485"/>
      <c r="EK851" s="485"/>
      <c r="EL851" s="485"/>
      <c r="EM851" s="485"/>
      <c r="EN851" s="485"/>
      <c r="EO851" s="485"/>
      <c r="EP851" s="485"/>
    </row>
    <row r="852" spans="1:146">
      <c r="A852" s="485"/>
      <c r="B852" s="485"/>
      <c r="C852" s="485"/>
      <c r="D852" s="485"/>
      <c r="E852" s="485"/>
      <c r="F852" s="485"/>
      <c r="G852" s="485"/>
      <c r="H852" s="485"/>
      <c r="I852" s="485"/>
      <c r="J852" s="485"/>
      <c r="K852" s="485"/>
      <c r="L852" s="485"/>
      <c r="M852" s="485"/>
      <c r="P852" s="485"/>
      <c r="Q852" s="485"/>
      <c r="R852" s="485"/>
      <c r="S852" s="485"/>
      <c r="T852" s="485"/>
      <c r="U852" s="485"/>
      <c r="V852" s="485"/>
      <c r="W852" s="485"/>
      <c r="X852" s="485"/>
      <c r="Y852" s="485"/>
      <c r="Z852" s="485"/>
      <c r="AA852" s="485"/>
      <c r="AB852" s="485"/>
      <c r="AC852" s="485"/>
      <c r="AD852" s="485"/>
      <c r="AE852" s="485"/>
      <c r="AF852" s="485"/>
      <c r="AG852" s="485"/>
      <c r="AH852" s="485"/>
      <c r="AI852" s="485"/>
      <c r="AJ852" s="485"/>
      <c r="AK852" s="485"/>
      <c r="AL852" s="485"/>
      <c r="AM852" s="485"/>
      <c r="AN852" s="485"/>
      <c r="AO852" s="485"/>
      <c r="AP852" s="485"/>
      <c r="AQ852" s="485"/>
      <c r="AR852" s="485"/>
      <c r="AS852" s="485"/>
      <c r="AT852" s="485"/>
      <c r="AU852" s="485"/>
      <c r="AV852" s="485"/>
      <c r="AW852" s="485"/>
      <c r="AX852" s="485"/>
      <c r="AY852" s="485"/>
      <c r="AZ852" s="485"/>
      <c r="BA852" s="485"/>
      <c r="BB852" s="485"/>
      <c r="BC852" s="485"/>
      <c r="BD852" s="485"/>
      <c r="BE852" s="485"/>
      <c r="BF852" s="485"/>
      <c r="BG852" s="485"/>
      <c r="BH852" s="485"/>
      <c r="BI852" s="485"/>
      <c r="BJ852" s="485"/>
      <c r="BK852" s="485"/>
      <c r="BL852" s="485"/>
      <c r="BM852" s="485"/>
      <c r="BN852" s="485"/>
      <c r="BO852" s="485"/>
      <c r="BP852" s="485"/>
      <c r="BQ852" s="485"/>
      <c r="BR852" s="485"/>
      <c r="BS852" s="485"/>
      <c r="BT852" s="485"/>
      <c r="BU852" s="485"/>
      <c r="BV852" s="485"/>
      <c r="BW852" s="485"/>
      <c r="BX852" s="485"/>
      <c r="BY852" s="485"/>
      <c r="BZ852" s="485"/>
      <c r="CA852" s="485"/>
      <c r="CB852" s="485"/>
      <c r="CC852" s="485"/>
      <c r="CD852" s="485"/>
      <c r="CE852" s="485"/>
      <c r="CF852" s="485"/>
      <c r="CG852" s="485"/>
      <c r="CH852" s="485"/>
      <c r="CI852" s="485"/>
      <c r="CJ852" s="485"/>
      <c r="CK852" s="485"/>
      <c r="CL852" s="485"/>
      <c r="CM852" s="485"/>
      <c r="CN852" s="485"/>
      <c r="CO852" s="485"/>
      <c r="CP852" s="485"/>
      <c r="CQ852" s="485"/>
      <c r="CR852" s="485"/>
      <c r="CS852" s="485"/>
      <c r="CT852" s="485"/>
      <c r="CU852" s="485"/>
      <c r="CV852" s="485"/>
      <c r="CW852" s="485"/>
      <c r="CX852" s="485"/>
      <c r="CY852" s="485"/>
      <c r="CZ852" s="485"/>
      <c r="DA852" s="485"/>
      <c r="DB852" s="485"/>
      <c r="DC852" s="485"/>
      <c r="DD852" s="485"/>
      <c r="DE852" s="485"/>
      <c r="DF852" s="485"/>
      <c r="DG852" s="485"/>
      <c r="DH852" s="485"/>
      <c r="DI852" s="485"/>
      <c r="DJ852" s="485"/>
      <c r="DK852" s="485"/>
      <c r="DL852" s="485"/>
      <c r="DM852" s="485"/>
      <c r="DN852" s="485"/>
      <c r="DO852" s="485"/>
      <c r="DP852" s="485"/>
      <c r="DQ852" s="485"/>
      <c r="DR852" s="485"/>
      <c r="DS852" s="485"/>
      <c r="DT852" s="485"/>
      <c r="DU852" s="485"/>
      <c r="DV852" s="485"/>
      <c r="DW852" s="485"/>
      <c r="DX852" s="485"/>
      <c r="DY852" s="485"/>
      <c r="DZ852" s="485"/>
      <c r="EA852" s="485"/>
      <c r="EB852" s="485"/>
      <c r="EC852" s="485"/>
      <c r="ED852" s="485"/>
      <c r="EE852" s="485"/>
      <c r="EF852" s="485"/>
      <c r="EG852" s="485"/>
      <c r="EH852" s="485"/>
      <c r="EI852" s="485"/>
      <c r="EJ852" s="485"/>
      <c r="EK852" s="485"/>
      <c r="EL852" s="485"/>
      <c r="EM852" s="485"/>
      <c r="EN852" s="485"/>
      <c r="EO852" s="485"/>
      <c r="EP852" s="485"/>
    </row>
    <row r="853" spans="1:146">
      <c r="A853" s="485"/>
      <c r="B853" s="485"/>
      <c r="C853" s="485"/>
      <c r="D853" s="485"/>
      <c r="E853" s="485"/>
      <c r="F853" s="485"/>
      <c r="G853" s="485"/>
      <c r="H853" s="485"/>
      <c r="I853" s="485"/>
      <c r="J853" s="485"/>
      <c r="K853" s="485"/>
      <c r="L853" s="485"/>
      <c r="M853" s="485"/>
      <c r="P853" s="485"/>
      <c r="Q853" s="485"/>
      <c r="R853" s="485"/>
      <c r="S853" s="485"/>
      <c r="T853" s="485"/>
      <c r="U853" s="485"/>
      <c r="V853" s="485"/>
      <c r="W853" s="485"/>
      <c r="X853" s="485"/>
      <c r="Y853" s="485"/>
      <c r="Z853" s="485"/>
      <c r="AA853" s="485"/>
      <c r="AB853" s="485"/>
      <c r="AC853" s="485"/>
      <c r="AD853" s="485"/>
      <c r="AE853" s="485"/>
      <c r="AF853" s="485"/>
      <c r="AG853" s="485"/>
      <c r="AH853" s="485"/>
      <c r="AI853" s="485"/>
      <c r="AJ853" s="485"/>
      <c r="AK853" s="485"/>
      <c r="AL853" s="485"/>
      <c r="AM853" s="485"/>
      <c r="AN853" s="485"/>
      <c r="AO853" s="485"/>
      <c r="AP853" s="485"/>
      <c r="AQ853" s="485"/>
      <c r="AR853" s="485"/>
      <c r="AS853" s="485"/>
      <c r="AT853" s="485"/>
      <c r="AU853" s="485"/>
      <c r="AV853" s="485"/>
      <c r="AW853" s="485"/>
      <c r="AX853" s="485"/>
      <c r="AY853" s="485"/>
      <c r="AZ853" s="485"/>
      <c r="BA853" s="485"/>
      <c r="BB853" s="485"/>
      <c r="BC853" s="485"/>
      <c r="BD853" s="485"/>
      <c r="BE853" s="485"/>
      <c r="BF853" s="485"/>
      <c r="BG853" s="485"/>
      <c r="BH853" s="485"/>
      <c r="BI853" s="485"/>
      <c r="BJ853" s="485"/>
      <c r="BK853" s="485"/>
      <c r="BL853" s="485"/>
      <c r="BM853" s="485"/>
      <c r="BN853" s="485"/>
      <c r="BO853" s="485"/>
      <c r="BP853" s="485"/>
      <c r="BQ853" s="485"/>
      <c r="BR853" s="485"/>
      <c r="BS853" s="485"/>
      <c r="BT853" s="485"/>
      <c r="BU853" s="485"/>
      <c r="BV853" s="485"/>
      <c r="BW853" s="485"/>
      <c r="BX853" s="485"/>
      <c r="BY853" s="485"/>
      <c r="BZ853" s="485"/>
      <c r="CA853" s="485"/>
      <c r="CB853" s="485"/>
      <c r="CC853" s="485"/>
      <c r="CD853" s="485"/>
      <c r="CE853" s="485"/>
      <c r="CF853" s="485"/>
      <c r="CG853" s="485"/>
      <c r="CH853" s="485"/>
      <c r="CI853" s="485"/>
      <c r="CJ853" s="485"/>
      <c r="CK853" s="485"/>
      <c r="CL853" s="485"/>
      <c r="CM853" s="485"/>
      <c r="CN853" s="485"/>
      <c r="CO853" s="485"/>
      <c r="CP853" s="485"/>
      <c r="CQ853" s="485"/>
      <c r="CR853" s="485"/>
      <c r="CS853" s="485"/>
      <c r="CT853" s="485"/>
      <c r="CU853" s="485"/>
      <c r="CV853" s="485"/>
      <c r="CW853" s="485"/>
      <c r="CX853" s="485"/>
      <c r="CY853" s="485"/>
      <c r="CZ853" s="485"/>
      <c r="DA853" s="485"/>
      <c r="DB853" s="485"/>
      <c r="DC853" s="485"/>
      <c r="DD853" s="485"/>
      <c r="DE853" s="485"/>
      <c r="DF853" s="485"/>
      <c r="DG853" s="485"/>
      <c r="DH853" s="485"/>
      <c r="DI853" s="485"/>
      <c r="DJ853" s="485"/>
      <c r="DK853" s="485"/>
      <c r="DL853" s="485"/>
      <c r="DM853" s="485"/>
      <c r="DN853" s="485"/>
      <c r="DO853" s="485"/>
      <c r="DP853" s="485"/>
      <c r="DQ853" s="485"/>
      <c r="DR853" s="485"/>
      <c r="DS853" s="485"/>
      <c r="DT853" s="485"/>
      <c r="DU853" s="485"/>
      <c r="DV853" s="485"/>
      <c r="DW853" s="485"/>
      <c r="DX853" s="485"/>
      <c r="DY853" s="485"/>
      <c r="DZ853" s="485"/>
      <c r="EA853" s="485"/>
      <c r="EB853" s="485"/>
      <c r="EC853" s="485"/>
      <c r="ED853" s="485"/>
      <c r="EE853" s="485"/>
      <c r="EF853" s="485"/>
      <c r="EG853" s="485"/>
      <c r="EH853" s="485"/>
      <c r="EI853" s="485"/>
      <c r="EJ853" s="485"/>
      <c r="EK853" s="485"/>
      <c r="EL853" s="485"/>
      <c r="EM853" s="485"/>
      <c r="EN853" s="485"/>
      <c r="EO853" s="485"/>
      <c r="EP853" s="485"/>
    </row>
    <row r="854" spans="1:146">
      <c r="A854" s="485"/>
      <c r="B854" s="485"/>
      <c r="C854" s="485"/>
      <c r="D854" s="485"/>
      <c r="E854" s="485"/>
      <c r="F854" s="485"/>
      <c r="G854" s="485"/>
      <c r="H854" s="485"/>
      <c r="I854" s="485"/>
      <c r="J854" s="485"/>
      <c r="K854" s="485"/>
      <c r="L854" s="485"/>
      <c r="M854" s="485"/>
      <c r="P854" s="485"/>
      <c r="Q854" s="485"/>
      <c r="R854" s="485"/>
      <c r="S854" s="485"/>
      <c r="T854" s="485"/>
      <c r="U854" s="485"/>
      <c r="V854" s="485"/>
      <c r="W854" s="485"/>
      <c r="X854" s="485"/>
      <c r="Y854" s="485"/>
      <c r="Z854" s="485"/>
      <c r="AA854" s="485"/>
      <c r="AB854" s="485"/>
      <c r="AC854" s="485"/>
      <c r="AD854" s="485"/>
      <c r="AE854" s="485"/>
      <c r="AF854" s="485"/>
      <c r="AG854" s="485"/>
      <c r="AH854" s="485"/>
      <c r="AI854" s="485"/>
      <c r="AJ854" s="485"/>
      <c r="AK854" s="485"/>
      <c r="AL854" s="485"/>
      <c r="AM854" s="485"/>
      <c r="AN854" s="485"/>
      <c r="AO854" s="485"/>
      <c r="AP854" s="485"/>
      <c r="AQ854" s="485"/>
      <c r="AR854" s="485"/>
      <c r="AS854" s="485"/>
      <c r="AT854" s="485"/>
      <c r="AU854" s="485"/>
      <c r="AV854" s="485"/>
      <c r="AW854" s="485"/>
      <c r="AX854" s="485"/>
      <c r="AY854" s="485"/>
      <c r="AZ854" s="485"/>
      <c r="BA854" s="485"/>
      <c r="BB854" s="485"/>
      <c r="BC854" s="485"/>
      <c r="BD854" s="485"/>
      <c r="BE854" s="485"/>
      <c r="BF854" s="485"/>
      <c r="BG854" s="485"/>
      <c r="BH854" s="485"/>
      <c r="BI854" s="485"/>
      <c r="BJ854" s="485"/>
      <c r="BK854" s="485"/>
      <c r="BL854" s="485"/>
      <c r="BM854" s="485"/>
      <c r="BN854" s="485"/>
      <c r="BO854" s="485"/>
      <c r="BP854" s="485"/>
      <c r="BQ854" s="485"/>
      <c r="BR854" s="485"/>
      <c r="BS854" s="485"/>
      <c r="BT854" s="485"/>
      <c r="BU854" s="485"/>
      <c r="BV854" s="485"/>
      <c r="BW854" s="485"/>
      <c r="BX854" s="485"/>
      <c r="BY854" s="485"/>
      <c r="BZ854" s="485"/>
      <c r="CA854" s="485"/>
      <c r="CB854" s="485"/>
      <c r="CC854" s="485"/>
      <c r="CD854" s="485"/>
      <c r="CE854" s="485"/>
      <c r="CF854" s="485"/>
      <c r="CG854" s="485"/>
      <c r="CH854" s="485"/>
      <c r="CI854" s="485"/>
      <c r="CJ854" s="485"/>
      <c r="CK854" s="485"/>
      <c r="CL854" s="485"/>
      <c r="CM854" s="485"/>
      <c r="CN854" s="485"/>
      <c r="CO854" s="485"/>
      <c r="CP854" s="485"/>
      <c r="CQ854" s="485"/>
      <c r="CR854" s="485"/>
      <c r="CS854" s="485"/>
      <c r="CT854" s="485"/>
      <c r="CU854" s="485"/>
      <c r="CV854" s="485"/>
      <c r="CW854" s="485"/>
      <c r="CX854" s="485"/>
      <c r="CY854" s="485"/>
      <c r="CZ854" s="485"/>
      <c r="DA854" s="485"/>
      <c r="DB854" s="485"/>
      <c r="DC854" s="485"/>
      <c r="DD854" s="485"/>
      <c r="DE854" s="485"/>
      <c r="DF854" s="485"/>
      <c r="DG854" s="485"/>
      <c r="DH854" s="485"/>
      <c r="DI854" s="485"/>
      <c r="DJ854" s="485"/>
      <c r="DK854" s="485"/>
      <c r="DL854" s="485"/>
      <c r="DM854" s="485"/>
      <c r="DN854" s="485"/>
      <c r="DO854" s="485"/>
      <c r="DP854" s="485"/>
      <c r="DQ854" s="485"/>
      <c r="DR854" s="485"/>
      <c r="DS854" s="485"/>
      <c r="DT854" s="485"/>
      <c r="DU854" s="485"/>
      <c r="DV854" s="485"/>
      <c r="DW854" s="485"/>
      <c r="DX854" s="485"/>
      <c r="DY854" s="485"/>
      <c r="DZ854" s="485"/>
      <c r="EA854" s="485"/>
      <c r="EB854" s="485"/>
      <c r="EC854" s="485"/>
      <c r="ED854" s="485"/>
      <c r="EE854" s="485"/>
      <c r="EF854" s="485"/>
      <c r="EG854" s="485"/>
      <c r="EH854" s="485"/>
      <c r="EI854" s="485"/>
      <c r="EJ854" s="485"/>
      <c r="EK854" s="485"/>
      <c r="EL854" s="485"/>
      <c r="EM854" s="485"/>
      <c r="EN854" s="485"/>
      <c r="EO854" s="485"/>
      <c r="EP854" s="485"/>
    </row>
    <row r="855" spans="1:146">
      <c r="A855" s="485"/>
      <c r="B855" s="485"/>
      <c r="C855" s="485"/>
      <c r="D855" s="485"/>
      <c r="E855" s="485"/>
      <c r="F855" s="485"/>
      <c r="G855" s="485"/>
      <c r="H855" s="485"/>
      <c r="I855" s="485"/>
      <c r="J855" s="485"/>
      <c r="K855" s="485"/>
      <c r="L855" s="485"/>
      <c r="M855" s="485"/>
      <c r="P855" s="485"/>
      <c r="Q855" s="485"/>
      <c r="R855" s="485"/>
      <c r="S855" s="485"/>
      <c r="T855" s="485"/>
      <c r="U855" s="485"/>
      <c r="V855" s="485"/>
      <c r="W855" s="485"/>
      <c r="X855" s="485"/>
      <c r="Y855" s="485"/>
      <c r="Z855" s="485"/>
      <c r="AA855" s="485"/>
      <c r="AB855" s="485"/>
      <c r="AC855" s="485"/>
      <c r="AD855" s="485"/>
      <c r="AE855" s="485"/>
      <c r="AF855" s="485"/>
      <c r="AG855" s="485"/>
      <c r="AH855" s="485"/>
      <c r="AI855" s="485"/>
      <c r="AJ855" s="485"/>
      <c r="AK855" s="485"/>
      <c r="AL855" s="485"/>
      <c r="AM855" s="485"/>
      <c r="AN855" s="485"/>
      <c r="AO855" s="485"/>
      <c r="AP855" s="485"/>
      <c r="AQ855" s="485"/>
      <c r="AR855" s="485"/>
      <c r="AS855" s="485"/>
      <c r="AT855" s="485"/>
      <c r="AU855" s="485"/>
      <c r="AV855" s="485"/>
      <c r="AW855" s="485"/>
      <c r="AX855" s="485"/>
      <c r="AY855" s="485"/>
      <c r="AZ855" s="485"/>
      <c r="BA855" s="485"/>
      <c r="BB855" s="485"/>
      <c r="BC855" s="485"/>
      <c r="BD855" s="485"/>
      <c r="BE855" s="485"/>
      <c r="BF855" s="485"/>
      <c r="BG855" s="485"/>
      <c r="BH855" s="485"/>
      <c r="BI855" s="485"/>
      <c r="BJ855" s="485"/>
      <c r="BK855" s="485"/>
      <c r="BL855" s="485"/>
      <c r="BM855" s="485"/>
      <c r="BN855" s="485"/>
      <c r="BO855" s="485"/>
      <c r="BP855" s="485"/>
      <c r="BQ855" s="485"/>
      <c r="BR855" s="485"/>
      <c r="BS855" s="485"/>
      <c r="BT855" s="485"/>
      <c r="BU855" s="485"/>
      <c r="BV855" s="485"/>
      <c r="BW855" s="485"/>
      <c r="BX855" s="485"/>
      <c r="BY855" s="485"/>
      <c r="BZ855" s="485"/>
      <c r="CA855" s="485"/>
      <c r="CB855" s="485"/>
      <c r="CC855" s="485"/>
      <c r="CD855" s="485"/>
      <c r="CE855" s="485"/>
      <c r="CF855" s="485"/>
      <c r="CG855" s="485"/>
      <c r="CH855" s="485"/>
      <c r="CI855" s="485"/>
      <c r="CJ855" s="485"/>
      <c r="CK855" s="485"/>
      <c r="CL855" s="485"/>
      <c r="CM855" s="485"/>
      <c r="CN855" s="485"/>
      <c r="CO855" s="485"/>
      <c r="CP855" s="485"/>
      <c r="CQ855" s="485"/>
      <c r="CR855" s="485"/>
      <c r="CS855" s="485"/>
      <c r="CT855" s="485"/>
      <c r="CU855" s="485"/>
      <c r="CV855" s="485"/>
      <c r="CW855" s="485"/>
      <c r="CX855" s="485"/>
      <c r="CY855" s="485"/>
      <c r="CZ855" s="485"/>
      <c r="DA855" s="485"/>
      <c r="DB855" s="485"/>
      <c r="DC855" s="485"/>
      <c r="DD855" s="485"/>
      <c r="DE855" s="485"/>
      <c r="DF855" s="485"/>
      <c r="DG855" s="485"/>
      <c r="DH855" s="485"/>
      <c r="DI855" s="485"/>
      <c r="DJ855" s="485"/>
      <c r="DK855" s="485"/>
      <c r="DL855" s="485"/>
      <c r="DM855" s="485"/>
      <c r="DN855" s="485"/>
      <c r="DO855" s="485"/>
      <c r="DP855" s="485"/>
      <c r="DQ855" s="485"/>
      <c r="DR855" s="485"/>
      <c r="DS855" s="485"/>
      <c r="DT855" s="485"/>
      <c r="DU855" s="485"/>
      <c r="DV855" s="485"/>
      <c r="DW855" s="485"/>
      <c r="DX855" s="485"/>
      <c r="DY855" s="485"/>
      <c r="DZ855" s="485"/>
      <c r="EA855" s="485"/>
      <c r="EB855" s="485"/>
      <c r="EC855" s="485"/>
      <c r="ED855" s="485"/>
      <c r="EE855" s="485"/>
      <c r="EF855" s="485"/>
      <c r="EG855" s="485"/>
      <c r="EH855" s="485"/>
      <c r="EI855" s="485"/>
      <c r="EJ855" s="485"/>
      <c r="EK855" s="485"/>
      <c r="EL855" s="485"/>
      <c r="EM855" s="485"/>
      <c r="EN855" s="485"/>
      <c r="EO855" s="485"/>
      <c r="EP855" s="485"/>
    </row>
    <row r="856" spans="1:146">
      <c r="A856" s="485"/>
      <c r="B856" s="485"/>
      <c r="C856" s="485"/>
      <c r="D856" s="485"/>
      <c r="E856" s="485"/>
      <c r="F856" s="485"/>
      <c r="G856" s="485"/>
      <c r="H856" s="485"/>
      <c r="I856" s="485"/>
      <c r="J856" s="485"/>
      <c r="K856" s="485"/>
      <c r="L856" s="485"/>
      <c r="M856" s="485"/>
      <c r="P856" s="485"/>
      <c r="Q856" s="485"/>
      <c r="R856" s="485"/>
      <c r="S856" s="485"/>
      <c r="T856" s="485"/>
      <c r="U856" s="485"/>
      <c r="V856" s="485"/>
      <c r="W856" s="485"/>
      <c r="X856" s="485"/>
      <c r="Y856" s="485"/>
      <c r="Z856" s="485"/>
      <c r="AA856" s="485"/>
      <c r="AB856" s="485"/>
      <c r="AC856" s="485"/>
      <c r="AD856" s="485"/>
      <c r="AE856" s="485"/>
      <c r="AF856" s="485"/>
      <c r="AG856" s="485"/>
      <c r="AH856" s="485"/>
      <c r="AI856" s="485"/>
      <c r="AJ856" s="485"/>
      <c r="AK856" s="485"/>
      <c r="AL856" s="485"/>
      <c r="AM856" s="485"/>
      <c r="AN856" s="485"/>
      <c r="AO856" s="485"/>
      <c r="AP856" s="485"/>
      <c r="AQ856" s="485"/>
      <c r="AR856" s="485"/>
      <c r="AS856" s="485"/>
      <c r="AT856" s="485"/>
      <c r="AU856" s="485"/>
      <c r="AV856" s="485"/>
      <c r="AW856" s="485"/>
      <c r="AX856" s="485"/>
      <c r="AY856" s="485"/>
      <c r="AZ856" s="485"/>
      <c r="BA856" s="485"/>
      <c r="BB856" s="485"/>
      <c r="BC856" s="485"/>
      <c r="BD856" s="485"/>
      <c r="BE856" s="485"/>
      <c r="BF856" s="485"/>
      <c r="BG856" s="485"/>
      <c r="BH856" s="485"/>
      <c r="BI856" s="485"/>
      <c r="BJ856" s="485"/>
      <c r="BK856" s="485"/>
      <c r="BL856" s="485"/>
      <c r="BM856" s="485"/>
      <c r="BN856" s="485"/>
      <c r="BO856" s="485"/>
      <c r="BP856" s="485"/>
      <c r="BQ856" s="485"/>
      <c r="BR856" s="485"/>
      <c r="BS856" s="485"/>
      <c r="BT856" s="485"/>
      <c r="BU856" s="485"/>
      <c r="BV856" s="485"/>
      <c r="BW856" s="485"/>
      <c r="BX856" s="485"/>
      <c r="BY856" s="485"/>
      <c r="BZ856" s="485"/>
      <c r="CA856" s="485"/>
      <c r="CB856" s="485"/>
      <c r="CC856" s="485"/>
      <c r="CD856" s="485"/>
      <c r="CE856" s="485"/>
      <c r="CF856" s="485"/>
      <c r="CG856" s="485"/>
      <c r="CH856" s="485"/>
      <c r="CI856" s="485"/>
      <c r="CJ856" s="485"/>
      <c r="CK856" s="485"/>
      <c r="CL856" s="485"/>
      <c r="CM856" s="485"/>
      <c r="CN856" s="485"/>
      <c r="CO856" s="485"/>
      <c r="CP856" s="485"/>
      <c r="CQ856" s="485"/>
      <c r="CR856" s="485"/>
      <c r="CS856" s="485"/>
      <c r="CT856" s="485"/>
      <c r="CU856" s="485"/>
      <c r="CV856" s="485"/>
      <c r="CW856" s="485"/>
      <c r="CX856" s="485"/>
      <c r="CY856" s="485"/>
      <c r="CZ856" s="485"/>
      <c r="DA856" s="485"/>
      <c r="DB856" s="485"/>
      <c r="DC856" s="485"/>
      <c r="DD856" s="485"/>
      <c r="DE856" s="485"/>
      <c r="DF856" s="485"/>
      <c r="DG856" s="485"/>
      <c r="DH856" s="485"/>
      <c r="DI856" s="485"/>
      <c r="DJ856" s="485"/>
      <c r="DK856" s="485"/>
      <c r="DL856" s="485"/>
      <c r="DM856" s="485"/>
      <c r="DN856" s="485"/>
      <c r="DO856" s="485"/>
      <c r="DP856" s="485"/>
      <c r="DQ856" s="485"/>
      <c r="DR856" s="485"/>
      <c r="DS856" s="485"/>
      <c r="DT856" s="485"/>
      <c r="DU856" s="485"/>
      <c r="DV856" s="485"/>
      <c r="DW856" s="485"/>
      <c r="DX856" s="485"/>
      <c r="DY856" s="485"/>
      <c r="DZ856" s="485"/>
      <c r="EA856" s="485"/>
      <c r="EB856" s="485"/>
      <c r="EC856" s="485"/>
      <c r="ED856" s="485"/>
      <c r="EE856" s="485"/>
      <c r="EF856" s="485"/>
      <c r="EG856" s="485"/>
      <c r="EH856" s="485"/>
      <c r="EI856" s="485"/>
      <c r="EJ856" s="485"/>
      <c r="EK856" s="485"/>
      <c r="EL856" s="485"/>
      <c r="EM856" s="485"/>
      <c r="EN856" s="485"/>
      <c r="EO856" s="485"/>
      <c r="EP856" s="485"/>
    </row>
    <row r="857" spans="1:146">
      <c r="A857" s="485"/>
      <c r="B857" s="485"/>
      <c r="C857" s="485"/>
      <c r="D857" s="485"/>
      <c r="E857" s="485"/>
      <c r="F857" s="485"/>
      <c r="G857" s="485"/>
      <c r="H857" s="485"/>
      <c r="I857" s="485"/>
      <c r="J857" s="485"/>
      <c r="K857" s="485"/>
      <c r="L857" s="485"/>
      <c r="M857" s="485"/>
      <c r="P857" s="485"/>
      <c r="Q857" s="485"/>
      <c r="R857" s="485"/>
      <c r="S857" s="485"/>
      <c r="T857" s="485"/>
      <c r="U857" s="485"/>
      <c r="V857" s="485"/>
      <c r="W857" s="485"/>
      <c r="X857" s="485"/>
      <c r="Y857" s="485"/>
      <c r="Z857" s="485"/>
      <c r="AA857" s="485"/>
      <c r="AB857" s="485"/>
      <c r="AC857" s="485"/>
      <c r="AD857" s="485"/>
      <c r="AE857" s="485"/>
      <c r="AF857" s="485"/>
      <c r="AG857" s="485"/>
      <c r="AH857" s="485"/>
      <c r="AI857" s="485"/>
      <c r="AJ857" s="485"/>
      <c r="AK857" s="485"/>
      <c r="AL857" s="485"/>
      <c r="AM857" s="485"/>
      <c r="AN857" s="485"/>
      <c r="AO857" s="485"/>
      <c r="AP857" s="485"/>
      <c r="AQ857" s="485"/>
      <c r="AR857" s="485"/>
      <c r="AS857" s="485"/>
      <c r="AT857" s="485"/>
      <c r="AU857" s="485"/>
      <c r="AV857" s="485"/>
      <c r="AW857" s="485"/>
      <c r="AX857" s="485"/>
      <c r="AY857" s="485"/>
      <c r="AZ857" s="485"/>
      <c r="BA857" s="485"/>
      <c r="BB857" s="485"/>
      <c r="BC857" s="485"/>
      <c r="BD857" s="485"/>
      <c r="BE857" s="485"/>
      <c r="BF857" s="485"/>
      <c r="BG857" s="485"/>
      <c r="BH857" s="485"/>
      <c r="BI857" s="485"/>
      <c r="BJ857" s="485"/>
      <c r="BK857" s="485"/>
      <c r="BL857" s="485"/>
      <c r="BM857" s="485"/>
      <c r="BN857" s="485"/>
      <c r="BO857" s="485"/>
      <c r="BP857" s="485"/>
      <c r="BQ857" s="485"/>
      <c r="BR857" s="485"/>
      <c r="BS857" s="485"/>
      <c r="BT857" s="485"/>
      <c r="BU857" s="485"/>
      <c r="BV857" s="485"/>
      <c r="BW857" s="485"/>
      <c r="BX857" s="485"/>
      <c r="BY857" s="485"/>
      <c r="BZ857" s="485"/>
      <c r="CA857" s="485"/>
      <c r="CB857" s="485"/>
      <c r="CC857" s="485"/>
      <c r="CD857" s="485"/>
      <c r="CE857" s="485"/>
      <c r="CF857" s="485"/>
      <c r="CG857" s="485"/>
      <c r="CH857" s="485"/>
      <c r="CI857" s="485"/>
      <c r="CJ857" s="485"/>
      <c r="CK857" s="485"/>
      <c r="CL857" s="485"/>
      <c r="CM857" s="485"/>
      <c r="CN857" s="485"/>
      <c r="CO857" s="485"/>
      <c r="CP857" s="485"/>
      <c r="CQ857" s="485"/>
      <c r="CR857" s="485"/>
      <c r="CS857" s="485"/>
      <c r="CT857" s="485"/>
      <c r="CU857" s="485"/>
      <c r="CV857" s="485"/>
      <c r="CW857" s="485"/>
      <c r="CX857" s="485"/>
      <c r="CY857" s="485"/>
      <c r="CZ857" s="485"/>
      <c r="DA857" s="485"/>
      <c r="DB857" s="485"/>
      <c r="DC857" s="485"/>
      <c r="DD857" s="485"/>
      <c r="DE857" s="485"/>
      <c r="DF857" s="485"/>
      <c r="DG857" s="485"/>
      <c r="DH857" s="485"/>
      <c r="DI857" s="485"/>
      <c r="DJ857" s="485"/>
      <c r="DK857" s="485"/>
      <c r="DL857" s="485"/>
      <c r="DM857" s="485"/>
      <c r="DN857" s="485"/>
      <c r="DO857" s="485"/>
      <c r="DP857" s="485"/>
      <c r="DQ857" s="485"/>
      <c r="DR857" s="485"/>
      <c r="DS857" s="485"/>
      <c r="DT857" s="485"/>
      <c r="DU857" s="485"/>
      <c r="DV857" s="485"/>
      <c r="DW857" s="485"/>
      <c r="DX857" s="485"/>
      <c r="DY857" s="485"/>
      <c r="DZ857" s="485"/>
      <c r="EA857" s="485"/>
      <c r="EB857" s="485"/>
      <c r="EC857" s="485"/>
      <c r="ED857" s="485"/>
      <c r="EE857" s="485"/>
      <c r="EF857" s="485"/>
      <c r="EG857" s="485"/>
      <c r="EH857" s="485"/>
      <c r="EI857" s="485"/>
      <c r="EJ857" s="485"/>
      <c r="EK857" s="485"/>
      <c r="EL857" s="485"/>
      <c r="EM857" s="485"/>
      <c r="EN857" s="485"/>
      <c r="EO857" s="485"/>
      <c r="EP857" s="485"/>
    </row>
    <row r="858" spans="1:146">
      <c r="A858" s="485"/>
      <c r="B858" s="485"/>
      <c r="C858" s="485"/>
      <c r="D858" s="485"/>
      <c r="E858" s="485"/>
      <c r="F858" s="485"/>
      <c r="G858" s="485"/>
      <c r="H858" s="485"/>
      <c r="I858" s="485"/>
      <c r="J858" s="485"/>
      <c r="K858" s="485"/>
      <c r="L858" s="485"/>
      <c r="M858" s="485"/>
      <c r="P858" s="485"/>
      <c r="Q858" s="485"/>
      <c r="R858" s="485"/>
      <c r="S858" s="485"/>
      <c r="T858" s="485"/>
      <c r="U858" s="485"/>
      <c r="V858" s="485"/>
      <c r="W858" s="485"/>
      <c r="X858" s="485"/>
      <c r="Y858" s="485"/>
      <c r="Z858" s="485"/>
      <c r="AA858" s="485"/>
      <c r="AB858" s="485"/>
      <c r="AC858" s="485"/>
      <c r="AD858" s="485"/>
      <c r="AE858" s="485"/>
      <c r="AF858" s="485"/>
      <c r="AG858" s="485"/>
      <c r="AH858" s="485"/>
      <c r="AI858" s="485"/>
      <c r="AJ858" s="485"/>
      <c r="AK858" s="485"/>
      <c r="AL858" s="485"/>
      <c r="AM858" s="485"/>
      <c r="AN858" s="485"/>
      <c r="AO858" s="485"/>
      <c r="AP858" s="485"/>
      <c r="AQ858" s="485"/>
      <c r="AR858" s="485"/>
      <c r="AS858" s="485"/>
      <c r="AT858" s="485"/>
      <c r="AU858" s="485"/>
      <c r="AV858" s="485"/>
      <c r="AW858" s="485"/>
      <c r="AX858" s="485"/>
      <c r="AY858" s="485"/>
      <c r="AZ858" s="485"/>
      <c r="BA858" s="485"/>
      <c r="BB858" s="485"/>
      <c r="BC858" s="485"/>
      <c r="BD858" s="485"/>
      <c r="BE858" s="485"/>
      <c r="BF858" s="485"/>
      <c r="BG858" s="485"/>
      <c r="BH858" s="485"/>
      <c r="BI858" s="485"/>
      <c r="BJ858" s="485"/>
      <c r="BK858" s="485"/>
      <c r="BL858" s="485"/>
      <c r="BM858" s="485"/>
      <c r="BN858" s="485"/>
      <c r="BO858" s="485"/>
      <c r="BP858" s="485"/>
      <c r="BQ858" s="485"/>
      <c r="BR858" s="485"/>
      <c r="BS858" s="485"/>
      <c r="BT858" s="485"/>
      <c r="BU858" s="485"/>
      <c r="BV858" s="485"/>
      <c r="BW858" s="485"/>
      <c r="BX858" s="485"/>
      <c r="BY858" s="485"/>
      <c r="BZ858" s="485"/>
      <c r="CA858" s="485"/>
      <c r="CB858" s="485"/>
      <c r="CC858" s="485"/>
      <c r="CD858" s="485"/>
      <c r="CE858" s="485"/>
      <c r="CF858" s="485"/>
      <c r="CG858" s="485"/>
      <c r="CH858" s="485"/>
      <c r="CI858" s="485"/>
      <c r="CJ858" s="485"/>
      <c r="CK858" s="485"/>
      <c r="CL858" s="485"/>
      <c r="CM858" s="485"/>
      <c r="CN858" s="485"/>
      <c r="CO858" s="485"/>
      <c r="CP858" s="485"/>
      <c r="CQ858" s="485"/>
      <c r="CR858" s="485"/>
      <c r="CS858" s="485"/>
      <c r="CT858" s="485"/>
      <c r="CU858" s="485"/>
      <c r="CV858" s="485"/>
      <c r="CW858" s="485"/>
      <c r="CX858" s="485"/>
      <c r="CY858" s="485"/>
      <c r="CZ858" s="485"/>
      <c r="DA858" s="485"/>
      <c r="DB858" s="485"/>
      <c r="DC858" s="485"/>
      <c r="DD858" s="485"/>
      <c r="DE858" s="485"/>
      <c r="DF858" s="485"/>
      <c r="DG858" s="485"/>
      <c r="DH858" s="485"/>
      <c r="DI858" s="485"/>
      <c r="DJ858" s="485"/>
      <c r="DK858" s="485"/>
      <c r="DL858" s="485"/>
      <c r="DM858" s="485"/>
      <c r="DN858" s="485"/>
      <c r="DO858" s="485"/>
      <c r="DP858" s="485"/>
      <c r="DQ858" s="485"/>
      <c r="DR858" s="485"/>
      <c r="DS858" s="485"/>
      <c r="DT858" s="485"/>
      <c r="DU858" s="485"/>
      <c r="DV858" s="485"/>
      <c r="DW858" s="485"/>
      <c r="DX858" s="485"/>
      <c r="DY858" s="485"/>
      <c r="DZ858" s="485"/>
      <c r="EA858" s="485"/>
      <c r="EB858" s="485"/>
      <c r="EC858" s="485"/>
      <c r="ED858" s="485"/>
      <c r="EE858" s="485"/>
      <c r="EF858" s="485"/>
      <c r="EG858" s="485"/>
      <c r="EH858" s="485"/>
      <c r="EI858" s="485"/>
      <c r="EJ858" s="485"/>
      <c r="EK858" s="485"/>
      <c r="EL858" s="485"/>
      <c r="EM858" s="485"/>
      <c r="EN858" s="485"/>
      <c r="EO858" s="485"/>
      <c r="EP858" s="485"/>
    </row>
    <row r="859" spans="1:146">
      <c r="A859" s="485"/>
      <c r="B859" s="485"/>
      <c r="C859" s="485"/>
      <c r="D859" s="485"/>
      <c r="E859" s="485"/>
      <c r="F859" s="485"/>
      <c r="G859" s="485"/>
      <c r="H859" s="485"/>
      <c r="I859" s="485"/>
      <c r="J859" s="485"/>
      <c r="K859" s="485"/>
      <c r="L859" s="485"/>
      <c r="M859" s="485"/>
      <c r="P859" s="485"/>
      <c r="Q859" s="485"/>
      <c r="R859" s="485"/>
      <c r="S859" s="485"/>
      <c r="T859" s="485"/>
      <c r="U859" s="485"/>
      <c r="V859" s="485"/>
      <c r="W859" s="485"/>
      <c r="X859" s="485"/>
      <c r="Y859" s="485"/>
      <c r="Z859" s="485"/>
      <c r="AA859" s="485"/>
      <c r="AB859" s="485"/>
      <c r="AC859" s="485"/>
      <c r="AD859" s="485"/>
      <c r="AE859" s="485"/>
      <c r="AF859" s="485"/>
      <c r="AG859" s="485"/>
      <c r="AH859" s="485"/>
      <c r="AI859" s="485"/>
      <c r="AJ859" s="485"/>
      <c r="AK859" s="485"/>
      <c r="AL859" s="485"/>
      <c r="AM859" s="485"/>
      <c r="AN859" s="485"/>
      <c r="AO859" s="485"/>
      <c r="AP859" s="485"/>
      <c r="AQ859" s="485"/>
      <c r="AR859" s="485"/>
      <c r="AS859" s="485"/>
      <c r="AT859" s="485"/>
      <c r="AU859" s="485"/>
      <c r="AV859" s="485"/>
      <c r="AW859" s="485"/>
      <c r="AX859" s="485"/>
      <c r="AY859" s="485"/>
      <c r="AZ859" s="485"/>
      <c r="BA859" s="485"/>
      <c r="BB859" s="485"/>
      <c r="BC859" s="485"/>
      <c r="BD859" s="485"/>
      <c r="BE859" s="485"/>
      <c r="BF859" s="485"/>
      <c r="BG859" s="485"/>
      <c r="BH859" s="485"/>
      <c r="BI859" s="485"/>
      <c r="BJ859" s="485"/>
      <c r="BK859" s="485"/>
      <c r="BL859" s="485"/>
      <c r="BM859" s="485"/>
      <c r="BN859" s="485"/>
      <c r="BO859" s="485"/>
      <c r="BP859" s="485"/>
      <c r="BQ859" s="485"/>
      <c r="BR859" s="485"/>
      <c r="BS859" s="485"/>
      <c r="BT859" s="485"/>
      <c r="BU859" s="485"/>
      <c r="BV859" s="485"/>
      <c r="BW859" s="485"/>
      <c r="BX859" s="485"/>
      <c r="BY859" s="485"/>
      <c r="BZ859" s="485"/>
      <c r="CA859" s="485"/>
      <c r="CB859" s="485"/>
      <c r="CC859" s="485"/>
      <c r="CD859" s="485"/>
      <c r="CE859" s="485"/>
      <c r="CF859" s="485"/>
      <c r="CG859" s="485"/>
      <c r="CH859" s="485"/>
      <c r="CI859" s="485"/>
      <c r="CJ859" s="485"/>
      <c r="CK859" s="485"/>
      <c r="CL859" s="485"/>
      <c r="CM859" s="485"/>
      <c r="CN859" s="485"/>
      <c r="CO859" s="485"/>
      <c r="CP859" s="485"/>
      <c r="CQ859" s="485"/>
      <c r="CR859" s="485"/>
      <c r="CS859" s="485"/>
      <c r="CT859" s="485"/>
      <c r="CU859" s="485"/>
      <c r="CV859" s="485"/>
      <c r="CW859" s="485"/>
      <c r="CX859" s="485"/>
      <c r="CY859" s="485"/>
      <c r="CZ859" s="485"/>
      <c r="DA859" s="485"/>
      <c r="DB859" s="485"/>
      <c r="DC859" s="485"/>
      <c r="DD859" s="485"/>
      <c r="DE859" s="485"/>
      <c r="DF859" s="485"/>
      <c r="DG859" s="485"/>
      <c r="DH859" s="485"/>
      <c r="DI859" s="485"/>
      <c r="DJ859" s="485"/>
      <c r="DK859" s="485"/>
      <c r="DL859" s="485"/>
      <c r="DM859" s="485"/>
      <c r="DN859" s="485"/>
      <c r="DO859" s="485"/>
      <c r="DP859" s="485"/>
      <c r="DQ859" s="485"/>
      <c r="DR859" s="485"/>
      <c r="DS859" s="485"/>
      <c r="DT859" s="485"/>
      <c r="DU859" s="485"/>
      <c r="DV859" s="485"/>
      <c r="DW859" s="485"/>
      <c r="DX859" s="485"/>
      <c r="DY859" s="485"/>
      <c r="DZ859" s="485"/>
      <c r="EA859" s="485"/>
      <c r="EB859" s="485"/>
      <c r="EC859" s="485"/>
      <c r="ED859" s="485"/>
      <c r="EE859" s="485"/>
      <c r="EF859" s="485"/>
      <c r="EG859" s="485"/>
      <c r="EH859" s="485"/>
      <c r="EI859" s="485"/>
      <c r="EJ859" s="485"/>
      <c r="EK859" s="485"/>
      <c r="EL859" s="485"/>
      <c r="EM859" s="485"/>
      <c r="EN859" s="485"/>
      <c r="EO859" s="485"/>
      <c r="EP859" s="485"/>
    </row>
    <row r="860" spans="1:146">
      <c r="A860" s="485"/>
      <c r="B860" s="485"/>
      <c r="C860" s="485"/>
      <c r="D860" s="485"/>
      <c r="E860" s="485"/>
      <c r="F860" s="485"/>
      <c r="G860" s="485"/>
      <c r="H860" s="485"/>
      <c r="I860" s="485"/>
      <c r="J860" s="485"/>
      <c r="K860" s="485"/>
      <c r="L860" s="485"/>
      <c r="M860" s="485"/>
      <c r="P860" s="485"/>
      <c r="Q860" s="485"/>
      <c r="R860" s="485"/>
      <c r="S860" s="485"/>
      <c r="T860" s="485"/>
      <c r="U860" s="485"/>
      <c r="V860" s="485"/>
      <c r="W860" s="485"/>
      <c r="X860" s="485"/>
      <c r="Y860" s="485"/>
      <c r="Z860" s="485"/>
      <c r="AA860" s="485"/>
      <c r="AB860" s="485"/>
      <c r="AC860" s="485"/>
      <c r="AD860" s="485"/>
      <c r="AE860" s="485"/>
      <c r="AF860" s="485"/>
      <c r="AG860" s="485"/>
      <c r="AH860" s="485"/>
      <c r="AI860" s="485"/>
      <c r="AJ860" s="485"/>
      <c r="AK860" s="485"/>
      <c r="AL860" s="485"/>
      <c r="AM860" s="485"/>
      <c r="AN860" s="485"/>
      <c r="AO860" s="485"/>
      <c r="AP860" s="485"/>
      <c r="AQ860" s="485"/>
      <c r="AR860" s="485"/>
      <c r="AS860" s="485"/>
      <c r="AT860" s="485"/>
      <c r="AU860" s="485"/>
      <c r="AV860" s="485"/>
      <c r="AW860" s="485"/>
      <c r="AX860" s="485"/>
      <c r="AY860" s="485"/>
      <c r="AZ860" s="485"/>
      <c r="BA860" s="485"/>
      <c r="BB860" s="485"/>
      <c r="BC860" s="485"/>
      <c r="BD860" s="485"/>
      <c r="BE860" s="485"/>
      <c r="BF860" s="485"/>
      <c r="BG860" s="485"/>
      <c r="BH860" s="485"/>
      <c r="BI860" s="485"/>
      <c r="BJ860" s="485"/>
      <c r="BK860" s="485"/>
      <c r="BL860" s="485"/>
      <c r="BM860" s="485"/>
      <c r="BN860" s="485"/>
      <c r="BO860" s="485"/>
      <c r="BP860" s="485"/>
      <c r="BQ860" s="485"/>
      <c r="BR860" s="485"/>
      <c r="BS860" s="485"/>
      <c r="BT860" s="485"/>
      <c r="BU860" s="485"/>
      <c r="BV860" s="485"/>
      <c r="BW860" s="485"/>
      <c r="BX860" s="485"/>
      <c r="BY860" s="485"/>
      <c r="BZ860" s="485"/>
      <c r="CA860" s="485"/>
      <c r="CB860" s="485"/>
      <c r="CC860" s="485"/>
      <c r="CD860" s="485"/>
      <c r="CE860" s="485"/>
      <c r="CF860" s="485"/>
      <c r="CG860" s="485"/>
      <c r="CH860" s="485"/>
      <c r="CI860" s="485"/>
      <c r="CJ860" s="485"/>
      <c r="CK860" s="485"/>
      <c r="CL860" s="485"/>
      <c r="CM860" s="485"/>
      <c r="CN860" s="485"/>
      <c r="CO860" s="485"/>
      <c r="CP860" s="485"/>
      <c r="CQ860" s="485"/>
      <c r="CR860" s="485"/>
      <c r="CS860" s="485"/>
      <c r="CT860" s="485"/>
      <c r="CU860" s="485"/>
      <c r="CV860" s="485"/>
      <c r="CW860" s="485"/>
      <c r="CX860" s="485"/>
      <c r="CY860" s="485"/>
      <c r="CZ860" s="485"/>
      <c r="DA860" s="485"/>
      <c r="DB860" s="485"/>
      <c r="DC860" s="485"/>
      <c r="DD860" s="485"/>
      <c r="DE860" s="485"/>
      <c r="DF860" s="485"/>
      <c r="DG860" s="485"/>
      <c r="DH860" s="485"/>
      <c r="DI860" s="485"/>
      <c r="DJ860" s="485"/>
      <c r="DK860" s="485"/>
      <c r="DL860" s="485"/>
      <c r="DM860" s="485"/>
      <c r="DN860" s="485"/>
      <c r="DO860" s="485"/>
      <c r="DP860" s="485"/>
      <c r="DQ860" s="485"/>
      <c r="DR860" s="485"/>
      <c r="DS860" s="485"/>
      <c r="DT860" s="485"/>
      <c r="DU860" s="485"/>
      <c r="DV860" s="485"/>
      <c r="DW860" s="485"/>
      <c r="DX860" s="485"/>
      <c r="DY860" s="485"/>
      <c r="DZ860" s="485"/>
      <c r="EA860" s="485"/>
      <c r="EB860" s="485"/>
      <c r="EC860" s="485"/>
      <c r="ED860" s="485"/>
      <c r="EE860" s="485"/>
      <c r="EF860" s="485"/>
      <c r="EG860" s="485"/>
      <c r="EH860" s="485"/>
      <c r="EI860" s="485"/>
      <c r="EJ860" s="485"/>
      <c r="EK860" s="485"/>
      <c r="EL860" s="485"/>
      <c r="EM860" s="485"/>
      <c r="EN860" s="485"/>
      <c r="EO860" s="485"/>
      <c r="EP860" s="485"/>
    </row>
    <row r="861" spans="1:146">
      <c r="A861" s="485"/>
      <c r="B861" s="485"/>
      <c r="C861" s="485"/>
      <c r="D861" s="485"/>
      <c r="E861" s="485"/>
      <c r="F861" s="485"/>
      <c r="G861" s="485"/>
      <c r="H861" s="485"/>
      <c r="I861" s="485"/>
      <c r="J861" s="485"/>
      <c r="K861" s="485"/>
      <c r="L861" s="485"/>
      <c r="M861" s="485"/>
      <c r="P861" s="485"/>
      <c r="Q861" s="485"/>
      <c r="R861" s="485"/>
      <c r="S861" s="485"/>
      <c r="T861" s="485"/>
      <c r="U861" s="485"/>
      <c r="V861" s="485"/>
      <c r="W861" s="485"/>
      <c r="X861" s="485"/>
      <c r="Y861" s="485"/>
      <c r="Z861" s="485"/>
      <c r="AA861" s="485"/>
      <c r="AB861" s="485"/>
      <c r="AC861" s="485"/>
      <c r="AD861" s="485"/>
      <c r="AE861" s="485"/>
      <c r="AF861" s="485"/>
      <c r="AG861" s="485"/>
      <c r="AH861" s="485"/>
      <c r="AI861" s="485"/>
      <c r="AJ861" s="485"/>
      <c r="AK861" s="485"/>
      <c r="AL861" s="485"/>
      <c r="AM861" s="485"/>
      <c r="AN861" s="485"/>
      <c r="AO861" s="485"/>
      <c r="AP861" s="485"/>
      <c r="AQ861" s="485"/>
      <c r="AR861" s="485"/>
      <c r="AS861" s="485"/>
      <c r="AT861" s="485"/>
      <c r="AU861" s="485"/>
      <c r="AV861" s="485"/>
      <c r="AW861" s="485"/>
      <c r="AX861" s="485"/>
      <c r="AY861" s="485"/>
      <c r="AZ861" s="485"/>
      <c r="BA861" s="485"/>
      <c r="BB861" s="485"/>
      <c r="BC861" s="485"/>
      <c r="BD861" s="485"/>
      <c r="BE861" s="485"/>
      <c r="BF861" s="485"/>
      <c r="BG861" s="485"/>
      <c r="BH861" s="485"/>
      <c r="BI861" s="485"/>
      <c r="BJ861" s="485"/>
      <c r="BK861" s="485"/>
      <c r="BL861" s="485"/>
      <c r="BM861" s="485"/>
      <c r="BN861" s="485"/>
      <c r="BO861" s="485"/>
      <c r="BP861" s="485"/>
      <c r="BQ861" s="485"/>
      <c r="BR861" s="485"/>
      <c r="BS861" s="485"/>
      <c r="BT861" s="485"/>
      <c r="BU861" s="485"/>
      <c r="BV861" s="485"/>
      <c r="BW861" s="485"/>
      <c r="BX861" s="485"/>
      <c r="BY861" s="485"/>
      <c r="BZ861" s="485"/>
      <c r="CA861" s="485"/>
      <c r="CB861" s="485"/>
      <c r="CC861" s="485"/>
      <c r="CD861" s="485"/>
      <c r="CE861" s="485"/>
      <c r="CF861" s="485"/>
      <c r="CG861" s="485"/>
      <c r="CH861" s="485"/>
      <c r="CI861" s="485"/>
      <c r="CJ861" s="485"/>
      <c r="CK861" s="485"/>
      <c r="CL861" s="485"/>
      <c r="CM861" s="485"/>
      <c r="CN861" s="485"/>
      <c r="CO861" s="485"/>
      <c r="CP861" s="485"/>
      <c r="CQ861" s="485"/>
      <c r="CR861" s="485"/>
      <c r="CS861" s="485"/>
      <c r="CT861" s="485"/>
      <c r="CU861" s="485"/>
      <c r="CV861" s="485"/>
      <c r="CW861" s="485"/>
      <c r="CX861" s="485"/>
      <c r="CY861" s="485"/>
      <c r="CZ861" s="485"/>
      <c r="DA861" s="485"/>
      <c r="DB861" s="485"/>
      <c r="DC861" s="485"/>
      <c r="DD861" s="485"/>
      <c r="DE861" s="485"/>
      <c r="DF861" s="485"/>
      <c r="DG861" s="485"/>
      <c r="DH861" s="485"/>
      <c r="DI861" s="485"/>
      <c r="DJ861" s="485"/>
      <c r="DK861" s="485"/>
      <c r="DL861" s="485"/>
      <c r="DM861" s="485"/>
      <c r="DN861" s="485"/>
      <c r="DO861" s="485"/>
      <c r="DP861" s="485"/>
      <c r="DQ861" s="485"/>
      <c r="DR861" s="485"/>
      <c r="DS861" s="485"/>
      <c r="DT861" s="485"/>
      <c r="DU861" s="485"/>
      <c r="DV861" s="485"/>
      <c r="DW861" s="485"/>
      <c r="DX861" s="485"/>
      <c r="DY861" s="485"/>
      <c r="DZ861" s="485"/>
      <c r="EA861" s="485"/>
      <c r="EB861" s="485"/>
      <c r="EC861" s="485"/>
      <c r="ED861" s="485"/>
      <c r="EE861" s="485"/>
      <c r="EF861" s="485"/>
      <c r="EG861" s="485"/>
      <c r="EH861" s="485"/>
      <c r="EI861" s="485"/>
      <c r="EJ861" s="485"/>
      <c r="EK861" s="485"/>
      <c r="EL861" s="485"/>
      <c r="EM861" s="485"/>
      <c r="EN861" s="485"/>
      <c r="EO861" s="485"/>
      <c r="EP861" s="485"/>
    </row>
    <row r="862" spans="1:146">
      <c r="A862" s="485"/>
      <c r="B862" s="485"/>
      <c r="C862" s="485"/>
      <c r="D862" s="485"/>
      <c r="E862" s="485"/>
      <c r="F862" s="485"/>
      <c r="G862" s="485"/>
      <c r="H862" s="485"/>
      <c r="I862" s="485"/>
      <c r="J862" s="485"/>
      <c r="K862" s="485"/>
      <c r="L862" s="485"/>
      <c r="M862" s="485"/>
      <c r="P862" s="485"/>
      <c r="Q862" s="485"/>
      <c r="R862" s="485"/>
      <c r="S862" s="485"/>
      <c r="T862" s="485"/>
      <c r="U862" s="485"/>
      <c r="V862" s="485"/>
      <c r="W862" s="485"/>
      <c r="X862" s="485"/>
      <c r="Y862" s="485"/>
      <c r="Z862" s="485"/>
      <c r="AA862" s="485"/>
      <c r="AB862" s="485"/>
      <c r="AC862" s="485"/>
      <c r="AD862" s="485"/>
      <c r="AE862" s="485"/>
      <c r="AF862" s="485"/>
      <c r="AG862" s="485"/>
      <c r="AH862" s="485"/>
      <c r="AI862" s="485"/>
      <c r="AJ862" s="485"/>
      <c r="AK862" s="485"/>
      <c r="AL862" s="485"/>
      <c r="AM862" s="485"/>
      <c r="AN862" s="485"/>
      <c r="AO862" s="485"/>
      <c r="AP862" s="485"/>
      <c r="AQ862" s="485"/>
      <c r="AR862" s="485"/>
      <c r="AS862" s="485"/>
      <c r="AT862" s="485"/>
      <c r="AU862" s="485"/>
      <c r="AV862" s="485"/>
      <c r="AW862" s="485"/>
      <c r="AX862" s="485"/>
      <c r="AY862" s="485"/>
      <c r="AZ862" s="485"/>
      <c r="BA862" s="485"/>
      <c r="BB862" s="485"/>
      <c r="BC862" s="485"/>
      <c r="BD862" s="485"/>
      <c r="BE862" s="485"/>
      <c r="BF862" s="485"/>
      <c r="BG862" s="485"/>
      <c r="BH862" s="485"/>
      <c r="BI862" s="485"/>
      <c r="BJ862" s="485"/>
      <c r="BK862" s="485"/>
      <c r="BL862" s="485"/>
      <c r="BM862" s="485"/>
      <c r="BN862" s="485"/>
      <c r="BO862" s="485"/>
      <c r="BP862" s="485"/>
      <c r="BQ862" s="485"/>
      <c r="BR862" s="485"/>
      <c r="BS862" s="485"/>
      <c r="BT862" s="485"/>
      <c r="BU862" s="485"/>
      <c r="BV862" s="485"/>
      <c r="BW862" s="485"/>
      <c r="BX862" s="485"/>
      <c r="BY862" s="485"/>
      <c r="BZ862" s="485"/>
      <c r="CA862" s="485"/>
      <c r="CB862" s="485"/>
      <c r="CC862" s="485"/>
      <c r="CD862" s="485"/>
      <c r="CE862" s="485"/>
      <c r="CF862" s="485"/>
      <c r="CG862" s="485"/>
      <c r="CH862" s="485"/>
      <c r="CI862" s="485"/>
      <c r="CJ862" s="485"/>
      <c r="CK862" s="485"/>
      <c r="CL862" s="485"/>
      <c r="CM862" s="485"/>
      <c r="CN862" s="485"/>
      <c r="CO862" s="485"/>
      <c r="CP862" s="485"/>
      <c r="CQ862" s="485"/>
      <c r="CR862" s="485"/>
      <c r="CS862" s="485"/>
      <c r="CT862" s="485"/>
      <c r="CU862" s="485"/>
      <c r="CV862" s="485"/>
      <c r="CW862" s="485"/>
      <c r="CX862" s="485"/>
      <c r="CY862" s="485"/>
      <c r="CZ862" s="485"/>
      <c r="DA862" s="485"/>
      <c r="DB862" s="485"/>
      <c r="DC862" s="485"/>
      <c r="DD862" s="485"/>
      <c r="DE862" s="485"/>
      <c r="DF862" s="485"/>
      <c r="DG862" s="485"/>
      <c r="DH862" s="485"/>
      <c r="DI862" s="485"/>
      <c r="DJ862" s="485"/>
      <c r="DK862" s="485"/>
      <c r="DL862" s="485"/>
      <c r="DM862" s="485"/>
      <c r="DN862" s="485"/>
      <c r="DO862" s="485"/>
      <c r="DP862" s="485"/>
      <c r="DQ862" s="485"/>
      <c r="DR862" s="485"/>
      <c r="DS862" s="485"/>
      <c r="DT862" s="485"/>
      <c r="DU862" s="485"/>
      <c r="DV862" s="485"/>
      <c r="DW862" s="485"/>
      <c r="DX862" s="485"/>
      <c r="DY862" s="485"/>
      <c r="DZ862" s="485"/>
      <c r="EA862" s="485"/>
      <c r="EB862" s="485"/>
      <c r="EC862" s="485"/>
      <c r="ED862" s="485"/>
      <c r="EE862" s="485"/>
      <c r="EF862" s="485"/>
      <c r="EG862" s="485"/>
      <c r="EH862" s="485"/>
      <c r="EI862" s="485"/>
      <c r="EJ862" s="485"/>
      <c r="EK862" s="485"/>
      <c r="EL862" s="485"/>
      <c r="EM862" s="485"/>
      <c r="EN862" s="485"/>
      <c r="EO862" s="485"/>
      <c r="EP862" s="485"/>
    </row>
    <row r="863" spans="1:146">
      <c r="A863" s="485"/>
      <c r="B863" s="485"/>
      <c r="C863" s="485"/>
      <c r="D863" s="485"/>
      <c r="E863" s="485"/>
      <c r="F863" s="485"/>
      <c r="G863" s="485"/>
      <c r="H863" s="485"/>
      <c r="I863" s="485"/>
      <c r="J863" s="485"/>
      <c r="K863" s="485"/>
      <c r="L863" s="485"/>
      <c r="M863" s="485"/>
      <c r="P863" s="485"/>
      <c r="Q863" s="485"/>
      <c r="R863" s="485"/>
      <c r="S863" s="485"/>
      <c r="T863" s="485"/>
      <c r="U863" s="485"/>
      <c r="V863" s="485"/>
      <c r="W863" s="485"/>
      <c r="X863" s="485"/>
      <c r="Y863" s="485"/>
      <c r="Z863" s="485"/>
      <c r="AA863" s="485"/>
      <c r="AB863" s="485"/>
      <c r="AC863" s="485"/>
      <c r="AD863" s="485"/>
      <c r="AE863" s="485"/>
      <c r="AF863" s="485"/>
      <c r="AG863" s="485"/>
      <c r="AH863" s="485"/>
      <c r="AI863" s="485"/>
      <c r="AJ863" s="485"/>
      <c r="AK863" s="485"/>
      <c r="AL863" s="485"/>
      <c r="AM863" s="485"/>
      <c r="AN863" s="485"/>
      <c r="AO863" s="485"/>
      <c r="AP863" s="485"/>
      <c r="AQ863" s="485"/>
      <c r="AR863" s="485"/>
      <c r="AS863" s="485"/>
      <c r="AT863" s="485"/>
      <c r="AU863" s="485"/>
      <c r="AV863" s="485"/>
      <c r="AW863" s="485"/>
      <c r="AX863" s="485"/>
      <c r="AY863" s="485"/>
      <c r="AZ863" s="485"/>
      <c r="BA863" s="485"/>
      <c r="BB863" s="485"/>
      <c r="BC863" s="485"/>
      <c r="BD863" s="485"/>
      <c r="BE863" s="485"/>
      <c r="BF863" s="485"/>
      <c r="BG863" s="485"/>
      <c r="BH863" s="485"/>
      <c r="BI863" s="485"/>
      <c r="BJ863" s="485"/>
      <c r="BK863" s="485"/>
      <c r="BL863" s="485"/>
      <c r="BM863" s="485"/>
      <c r="BN863" s="485"/>
      <c r="BO863" s="485"/>
      <c r="BP863" s="485"/>
      <c r="BQ863" s="485"/>
      <c r="BR863" s="485"/>
      <c r="BS863" s="485"/>
      <c r="BT863" s="485"/>
      <c r="BU863" s="485"/>
      <c r="BV863" s="485"/>
      <c r="BW863" s="485"/>
      <c r="BX863" s="485"/>
      <c r="BY863" s="485"/>
      <c r="BZ863" s="485"/>
      <c r="CA863" s="485"/>
      <c r="CB863" s="485"/>
      <c r="CC863" s="485"/>
      <c r="CD863" s="485"/>
      <c r="CE863" s="485"/>
      <c r="CF863" s="485"/>
      <c r="CG863" s="485"/>
      <c r="CH863" s="485"/>
      <c r="CI863" s="485"/>
      <c r="CJ863" s="485"/>
      <c r="CK863" s="485"/>
      <c r="CL863" s="485"/>
      <c r="CM863" s="485"/>
      <c r="CN863" s="485"/>
      <c r="CO863" s="485"/>
      <c r="CP863" s="485"/>
      <c r="CQ863" s="485"/>
      <c r="CR863" s="485"/>
      <c r="CS863" s="485"/>
      <c r="CT863" s="485"/>
      <c r="CU863" s="485"/>
      <c r="CV863" s="485"/>
      <c r="CW863" s="485"/>
      <c r="CX863" s="485"/>
      <c r="CY863" s="485"/>
      <c r="CZ863" s="485"/>
      <c r="DA863" s="485"/>
      <c r="DB863" s="485"/>
      <c r="DC863" s="485"/>
      <c r="DD863" s="485"/>
      <c r="DE863" s="485"/>
      <c r="DF863" s="485"/>
      <c r="DG863" s="485"/>
      <c r="DH863" s="485"/>
      <c r="DI863" s="485"/>
      <c r="DJ863" s="485"/>
      <c r="DK863" s="485"/>
      <c r="DL863" s="485"/>
      <c r="DM863" s="485"/>
      <c r="DN863" s="485"/>
      <c r="DO863" s="485"/>
      <c r="DP863" s="485"/>
      <c r="DQ863" s="485"/>
      <c r="DR863" s="485"/>
      <c r="DS863" s="485"/>
      <c r="DT863" s="485"/>
      <c r="DU863" s="485"/>
      <c r="DV863" s="485"/>
      <c r="DW863" s="485"/>
      <c r="DX863" s="485"/>
      <c r="DY863" s="485"/>
      <c r="DZ863" s="485"/>
      <c r="EA863" s="485"/>
      <c r="EB863" s="485"/>
      <c r="EC863" s="485"/>
      <c r="ED863" s="485"/>
      <c r="EE863" s="485"/>
      <c r="EF863" s="485"/>
      <c r="EG863" s="485"/>
      <c r="EH863" s="485"/>
      <c r="EI863" s="485"/>
      <c r="EJ863" s="485"/>
      <c r="EK863" s="485"/>
      <c r="EL863" s="485"/>
      <c r="EM863" s="485"/>
      <c r="EN863" s="485"/>
      <c r="EO863" s="485"/>
      <c r="EP863" s="485"/>
    </row>
    <row r="864" spans="1:146">
      <c r="A864" s="485"/>
      <c r="B864" s="485"/>
      <c r="C864" s="485"/>
      <c r="D864" s="485"/>
      <c r="E864" s="485"/>
      <c r="F864" s="485"/>
      <c r="G864" s="485"/>
      <c r="H864" s="485"/>
      <c r="I864" s="485"/>
      <c r="J864" s="485"/>
      <c r="K864" s="485"/>
      <c r="L864" s="485"/>
      <c r="M864" s="485"/>
      <c r="P864" s="485"/>
      <c r="Q864" s="485"/>
      <c r="R864" s="485"/>
      <c r="S864" s="485"/>
      <c r="T864" s="485"/>
      <c r="U864" s="485"/>
      <c r="V864" s="485"/>
      <c r="W864" s="485"/>
      <c r="X864" s="485"/>
      <c r="Y864" s="485"/>
      <c r="Z864" s="485"/>
      <c r="AA864" s="485"/>
      <c r="AB864" s="485"/>
      <c r="AC864" s="485"/>
      <c r="AD864" s="485"/>
      <c r="AE864" s="485"/>
      <c r="AF864" s="485"/>
      <c r="AG864" s="485"/>
      <c r="AH864" s="485"/>
      <c r="AI864" s="485"/>
      <c r="AJ864" s="485"/>
      <c r="AK864" s="485"/>
      <c r="AL864" s="485"/>
      <c r="AM864" s="485"/>
      <c r="AN864" s="485"/>
      <c r="AO864" s="485"/>
      <c r="AP864" s="485"/>
      <c r="AQ864" s="485"/>
      <c r="AR864" s="485"/>
      <c r="AS864" s="485"/>
      <c r="AT864" s="485"/>
      <c r="AU864" s="485"/>
      <c r="AV864" s="485"/>
      <c r="AW864" s="485"/>
      <c r="AX864" s="485"/>
      <c r="AY864" s="485"/>
      <c r="AZ864" s="485"/>
      <c r="BA864" s="485"/>
      <c r="BB864" s="485"/>
      <c r="BC864" s="485"/>
      <c r="BD864" s="485"/>
      <c r="BE864" s="485"/>
      <c r="BF864" s="485"/>
      <c r="BG864" s="485"/>
      <c r="BH864" s="485"/>
      <c r="BI864" s="485"/>
      <c r="BJ864" s="485"/>
      <c r="BK864" s="485"/>
      <c r="BL864" s="485"/>
      <c r="BM864" s="485"/>
      <c r="BN864" s="485"/>
      <c r="BO864" s="485"/>
      <c r="BP864" s="485"/>
      <c r="BQ864" s="485"/>
      <c r="BR864" s="485"/>
      <c r="BS864" s="485"/>
      <c r="BT864" s="485"/>
      <c r="BU864" s="485"/>
      <c r="BV864" s="485"/>
      <c r="BW864" s="485"/>
      <c r="BX864" s="485"/>
      <c r="BY864" s="485"/>
      <c r="BZ864" s="485"/>
      <c r="CA864" s="485"/>
      <c r="CB864" s="485"/>
      <c r="CC864" s="485"/>
      <c r="CD864" s="485"/>
      <c r="CE864" s="485"/>
      <c r="CF864" s="485"/>
      <c r="CG864" s="485"/>
      <c r="CH864" s="485"/>
      <c r="CI864" s="485"/>
      <c r="CJ864" s="485"/>
      <c r="CK864" s="485"/>
      <c r="CL864" s="485"/>
      <c r="CM864" s="485"/>
      <c r="CN864" s="485"/>
      <c r="CO864" s="485"/>
      <c r="CP864" s="485"/>
      <c r="CQ864" s="485"/>
      <c r="CR864" s="485"/>
      <c r="CS864" s="485"/>
      <c r="CT864" s="485"/>
      <c r="CU864" s="485"/>
      <c r="CV864" s="485"/>
      <c r="CW864" s="485"/>
      <c r="CX864" s="485"/>
      <c r="CY864" s="485"/>
      <c r="CZ864" s="485"/>
      <c r="DA864" s="485"/>
      <c r="DB864" s="485"/>
      <c r="DC864" s="485"/>
      <c r="DD864" s="485"/>
      <c r="DE864" s="485"/>
      <c r="DF864" s="485"/>
      <c r="DG864" s="485"/>
      <c r="DH864" s="485"/>
      <c r="DI864" s="485"/>
      <c r="DJ864" s="485"/>
      <c r="DK864" s="485"/>
      <c r="DL864" s="485"/>
      <c r="DM864" s="485"/>
      <c r="DN864" s="485"/>
      <c r="DO864" s="485"/>
      <c r="DP864" s="485"/>
      <c r="DQ864" s="485"/>
      <c r="DR864" s="485"/>
      <c r="DS864" s="485"/>
      <c r="DT864" s="485"/>
      <c r="DU864" s="485"/>
      <c r="DV864" s="485"/>
      <c r="DW864" s="485"/>
      <c r="DX864" s="485"/>
      <c r="DY864" s="485"/>
      <c r="DZ864" s="485"/>
      <c r="EA864" s="485"/>
      <c r="EB864" s="485"/>
      <c r="EC864" s="485"/>
      <c r="ED864" s="485"/>
      <c r="EE864" s="485"/>
      <c r="EF864" s="485"/>
      <c r="EG864" s="485"/>
      <c r="EH864" s="485"/>
      <c r="EI864" s="485"/>
      <c r="EJ864" s="485"/>
      <c r="EK864" s="485"/>
      <c r="EL864" s="485"/>
      <c r="EM864" s="485"/>
      <c r="EN864" s="485"/>
      <c r="EO864" s="485"/>
      <c r="EP864" s="485"/>
    </row>
    <row r="865" spans="1:146">
      <c r="A865" s="485"/>
      <c r="B865" s="485"/>
      <c r="C865" s="485"/>
      <c r="D865" s="485"/>
      <c r="E865" s="485"/>
      <c r="F865" s="485"/>
      <c r="G865" s="485"/>
      <c r="H865" s="485"/>
      <c r="I865" s="485"/>
      <c r="J865" s="485"/>
      <c r="K865" s="485"/>
      <c r="L865" s="485"/>
      <c r="M865" s="485"/>
      <c r="P865" s="485"/>
      <c r="Q865" s="485"/>
      <c r="R865" s="485"/>
      <c r="S865" s="485"/>
      <c r="T865" s="485"/>
      <c r="U865" s="485"/>
      <c r="V865" s="485"/>
      <c r="W865" s="485"/>
      <c r="X865" s="485"/>
      <c r="Y865" s="485"/>
      <c r="Z865" s="485"/>
      <c r="AA865" s="485"/>
      <c r="AB865" s="485"/>
      <c r="AC865" s="485"/>
      <c r="AD865" s="485"/>
      <c r="AE865" s="485"/>
      <c r="AF865" s="485"/>
      <c r="AG865" s="485"/>
      <c r="AH865" s="485"/>
      <c r="AI865" s="485"/>
      <c r="AJ865" s="485"/>
      <c r="AK865" s="485"/>
      <c r="AL865" s="485"/>
      <c r="AM865" s="485"/>
      <c r="AN865" s="485"/>
      <c r="AO865" s="485"/>
      <c r="AP865" s="485"/>
      <c r="AQ865" s="485"/>
      <c r="AR865" s="485"/>
      <c r="AS865" s="485"/>
      <c r="AT865" s="485"/>
      <c r="AU865" s="485"/>
      <c r="AV865" s="485"/>
      <c r="AW865" s="485"/>
      <c r="AX865" s="485"/>
      <c r="AY865" s="485"/>
      <c r="AZ865" s="485"/>
      <c r="BA865" s="485"/>
      <c r="BB865" s="485"/>
      <c r="BC865" s="485"/>
      <c r="BD865" s="485"/>
      <c r="BE865" s="485"/>
      <c r="BF865" s="485"/>
      <c r="BG865" s="485"/>
      <c r="BH865" s="485"/>
      <c r="BI865" s="485"/>
      <c r="BJ865" s="485"/>
      <c r="BK865" s="485"/>
      <c r="BL865" s="485"/>
      <c r="BM865" s="485"/>
      <c r="BN865" s="485"/>
      <c r="BO865" s="485"/>
      <c r="BP865" s="485"/>
      <c r="BQ865" s="485"/>
      <c r="BR865" s="485"/>
      <c r="BS865" s="485"/>
      <c r="BT865" s="485"/>
      <c r="BU865" s="485"/>
      <c r="BV865" s="485"/>
      <c r="BW865" s="485"/>
      <c r="BX865" s="485"/>
      <c r="BY865" s="485"/>
      <c r="BZ865" s="485"/>
      <c r="CA865" s="485"/>
      <c r="CB865" s="485"/>
      <c r="CC865" s="485"/>
      <c r="CD865" s="485"/>
      <c r="CE865" s="485"/>
      <c r="CF865" s="485"/>
      <c r="CG865" s="485"/>
      <c r="CH865" s="485"/>
      <c r="CI865" s="485"/>
      <c r="CJ865" s="485"/>
      <c r="CK865" s="485"/>
      <c r="CL865" s="485"/>
      <c r="CM865" s="485"/>
      <c r="CN865" s="485"/>
      <c r="CO865" s="485"/>
      <c r="CP865" s="485"/>
      <c r="CQ865" s="485"/>
      <c r="CR865" s="485"/>
      <c r="CS865" s="485"/>
      <c r="CT865" s="485"/>
      <c r="CU865" s="485"/>
      <c r="CV865" s="485"/>
      <c r="CW865" s="485"/>
      <c r="CX865" s="485"/>
      <c r="CY865" s="485"/>
      <c r="CZ865" s="485"/>
      <c r="DA865" s="485"/>
      <c r="DB865" s="485"/>
      <c r="DC865" s="485"/>
      <c r="DD865" s="485"/>
      <c r="DE865" s="485"/>
      <c r="DF865" s="485"/>
      <c r="DG865" s="485"/>
      <c r="DH865" s="485"/>
      <c r="DI865" s="485"/>
      <c r="DJ865" s="485"/>
      <c r="DK865" s="485"/>
      <c r="DL865" s="485"/>
      <c r="DM865" s="485"/>
      <c r="DN865" s="485"/>
      <c r="DO865" s="485"/>
      <c r="DP865" s="485"/>
      <c r="DQ865" s="485"/>
      <c r="DR865" s="485"/>
      <c r="DS865" s="485"/>
      <c r="DT865" s="485"/>
      <c r="DU865" s="485"/>
      <c r="DV865" s="485"/>
      <c r="DW865" s="485"/>
      <c r="DX865" s="485"/>
      <c r="DY865" s="485"/>
      <c r="DZ865" s="485"/>
      <c r="EA865" s="485"/>
      <c r="EB865" s="485"/>
      <c r="EC865" s="485"/>
      <c r="ED865" s="485"/>
      <c r="EE865" s="485"/>
      <c r="EF865" s="485"/>
      <c r="EG865" s="485"/>
      <c r="EH865" s="485"/>
      <c r="EI865" s="485"/>
      <c r="EJ865" s="485"/>
      <c r="EK865" s="485"/>
      <c r="EL865" s="485"/>
      <c r="EM865" s="485"/>
      <c r="EN865" s="485"/>
      <c r="EO865" s="485"/>
      <c r="EP865" s="485"/>
    </row>
    <row r="866" spans="1:146">
      <c r="A866" s="485"/>
      <c r="B866" s="485"/>
      <c r="C866" s="485"/>
      <c r="D866" s="485"/>
      <c r="E866" s="485"/>
      <c r="F866" s="485"/>
      <c r="G866" s="485"/>
      <c r="H866" s="485"/>
      <c r="I866" s="485"/>
      <c r="J866" s="485"/>
      <c r="K866" s="485"/>
      <c r="L866" s="485"/>
      <c r="M866" s="485"/>
      <c r="P866" s="485"/>
      <c r="Q866" s="485"/>
      <c r="R866" s="485"/>
      <c r="S866" s="485"/>
      <c r="T866" s="485"/>
      <c r="U866" s="485"/>
      <c r="V866" s="485"/>
      <c r="W866" s="485"/>
      <c r="X866" s="485"/>
      <c r="Y866" s="485"/>
      <c r="Z866" s="485"/>
      <c r="AA866" s="485"/>
      <c r="AB866" s="485"/>
      <c r="AC866" s="485"/>
      <c r="AD866" s="485"/>
      <c r="AE866" s="485"/>
      <c r="AF866" s="485"/>
      <c r="AG866" s="485"/>
      <c r="AH866" s="485"/>
      <c r="AI866" s="485"/>
      <c r="AJ866" s="485"/>
      <c r="AK866" s="485"/>
      <c r="AL866" s="485"/>
      <c r="AM866" s="485"/>
      <c r="AN866" s="485"/>
      <c r="AO866" s="485"/>
      <c r="AP866" s="485"/>
      <c r="AQ866" s="485"/>
      <c r="AR866" s="485"/>
      <c r="AS866" s="485"/>
      <c r="AT866" s="485"/>
      <c r="AU866" s="485"/>
      <c r="AV866" s="485"/>
      <c r="AW866" s="485"/>
      <c r="AX866" s="485"/>
      <c r="AY866" s="485"/>
      <c r="AZ866" s="485"/>
      <c r="BA866" s="485"/>
      <c r="BB866" s="485"/>
      <c r="BC866" s="485"/>
      <c r="BD866" s="485"/>
      <c r="BE866" s="485"/>
      <c r="BF866" s="485"/>
      <c r="BG866" s="485"/>
      <c r="BH866" s="485"/>
      <c r="BI866" s="485"/>
      <c r="BJ866" s="485"/>
      <c r="BK866" s="485"/>
      <c r="BL866" s="485"/>
      <c r="BM866" s="485"/>
      <c r="BN866" s="485"/>
      <c r="BO866" s="485"/>
      <c r="BP866" s="485"/>
      <c r="BQ866" s="485"/>
      <c r="BR866" s="485"/>
      <c r="BS866" s="485"/>
      <c r="BT866" s="485"/>
      <c r="BU866" s="485"/>
      <c r="BV866" s="485"/>
      <c r="BW866" s="485"/>
      <c r="BX866" s="485"/>
      <c r="BY866" s="485"/>
      <c r="BZ866" s="485"/>
      <c r="CA866" s="485"/>
      <c r="CB866" s="485"/>
      <c r="CC866" s="485"/>
      <c r="CD866" s="485"/>
      <c r="CE866" s="485"/>
      <c r="CF866" s="485"/>
      <c r="CG866" s="485"/>
      <c r="CH866" s="485"/>
      <c r="CI866" s="485"/>
      <c r="CJ866" s="485"/>
      <c r="CK866" s="485"/>
      <c r="CL866" s="485"/>
      <c r="CM866" s="485"/>
      <c r="CN866" s="485"/>
      <c r="CO866" s="485"/>
      <c r="CP866" s="485"/>
      <c r="CQ866" s="485"/>
      <c r="CR866" s="485"/>
      <c r="CS866" s="485"/>
      <c r="CT866" s="485"/>
      <c r="CU866" s="485"/>
      <c r="CV866" s="485"/>
      <c r="CW866" s="485"/>
      <c r="CX866" s="485"/>
      <c r="CY866" s="485"/>
      <c r="CZ866" s="485"/>
      <c r="DA866" s="485"/>
      <c r="DB866" s="485"/>
      <c r="DC866" s="485"/>
      <c r="DD866" s="485"/>
      <c r="DE866" s="485"/>
      <c r="DF866" s="485"/>
      <c r="DG866" s="485"/>
      <c r="DH866" s="485"/>
      <c r="DI866" s="485"/>
      <c r="DJ866" s="485"/>
      <c r="DK866" s="485"/>
      <c r="DL866" s="485"/>
      <c r="DM866" s="485"/>
      <c r="DN866" s="485"/>
      <c r="DO866" s="485"/>
      <c r="DP866" s="485"/>
      <c r="DQ866" s="485"/>
      <c r="DR866" s="485"/>
      <c r="DS866" s="485"/>
      <c r="DT866" s="485"/>
      <c r="DU866" s="485"/>
      <c r="DV866" s="485"/>
      <c r="DW866" s="485"/>
      <c r="DX866" s="485"/>
      <c r="DY866" s="485"/>
      <c r="DZ866" s="485"/>
      <c r="EA866" s="485"/>
      <c r="EB866" s="485"/>
      <c r="EC866" s="485"/>
      <c r="ED866" s="485"/>
      <c r="EE866" s="485"/>
      <c r="EF866" s="485"/>
      <c r="EG866" s="485"/>
      <c r="EH866" s="485"/>
      <c r="EI866" s="485"/>
      <c r="EJ866" s="485"/>
      <c r="EK866" s="485"/>
      <c r="EL866" s="485"/>
      <c r="EM866" s="485"/>
      <c r="EN866" s="485"/>
      <c r="EO866" s="485"/>
      <c r="EP866" s="485"/>
    </row>
    <row r="867" spans="1:146">
      <c r="A867" s="485"/>
      <c r="B867" s="485"/>
      <c r="C867" s="485"/>
      <c r="D867" s="485"/>
      <c r="E867" s="485"/>
      <c r="F867" s="485"/>
      <c r="G867" s="485"/>
      <c r="H867" s="485"/>
      <c r="I867" s="485"/>
      <c r="J867" s="485"/>
      <c r="K867" s="485"/>
      <c r="L867" s="485"/>
      <c r="M867" s="485"/>
      <c r="P867" s="485"/>
      <c r="Q867" s="485"/>
      <c r="R867" s="485"/>
      <c r="S867" s="485"/>
      <c r="T867" s="485"/>
      <c r="U867" s="485"/>
      <c r="V867" s="485"/>
      <c r="W867" s="485"/>
      <c r="X867" s="485"/>
      <c r="Y867" s="485"/>
      <c r="Z867" s="485"/>
      <c r="AA867" s="485"/>
      <c r="AB867" s="485"/>
      <c r="AC867" s="485"/>
      <c r="AD867" s="485"/>
      <c r="AE867" s="485"/>
      <c r="AF867" s="485"/>
      <c r="AG867" s="485"/>
      <c r="AH867" s="485"/>
      <c r="AI867" s="485"/>
      <c r="AJ867" s="485"/>
      <c r="AK867" s="485"/>
      <c r="AL867" s="485"/>
      <c r="AM867" s="485"/>
      <c r="AN867" s="485"/>
      <c r="AO867" s="485"/>
      <c r="AP867" s="485"/>
      <c r="AQ867" s="485"/>
      <c r="AR867" s="485"/>
      <c r="AS867" s="485"/>
      <c r="AT867" s="485"/>
      <c r="AU867" s="485"/>
      <c r="AV867" s="485"/>
      <c r="AW867" s="485"/>
      <c r="AX867" s="485"/>
      <c r="AY867" s="485"/>
      <c r="AZ867" s="485"/>
      <c r="BA867" s="485"/>
      <c r="BB867" s="485"/>
      <c r="BC867" s="485"/>
      <c r="BD867" s="485"/>
      <c r="BE867" s="485"/>
      <c r="BF867" s="485"/>
      <c r="BG867" s="485"/>
      <c r="BH867" s="485"/>
      <c r="BI867" s="485"/>
      <c r="BJ867" s="485"/>
      <c r="BK867" s="485"/>
      <c r="BL867" s="485"/>
      <c r="BM867" s="485"/>
      <c r="BN867" s="485"/>
      <c r="BO867" s="485"/>
      <c r="BP867" s="485"/>
      <c r="BQ867" s="485"/>
      <c r="BR867" s="485"/>
      <c r="BS867" s="485"/>
      <c r="BT867" s="485"/>
      <c r="BU867" s="485"/>
      <c r="BV867" s="485"/>
      <c r="BW867" s="485"/>
      <c r="BX867" s="485"/>
      <c r="BY867" s="485"/>
      <c r="BZ867" s="485"/>
      <c r="CA867" s="485"/>
      <c r="CB867" s="485"/>
      <c r="CC867" s="485"/>
      <c r="CD867" s="485"/>
      <c r="CE867" s="485"/>
      <c r="CF867" s="485"/>
      <c r="CG867" s="485"/>
      <c r="CH867" s="485"/>
      <c r="CI867" s="485"/>
      <c r="CJ867" s="485"/>
      <c r="CK867" s="485"/>
      <c r="CL867" s="485"/>
      <c r="CM867" s="485"/>
      <c r="CN867" s="485"/>
      <c r="CO867" s="485"/>
      <c r="CP867" s="485"/>
      <c r="CQ867" s="485"/>
      <c r="CR867" s="485"/>
      <c r="CS867" s="485"/>
      <c r="CT867" s="485"/>
      <c r="CU867" s="485"/>
      <c r="CV867" s="485"/>
      <c r="CW867" s="485"/>
      <c r="CX867" s="485"/>
      <c r="CY867" s="485"/>
      <c r="CZ867" s="485"/>
      <c r="DA867" s="485"/>
      <c r="DB867" s="485"/>
      <c r="DC867" s="485"/>
      <c r="DD867" s="485"/>
      <c r="DE867" s="485"/>
      <c r="DF867" s="485"/>
      <c r="DG867" s="485"/>
      <c r="DH867" s="485"/>
      <c r="DI867" s="485"/>
      <c r="DJ867" s="485"/>
      <c r="DK867" s="485"/>
      <c r="DL867" s="485"/>
      <c r="DM867" s="485"/>
      <c r="DN867" s="485"/>
      <c r="DO867" s="485"/>
      <c r="DP867" s="485"/>
      <c r="DQ867" s="485"/>
      <c r="DR867" s="485"/>
      <c r="DS867" s="485"/>
      <c r="DT867" s="485"/>
      <c r="DU867" s="485"/>
      <c r="DV867" s="485"/>
      <c r="DW867" s="485"/>
      <c r="DX867" s="485"/>
      <c r="DY867" s="485"/>
      <c r="DZ867" s="485"/>
      <c r="EA867" s="485"/>
      <c r="EB867" s="485"/>
      <c r="EC867" s="485"/>
      <c r="ED867" s="485"/>
      <c r="EE867" s="485"/>
      <c r="EF867" s="485"/>
      <c r="EG867" s="485"/>
      <c r="EH867" s="485"/>
      <c r="EI867" s="485"/>
      <c r="EJ867" s="485"/>
      <c r="EK867" s="485"/>
      <c r="EL867" s="485"/>
      <c r="EM867" s="485"/>
      <c r="EN867" s="485"/>
      <c r="EO867" s="485"/>
      <c r="EP867" s="485"/>
    </row>
    <row r="868" spans="1:146">
      <c r="A868" s="485"/>
      <c r="B868" s="485"/>
      <c r="C868" s="485"/>
      <c r="D868" s="485"/>
      <c r="E868" s="485"/>
      <c r="F868" s="485"/>
      <c r="G868" s="485"/>
      <c r="H868" s="485"/>
      <c r="I868" s="485"/>
      <c r="J868" s="485"/>
      <c r="K868" s="485"/>
      <c r="L868" s="485"/>
      <c r="M868" s="485"/>
      <c r="P868" s="485"/>
      <c r="Q868" s="485"/>
      <c r="R868" s="485"/>
      <c r="S868" s="485"/>
      <c r="T868" s="485"/>
      <c r="U868" s="485"/>
      <c r="V868" s="485"/>
      <c r="W868" s="485"/>
      <c r="X868" s="485"/>
      <c r="Y868" s="485"/>
      <c r="Z868" s="485"/>
      <c r="AA868" s="485"/>
      <c r="AB868" s="485"/>
      <c r="AC868" s="485"/>
      <c r="AD868" s="485"/>
      <c r="AE868" s="485"/>
      <c r="AF868" s="485"/>
      <c r="AG868" s="485"/>
      <c r="AH868" s="485"/>
      <c r="AI868" s="485"/>
      <c r="AJ868" s="485"/>
      <c r="AK868" s="485"/>
      <c r="AL868" s="485"/>
      <c r="AM868" s="485"/>
      <c r="AN868" s="485"/>
      <c r="AO868" s="485"/>
      <c r="AP868" s="485"/>
      <c r="AQ868" s="485"/>
      <c r="AR868" s="485"/>
      <c r="AS868" s="485"/>
      <c r="AT868" s="485"/>
      <c r="AU868" s="485"/>
      <c r="AV868" s="485"/>
      <c r="AW868" s="485"/>
      <c r="AX868" s="485"/>
      <c r="AY868" s="485"/>
      <c r="AZ868" s="485"/>
      <c r="BA868" s="485"/>
      <c r="BB868" s="485"/>
      <c r="BC868" s="485"/>
      <c r="BD868" s="485"/>
      <c r="BE868" s="485"/>
      <c r="BF868" s="485"/>
      <c r="BG868" s="485"/>
      <c r="BH868" s="485"/>
      <c r="BI868" s="485"/>
      <c r="BJ868" s="485"/>
      <c r="BK868" s="485"/>
      <c r="BL868" s="485"/>
      <c r="BM868" s="485"/>
      <c r="BN868" s="485"/>
      <c r="BO868" s="485"/>
      <c r="BP868" s="485"/>
      <c r="BQ868" s="485"/>
      <c r="BR868" s="485"/>
      <c r="BS868" s="485"/>
      <c r="BT868" s="485"/>
      <c r="BU868" s="485"/>
      <c r="BV868" s="485"/>
      <c r="BW868" s="485"/>
      <c r="BX868" s="485"/>
      <c r="BY868" s="485"/>
      <c r="BZ868" s="485"/>
      <c r="CA868" s="485"/>
      <c r="CB868" s="485"/>
      <c r="CC868" s="485"/>
      <c r="CD868" s="485"/>
      <c r="CE868" s="485"/>
      <c r="CF868" s="485"/>
      <c r="CG868" s="485"/>
      <c r="CH868" s="485"/>
      <c r="CI868" s="485"/>
      <c r="CJ868" s="485"/>
      <c r="CK868" s="485"/>
      <c r="CL868" s="485"/>
      <c r="CM868" s="485"/>
      <c r="CN868" s="485"/>
      <c r="CO868" s="485"/>
      <c r="CP868" s="485"/>
      <c r="CQ868" s="485"/>
      <c r="CR868" s="485"/>
      <c r="CS868" s="485"/>
      <c r="CT868" s="485"/>
      <c r="CU868" s="485"/>
      <c r="CV868" s="485"/>
      <c r="CW868" s="485"/>
      <c r="CX868" s="485"/>
      <c r="CY868" s="485"/>
      <c r="CZ868" s="485"/>
      <c r="DA868" s="485"/>
      <c r="DB868" s="485"/>
      <c r="DC868" s="485"/>
      <c r="DD868" s="485"/>
      <c r="DE868" s="485"/>
      <c r="DF868" s="485"/>
      <c r="DG868" s="485"/>
      <c r="DH868" s="485"/>
      <c r="DI868" s="485"/>
      <c r="DJ868" s="485"/>
      <c r="DK868" s="485"/>
      <c r="DL868" s="485"/>
      <c r="DM868" s="485"/>
      <c r="DN868" s="485"/>
      <c r="DO868" s="485"/>
      <c r="DP868" s="485"/>
      <c r="DQ868" s="485"/>
      <c r="DR868" s="485"/>
      <c r="DS868" s="485"/>
      <c r="DT868" s="485"/>
      <c r="DU868" s="485"/>
      <c r="DV868" s="485"/>
      <c r="DW868" s="485"/>
      <c r="DX868" s="485"/>
      <c r="DY868" s="485"/>
      <c r="DZ868" s="485"/>
      <c r="EA868" s="485"/>
      <c r="EB868" s="485"/>
      <c r="EC868" s="485"/>
      <c r="ED868" s="485"/>
      <c r="EE868" s="485"/>
      <c r="EF868" s="485"/>
      <c r="EG868" s="485"/>
      <c r="EH868" s="485"/>
      <c r="EI868" s="485"/>
      <c r="EJ868" s="485"/>
      <c r="EK868" s="485"/>
      <c r="EL868" s="485"/>
      <c r="EM868" s="485"/>
      <c r="EN868" s="485"/>
      <c r="EO868" s="485"/>
      <c r="EP868" s="485"/>
    </row>
    <row r="869" spans="1:146">
      <c r="A869" s="485"/>
      <c r="B869" s="485"/>
      <c r="C869" s="485"/>
      <c r="D869" s="485"/>
      <c r="E869" s="485"/>
      <c r="F869" s="485"/>
      <c r="G869" s="485"/>
      <c r="H869" s="485"/>
      <c r="I869" s="485"/>
      <c r="J869" s="485"/>
      <c r="K869" s="485"/>
      <c r="L869" s="485"/>
      <c r="M869" s="485"/>
      <c r="P869" s="485"/>
      <c r="Q869" s="485"/>
      <c r="R869" s="485"/>
      <c r="S869" s="485"/>
      <c r="T869" s="485"/>
      <c r="U869" s="485"/>
      <c r="V869" s="485"/>
      <c r="W869" s="485"/>
      <c r="X869" s="485"/>
      <c r="Y869" s="485"/>
      <c r="Z869" s="485"/>
      <c r="AA869" s="485"/>
      <c r="AB869" s="485"/>
      <c r="AC869" s="485"/>
      <c r="AD869" s="485"/>
      <c r="AE869" s="485"/>
      <c r="AF869" s="485"/>
      <c r="AG869" s="485"/>
      <c r="AH869" s="485"/>
      <c r="AI869" s="485"/>
      <c r="AJ869" s="485"/>
      <c r="AK869" s="485"/>
      <c r="AL869" s="485"/>
      <c r="AM869" s="485"/>
      <c r="AN869" s="485"/>
      <c r="AO869" s="485"/>
      <c r="AP869" s="485"/>
      <c r="AQ869" s="485"/>
      <c r="AR869" s="485"/>
      <c r="AS869" s="485"/>
      <c r="AT869" s="485"/>
      <c r="AU869" s="485"/>
      <c r="AV869" s="485"/>
      <c r="AW869" s="485"/>
      <c r="AX869" s="485"/>
      <c r="AY869" s="485"/>
      <c r="AZ869" s="485"/>
      <c r="BA869" s="485"/>
      <c r="BB869" s="485"/>
      <c r="BC869" s="485"/>
      <c r="BD869" s="485"/>
      <c r="BE869" s="485"/>
      <c r="BF869" s="485"/>
      <c r="BG869" s="485"/>
      <c r="BH869" s="485"/>
      <c r="BI869" s="485"/>
      <c r="BJ869" s="485"/>
      <c r="BK869" s="485"/>
      <c r="BL869" s="485"/>
      <c r="BM869" s="485"/>
      <c r="BN869" s="485"/>
      <c r="BO869" s="485"/>
      <c r="BP869" s="485"/>
      <c r="BQ869" s="485"/>
      <c r="BR869" s="485"/>
      <c r="BS869" s="485"/>
      <c r="BT869" s="485"/>
      <c r="BU869" s="485"/>
      <c r="BV869" s="485"/>
      <c r="BW869" s="485"/>
      <c r="BX869" s="485"/>
      <c r="BY869" s="485"/>
      <c r="BZ869" s="485"/>
      <c r="CA869" s="485"/>
      <c r="CB869" s="485"/>
      <c r="CC869" s="485"/>
      <c r="CD869" s="485"/>
      <c r="CE869" s="485"/>
      <c r="CF869" s="485"/>
      <c r="CG869" s="485"/>
      <c r="CH869" s="485"/>
      <c r="CI869" s="485"/>
      <c r="CJ869" s="485"/>
      <c r="CK869" s="485"/>
      <c r="CL869" s="485"/>
      <c r="CM869" s="485"/>
      <c r="CN869" s="485"/>
      <c r="CO869" s="485"/>
      <c r="CP869" s="485"/>
      <c r="CQ869" s="485"/>
      <c r="CR869" s="485"/>
      <c r="CS869" s="485"/>
      <c r="CT869" s="485"/>
      <c r="CU869" s="485"/>
      <c r="CV869" s="485"/>
      <c r="CW869" s="485"/>
      <c r="CX869" s="485"/>
      <c r="CY869" s="485"/>
      <c r="CZ869" s="485"/>
      <c r="DA869" s="485"/>
      <c r="DB869" s="485"/>
      <c r="DC869" s="485"/>
      <c r="DD869" s="485"/>
      <c r="DE869" s="485"/>
      <c r="DF869" s="485"/>
      <c r="DG869" s="485"/>
      <c r="DH869" s="485"/>
      <c r="DI869" s="485"/>
      <c r="DJ869" s="485"/>
      <c r="DK869" s="485"/>
      <c r="DL869" s="485"/>
      <c r="DM869" s="485"/>
      <c r="DN869" s="485"/>
      <c r="DO869" s="485"/>
      <c r="DP869" s="485"/>
      <c r="DQ869" s="485"/>
      <c r="DR869" s="485"/>
      <c r="DS869" s="485"/>
      <c r="DT869" s="485"/>
      <c r="DU869" s="485"/>
      <c r="DV869" s="485"/>
      <c r="DW869" s="485"/>
      <c r="DX869" s="485"/>
      <c r="DY869" s="485"/>
      <c r="DZ869" s="485"/>
      <c r="EA869" s="485"/>
      <c r="EB869" s="485"/>
      <c r="EC869" s="485"/>
      <c r="ED869" s="485"/>
      <c r="EE869" s="485"/>
      <c r="EF869" s="485"/>
      <c r="EG869" s="485"/>
      <c r="EH869" s="485"/>
      <c r="EI869" s="485"/>
      <c r="EJ869" s="485"/>
      <c r="EK869" s="485"/>
      <c r="EL869" s="485"/>
      <c r="EM869" s="485"/>
      <c r="EN869" s="485"/>
      <c r="EO869" s="485"/>
      <c r="EP869" s="485"/>
    </row>
    <row r="870" spans="1:146">
      <c r="A870" s="485"/>
      <c r="B870" s="485"/>
      <c r="C870" s="485"/>
      <c r="D870" s="485"/>
      <c r="E870" s="485"/>
      <c r="F870" s="485"/>
      <c r="G870" s="485"/>
      <c r="H870" s="485"/>
      <c r="I870" s="485"/>
      <c r="J870" s="485"/>
      <c r="K870" s="485"/>
      <c r="L870" s="485"/>
      <c r="M870" s="485"/>
      <c r="P870" s="485"/>
      <c r="Q870" s="485"/>
      <c r="R870" s="485"/>
      <c r="S870" s="485"/>
      <c r="T870" s="485"/>
      <c r="U870" s="485"/>
      <c r="V870" s="485"/>
      <c r="W870" s="485"/>
      <c r="X870" s="485"/>
      <c r="Y870" s="485"/>
      <c r="Z870" s="485"/>
      <c r="AA870" s="485"/>
      <c r="AB870" s="485"/>
      <c r="AC870" s="485"/>
      <c r="AD870" s="485"/>
      <c r="AE870" s="485"/>
      <c r="AF870" s="485"/>
      <c r="AG870" s="485"/>
      <c r="AH870" s="485"/>
      <c r="AI870" s="485"/>
      <c r="AJ870" s="485"/>
      <c r="AK870" s="485"/>
      <c r="AL870" s="485"/>
      <c r="AM870" s="485"/>
      <c r="AN870" s="485"/>
      <c r="AO870" s="485"/>
      <c r="AP870" s="485"/>
      <c r="AQ870" s="485"/>
      <c r="AR870" s="485"/>
      <c r="AS870" s="485"/>
      <c r="AT870" s="485"/>
      <c r="AU870" s="485"/>
      <c r="AV870" s="485"/>
      <c r="AW870" s="485"/>
      <c r="AX870" s="485"/>
      <c r="AY870" s="485"/>
      <c r="AZ870" s="485"/>
      <c r="BA870" s="485"/>
      <c r="BB870" s="485"/>
      <c r="BC870" s="485"/>
      <c r="BD870" s="485"/>
      <c r="BE870" s="485"/>
      <c r="BF870" s="485"/>
      <c r="BG870" s="485"/>
      <c r="BH870" s="485"/>
      <c r="BI870" s="485"/>
      <c r="BJ870" s="485"/>
      <c r="BK870" s="485"/>
      <c r="BL870" s="485"/>
      <c r="BM870" s="485"/>
      <c r="BN870" s="485"/>
      <c r="BO870" s="485"/>
      <c r="BP870" s="485"/>
      <c r="BQ870" s="485"/>
      <c r="BR870" s="485"/>
      <c r="BS870" s="485"/>
      <c r="BT870" s="485"/>
      <c r="BU870" s="485"/>
      <c r="BV870" s="485"/>
      <c r="BW870" s="485"/>
      <c r="BX870" s="485"/>
      <c r="BY870" s="485"/>
      <c r="BZ870" s="485"/>
      <c r="CA870" s="485"/>
      <c r="CB870" s="485"/>
      <c r="CC870" s="485"/>
      <c r="CD870" s="485"/>
      <c r="CE870" s="485"/>
      <c r="CF870" s="485"/>
      <c r="CG870" s="485"/>
      <c r="CH870" s="485"/>
      <c r="CI870" s="485"/>
      <c r="CJ870" s="485"/>
      <c r="CK870" s="485"/>
      <c r="CL870" s="485"/>
      <c r="CM870" s="485"/>
      <c r="CN870" s="485"/>
      <c r="CO870" s="485"/>
      <c r="CP870" s="485"/>
      <c r="CQ870" s="485"/>
      <c r="CR870" s="485"/>
      <c r="CS870" s="485"/>
      <c r="CT870" s="485"/>
      <c r="CU870" s="485"/>
      <c r="CV870" s="485"/>
      <c r="CW870" s="485"/>
      <c r="CX870" s="485"/>
      <c r="CY870" s="485"/>
      <c r="CZ870" s="485"/>
      <c r="DA870" s="485"/>
      <c r="DB870" s="485"/>
      <c r="DC870" s="485"/>
      <c r="DD870" s="485"/>
      <c r="DE870" s="485"/>
      <c r="DF870" s="485"/>
      <c r="DG870" s="485"/>
      <c r="DH870" s="485"/>
      <c r="DI870" s="485"/>
      <c r="DJ870" s="485"/>
      <c r="DK870" s="485"/>
      <c r="DL870" s="485"/>
      <c r="DM870" s="485"/>
      <c r="DN870" s="485"/>
      <c r="DO870" s="485"/>
      <c r="DP870" s="485"/>
      <c r="DQ870" s="485"/>
      <c r="DR870" s="485"/>
      <c r="DS870" s="485"/>
      <c r="DT870" s="485"/>
      <c r="DU870" s="485"/>
      <c r="DV870" s="485"/>
      <c r="DW870" s="485"/>
      <c r="DX870" s="485"/>
      <c r="DY870" s="485"/>
      <c r="DZ870" s="485"/>
      <c r="EA870" s="485"/>
      <c r="EB870" s="485"/>
      <c r="EC870" s="485"/>
      <c r="ED870" s="485"/>
      <c r="EE870" s="485"/>
      <c r="EF870" s="485"/>
      <c r="EG870" s="485"/>
      <c r="EH870" s="485"/>
      <c r="EI870" s="485"/>
      <c r="EJ870" s="485"/>
      <c r="EK870" s="485"/>
      <c r="EL870" s="485"/>
      <c r="EM870" s="485"/>
      <c r="EN870" s="485"/>
      <c r="EO870" s="485"/>
      <c r="EP870" s="485"/>
    </row>
    <row r="871" spans="1:146">
      <c r="A871" s="485"/>
      <c r="B871" s="485"/>
      <c r="C871" s="485"/>
      <c r="D871" s="485"/>
      <c r="E871" s="485"/>
      <c r="F871" s="485"/>
      <c r="G871" s="485"/>
      <c r="H871" s="485"/>
      <c r="I871" s="485"/>
      <c r="J871" s="485"/>
      <c r="K871" s="485"/>
      <c r="L871" s="485"/>
      <c r="M871" s="485"/>
      <c r="P871" s="485"/>
      <c r="Q871" s="485"/>
      <c r="R871" s="485"/>
      <c r="S871" s="485"/>
      <c r="T871" s="485"/>
      <c r="U871" s="485"/>
      <c r="V871" s="485"/>
      <c r="W871" s="485"/>
      <c r="X871" s="485"/>
      <c r="Y871" s="485"/>
      <c r="Z871" s="485"/>
      <c r="AA871" s="485"/>
      <c r="AB871" s="485"/>
      <c r="AC871" s="485"/>
      <c r="AD871" s="485"/>
      <c r="AE871" s="485"/>
      <c r="AF871" s="485"/>
      <c r="AG871" s="485"/>
      <c r="AH871" s="485"/>
      <c r="AI871" s="485"/>
      <c r="AJ871" s="485"/>
      <c r="AK871" s="485"/>
      <c r="AL871" s="485"/>
      <c r="AM871" s="485"/>
      <c r="AN871" s="485"/>
      <c r="AO871" s="485"/>
      <c r="AP871" s="485"/>
      <c r="AQ871" s="485"/>
      <c r="AR871" s="485"/>
      <c r="AS871" s="485"/>
      <c r="AT871" s="485"/>
      <c r="AU871" s="485"/>
      <c r="AV871" s="485"/>
      <c r="AW871" s="485"/>
      <c r="AX871" s="485"/>
      <c r="AY871" s="485"/>
      <c r="AZ871" s="485"/>
      <c r="BA871" s="485"/>
      <c r="BB871" s="485"/>
      <c r="BC871" s="485"/>
      <c r="BD871" s="485"/>
      <c r="BE871" s="485"/>
      <c r="BF871" s="485"/>
      <c r="BG871" s="485"/>
      <c r="BH871" s="485"/>
      <c r="BI871" s="485"/>
      <c r="BJ871" s="485"/>
      <c r="BK871" s="485"/>
      <c r="BL871" s="485"/>
      <c r="BM871" s="485"/>
      <c r="BN871" s="485"/>
      <c r="BO871" s="485"/>
      <c r="BP871" s="485"/>
      <c r="BQ871" s="485"/>
      <c r="BR871" s="485"/>
      <c r="BS871" s="485"/>
      <c r="BT871" s="485"/>
      <c r="BU871" s="485"/>
      <c r="BV871" s="485"/>
      <c r="BW871" s="485"/>
      <c r="BX871" s="485"/>
      <c r="BY871" s="485"/>
      <c r="BZ871" s="485"/>
      <c r="CA871" s="485"/>
      <c r="CB871" s="485"/>
      <c r="CC871" s="485"/>
      <c r="CD871" s="485"/>
      <c r="CE871" s="485"/>
      <c r="CF871" s="485"/>
      <c r="CG871" s="485"/>
      <c r="CH871" s="485"/>
      <c r="CI871" s="485"/>
      <c r="CJ871" s="485"/>
      <c r="CK871" s="485"/>
      <c r="CL871" s="485"/>
      <c r="CM871" s="485"/>
      <c r="CN871" s="485"/>
      <c r="CO871" s="485"/>
      <c r="CP871" s="485"/>
      <c r="CQ871" s="485"/>
      <c r="CR871" s="485"/>
      <c r="CS871" s="485"/>
      <c r="CT871" s="485"/>
      <c r="CU871" s="485"/>
      <c r="CV871" s="485"/>
      <c r="CW871" s="485"/>
      <c r="CX871" s="485"/>
      <c r="CY871" s="485"/>
      <c r="CZ871" s="485"/>
      <c r="DA871" s="485"/>
      <c r="DB871" s="485"/>
      <c r="DC871" s="485"/>
      <c r="DD871" s="485"/>
      <c r="DE871" s="485"/>
      <c r="DF871" s="485"/>
      <c r="DG871" s="485"/>
      <c r="DH871" s="485"/>
      <c r="DI871" s="485"/>
      <c r="DJ871" s="485"/>
      <c r="DK871" s="485"/>
      <c r="DL871" s="485"/>
      <c r="DM871" s="485"/>
      <c r="DN871" s="485"/>
      <c r="DO871" s="485"/>
      <c r="DP871" s="485"/>
      <c r="DQ871" s="485"/>
      <c r="DR871" s="485"/>
      <c r="DS871" s="485"/>
      <c r="DT871" s="485"/>
      <c r="DU871" s="485"/>
      <c r="DV871" s="485"/>
      <c r="DW871" s="485"/>
      <c r="DX871" s="485"/>
      <c r="DY871" s="485"/>
      <c r="DZ871" s="485"/>
      <c r="EA871" s="485"/>
      <c r="EB871" s="485"/>
      <c r="EC871" s="485"/>
      <c r="ED871" s="485"/>
      <c r="EE871" s="485"/>
      <c r="EF871" s="485"/>
      <c r="EG871" s="485"/>
      <c r="EH871" s="485"/>
      <c r="EI871" s="485"/>
      <c r="EJ871" s="485"/>
      <c r="EK871" s="485"/>
      <c r="EL871" s="485"/>
      <c r="EM871" s="485"/>
      <c r="EN871" s="485"/>
      <c r="EO871" s="485"/>
      <c r="EP871" s="485"/>
    </row>
    <row r="872" spans="1:146">
      <c r="A872" s="485"/>
      <c r="B872" s="485"/>
      <c r="C872" s="485"/>
      <c r="D872" s="485"/>
      <c r="E872" s="485"/>
      <c r="F872" s="485"/>
      <c r="G872" s="485"/>
      <c r="H872" s="485"/>
      <c r="I872" s="485"/>
      <c r="J872" s="485"/>
      <c r="K872" s="485"/>
      <c r="L872" s="485"/>
      <c r="M872" s="485"/>
      <c r="P872" s="485"/>
      <c r="Q872" s="485"/>
      <c r="R872" s="485"/>
      <c r="S872" s="485"/>
      <c r="T872" s="485"/>
      <c r="U872" s="485"/>
      <c r="V872" s="485"/>
      <c r="W872" s="485"/>
      <c r="X872" s="485"/>
      <c r="Y872" s="485"/>
      <c r="Z872" s="485"/>
      <c r="AA872" s="485"/>
      <c r="AB872" s="485"/>
      <c r="AC872" s="485"/>
      <c r="AD872" s="485"/>
      <c r="AE872" s="485"/>
      <c r="AF872" s="485"/>
      <c r="AG872" s="485"/>
      <c r="AH872" s="485"/>
      <c r="AI872" s="485"/>
      <c r="AJ872" s="485"/>
      <c r="AK872" s="485"/>
      <c r="AL872" s="485"/>
      <c r="AM872" s="485"/>
      <c r="AN872" s="485"/>
      <c r="AO872" s="485"/>
      <c r="AP872" s="485"/>
      <c r="AQ872" s="485"/>
      <c r="AR872" s="485"/>
      <c r="AS872" s="485"/>
      <c r="AT872" s="485"/>
      <c r="AU872" s="485"/>
      <c r="AV872" s="485"/>
      <c r="AW872" s="485"/>
      <c r="AX872" s="485"/>
      <c r="AY872" s="485"/>
      <c r="AZ872" s="485"/>
      <c r="BA872" s="485"/>
      <c r="BB872" s="485"/>
      <c r="BC872" s="485"/>
      <c r="BD872" s="485"/>
      <c r="BE872" s="485"/>
      <c r="BF872" s="485"/>
      <c r="BG872" s="485"/>
      <c r="BH872" s="485"/>
      <c r="BI872" s="485"/>
      <c r="BJ872" s="485"/>
      <c r="BK872" s="485"/>
      <c r="BL872" s="485"/>
      <c r="BM872" s="485"/>
      <c r="BN872" s="485"/>
      <c r="BO872" s="485"/>
      <c r="BP872" s="485"/>
      <c r="BQ872" s="485"/>
      <c r="BR872" s="485"/>
      <c r="BS872" s="485"/>
      <c r="BT872" s="485"/>
      <c r="BU872" s="485"/>
      <c r="BV872" s="485"/>
      <c r="BW872" s="485"/>
      <c r="BX872" s="485"/>
      <c r="BY872" s="485"/>
      <c r="BZ872" s="485"/>
      <c r="CA872" s="485"/>
      <c r="CB872" s="485"/>
      <c r="CC872" s="485"/>
      <c r="CD872" s="485"/>
      <c r="CE872" s="485"/>
      <c r="CF872" s="485"/>
      <c r="CG872" s="485"/>
      <c r="CH872" s="485"/>
      <c r="CI872" s="485"/>
      <c r="CJ872" s="485"/>
      <c r="CK872" s="485"/>
      <c r="CL872" s="485"/>
      <c r="CM872" s="485"/>
      <c r="CN872" s="485"/>
      <c r="CO872" s="485"/>
      <c r="CP872" s="485"/>
      <c r="CQ872" s="485"/>
      <c r="CR872" s="485"/>
      <c r="CS872" s="485"/>
      <c r="CT872" s="485"/>
      <c r="CU872" s="485"/>
      <c r="CV872" s="485"/>
      <c r="CW872" s="485"/>
      <c r="CX872" s="485"/>
      <c r="CY872" s="485"/>
      <c r="CZ872" s="485"/>
      <c r="DA872" s="485"/>
      <c r="DB872" s="485"/>
      <c r="DC872" s="485"/>
      <c r="DD872" s="485"/>
      <c r="DE872" s="485"/>
      <c r="DF872" s="485"/>
      <c r="DG872" s="485"/>
      <c r="DH872" s="485"/>
      <c r="DI872" s="485"/>
      <c r="DJ872" s="485"/>
      <c r="DK872" s="485"/>
      <c r="DL872" s="485"/>
      <c r="DM872" s="485"/>
      <c r="DN872" s="485"/>
      <c r="DO872" s="485"/>
      <c r="DP872" s="485"/>
      <c r="DQ872" s="485"/>
      <c r="DR872" s="485"/>
      <c r="DS872" s="485"/>
      <c r="DT872" s="485"/>
      <c r="DU872" s="485"/>
      <c r="DV872" s="485"/>
      <c r="DW872" s="485"/>
      <c r="DX872" s="485"/>
      <c r="DY872" s="485"/>
      <c r="DZ872" s="485"/>
      <c r="EA872" s="485"/>
      <c r="EB872" s="485"/>
      <c r="EC872" s="485"/>
      <c r="ED872" s="485"/>
      <c r="EE872" s="485"/>
      <c r="EF872" s="485"/>
      <c r="EG872" s="485"/>
      <c r="EH872" s="485"/>
      <c r="EI872" s="485"/>
      <c r="EJ872" s="485"/>
      <c r="EK872" s="485"/>
      <c r="EL872" s="485"/>
      <c r="EM872" s="485"/>
      <c r="EN872" s="485"/>
      <c r="EO872" s="485"/>
      <c r="EP872" s="485"/>
    </row>
    <row r="873" spans="1:146">
      <c r="A873" s="485"/>
      <c r="B873" s="485"/>
      <c r="C873" s="485"/>
      <c r="D873" s="485"/>
      <c r="E873" s="485"/>
      <c r="F873" s="485"/>
      <c r="G873" s="485"/>
      <c r="H873" s="485"/>
      <c r="I873" s="485"/>
      <c r="J873" s="485"/>
      <c r="K873" s="485"/>
      <c r="L873" s="485"/>
      <c r="M873" s="485"/>
      <c r="P873" s="485"/>
      <c r="Q873" s="485"/>
      <c r="R873" s="485"/>
      <c r="S873" s="485"/>
      <c r="T873" s="485"/>
      <c r="U873" s="485"/>
      <c r="V873" s="485"/>
      <c r="W873" s="485"/>
      <c r="X873" s="485"/>
      <c r="Y873" s="485"/>
      <c r="Z873" s="485"/>
      <c r="AA873" s="485"/>
      <c r="AB873" s="485"/>
      <c r="AC873" s="485"/>
      <c r="AD873" s="485"/>
      <c r="AE873" s="485"/>
      <c r="AF873" s="485"/>
      <c r="AG873" s="485"/>
      <c r="AH873" s="485"/>
      <c r="AI873" s="485"/>
      <c r="AJ873" s="485"/>
      <c r="AK873" s="485"/>
      <c r="AL873" s="485"/>
      <c r="AM873" s="485"/>
      <c r="AN873" s="485"/>
      <c r="AO873" s="485"/>
      <c r="AP873" s="485"/>
      <c r="AQ873" s="485"/>
      <c r="AR873" s="485"/>
      <c r="AS873" s="485"/>
      <c r="AT873" s="485"/>
      <c r="AU873" s="485"/>
      <c r="AV873" s="485"/>
      <c r="AW873" s="485"/>
      <c r="AX873" s="485"/>
      <c r="AY873" s="485"/>
      <c r="AZ873" s="485"/>
      <c r="BA873" s="485"/>
      <c r="BB873" s="485"/>
      <c r="BC873" s="485"/>
      <c r="BD873" s="485"/>
      <c r="BE873" s="485"/>
      <c r="BF873" s="485"/>
      <c r="BG873" s="485"/>
      <c r="BH873" s="485"/>
      <c r="BI873" s="485"/>
      <c r="BJ873" s="485"/>
      <c r="BK873" s="485"/>
      <c r="BL873" s="485"/>
      <c r="BM873" s="485"/>
      <c r="BN873" s="485"/>
      <c r="BO873" s="485"/>
      <c r="BP873" s="485"/>
      <c r="BQ873" s="485"/>
      <c r="BR873" s="485"/>
      <c r="BS873" s="485"/>
      <c r="BT873" s="485"/>
      <c r="BU873" s="485"/>
      <c r="BV873" s="485"/>
      <c r="BW873" s="485"/>
      <c r="BX873" s="485"/>
      <c r="BY873" s="485"/>
      <c r="BZ873" s="485"/>
      <c r="CA873" s="485"/>
      <c r="CB873" s="485"/>
      <c r="CC873" s="485"/>
      <c r="CD873" s="485"/>
      <c r="CE873" s="485"/>
      <c r="CF873" s="485"/>
      <c r="CG873" s="485"/>
      <c r="CH873" s="485"/>
      <c r="CI873" s="485"/>
      <c r="CJ873" s="485"/>
      <c r="CK873" s="485"/>
      <c r="CL873" s="485"/>
      <c r="CM873" s="485"/>
      <c r="CN873" s="485"/>
      <c r="CO873" s="485"/>
      <c r="CP873" s="485"/>
      <c r="CQ873" s="485"/>
      <c r="CR873" s="485"/>
      <c r="CS873" s="485"/>
      <c r="CT873" s="485"/>
      <c r="CU873" s="485"/>
      <c r="CV873" s="485"/>
      <c r="CW873" s="485"/>
      <c r="CX873" s="485"/>
      <c r="CY873" s="485"/>
      <c r="CZ873" s="485"/>
      <c r="DA873" s="485"/>
      <c r="DB873" s="485"/>
      <c r="DC873" s="485"/>
      <c r="DD873" s="485"/>
      <c r="DE873" s="485"/>
      <c r="DF873" s="485"/>
      <c r="DG873" s="485"/>
      <c r="DH873" s="485"/>
      <c r="DI873" s="485"/>
      <c r="DJ873" s="485"/>
      <c r="DK873" s="485"/>
      <c r="DL873" s="485"/>
      <c r="DM873" s="485"/>
      <c r="DN873" s="485"/>
      <c r="DO873" s="485"/>
      <c r="DP873" s="485"/>
      <c r="DQ873" s="485"/>
      <c r="DR873" s="485"/>
      <c r="DS873" s="485"/>
      <c r="DT873" s="485"/>
      <c r="DU873" s="485"/>
      <c r="DV873" s="485"/>
      <c r="DW873" s="485"/>
      <c r="DX873" s="485"/>
      <c r="DY873" s="485"/>
      <c r="DZ873" s="485"/>
      <c r="EA873" s="485"/>
      <c r="EB873" s="485"/>
      <c r="EC873" s="485"/>
      <c r="ED873" s="485"/>
      <c r="EE873" s="485"/>
      <c r="EF873" s="485"/>
      <c r="EG873" s="485"/>
      <c r="EH873" s="485"/>
      <c r="EI873" s="485"/>
      <c r="EJ873" s="485"/>
      <c r="EK873" s="485"/>
      <c r="EL873" s="485"/>
      <c r="EM873" s="485"/>
      <c r="EN873" s="485"/>
      <c r="EO873" s="485"/>
      <c r="EP873" s="485"/>
    </row>
    <row r="874" spans="1:146">
      <c r="A874" s="485"/>
      <c r="B874" s="485"/>
      <c r="C874" s="485"/>
      <c r="D874" s="485"/>
      <c r="E874" s="485"/>
      <c r="F874" s="485"/>
      <c r="G874" s="485"/>
      <c r="H874" s="485"/>
      <c r="I874" s="485"/>
      <c r="J874" s="485"/>
      <c r="K874" s="485"/>
      <c r="L874" s="485"/>
      <c r="M874" s="485"/>
      <c r="P874" s="485"/>
      <c r="Q874" s="485"/>
      <c r="R874" s="485"/>
      <c r="S874" s="485"/>
      <c r="T874" s="485"/>
      <c r="U874" s="485"/>
      <c r="V874" s="485"/>
      <c r="W874" s="485"/>
      <c r="X874" s="485"/>
      <c r="Y874" s="485"/>
      <c r="Z874" s="485"/>
      <c r="AA874" s="485"/>
      <c r="AB874" s="485"/>
      <c r="AC874" s="485"/>
      <c r="AD874" s="485"/>
      <c r="AE874" s="485"/>
      <c r="AF874" s="485"/>
      <c r="AG874" s="485"/>
      <c r="AH874" s="485"/>
      <c r="AI874" s="485"/>
      <c r="AJ874" s="485"/>
      <c r="AK874" s="485"/>
      <c r="AL874" s="485"/>
      <c r="AM874" s="485"/>
      <c r="AN874" s="485"/>
      <c r="AO874" s="485"/>
      <c r="AP874" s="485"/>
      <c r="AQ874" s="485"/>
      <c r="AR874" s="485"/>
      <c r="AS874" s="485"/>
      <c r="AT874" s="485"/>
      <c r="AU874" s="485"/>
      <c r="AV874" s="485"/>
      <c r="AW874" s="485"/>
      <c r="AX874" s="485"/>
      <c r="AY874" s="485"/>
      <c r="AZ874" s="485"/>
      <c r="BA874" s="485"/>
      <c r="BB874" s="485"/>
      <c r="BC874" s="485"/>
      <c r="BD874" s="485"/>
      <c r="BE874" s="485"/>
      <c r="BF874" s="485"/>
      <c r="BG874" s="485"/>
      <c r="BH874" s="485"/>
      <c r="BI874" s="485"/>
      <c r="BJ874" s="485"/>
      <c r="BK874" s="485"/>
      <c r="BL874" s="485"/>
      <c r="BM874" s="485"/>
      <c r="BN874" s="485"/>
      <c r="BO874" s="485"/>
      <c r="BP874" s="485"/>
      <c r="BQ874" s="485"/>
      <c r="BR874" s="485"/>
      <c r="BS874" s="485"/>
      <c r="BT874" s="485"/>
      <c r="BU874" s="485"/>
      <c r="BV874" s="485"/>
      <c r="BW874" s="485"/>
      <c r="BX874" s="485"/>
      <c r="BY874" s="485"/>
      <c r="BZ874" s="485"/>
      <c r="CA874" s="485"/>
      <c r="CB874" s="485"/>
      <c r="CC874" s="485"/>
      <c r="CD874" s="485"/>
      <c r="CE874" s="485"/>
      <c r="CF874" s="485"/>
      <c r="CG874" s="485"/>
      <c r="CH874" s="485"/>
      <c r="CI874" s="485"/>
      <c r="CJ874" s="485"/>
      <c r="CK874" s="485"/>
      <c r="CL874" s="485"/>
      <c r="CM874" s="485"/>
      <c r="CN874" s="485"/>
      <c r="CO874" s="485"/>
      <c r="CP874" s="485"/>
      <c r="CQ874" s="485"/>
      <c r="CR874" s="485"/>
      <c r="CS874" s="485"/>
      <c r="CT874" s="485"/>
      <c r="CU874" s="485"/>
      <c r="CV874" s="485"/>
      <c r="CW874" s="485"/>
      <c r="CX874" s="485"/>
      <c r="CY874" s="485"/>
      <c r="CZ874" s="485"/>
      <c r="DA874" s="485"/>
      <c r="DB874" s="485"/>
      <c r="DC874" s="485"/>
      <c r="DD874" s="485"/>
      <c r="DE874" s="485"/>
      <c r="DF874" s="485"/>
      <c r="DG874" s="485"/>
      <c r="DH874" s="485"/>
      <c r="DI874" s="485"/>
      <c r="DJ874" s="485"/>
      <c r="DK874" s="485"/>
      <c r="DL874" s="485"/>
      <c r="DM874" s="485"/>
      <c r="DN874" s="485"/>
      <c r="DO874" s="485"/>
      <c r="DP874" s="485"/>
      <c r="DQ874" s="485"/>
      <c r="DR874" s="485"/>
      <c r="DS874" s="485"/>
      <c r="DT874" s="485"/>
      <c r="DU874" s="485"/>
      <c r="DV874" s="485"/>
      <c r="DW874" s="485"/>
      <c r="DX874" s="485"/>
      <c r="DY874" s="485"/>
      <c r="DZ874" s="485"/>
      <c r="EA874" s="485"/>
      <c r="EB874" s="485"/>
      <c r="EC874" s="485"/>
      <c r="ED874" s="485"/>
      <c r="EE874" s="485"/>
      <c r="EF874" s="485"/>
      <c r="EG874" s="485"/>
      <c r="EH874" s="485"/>
      <c r="EI874" s="485"/>
      <c r="EJ874" s="485"/>
      <c r="EK874" s="485"/>
      <c r="EL874" s="485"/>
      <c r="EM874" s="485"/>
      <c r="EN874" s="485"/>
      <c r="EO874" s="485"/>
      <c r="EP874" s="485"/>
    </row>
    <row r="875" spans="1:146">
      <c r="A875" s="485"/>
      <c r="B875" s="485"/>
      <c r="C875" s="485"/>
      <c r="D875" s="485"/>
      <c r="E875" s="485"/>
      <c r="F875" s="485"/>
      <c r="G875" s="485"/>
      <c r="H875" s="485"/>
      <c r="I875" s="485"/>
      <c r="J875" s="485"/>
      <c r="K875" s="485"/>
      <c r="L875" s="485"/>
      <c r="M875" s="485"/>
      <c r="P875" s="485"/>
      <c r="Q875" s="485"/>
      <c r="R875" s="485"/>
      <c r="S875" s="485"/>
      <c r="T875" s="485"/>
      <c r="U875" s="485"/>
      <c r="V875" s="485"/>
      <c r="W875" s="485"/>
      <c r="X875" s="485"/>
      <c r="Y875" s="485"/>
      <c r="Z875" s="485"/>
      <c r="AA875" s="485"/>
      <c r="AB875" s="485"/>
      <c r="AC875" s="485"/>
      <c r="AD875" s="485"/>
      <c r="AE875" s="485"/>
      <c r="AF875" s="485"/>
      <c r="AG875" s="485"/>
      <c r="AH875" s="485"/>
      <c r="AI875" s="485"/>
      <c r="AJ875" s="485"/>
      <c r="AK875" s="485"/>
      <c r="AL875" s="485"/>
      <c r="AM875" s="485"/>
      <c r="AN875" s="485"/>
      <c r="AO875" s="485"/>
      <c r="AP875" s="485"/>
      <c r="AQ875" s="485"/>
      <c r="AR875" s="485"/>
      <c r="AS875" s="485"/>
      <c r="AT875" s="485"/>
      <c r="AU875" s="485"/>
      <c r="AV875" s="485"/>
      <c r="AW875" s="485"/>
      <c r="AX875" s="485"/>
      <c r="AY875" s="485"/>
      <c r="AZ875" s="485"/>
      <c r="BA875" s="485"/>
      <c r="BB875" s="485"/>
      <c r="BC875" s="485"/>
      <c r="BD875" s="485"/>
      <c r="BE875" s="485"/>
      <c r="BF875" s="485"/>
      <c r="BG875" s="485"/>
      <c r="BH875" s="485"/>
      <c r="BI875" s="485"/>
      <c r="BJ875" s="485"/>
      <c r="BK875" s="485"/>
      <c r="BL875" s="485"/>
      <c r="BM875" s="485"/>
      <c r="BN875" s="485"/>
      <c r="BO875" s="485"/>
      <c r="BP875" s="485"/>
      <c r="BQ875" s="485"/>
      <c r="BR875" s="485"/>
      <c r="BS875" s="485"/>
      <c r="BT875" s="485"/>
      <c r="BU875" s="485"/>
      <c r="BV875" s="485"/>
      <c r="BW875" s="485"/>
      <c r="BX875" s="485"/>
      <c r="BY875" s="485"/>
      <c r="BZ875" s="485"/>
      <c r="CA875" s="485"/>
      <c r="CB875" s="485"/>
      <c r="CC875" s="485"/>
      <c r="CD875" s="485"/>
      <c r="CE875" s="485"/>
      <c r="CF875" s="485"/>
      <c r="CG875" s="485"/>
      <c r="CH875" s="485"/>
      <c r="CI875" s="485"/>
      <c r="CJ875" s="485"/>
      <c r="CK875" s="485"/>
      <c r="CL875" s="485"/>
      <c r="CM875" s="485"/>
      <c r="CN875" s="485"/>
      <c r="CO875" s="485"/>
      <c r="CP875" s="485"/>
      <c r="CQ875" s="485"/>
      <c r="CR875" s="485"/>
      <c r="CS875" s="485"/>
      <c r="CT875" s="485"/>
      <c r="CU875" s="485"/>
      <c r="CV875" s="485"/>
      <c r="CW875" s="485"/>
      <c r="CX875" s="485"/>
      <c r="CY875" s="485"/>
      <c r="CZ875" s="485"/>
      <c r="DA875" s="485"/>
      <c r="DB875" s="485"/>
      <c r="DC875" s="485"/>
      <c r="DD875" s="485"/>
      <c r="DE875" s="485"/>
      <c r="DF875" s="485"/>
      <c r="DG875" s="485"/>
      <c r="DH875" s="485"/>
      <c r="DI875" s="485"/>
      <c r="DJ875" s="485"/>
      <c r="DK875" s="485"/>
      <c r="DL875" s="485"/>
      <c r="DM875" s="485"/>
      <c r="DN875" s="485"/>
      <c r="DO875" s="485"/>
      <c r="DP875" s="485"/>
      <c r="DQ875" s="485"/>
      <c r="DR875" s="485"/>
      <c r="DS875" s="485"/>
      <c r="DT875" s="485"/>
      <c r="DU875" s="485"/>
      <c r="DV875" s="485"/>
      <c r="DW875" s="485"/>
      <c r="DX875" s="485"/>
      <c r="DY875" s="485"/>
      <c r="DZ875" s="485"/>
      <c r="EA875" s="485"/>
      <c r="EB875" s="485"/>
      <c r="EC875" s="485"/>
      <c r="ED875" s="485"/>
      <c r="EE875" s="485"/>
      <c r="EF875" s="485"/>
      <c r="EG875" s="485"/>
      <c r="EH875" s="485"/>
      <c r="EI875" s="485"/>
      <c r="EJ875" s="485"/>
      <c r="EK875" s="485"/>
      <c r="EL875" s="485"/>
      <c r="EM875" s="485"/>
      <c r="EN875" s="485"/>
      <c r="EO875" s="485"/>
      <c r="EP875" s="485"/>
    </row>
    <row r="876" spans="1:146">
      <c r="A876" s="485"/>
      <c r="B876" s="485"/>
      <c r="C876" s="485"/>
      <c r="D876" s="485"/>
      <c r="E876" s="485"/>
      <c r="F876" s="485"/>
      <c r="G876" s="485"/>
      <c r="H876" s="485"/>
      <c r="I876" s="485"/>
      <c r="J876" s="485"/>
      <c r="K876" s="485"/>
      <c r="L876" s="485"/>
      <c r="M876" s="485"/>
      <c r="P876" s="485"/>
      <c r="Q876" s="485"/>
      <c r="R876" s="485"/>
      <c r="S876" s="485"/>
      <c r="T876" s="485"/>
      <c r="U876" s="485"/>
      <c r="V876" s="485"/>
      <c r="W876" s="485"/>
      <c r="X876" s="485"/>
      <c r="Y876" s="485"/>
      <c r="Z876" s="485"/>
      <c r="AA876" s="485"/>
      <c r="AB876" s="485"/>
      <c r="AC876" s="485"/>
      <c r="AD876" s="485"/>
      <c r="AE876" s="485"/>
      <c r="AF876" s="485"/>
      <c r="AG876" s="485"/>
      <c r="AH876" s="485"/>
      <c r="AI876" s="485"/>
      <c r="AJ876" s="485"/>
      <c r="AK876" s="485"/>
      <c r="AL876" s="485"/>
      <c r="AM876" s="485"/>
      <c r="AN876" s="485"/>
      <c r="AO876" s="485"/>
      <c r="AP876" s="485"/>
      <c r="AQ876" s="485"/>
      <c r="AR876" s="485"/>
      <c r="AS876" s="485"/>
      <c r="AT876" s="485"/>
      <c r="AU876" s="485"/>
      <c r="AV876" s="485"/>
      <c r="AW876" s="485"/>
      <c r="AX876" s="485"/>
      <c r="AY876" s="485"/>
      <c r="AZ876" s="485"/>
      <c r="BA876" s="485"/>
      <c r="BB876" s="485"/>
      <c r="BC876" s="485"/>
      <c r="BD876" s="485"/>
      <c r="BE876" s="485"/>
      <c r="BF876" s="485"/>
      <c r="BG876" s="485"/>
      <c r="BH876" s="485"/>
      <c r="BI876" s="485"/>
      <c r="BJ876" s="485"/>
      <c r="BK876" s="485"/>
      <c r="BL876" s="485"/>
      <c r="BM876" s="485"/>
      <c r="BN876" s="485"/>
      <c r="BO876" s="485"/>
      <c r="BP876" s="485"/>
      <c r="BQ876" s="485"/>
      <c r="BR876" s="485"/>
      <c r="BS876" s="485"/>
      <c r="BT876" s="485"/>
      <c r="BU876" s="485"/>
      <c r="BV876" s="485"/>
      <c r="BW876" s="485"/>
      <c r="BX876" s="485"/>
      <c r="BY876" s="485"/>
      <c r="BZ876" s="485"/>
      <c r="CA876" s="485"/>
      <c r="CB876" s="485"/>
      <c r="CC876" s="485"/>
      <c r="CD876" s="485"/>
      <c r="CE876" s="485"/>
      <c r="CF876" s="485"/>
      <c r="CG876" s="485"/>
      <c r="CH876" s="485"/>
      <c r="CI876" s="485"/>
      <c r="CJ876" s="485"/>
      <c r="CK876" s="485"/>
      <c r="CL876" s="485"/>
      <c r="CM876" s="485"/>
      <c r="CN876" s="485"/>
      <c r="CO876" s="485"/>
      <c r="CP876" s="485"/>
      <c r="CQ876" s="485"/>
      <c r="CR876" s="485"/>
      <c r="CS876" s="485"/>
      <c r="CT876" s="485"/>
      <c r="CU876" s="485"/>
      <c r="CV876" s="485"/>
      <c r="CW876" s="485"/>
      <c r="CX876" s="485"/>
      <c r="CY876" s="485"/>
      <c r="CZ876" s="485"/>
      <c r="DA876" s="485"/>
      <c r="DB876" s="485"/>
      <c r="DC876" s="485"/>
      <c r="DD876" s="485"/>
      <c r="DE876" s="485"/>
      <c r="DF876" s="485"/>
      <c r="DG876" s="485"/>
      <c r="DH876" s="485"/>
      <c r="DI876" s="485"/>
      <c r="DJ876" s="485"/>
      <c r="DK876" s="485"/>
      <c r="DL876" s="485"/>
      <c r="DM876" s="485"/>
      <c r="DN876" s="485"/>
      <c r="DO876" s="485"/>
      <c r="DP876" s="485"/>
      <c r="DQ876" s="485"/>
      <c r="DR876" s="485"/>
      <c r="DS876" s="485"/>
      <c r="DT876" s="485"/>
      <c r="DU876" s="485"/>
      <c r="DV876" s="485"/>
      <c r="DW876" s="485"/>
      <c r="DX876" s="485"/>
      <c r="DY876" s="485"/>
      <c r="DZ876" s="485"/>
      <c r="EA876" s="485"/>
      <c r="EB876" s="485"/>
      <c r="EC876" s="485"/>
      <c r="ED876" s="485"/>
      <c r="EE876" s="485"/>
      <c r="EF876" s="485"/>
      <c r="EG876" s="485"/>
      <c r="EH876" s="485"/>
      <c r="EI876" s="485"/>
      <c r="EJ876" s="485"/>
      <c r="EK876" s="485"/>
      <c r="EL876" s="485"/>
      <c r="EM876" s="485"/>
      <c r="EN876" s="485"/>
      <c r="EO876" s="485"/>
      <c r="EP876" s="485"/>
    </row>
    <row r="877" spans="1:146">
      <c r="A877" s="485"/>
      <c r="B877" s="485"/>
      <c r="C877" s="485"/>
      <c r="D877" s="485"/>
      <c r="E877" s="485"/>
      <c r="F877" s="485"/>
      <c r="G877" s="485"/>
      <c r="H877" s="485"/>
      <c r="I877" s="485"/>
      <c r="J877" s="485"/>
      <c r="K877" s="485"/>
      <c r="L877" s="485"/>
      <c r="M877" s="485"/>
      <c r="P877" s="485"/>
      <c r="Q877" s="485"/>
      <c r="R877" s="485"/>
      <c r="S877" s="485"/>
      <c r="T877" s="485"/>
      <c r="U877" s="485"/>
      <c r="V877" s="485"/>
      <c r="W877" s="485"/>
      <c r="X877" s="485"/>
      <c r="Y877" s="485"/>
      <c r="Z877" s="485"/>
      <c r="AA877" s="485"/>
      <c r="AB877" s="485"/>
      <c r="AC877" s="485"/>
      <c r="AD877" s="485"/>
      <c r="AE877" s="485"/>
      <c r="AF877" s="485"/>
      <c r="AG877" s="485"/>
      <c r="AH877" s="485"/>
      <c r="AI877" s="485"/>
      <c r="AJ877" s="485"/>
      <c r="AK877" s="485"/>
      <c r="AL877" s="485"/>
      <c r="AM877" s="485"/>
      <c r="AN877" s="485"/>
      <c r="AO877" s="485"/>
      <c r="AP877" s="485"/>
      <c r="AQ877" s="485"/>
      <c r="AR877" s="485"/>
      <c r="AS877" s="485"/>
      <c r="AT877" s="485"/>
      <c r="AU877" s="485"/>
      <c r="AV877" s="485"/>
      <c r="AW877" s="485"/>
      <c r="AX877" s="485"/>
      <c r="AY877" s="485"/>
      <c r="AZ877" s="485"/>
      <c r="BA877" s="485"/>
      <c r="BB877" s="485"/>
      <c r="BC877" s="485"/>
      <c r="BD877" s="485"/>
      <c r="BE877" s="485"/>
      <c r="BF877" s="485"/>
      <c r="BG877" s="485"/>
      <c r="BH877" s="485"/>
      <c r="BI877" s="485"/>
      <c r="BJ877" s="485"/>
      <c r="BK877" s="485"/>
      <c r="BL877" s="485"/>
      <c r="BM877" s="485"/>
      <c r="BN877" s="485"/>
      <c r="BO877" s="485"/>
      <c r="BP877" s="485"/>
      <c r="BQ877" s="485"/>
      <c r="BR877" s="485"/>
      <c r="BS877" s="485"/>
      <c r="BT877" s="485"/>
      <c r="BU877" s="485"/>
      <c r="BV877" s="485"/>
      <c r="BW877" s="485"/>
      <c r="BX877" s="485"/>
      <c r="BY877" s="485"/>
      <c r="BZ877" s="485"/>
      <c r="CA877" s="485"/>
      <c r="CB877" s="485"/>
      <c r="CC877" s="485"/>
      <c r="CD877" s="485"/>
      <c r="CE877" s="485"/>
      <c r="CF877" s="485"/>
      <c r="CG877" s="485"/>
      <c r="CH877" s="485"/>
      <c r="CI877" s="485"/>
      <c r="CJ877" s="485"/>
      <c r="CK877" s="485"/>
      <c r="CL877" s="485"/>
      <c r="CM877" s="485"/>
      <c r="CN877" s="485"/>
      <c r="CO877" s="485"/>
      <c r="CP877" s="485"/>
      <c r="CQ877" s="485"/>
      <c r="CR877" s="485"/>
      <c r="CS877" s="485"/>
      <c r="CT877" s="485"/>
      <c r="CU877" s="485"/>
      <c r="CV877" s="485"/>
      <c r="CW877" s="485"/>
      <c r="CX877" s="485"/>
      <c r="CY877" s="485"/>
      <c r="CZ877" s="485"/>
      <c r="DA877" s="485"/>
      <c r="DB877" s="485"/>
      <c r="DC877" s="485"/>
      <c r="DD877" s="485"/>
      <c r="DE877" s="485"/>
      <c r="DF877" s="485"/>
      <c r="DG877" s="485"/>
      <c r="DH877" s="485"/>
      <c r="DI877" s="485"/>
      <c r="DJ877" s="485"/>
      <c r="DK877" s="485"/>
      <c r="DL877" s="485"/>
      <c r="DM877" s="485"/>
      <c r="DN877" s="485"/>
      <c r="DO877" s="485"/>
      <c r="DP877" s="485"/>
      <c r="DQ877" s="485"/>
      <c r="DR877" s="485"/>
      <c r="DS877" s="485"/>
      <c r="DT877" s="485"/>
      <c r="DU877" s="485"/>
      <c r="DV877" s="485"/>
      <c r="DW877" s="485"/>
      <c r="DX877" s="485"/>
      <c r="DY877" s="485"/>
      <c r="DZ877" s="485"/>
      <c r="EA877" s="485"/>
      <c r="EB877" s="485"/>
      <c r="EC877" s="485"/>
      <c r="ED877" s="485"/>
      <c r="EE877" s="485"/>
      <c r="EF877" s="485"/>
      <c r="EG877" s="485"/>
      <c r="EH877" s="485"/>
      <c r="EI877" s="485"/>
      <c r="EJ877" s="485"/>
      <c r="EK877" s="485"/>
      <c r="EL877" s="485"/>
      <c r="EM877" s="485"/>
      <c r="EN877" s="485"/>
      <c r="EO877" s="485"/>
      <c r="EP877" s="485"/>
    </row>
    <row r="878" spans="1:146">
      <c r="A878" s="485"/>
      <c r="B878" s="485"/>
      <c r="C878" s="485"/>
      <c r="D878" s="485"/>
      <c r="E878" s="485"/>
      <c r="F878" s="485"/>
      <c r="G878" s="485"/>
      <c r="H878" s="485"/>
      <c r="I878" s="485"/>
      <c r="J878" s="485"/>
      <c r="K878" s="485"/>
      <c r="L878" s="485"/>
      <c r="M878" s="485"/>
      <c r="P878" s="485"/>
      <c r="Q878" s="485"/>
      <c r="R878" s="485"/>
      <c r="S878" s="485"/>
      <c r="T878" s="485"/>
      <c r="U878" s="485"/>
      <c r="V878" s="485"/>
      <c r="W878" s="485"/>
      <c r="X878" s="485"/>
      <c r="Y878" s="485"/>
      <c r="Z878" s="485"/>
      <c r="AA878" s="485"/>
      <c r="AB878" s="485"/>
      <c r="AC878" s="485"/>
      <c r="AD878" s="485"/>
      <c r="AE878" s="485"/>
      <c r="AF878" s="485"/>
      <c r="AG878" s="485"/>
      <c r="AH878" s="485"/>
      <c r="AI878" s="485"/>
      <c r="AJ878" s="485"/>
      <c r="AK878" s="485"/>
      <c r="AL878" s="485"/>
      <c r="AM878" s="485"/>
      <c r="AN878" s="485"/>
      <c r="AO878" s="485"/>
      <c r="AP878" s="485"/>
      <c r="AQ878" s="485"/>
      <c r="AR878" s="485"/>
      <c r="AS878" s="485"/>
      <c r="AT878" s="485"/>
      <c r="AU878" s="485"/>
      <c r="AV878" s="485"/>
      <c r="AW878" s="485"/>
      <c r="AX878" s="485"/>
      <c r="AY878" s="485"/>
      <c r="AZ878" s="485"/>
      <c r="BA878" s="485"/>
      <c r="BB878" s="485"/>
      <c r="BC878" s="485"/>
      <c r="BD878" s="485"/>
      <c r="BE878" s="485"/>
      <c r="BF878" s="485"/>
      <c r="BG878" s="485"/>
      <c r="BH878" s="485"/>
      <c r="BI878" s="485"/>
      <c r="BJ878" s="485"/>
      <c r="BK878" s="485"/>
      <c r="BL878" s="485"/>
      <c r="BM878" s="485"/>
      <c r="BN878" s="485"/>
      <c r="BO878" s="485"/>
      <c r="BP878" s="485"/>
      <c r="BQ878" s="485"/>
      <c r="BR878" s="485"/>
      <c r="BS878" s="485"/>
      <c r="BT878" s="485"/>
      <c r="BU878" s="485"/>
      <c r="BV878" s="485"/>
      <c r="BW878" s="485"/>
      <c r="BX878" s="485"/>
      <c r="BY878" s="485"/>
      <c r="BZ878" s="485"/>
      <c r="CA878" s="485"/>
      <c r="CB878" s="485"/>
      <c r="CC878" s="485"/>
      <c r="CD878" s="485"/>
      <c r="CE878" s="485"/>
      <c r="CF878" s="485"/>
      <c r="CG878" s="485"/>
      <c r="CH878" s="485"/>
      <c r="CI878" s="485"/>
      <c r="CJ878" s="485"/>
      <c r="CK878" s="485"/>
      <c r="CL878" s="485"/>
      <c r="CM878" s="485"/>
      <c r="CN878" s="485"/>
      <c r="CO878" s="485"/>
      <c r="CP878" s="485"/>
      <c r="CQ878" s="485"/>
      <c r="CR878" s="485"/>
      <c r="CS878" s="485"/>
      <c r="CT878" s="485"/>
      <c r="CU878" s="485"/>
      <c r="CV878" s="485"/>
      <c r="CW878" s="485"/>
      <c r="CX878" s="485"/>
      <c r="CY878" s="485"/>
      <c r="CZ878" s="485"/>
      <c r="DA878" s="485"/>
      <c r="DB878" s="485"/>
      <c r="DC878" s="485"/>
      <c r="DD878" s="485"/>
      <c r="DE878" s="485"/>
      <c r="DF878" s="485"/>
      <c r="DG878" s="485"/>
      <c r="DH878" s="485"/>
      <c r="DI878" s="485"/>
      <c r="DJ878" s="485"/>
      <c r="DK878" s="485"/>
      <c r="DL878" s="485"/>
      <c r="DM878" s="485"/>
      <c r="DN878" s="485"/>
      <c r="DO878" s="485"/>
      <c r="DP878" s="485"/>
      <c r="DQ878" s="485"/>
      <c r="DR878" s="485"/>
      <c r="DS878" s="485"/>
      <c r="DT878" s="485"/>
      <c r="DU878" s="485"/>
      <c r="DV878" s="485"/>
      <c r="DW878" s="485"/>
      <c r="DX878" s="485"/>
      <c r="DY878" s="485"/>
      <c r="DZ878" s="485"/>
      <c r="EA878" s="485"/>
      <c r="EB878" s="485"/>
      <c r="EC878" s="485"/>
      <c r="ED878" s="485"/>
      <c r="EE878" s="485"/>
      <c r="EF878" s="485"/>
      <c r="EG878" s="485"/>
      <c r="EH878" s="485"/>
      <c r="EI878" s="485"/>
      <c r="EJ878" s="485"/>
      <c r="EK878" s="485"/>
      <c r="EL878" s="485"/>
      <c r="EM878" s="485"/>
      <c r="EN878" s="485"/>
      <c r="EO878" s="485"/>
      <c r="EP878" s="485"/>
    </row>
    <row r="879" spans="1:146">
      <c r="A879" s="485"/>
      <c r="B879" s="485"/>
      <c r="C879" s="485"/>
      <c r="D879" s="485"/>
      <c r="E879" s="485"/>
      <c r="F879" s="485"/>
      <c r="G879" s="485"/>
      <c r="H879" s="485"/>
      <c r="I879" s="485"/>
      <c r="J879" s="485"/>
      <c r="K879" s="485"/>
      <c r="L879" s="485"/>
      <c r="M879" s="485"/>
      <c r="P879" s="485"/>
      <c r="Q879" s="485"/>
      <c r="R879" s="485"/>
      <c r="S879" s="485"/>
      <c r="T879" s="485"/>
      <c r="U879" s="485"/>
      <c r="V879" s="485"/>
      <c r="W879" s="485"/>
      <c r="X879" s="485"/>
      <c r="Y879" s="485"/>
      <c r="Z879" s="485"/>
      <c r="AA879" s="485"/>
      <c r="AB879" s="485"/>
      <c r="AC879" s="485"/>
      <c r="AD879" s="485"/>
      <c r="AE879" s="485"/>
      <c r="AF879" s="485"/>
      <c r="AG879" s="485"/>
      <c r="AH879" s="485"/>
      <c r="AI879" s="485"/>
      <c r="AJ879" s="485"/>
      <c r="AK879" s="485"/>
      <c r="AL879" s="485"/>
      <c r="AM879" s="485"/>
      <c r="AN879" s="485"/>
      <c r="AO879" s="485"/>
      <c r="AP879" s="485"/>
      <c r="AQ879" s="485"/>
      <c r="AR879" s="485"/>
      <c r="AS879" s="485"/>
      <c r="AT879" s="485"/>
      <c r="AU879" s="485"/>
      <c r="AV879" s="485"/>
      <c r="AW879" s="485"/>
      <c r="AX879" s="485"/>
      <c r="AY879" s="485"/>
      <c r="AZ879" s="485"/>
      <c r="BA879" s="485"/>
      <c r="BB879" s="485"/>
      <c r="BC879" s="485"/>
      <c r="BD879" s="485"/>
      <c r="BE879" s="485"/>
      <c r="BF879" s="485"/>
      <c r="BG879" s="485"/>
      <c r="BH879" s="485"/>
      <c r="BI879" s="485"/>
      <c r="BJ879" s="485"/>
      <c r="BK879" s="485"/>
      <c r="BL879" s="485"/>
      <c r="BM879" s="485"/>
      <c r="BN879" s="485"/>
      <c r="BO879" s="485"/>
      <c r="BP879" s="485"/>
      <c r="BQ879" s="485"/>
      <c r="BR879" s="485"/>
      <c r="BS879" s="485"/>
      <c r="BT879" s="485"/>
      <c r="BU879" s="485"/>
      <c r="BV879" s="485"/>
      <c r="BW879" s="485"/>
      <c r="BX879" s="485"/>
      <c r="BY879" s="485"/>
      <c r="BZ879" s="485"/>
      <c r="CA879" s="485"/>
      <c r="CB879" s="485"/>
      <c r="CC879" s="485"/>
      <c r="CD879" s="485"/>
      <c r="CE879" s="485"/>
      <c r="CF879" s="485"/>
      <c r="CG879" s="485"/>
      <c r="CH879" s="485"/>
      <c r="CI879" s="485"/>
      <c r="CJ879" s="485"/>
      <c r="CK879" s="485"/>
      <c r="CL879" s="485"/>
      <c r="CM879" s="485"/>
      <c r="CN879" s="485"/>
      <c r="CO879" s="485"/>
      <c r="CP879" s="485"/>
      <c r="CQ879" s="485"/>
      <c r="CR879" s="485"/>
      <c r="CS879" s="485"/>
      <c r="CT879" s="485"/>
      <c r="CU879" s="485"/>
      <c r="CV879" s="485"/>
      <c r="CW879" s="485"/>
      <c r="CX879" s="485"/>
      <c r="CY879" s="485"/>
      <c r="CZ879" s="485"/>
      <c r="DA879" s="485"/>
      <c r="DB879" s="485"/>
      <c r="DC879" s="485"/>
      <c r="DD879" s="485"/>
      <c r="DE879" s="485"/>
      <c r="DF879" s="485"/>
      <c r="DG879" s="485"/>
      <c r="DH879" s="485"/>
      <c r="DI879" s="485"/>
      <c r="DJ879" s="485"/>
      <c r="DK879" s="485"/>
      <c r="DL879" s="485"/>
      <c r="DM879" s="485"/>
      <c r="DN879" s="485"/>
      <c r="DO879" s="485"/>
      <c r="DP879" s="485"/>
      <c r="DQ879" s="485"/>
      <c r="DR879" s="485"/>
      <c r="DS879" s="485"/>
      <c r="DT879" s="485"/>
      <c r="DU879" s="485"/>
      <c r="DV879" s="485"/>
      <c r="DW879" s="485"/>
      <c r="DX879" s="485"/>
      <c r="DY879" s="485"/>
      <c r="DZ879" s="485"/>
      <c r="EA879" s="485"/>
      <c r="EB879" s="485"/>
      <c r="EC879" s="485"/>
      <c r="ED879" s="485"/>
      <c r="EE879" s="485"/>
      <c r="EF879" s="485"/>
      <c r="EG879" s="485"/>
      <c r="EH879" s="485"/>
      <c r="EI879" s="485"/>
      <c r="EJ879" s="485"/>
      <c r="EK879" s="485"/>
      <c r="EL879" s="485"/>
      <c r="EM879" s="485"/>
      <c r="EN879" s="485"/>
      <c r="EO879" s="485"/>
      <c r="EP879" s="485"/>
    </row>
    <row r="880" spans="1:146">
      <c r="A880" s="485"/>
      <c r="B880" s="485"/>
      <c r="C880" s="485"/>
      <c r="D880" s="485"/>
      <c r="E880" s="485"/>
      <c r="F880" s="485"/>
      <c r="G880" s="485"/>
      <c r="H880" s="485"/>
      <c r="I880" s="485"/>
      <c r="J880" s="485"/>
      <c r="K880" s="485"/>
      <c r="L880" s="485"/>
      <c r="M880" s="485"/>
      <c r="P880" s="485"/>
      <c r="Q880" s="485"/>
      <c r="R880" s="485"/>
      <c r="S880" s="485"/>
      <c r="T880" s="485"/>
      <c r="U880" s="485"/>
      <c r="V880" s="485"/>
      <c r="W880" s="485"/>
      <c r="X880" s="485"/>
      <c r="Y880" s="485"/>
      <c r="Z880" s="485"/>
      <c r="AA880" s="485"/>
      <c r="AB880" s="485"/>
      <c r="AC880" s="485"/>
      <c r="AD880" s="485"/>
      <c r="AE880" s="485"/>
      <c r="AF880" s="485"/>
      <c r="AG880" s="485"/>
      <c r="AH880" s="485"/>
      <c r="AI880" s="485"/>
      <c r="AJ880" s="485"/>
      <c r="AK880" s="485"/>
      <c r="AL880" s="485"/>
      <c r="AM880" s="485"/>
      <c r="AN880" s="485"/>
      <c r="AO880" s="485"/>
      <c r="AP880" s="485"/>
      <c r="AQ880" s="485"/>
      <c r="AR880" s="485"/>
      <c r="AS880" s="485"/>
      <c r="AT880" s="485"/>
      <c r="AU880" s="485"/>
      <c r="AV880" s="485"/>
      <c r="AW880" s="485"/>
      <c r="AX880" s="485"/>
      <c r="AY880" s="485"/>
      <c r="AZ880" s="485"/>
      <c r="BA880" s="485"/>
      <c r="BB880" s="485"/>
      <c r="BC880" s="485"/>
      <c r="BD880" s="485"/>
      <c r="BE880" s="485"/>
      <c r="BF880" s="485"/>
      <c r="BG880" s="485"/>
      <c r="BH880" s="485"/>
      <c r="BI880" s="485"/>
      <c r="BJ880" s="485"/>
      <c r="BK880" s="485"/>
      <c r="BL880" s="485"/>
      <c r="BM880" s="485"/>
      <c r="BN880" s="485"/>
      <c r="BO880" s="485"/>
      <c r="BP880" s="485"/>
      <c r="BQ880" s="485"/>
      <c r="BR880" s="485"/>
      <c r="BS880" s="485"/>
      <c r="BT880" s="485"/>
      <c r="BU880" s="485"/>
      <c r="BV880" s="485"/>
      <c r="BW880" s="485"/>
      <c r="BX880" s="485"/>
      <c r="BY880" s="485"/>
      <c r="BZ880" s="485"/>
      <c r="CA880" s="485"/>
      <c r="CB880" s="485"/>
      <c r="CC880" s="485"/>
      <c r="CD880" s="485"/>
      <c r="CE880" s="485"/>
      <c r="CF880" s="485"/>
      <c r="CG880" s="485"/>
      <c r="CH880" s="485"/>
      <c r="CI880" s="485"/>
      <c r="CJ880" s="485"/>
      <c r="CK880" s="485"/>
      <c r="CL880" s="485"/>
      <c r="CM880" s="485"/>
      <c r="CN880" s="485"/>
      <c r="CO880" s="485"/>
      <c r="CP880" s="485"/>
      <c r="CQ880" s="485"/>
      <c r="CR880" s="485"/>
      <c r="CS880" s="485"/>
      <c r="CT880" s="485"/>
      <c r="CU880" s="485"/>
      <c r="CV880" s="485"/>
      <c r="CW880" s="485"/>
      <c r="CX880" s="485"/>
      <c r="CY880" s="485"/>
      <c r="CZ880" s="485"/>
      <c r="DA880" s="485"/>
      <c r="DB880" s="485"/>
      <c r="DC880" s="485"/>
      <c r="DD880" s="485"/>
      <c r="DE880" s="485"/>
      <c r="DF880" s="485"/>
      <c r="DG880" s="485"/>
      <c r="DH880" s="485"/>
      <c r="DI880" s="485"/>
      <c r="DJ880" s="485"/>
      <c r="DK880" s="485"/>
      <c r="DL880" s="485"/>
      <c r="DM880" s="485"/>
      <c r="DN880" s="485"/>
      <c r="DO880" s="485"/>
      <c r="DP880" s="485"/>
      <c r="DQ880" s="485"/>
      <c r="DR880" s="485"/>
      <c r="DS880" s="485"/>
      <c r="DT880" s="485"/>
      <c r="DU880" s="485"/>
      <c r="DV880" s="485"/>
      <c r="DW880" s="485"/>
      <c r="DX880" s="485"/>
      <c r="DY880" s="485"/>
      <c r="DZ880" s="485"/>
      <c r="EA880" s="485"/>
      <c r="EB880" s="485"/>
      <c r="EC880" s="485"/>
      <c r="ED880" s="485"/>
      <c r="EE880" s="485"/>
      <c r="EF880" s="485"/>
      <c r="EG880" s="485"/>
      <c r="EH880" s="485"/>
      <c r="EI880" s="485"/>
      <c r="EJ880" s="485"/>
      <c r="EK880" s="485"/>
      <c r="EL880" s="485"/>
      <c r="EM880" s="485"/>
      <c r="EN880" s="485"/>
      <c r="EO880" s="485"/>
      <c r="EP880" s="485"/>
    </row>
    <row r="881" spans="1:146">
      <c r="A881" s="485"/>
      <c r="B881" s="485"/>
      <c r="C881" s="485"/>
      <c r="D881" s="485"/>
      <c r="E881" s="485"/>
      <c r="F881" s="485"/>
      <c r="G881" s="485"/>
      <c r="H881" s="485"/>
      <c r="I881" s="485"/>
      <c r="J881" s="485"/>
      <c r="K881" s="485"/>
      <c r="L881" s="485"/>
      <c r="M881" s="485"/>
      <c r="P881" s="485"/>
      <c r="Q881" s="485"/>
      <c r="R881" s="485"/>
      <c r="S881" s="485"/>
      <c r="T881" s="485"/>
      <c r="U881" s="485"/>
      <c r="V881" s="485"/>
      <c r="W881" s="485"/>
      <c r="X881" s="485"/>
      <c r="Y881" s="485"/>
      <c r="Z881" s="485"/>
      <c r="AA881" s="485"/>
      <c r="AB881" s="485"/>
      <c r="AC881" s="485"/>
      <c r="AD881" s="485"/>
      <c r="AE881" s="485"/>
      <c r="AF881" s="485"/>
      <c r="AG881" s="485"/>
      <c r="AH881" s="485"/>
      <c r="AI881" s="485"/>
      <c r="AJ881" s="485"/>
      <c r="AK881" s="485"/>
      <c r="AL881" s="485"/>
      <c r="AM881" s="485"/>
      <c r="AN881" s="485"/>
      <c r="AO881" s="485"/>
      <c r="AP881" s="485"/>
      <c r="AQ881" s="485"/>
      <c r="AR881" s="485"/>
      <c r="AS881" s="485"/>
      <c r="AT881" s="485"/>
      <c r="AU881" s="485"/>
      <c r="AV881" s="485"/>
      <c r="AW881" s="485"/>
      <c r="AX881" s="485"/>
      <c r="AY881" s="485"/>
      <c r="AZ881" s="485"/>
      <c r="BA881" s="485"/>
      <c r="BB881" s="485"/>
      <c r="BC881" s="485"/>
      <c r="BD881" s="485"/>
      <c r="BE881" s="485"/>
      <c r="BF881" s="485"/>
      <c r="BG881" s="485"/>
      <c r="BH881" s="485"/>
      <c r="BI881" s="485"/>
      <c r="BJ881" s="485"/>
      <c r="BK881" s="485"/>
      <c r="BL881" s="485"/>
      <c r="BM881" s="485"/>
      <c r="BN881" s="485"/>
      <c r="BO881" s="485"/>
      <c r="BP881" s="485"/>
      <c r="BQ881" s="485"/>
      <c r="BR881" s="485"/>
      <c r="BS881" s="485"/>
      <c r="BT881" s="485"/>
      <c r="BU881" s="485"/>
      <c r="BV881" s="485"/>
      <c r="BW881" s="485"/>
      <c r="BX881" s="485"/>
      <c r="BY881" s="485"/>
      <c r="BZ881" s="485"/>
      <c r="CA881" s="485"/>
      <c r="CB881" s="485"/>
      <c r="CC881" s="485"/>
      <c r="CD881" s="485"/>
      <c r="CE881" s="485"/>
      <c r="CF881" s="485"/>
      <c r="CG881" s="485"/>
      <c r="CH881" s="485"/>
      <c r="CI881" s="485"/>
      <c r="CJ881" s="485"/>
      <c r="CK881" s="485"/>
      <c r="CL881" s="485"/>
      <c r="CM881" s="485"/>
      <c r="CN881" s="485"/>
      <c r="CO881" s="485"/>
      <c r="CP881" s="485"/>
      <c r="CQ881" s="485"/>
      <c r="CR881" s="485"/>
      <c r="CS881" s="485"/>
      <c r="CT881" s="485"/>
      <c r="CU881" s="485"/>
      <c r="CV881" s="485"/>
      <c r="CW881" s="485"/>
      <c r="CX881" s="485"/>
      <c r="CY881" s="485"/>
      <c r="CZ881" s="485"/>
      <c r="DA881" s="485"/>
      <c r="DB881" s="485"/>
      <c r="DC881" s="485"/>
      <c r="DD881" s="485"/>
      <c r="DE881" s="485"/>
      <c r="DF881" s="485"/>
      <c r="DG881" s="485"/>
      <c r="DH881" s="485"/>
      <c r="DI881" s="485"/>
      <c r="DJ881" s="485"/>
      <c r="DK881" s="485"/>
      <c r="DL881" s="485"/>
      <c r="DM881" s="485"/>
      <c r="DN881" s="485"/>
      <c r="DO881" s="485"/>
      <c r="DP881" s="485"/>
      <c r="DQ881" s="485"/>
      <c r="DR881" s="485"/>
      <c r="DS881" s="485"/>
      <c r="DT881" s="485"/>
      <c r="DU881" s="485"/>
      <c r="DV881" s="485"/>
      <c r="DW881" s="485"/>
      <c r="DX881" s="485"/>
      <c r="DY881" s="485"/>
      <c r="DZ881" s="485"/>
      <c r="EA881" s="485"/>
      <c r="EB881" s="485"/>
      <c r="EC881" s="485"/>
      <c r="ED881" s="485"/>
      <c r="EE881" s="485"/>
      <c r="EF881" s="485"/>
      <c r="EG881" s="485"/>
      <c r="EH881" s="485"/>
      <c r="EI881" s="485"/>
      <c r="EJ881" s="485"/>
      <c r="EK881" s="485"/>
      <c r="EL881" s="485"/>
      <c r="EM881" s="485"/>
      <c r="EN881" s="485"/>
      <c r="EO881" s="485"/>
      <c r="EP881" s="485"/>
    </row>
    <row r="882" spans="1:146">
      <c r="A882" s="485"/>
      <c r="B882" s="485"/>
      <c r="C882" s="485"/>
      <c r="D882" s="485"/>
      <c r="E882" s="485"/>
      <c r="F882" s="485"/>
      <c r="G882" s="485"/>
      <c r="H882" s="485"/>
      <c r="I882" s="485"/>
      <c r="J882" s="485"/>
      <c r="K882" s="485"/>
      <c r="L882" s="485"/>
      <c r="M882" s="485"/>
      <c r="P882" s="485"/>
      <c r="Q882" s="485"/>
      <c r="R882" s="485"/>
      <c r="S882" s="485"/>
      <c r="T882" s="485"/>
      <c r="U882" s="485"/>
      <c r="V882" s="485"/>
      <c r="W882" s="485"/>
      <c r="X882" s="485"/>
      <c r="Y882" s="485"/>
      <c r="Z882" s="485"/>
      <c r="AA882" s="485"/>
      <c r="AB882" s="485"/>
      <c r="AC882" s="485"/>
      <c r="AD882" s="485"/>
      <c r="AE882" s="485"/>
      <c r="AF882" s="485"/>
      <c r="AG882" s="485"/>
      <c r="AH882" s="485"/>
      <c r="AI882" s="485"/>
      <c r="AJ882" s="485"/>
      <c r="AK882" s="485"/>
      <c r="AL882" s="485"/>
      <c r="AM882" s="485"/>
      <c r="AN882" s="485"/>
      <c r="AO882" s="485"/>
      <c r="AP882" s="485"/>
      <c r="AQ882" s="485"/>
      <c r="AR882" s="485"/>
      <c r="AS882" s="485"/>
      <c r="AT882" s="485"/>
      <c r="AU882" s="485"/>
      <c r="AV882" s="485"/>
      <c r="AW882" s="485"/>
      <c r="AX882" s="485"/>
      <c r="AY882" s="485"/>
      <c r="AZ882" s="485"/>
      <c r="BA882" s="485"/>
      <c r="BB882" s="485"/>
      <c r="BC882" s="485"/>
      <c r="BD882" s="485"/>
      <c r="BE882" s="485"/>
      <c r="BF882" s="485"/>
      <c r="BG882" s="485"/>
      <c r="BH882" s="485"/>
      <c r="BI882" s="485"/>
      <c r="BJ882" s="485"/>
      <c r="BK882" s="485"/>
      <c r="BL882" s="485"/>
      <c r="BM882" s="485"/>
      <c r="BN882" s="485"/>
      <c r="BO882" s="485"/>
      <c r="BP882" s="485"/>
      <c r="BQ882" s="485"/>
      <c r="BR882" s="485"/>
      <c r="BS882" s="485"/>
      <c r="BT882" s="485"/>
      <c r="BU882" s="485"/>
      <c r="BV882" s="485"/>
      <c r="BW882" s="485"/>
      <c r="BX882" s="485"/>
      <c r="BY882" s="485"/>
      <c r="BZ882" s="485"/>
      <c r="CA882" s="485"/>
      <c r="CB882" s="485"/>
      <c r="CC882" s="485"/>
      <c r="CD882" s="485"/>
      <c r="CE882" s="485"/>
      <c r="CF882" s="485"/>
      <c r="CG882" s="485"/>
      <c r="CH882" s="485"/>
      <c r="CI882" s="485"/>
      <c r="CJ882" s="485"/>
      <c r="CK882" s="485"/>
      <c r="CL882" s="485"/>
      <c r="CM882" s="485"/>
      <c r="CN882" s="485"/>
      <c r="CO882" s="485"/>
      <c r="CP882" s="485"/>
      <c r="CQ882" s="485"/>
      <c r="CR882" s="485"/>
      <c r="CS882" s="485"/>
      <c r="CT882" s="485"/>
      <c r="CU882" s="485"/>
      <c r="CV882" s="485"/>
      <c r="CW882" s="485"/>
      <c r="CX882" s="485"/>
      <c r="CY882" s="485"/>
      <c r="CZ882" s="485"/>
      <c r="DA882" s="485"/>
      <c r="DB882" s="485"/>
      <c r="DC882" s="485"/>
      <c r="DD882" s="485"/>
      <c r="DE882" s="485"/>
      <c r="DF882" s="485"/>
      <c r="DG882" s="485"/>
      <c r="DH882" s="485"/>
      <c r="DI882" s="485"/>
      <c r="DJ882" s="485"/>
      <c r="DK882" s="485"/>
      <c r="DL882" s="485"/>
      <c r="DM882" s="485"/>
      <c r="DN882" s="485"/>
      <c r="DO882" s="485"/>
      <c r="DP882" s="485"/>
      <c r="DQ882" s="485"/>
      <c r="DR882" s="485"/>
      <c r="DS882" s="485"/>
      <c r="DT882" s="485"/>
      <c r="DU882" s="485"/>
      <c r="DV882" s="485"/>
      <c r="DW882" s="485"/>
      <c r="DX882" s="485"/>
      <c r="DY882" s="485"/>
      <c r="DZ882" s="485"/>
      <c r="EA882" s="485"/>
      <c r="EB882" s="485"/>
      <c r="EC882" s="485"/>
      <c r="ED882" s="485"/>
      <c r="EE882" s="485"/>
      <c r="EF882" s="485"/>
      <c r="EG882" s="485"/>
      <c r="EH882" s="485"/>
      <c r="EI882" s="485"/>
      <c r="EJ882" s="485"/>
      <c r="EK882" s="485"/>
      <c r="EL882" s="485"/>
      <c r="EM882" s="485"/>
      <c r="EN882" s="485"/>
      <c r="EO882" s="485"/>
      <c r="EP882" s="485"/>
    </row>
    <row r="883" spans="1:146">
      <c r="A883" s="485"/>
      <c r="B883" s="485"/>
      <c r="C883" s="485"/>
      <c r="D883" s="485"/>
      <c r="E883" s="485"/>
      <c r="F883" s="485"/>
      <c r="G883" s="485"/>
      <c r="H883" s="485"/>
      <c r="I883" s="485"/>
      <c r="J883" s="485"/>
      <c r="K883" s="485"/>
      <c r="L883" s="485"/>
      <c r="M883" s="485"/>
      <c r="P883" s="485"/>
      <c r="Q883" s="485"/>
      <c r="R883" s="485"/>
      <c r="S883" s="485"/>
      <c r="T883" s="485"/>
      <c r="U883" s="485"/>
      <c r="V883" s="485"/>
      <c r="W883" s="485"/>
      <c r="X883" s="485"/>
      <c r="Y883" s="485"/>
      <c r="Z883" s="485"/>
      <c r="AA883" s="485"/>
      <c r="AB883" s="485"/>
      <c r="AC883" s="485"/>
      <c r="AD883" s="485"/>
      <c r="AE883" s="485"/>
      <c r="AF883" s="485"/>
      <c r="AG883" s="485"/>
      <c r="AH883" s="485"/>
      <c r="AI883" s="485"/>
      <c r="AJ883" s="485"/>
      <c r="AK883" s="485"/>
      <c r="AL883" s="485"/>
      <c r="AM883" s="485"/>
      <c r="AN883" s="485"/>
      <c r="AO883" s="485"/>
      <c r="AP883" s="485"/>
      <c r="AQ883" s="485"/>
      <c r="AR883" s="485"/>
      <c r="AS883" s="485"/>
      <c r="AT883" s="485"/>
      <c r="AU883" s="485"/>
      <c r="AV883" s="485"/>
      <c r="AW883" s="485"/>
      <c r="AX883" s="485"/>
      <c r="AY883" s="485"/>
      <c r="AZ883" s="485"/>
      <c r="BA883" s="485"/>
      <c r="BB883" s="485"/>
      <c r="BC883" s="485"/>
      <c r="BD883" s="485"/>
      <c r="BE883" s="485"/>
      <c r="BF883" s="485"/>
      <c r="BG883" s="485"/>
      <c r="BH883" s="485"/>
      <c r="BI883" s="485"/>
      <c r="BJ883" s="485"/>
      <c r="BK883" s="485"/>
      <c r="BL883" s="485"/>
      <c r="BM883" s="485"/>
      <c r="BN883" s="485"/>
      <c r="BO883" s="485"/>
      <c r="BP883" s="485"/>
      <c r="BQ883" s="485"/>
      <c r="BR883" s="485"/>
      <c r="BS883" s="485"/>
      <c r="BT883" s="485"/>
      <c r="BU883" s="485"/>
      <c r="BV883" s="485"/>
      <c r="BW883" s="485"/>
      <c r="BX883" s="485"/>
      <c r="BY883" s="485"/>
      <c r="BZ883" s="485"/>
      <c r="CA883" s="485"/>
      <c r="CB883" s="485"/>
      <c r="CC883" s="485"/>
      <c r="CD883" s="485"/>
      <c r="CE883" s="485"/>
      <c r="CF883" s="485"/>
      <c r="CG883" s="485"/>
      <c r="CH883" s="485"/>
      <c r="CI883" s="485"/>
      <c r="CJ883" s="485"/>
      <c r="CK883" s="485"/>
      <c r="CL883" s="485"/>
      <c r="CM883" s="485"/>
      <c r="CN883" s="485"/>
      <c r="CO883" s="485"/>
      <c r="CP883" s="485"/>
      <c r="CQ883" s="485"/>
      <c r="CR883" s="485"/>
      <c r="CS883" s="485"/>
      <c r="CT883" s="485"/>
      <c r="CU883" s="485"/>
      <c r="CV883" s="485"/>
      <c r="CW883" s="485"/>
      <c r="CX883" s="485"/>
      <c r="CY883" s="485"/>
      <c r="CZ883" s="485"/>
      <c r="DA883" s="485"/>
      <c r="DB883" s="485"/>
      <c r="DC883" s="485"/>
      <c r="DD883" s="485"/>
      <c r="DE883" s="485"/>
      <c r="DF883" s="485"/>
      <c r="DG883" s="485"/>
      <c r="DH883" s="485"/>
      <c r="DI883" s="485"/>
      <c r="DJ883" s="485"/>
      <c r="DK883" s="485"/>
      <c r="DL883" s="485"/>
      <c r="DM883" s="485"/>
      <c r="DN883" s="485"/>
      <c r="DO883" s="485"/>
      <c r="DP883" s="485"/>
      <c r="DQ883" s="485"/>
      <c r="DR883" s="485"/>
      <c r="DS883" s="485"/>
      <c r="DT883" s="485"/>
      <c r="DU883" s="485"/>
      <c r="DV883" s="485"/>
      <c r="DW883" s="485"/>
      <c r="DX883" s="485"/>
      <c r="DY883" s="485"/>
      <c r="DZ883" s="485"/>
      <c r="EA883" s="485"/>
      <c r="EB883" s="485"/>
      <c r="EC883" s="485"/>
      <c r="ED883" s="485"/>
      <c r="EE883" s="485"/>
      <c r="EF883" s="485"/>
      <c r="EG883" s="485"/>
      <c r="EH883" s="485"/>
      <c r="EI883" s="485"/>
      <c r="EJ883" s="485"/>
      <c r="EK883" s="485"/>
      <c r="EL883" s="485"/>
      <c r="EM883" s="485"/>
      <c r="EN883" s="485"/>
      <c r="EO883" s="485"/>
      <c r="EP883" s="485"/>
    </row>
    <row r="884" spans="1:146">
      <c r="A884" s="485"/>
      <c r="B884" s="485"/>
      <c r="C884" s="485"/>
      <c r="D884" s="485"/>
      <c r="E884" s="485"/>
      <c r="F884" s="485"/>
      <c r="G884" s="485"/>
      <c r="H884" s="485"/>
      <c r="I884" s="485"/>
      <c r="J884" s="485"/>
      <c r="K884" s="485"/>
      <c r="L884" s="485"/>
      <c r="M884" s="485"/>
      <c r="P884" s="485"/>
      <c r="Q884" s="485"/>
      <c r="R884" s="485"/>
      <c r="S884" s="485"/>
      <c r="T884" s="485"/>
      <c r="U884" s="485"/>
      <c r="V884" s="485"/>
      <c r="W884" s="485"/>
      <c r="X884" s="485"/>
      <c r="Y884" s="485"/>
      <c r="Z884" s="485"/>
      <c r="AA884" s="485"/>
      <c r="AB884" s="485"/>
      <c r="AC884" s="485"/>
      <c r="AD884" s="485"/>
      <c r="AE884" s="485"/>
      <c r="AF884" s="485"/>
      <c r="AG884" s="485"/>
      <c r="AH884" s="485"/>
      <c r="AI884" s="485"/>
      <c r="AJ884" s="485"/>
      <c r="AK884" s="485"/>
      <c r="AL884" s="485"/>
      <c r="AM884" s="485"/>
      <c r="AN884" s="485"/>
      <c r="AO884" s="485"/>
      <c r="AP884" s="485"/>
      <c r="AQ884" s="485"/>
      <c r="AR884" s="485"/>
      <c r="AS884" s="485"/>
      <c r="AT884" s="485"/>
      <c r="AU884" s="485"/>
      <c r="AV884" s="485"/>
      <c r="AW884" s="485"/>
      <c r="AX884" s="485"/>
      <c r="AY884" s="485"/>
      <c r="AZ884" s="485"/>
      <c r="BA884" s="485"/>
      <c r="BB884" s="485"/>
      <c r="BC884" s="485"/>
      <c r="BD884" s="485"/>
      <c r="BE884" s="485"/>
      <c r="BF884" s="485"/>
      <c r="BG884" s="485"/>
      <c r="BH884" s="485"/>
      <c r="BI884" s="485"/>
      <c r="BJ884" s="485"/>
      <c r="BK884" s="485"/>
      <c r="BL884" s="485"/>
      <c r="BM884" s="485"/>
      <c r="BN884" s="485"/>
      <c r="BO884" s="485"/>
      <c r="BP884" s="485"/>
      <c r="BQ884" s="485"/>
      <c r="BR884" s="485"/>
      <c r="BS884" s="485"/>
      <c r="BT884" s="485"/>
      <c r="BU884" s="485"/>
      <c r="BV884" s="485"/>
      <c r="BW884" s="485"/>
      <c r="BX884" s="485"/>
      <c r="BY884" s="485"/>
      <c r="BZ884" s="485"/>
      <c r="CA884" s="485"/>
      <c r="CB884" s="485"/>
      <c r="CC884" s="485"/>
      <c r="CD884" s="485"/>
      <c r="CE884" s="485"/>
      <c r="CF884" s="485"/>
      <c r="CG884" s="485"/>
      <c r="CH884" s="485"/>
      <c r="CI884" s="485"/>
      <c r="CJ884" s="485"/>
      <c r="CK884" s="485"/>
      <c r="CL884" s="485"/>
      <c r="CM884" s="485"/>
      <c r="CN884" s="485"/>
      <c r="CO884" s="485"/>
      <c r="CP884" s="485"/>
      <c r="CQ884" s="485"/>
      <c r="CR884" s="485"/>
      <c r="CS884" s="485"/>
      <c r="CT884" s="485"/>
      <c r="CU884" s="485"/>
      <c r="CV884" s="485"/>
      <c r="CW884" s="485"/>
      <c r="CX884" s="485"/>
      <c r="CY884" s="485"/>
      <c r="CZ884" s="485"/>
      <c r="DA884" s="485"/>
      <c r="DB884" s="485"/>
      <c r="DC884" s="485"/>
      <c r="DD884" s="485"/>
      <c r="DE884" s="485"/>
      <c r="DF884" s="485"/>
      <c r="DG884" s="485"/>
      <c r="DH884" s="485"/>
      <c r="DI884" s="485"/>
      <c r="DJ884" s="485"/>
      <c r="DK884" s="485"/>
      <c r="DL884" s="485"/>
      <c r="DM884" s="485"/>
      <c r="DN884" s="485"/>
      <c r="DO884" s="485"/>
      <c r="DP884" s="485"/>
      <c r="DQ884" s="485"/>
      <c r="DR884" s="485"/>
      <c r="DS884" s="485"/>
      <c r="DT884" s="485"/>
      <c r="DU884" s="485"/>
      <c r="DV884" s="485"/>
      <c r="DW884" s="485"/>
      <c r="DX884" s="485"/>
      <c r="DY884" s="485"/>
      <c r="DZ884" s="485"/>
      <c r="EA884" s="485"/>
      <c r="EB884" s="485"/>
      <c r="EC884" s="485"/>
      <c r="ED884" s="485"/>
      <c r="EE884" s="485"/>
      <c r="EF884" s="485"/>
      <c r="EG884" s="485"/>
      <c r="EH884" s="485"/>
      <c r="EI884" s="485"/>
      <c r="EJ884" s="485"/>
      <c r="EK884" s="485"/>
      <c r="EL884" s="485"/>
      <c r="EM884" s="485"/>
      <c r="EN884" s="485"/>
      <c r="EO884" s="485"/>
      <c r="EP884" s="485"/>
    </row>
    <row r="885" spans="1:146">
      <c r="A885" s="485"/>
      <c r="B885" s="485"/>
      <c r="C885" s="485"/>
      <c r="D885" s="485"/>
      <c r="E885" s="485"/>
      <c r="F885" s="485"/>
      <c r="G885" s="485"/>
      <c r="H885" s="485"/>
      <c r="I885" s="485"/>
      <c r="J885" s="485"/>
      <c r="K885" s="485"/>
      <c r="L885" s="485"/>
      <c r="M885" s="485"/>
      <c r="P885" s="485"/>
      <c r="Q885" s="485"/>
      <c r="R885" s="485"/>
      <c r="S885" s="485"/>
      <c r="T885" s="485"/>
      <c r="U885" s="485"/>
      <c r="V885" s="485"/>
      <c r="W885" s="485"/>
      <c r="X885" s="485"/>
      <c r="Y885" s="485"/>
      <c r="Z885" s="485"/>
      <c r="AA885" s="485"/>
      <c r="AB885" s="485"/>
      <c r="AC885" s="485"/>
      <c r="AD885" s="485"/>
      <c r="AE885" s="485"/>
      <c r="AF885" s="485"/>
      <c r="AG885" s="485"/>
      <c r="AH885" s="485"/>
      <c r="AI885" s="485"/>
      <c r="AJ885" s="485"/>
      <c r="AK885" s="485"/>
      <c r="AL885" s="485"/>
      <c r="AM885" s="485"/>
      <c r="AN885" s="485"/>
      <c r="AO885" s="485"/>
      <c r="AP885" s="485"/>
      <c r="AQ885" s="485"/>
      <c r="AR885" s="485"/>
      <c r="AS885" s="485"/>
      <c r="AT885" s="485"/>
      <c r="AU885" s="485"/>
      <c r="AV885" s="485"/>
      <c r="AW885" s="485"/>
      <c r="AX885" s="485"/>
      <c r="AY885" s="485"/>
      <c r="AZ885" s="485"/>
      <c r="BA885" s="485"/>
      <c r="BB885" s="485"/>
      <c r="BC885" s="485"/>
      <c r="BD885" s="485"/>
      <c r="BE885" s="485"/>
      <c r="BF885" s="485"/>
      <c r="BG885" s="485"/>
      <c r="BH885" s="485"/>
      <c r="BI885" s="485"/>
      <c r="BJ885" s="485"/>
      <c r="BK885" s="485"/>
      <c r="BL885" s="485"/>
      <c r="BM885" s="485"/>
      <c r="BN885" s="485"/>
      <c r="BO885" s="485"/>
      <c r="BP885" s="485"/>
      <c r="BQ885" s="485"/>
      <c r="BR885" s="485"/>
      <c r="BS885" s="485"/>
      <c r="BT885" s="485"/>
      <c r="BU885" s="485"/>
      <c r="BV885" s="485"/>
      <c r="BW885" s="485"/>
      <c r="BX885" s="485"/>
      <c r="BY885" s="485"/>
      <c r="BZ885" s="485"/>
      <c r="CA885" s="485"/>
      <c r="CB885" s="485"/>
      <c r="CC885" s="485"/>
      <c r="CD885" s="485"/>
      <c r="CE885" s="485"/>
      <c r="CF885" s="485"/>
      <c r="CG885" s="485"/>
      <c r="CH885" s="485"/>
      <c r="CI885" s="485"/>
      <c r="CJ885" s="485"/>
      <c r="CK885" s="485"/>
      <c r="CL885" s="485"/>
      <c r="CM885" s="485"/>
      <c r="CN885" s="485"/>
      <c r="CO885" s="485"/>
      <c r="CP885" s="485"/>
      <c r="CQ885" s="485"/>
      <c r="CR885" s="485"/>
      <c r="CS885" s="485"/>
      <c r="CT885" s="485"/>
      <c r="CU885" s="485"/>
      <c r="CV885" s="485"/>
      <c r="CW885" s="485"/>
      <c r="CX885" s="485"/>
      <c r="CY885" s="485"/>
      <c r="CZ885" s="485"/>
      <c r="DA885" s="485"/>
      <c r="DB885" s="485"/>
      <c r="DC885" s="485"/>
      <c r="DD885" s="485"/>
      <c r="DE885" s="485"/>
      <c r="DF885" s="485"/>
      <c r="DG885" s="485"/>
      <c r="DH885" s="485"/>
      <c r="DI885" s="485"/>
      <c r="DJ885" s="485"/>
      <c r="DK885" s="485"/>
      <c r="DL885" s="485"/>
      <c r="DM885" s="485"/>
      <c r="DN885" s="485"/>
      <c r="DO885" s="485"/>
      <c r="DP885" s="485"/>
      <c r="DQ885" s="485"/>
      <c r="DR885" s="485"/>
      <c r="DS885" s="485"/>
      <c r="DT885" s="485"/>
      <c r="DU885" s="485"/>
      <c r="DV885" s="485"/>
      <c r="DW885" s="485"/>
      <c r="DX885" s="485"/>
      <c r="DY885" s="485"/>
      <c r="DZ885" s="485"/>
      <c r="EA885" s="485"/>
      <c r="EB885" s="485"/>
      <c r="EC885" s="485"/>
      <c r="ED885" s="485"/>
      <c r="EE885" s="485"/>
      <c r="EF885" s="485"/>
      <c r="EG885" s="485"/>
      <c r="EH885" s="485"/>
      <c r="EI885" s="485"/>
      <c r="EJ885" s="485"/>
      <c r="EK885" s="485"/>
      <c r="EL885" s="485"/>
      <c r="EM885" s="485"/>
      <c r="EN885" s="485"/>
      <c r="EO885" s="485"/>
      <c r="EP885" s="485"/>
    </row>
    <row r="886" spans="1:146">
      <c r="A886" s="485"/>
      <c r="B886" s="485"/>
      <c r="C886" s="485"/>
      <c r="D886" s="485"/>
      <c r="E886" s="485"/>
      <c r="F886" s="485"/>
      <c r="G886" s="485"/>
      <c r="H886" s="485"/>
      <c r="I886" s="485"/>
      <c r="J886" s="485"/>
      <c r="K886" s="485"/>
      <c r="L886" s="485"/>
      <c r="M886" s="485"/>
      <c r="P886" s="485"/>
      <c r="Q886" s="485"/>
      <c r="R886" s="485"/>
      <c r="S886" s="485"/>
      <c r="T886" s="485"/>
      <c r="U886" s="485"/>
      <c r="V886" s="485"/>
      <c r="W886" s="485"/>
      <c r="X886" s="485"/>
      <c r="Y886" s="485"/>
      <c r="Z886" s="485"/>
      <c r="AA886" s="485"/>
      <c r="AB886" s="485"/>
      <c r="AC886" s="485"/>
      <c r="AD886" s="485"/>
      <c r="AE886" s="485"/>
      <c r="AF886" s="485"/>
      <c r="AG886" s="485"/>
      <c r="AH886" s="485"/>
      <c r="AI886" s="485"/>
      <c r="AJ886" s="485"/>
      <c r="AK886" s="485"/>
      <c r="AL886" s="485"/>
      <c r="AM886" s="485"/>
      <c r="AN886" s="485"/>
      <c r="AO886" s="485"/>
      <c r="AP886" s="485"/>
      <c r="AQ886" s="485"/>
      <c r="AR886" s="485"/>
      <c r="AS886" s="485"/>
      <c r="AT886" s="485"/>
      <c r="AU886" s="485"/>
      <c r="AV886" s="485"/>
      <c r="AW886" s="485"/>
      <c r="AX886" s="485"/>
      <c r="AY886" s="485"/>
      <c r="AZ886" s="485"/>
      <c r="BA886" s="485"/>
      <c r="BB886" s="485"/>
      <c r="BC886" s="485"/>
      <c r="BD886" s="485"/>
      <c r="BE886" s="485"/>
      <c r="BF886" s="485"/>
      <c r="BG886" s="485"/>
      <c r="BH886" s="485"/>
      <c r="BI886" s="485"/>
      <c r="BJ886" s="485"/>
      <c r="BK886" s="485"/>
      <c r="BL886" s="485"/>
      <c r="BM886" s="485"/>
      <c r="BN886" s="485"/>
      <c r="BO886" s="485"/>
      <c r="BP886" s="485"/>
      <c r="BQ886" s="485"/>
      <c r="BR886" s="485"/>
      <c r="BS886" s="485"/>
      <c r="BT886" s="485"/>
      <c r="BU886" s="485"/>
      <c r="BV886" s="485"/>
      <c r="BW886" s="485"/>
      <c r="BX886" s="485"/>
      <c r="BY886" s="485"/>
      <c r="BZ886" s="485"/>
      <c r="CA886" s="485"/>
      <c r="CB886" s="485"/>
      <c r="CC886" s="485"/>
      <c r="CD886" s="485"/>
      <c r="CE886" s="485"/>
      <c r="CF886" s="485"/>
      <c r="CG886" s="485"/>
      <c r="CH886" s="485"/>
      <c r="CI886" s="485"/>
      <c r="CJ886" s="485"/>
      <c r="CK886" s="485"/>
      <c r="CL886" s="485"/>
      <c r="CM886" s="485"/>
      <c r="CN886" s="485"/>
      <c r="CO886" s="485"/>
      <c r="CP886" s="485"/>
      <c r="CQ886" s="485"/>
      <c r="CR886" s="485"/>
      <c r="CS886" s="485"/>
      <c r="CT886" s="485"/>
      <c r="CU886" s="485"/>
      <c r="CV886" s="485"/>
      <c r="CW886" s="485"/>
      <c r="CX886" s="485"/>
      <c r="CY886" s="485"/>
      <c r="CZ886" s="485"/>
      <c r="DA886" s="485"/>
      <c r="DB886" s="485"/>
      <c r="DC886" s="485"/>
      <c r="DD886" s="485"/>
      <c r="DE886" s="485"/>
      <c r="DF886" s="485"/>
      <c r="DG886" s="485"/>
      <c r="DH886" s="485"/>
      <c r="DI886" s="485"/>
      <c r="DJ886" s="485"/>
      <c r="DK886" s="485"/>
      <c r="DL886" s="485"/>
      <c r="DM886" s="485"/>
      <c r="DN886" s="485"/>
      <c r="DO886" s="485"/>
      <c r="DP886" s="485"/>
      <c r="DQ886" s="485"/>
      <c r="DR886" s="485"/>
      <c r="DS886" s="485"/>
      <c r="DT886" s="485"/>
      <c r="DU886" s="485"/>
      <c r="DV886" s="485"/>
      <c r="DW886" s="485"/>
      <c r="DX886" s="485"/>
      <c r="DY886" s="485"/>
      <c r="DZ886" s="485"/>
      <c r="EA886" s="485"/>
      <c r="EB886" s="485"/>
      <c r="EC886" s="485"/>
      <c r="ED886" s="485"/>
      <c r="EE886" s="485"/>
      <c r="EF886" s="485"/>
      <c r="EG886" s="485"/>
      <c r="EH886" s="485"/>
      <c r="EI886" s="485"/>
      <c r="EJ886" s="485"/>
      <c r="EK886" s="485"/>
      <c r="EL886" s="485"/>
      <c r="EM886" s="485"/>
      <c r="EN886" s="485"/>
      <c r="EO886" s="485"/>
      <c r="EP886" s="485"/>
    </row>
    <row r="887" spans="1:146">
      <c r="A887" s="485"/>
      <c r="B887" s="485"/>
      <c r="C887" s="485"/>
      <c r="D887" s="485"/>
      <c r="E887" s="485"/>
      <c r="F887" s="485"/>
      <c r="G887" s="485"/>
      <c r="H887" s="485"/>
      <c r="I887" s="485"/>
      <c r="J887" s="485"/>
      <c r="K887" s="485"/>
      <c r="L887" s="485"/>
      <c r="M887" s="485"/>
      <c r="P887" s="485"/>
      <c r="Q887" s="485"/>
      <c r="R887" s="485"/>
      <c r="S887" s="485"/>
      <c r="T887" s="485"/>
      <c r="U887" s="485"/>
      <c r="V887" s="485"/>
      <c r="W887" s="485"/>
      <c r="X887" s="485"/>
      <c r="Y887" s="485"/>
      <c r="Z887" s="485"/>
      <c r="AA887" s="485"/>
      <c r="AB887" s="485"/>
      <c r="AC887" s="485"/>
      <c r="AD887" s="485"/>
      <c r="AE887" s="485"/>
      <c r="AF887" s="485"/>
      <c r="AG887" s="485"/>
      <c r="AH887" s="485"/>
      <c r="AI887" s="485"/>
      <c r="AJ887" s="485"/>
      <c r="AK887" s="485"/>
      <c r="AL887" s="485"/>
      <c r="AM887" s="485"/>
      <c r="AN887" s="485"/>
      <c r="AO887" s="485"/>
      <c r="AP887" s="485"/>
      <c r="AQ887" s="485"/>
      <c r="AR887" s="485"/>
      <c r="AS887" s="485"/>
      <c r="AT887" s="485"/>
      <c r="AU887" s="485"/>
      <c r="AV887" s="485"/>
      <c r="AW887" s="485"/>
      <c r="AX887" s="485"/>
      <c r="AY887" s="485"/>
      <c r="AZ887" s="485"/>
      <c r="BA887" s="485"/>
      <c r="BB887" s="485"/>
      <c r="BC887" s="485"/>
      <c r="BD887" s="485"/>
      <c r="BE887" s="485"/>
      <c r="BF887" s="485"/>
      <c r="BG887" s="485"/>
      <c r="BH887" s="485"/>
      <c r="BI887" s="485"/>
      <c r="BJ887" s="485"/>
      <c r="BK887" s="485"/>
      <c r="BL887" s="485"/>
      <c r="BM887" s="485"/>
      <c r="BN887" s="485"/>
      <c r="BO887" s="485"/>
      <c r="BP887" s="485"/>
      <c r="BQ887" s="485"/>
      <c r="BR887" s="485"/>
      <c r="BS887" s="485"/>
      <c r="BT887" s="485"/>
      <c r="BU887" s="485"/>
      <c r="BV887" s="485"/>
      <c r="BW887" s="485"/>
      <c r="BX887" s="485"/>
      <c r="BY887" s="485"/>
      <c r="BZ887" s="485"/>
      <c r="CA887" s="485"/>
      <c r="CB887" s="485"/>
      <c r="CC887" s="485"/>
      <c r="CD887" s="485"/>
      <c r="CE887" s="485"/>
      <c r="CF887" s="485"/>
      <c r="CG887" s="485"/>
      <c r="CH887" s="485"/>
      <c r="CI887" s="485"/>
      <c r="CJ887" s="485"/>
      <c r="CK887" s="485"/>
      <c r="CL887" s="485"/>
      <c r="CM887" s="485"/>
      <c r="CN887" s="485"/>
      <c r="CO887" s="485"/>
      <c r="CP887" s="485"/>
      <c r="CQ887" s="485"/>
      <c r="CR887" s="485"/>
      <c r="CS887" s="485"/>
      <c r="CT887" s="485"/>
      <c r="CU887" s="485"/>
      <c r="CV887" s="485"/>
      <c r="CW887" s="485"/>
      <c r="CX887" s="485"/>
      <c r="CY887" s="485"/>
      <c r="CZ887" s="485"/>
      <c r="DA887" s="485"/>
      <c r="DB887" s="485"/>
      <c r="DC887" s="485"/>
      <c r="DD887" s="485"/>
      <c r="DE887" s="485"/>
      <c r="DF887" s="485"/>
      <c r="DG887" s="485"/>
      <c r="DH887" s="485"/>
      <c r="DI887" s="485"/>
      <c r="DJ887" s="485"/>
      <c r="DK887" s="485"/>
      <c r="DL887" s="485"/>
      <c r="DM887" s="485"/>
      <c r="DN887" s="485"/>
      <c r="DO887" s="485"/>
      <c r="DP887" s="485"/>
      <c r="DQ887" s="485"/>
      <c r="DR887" s="485"/>
      <c r="DS887" s="485"/>
      <c r="DT887" s="485"/>
      <c r="DU887" s="485"/>
      <c r="DV887" s="485"/>
      <c r="DW887" s="485"/>
      <c r="DX887" s="485"/>
      <c r="DY887" s="485"/>
      <c r="DZ887" s="485"/>
      <c r="EA887" s="485"/>
      <c r="EB887" s="485"/>
      <c r="EC887" s="485"/>
      <c r="ED887" s="485"/>
      <c r="EE887" s="485"/>
      <c r="EF887" s="485"/>
      <c r="EG887" s="485"/>
      <c r="EH887" s="485"/>
      <c r="EI887" s="485"/>
      <c r="EJ887" s="485"/>
      <c r="EK887" s="485"/>
      <c r="EL887" s="485"/>
      <c r="EM887" s="485"/>
      <c r="EN887" s="485"/>
      <c r="EO887" s="485"/>
      <c r="EP887" s="485"/>
    </row>
    <row r="888" spans="1:146">
      <c r="A888" s="485"/>
      <c r="B888" s="485"/>
      <c r="C888" s="485"/>
      <c r="D888" s="485"/>
      <c r="E888" s="485"/>
      <c r="F888" s="485"/>
      <c r="G888" s="485"/>
      <c r="H888" s="485"/>
      <c r="I888" s="485"/>
      <c r="J888" s="485"/>
      <c r="K888" s="485"/>
      <c r="L888" s="485"/>
      <c r="M888" s="485"/>
      <c r="P888" s="485"/>
      <c r="Q888" s="485"/>
      <c r="R888" s="485"/>
      <c r="S888" s="485"/>
      <c r="T888" s="485"/>
      <c r="U888" s="485"/>
      <c r="V888" s="485"/>
      <c r="W888" s="485"/>
      <c r="X888" s="485"/>
      <c r="Y888" s="485"/>
      <c r="Z888" s="485"/>
      <c r="AA888" s="485"/>
      <c r="AB888" s="485"/>
      <c r="AC888" s="485"/>
      <c r="AD888" s="485"/>
      <c r="AE888" s="485"/>
      <c r="AF888" s="485"/>
      <c r="AG888" s="485"/>
      <c r="AH888" s="485"/>
      <c r="AI888" s="485"/>
      <c r="AJ888" s="485"/>
      <c r="AK888" s="485"/>
      <c r="AL888" s="485"/>
      <c r="AM888" s="485"/>
      <c r="AN888" s="485"/>
      <c r="AO888" s="485"/>
      <c r="AP888" s="485"/>
      <c r="AQ888" s="485"/>
      <c r="AR888" s="485"/>
      <c r="AS888" s="485"/>
      <c r="AT888" s="485"/>
      <c r="AU888" s="485"/>
      <c r="AV888" s="485"/>
      <c r="AW888" s="485"/>
      <c r="AX888" s="485"/>
      <c r="AY888" s="485"/>
      <c r="AZ888" s="485"/>
      <c r="BA888" s="485"/>
      <c r="BB888" s="485"/>
      <c r="BC888" s="485"/>
      <c r="BD888" s="485"/>
      <c r="BE888" s="485"/>
      <c r="BF888" s="485"/>
      <c r="BG888" s="485"/>
      <c r="BH888" s="485"/>
      <c r="BI888" s="485"/>
      <c r="BJ888" s="485"/>
      <c r="BK888" s="485"/>
      <c r="BL888" s="485"/>
      <c r="BM888" s="485"/>
      <c r="BN888" s="485"/>
      <c r="BO888" s="485"/>
      <c r="BP888" s="485"/>
      <c r="BQ888" s="485"/>
      <c r="BR888" s="485"/>
      <c r="BS888" s="485"/>
      <c r="BT888" s="485"/>
      <c r="BU888" s="485"/>
      <c r="BV888" s="485"/>
      <c r="BW888" s="485"/>
      <c r="BX888" s="485"/>
      <c r="BY888" s="485"/>
      <c r="BZ888" s="485"/>
      <c r="CA888" s="485"/>
      <c r="CB888" s="485"/>
      <c r="CC888" s="485"/>
      <c r="CD888" s="485"/>
      <c r="CE888" s="485"/>
      <c r="CF888" s="485"/>
      <c r="CG888" s="485"/>
      <c r="CH888" s="485"/>
      <c r="CI888" s="485"/>
      <c r="CJ888" s="485"/>
      <c r="CK888" s="485"/>
      <c r="CL888" s="485"/>
      <c r="CM888" s="485"/>
      <c r="CN888" s="485"/>
      <c r="CO888" s="485"/>
      <c r="CP888" s="485"/>
      <c r="CQ888" s="485"/>
      <c r="CR888" s="485"/>
      <c r="CS888" s="485"/>
      <c r="CT888" s="485"/>
      <c r="CU888" s="485"/>
      <c r="CV888" s="485"/>
      <c r="CW888" s="485"/>
      <c r="CX888" s="485"/>
      <c r="CY888" s="485"/>
      <c r="CZ888" s="485"/>
      <c r="DA888" s="485"/>
      <c r="DB888" s="485"/>
      <c r="DC888" s="485"/>
      <c r="DD888" s="485"/>
      <c r="DE888" s="485"/>
      <c r="DF888" s="485"/>
      <c r="DG888" s="485"/>
      <c r="DH888" s="485"/>
      <c r="DI888" s="485"/>
      <c r="DJ888" s="485"/>
      <c r="DK888" s="485"/>
      <c r="DL888" s="485"/>
      <c r="DM888" s="485"/>
      <c r="DN888" s="485"/>
      <c r="DO888" s="485"/>
      <c r="DP888" s="485"/>
      <c r="DQ888" s="485"/>
      <c r="DR888" s="485"/>
      <c r="DS888" s="485"/>
      <c r="DT888" s="485"/>
      <c r="DU888" s="485"/>
      <c r="DV888" s="485"/>
      <c r="DW888" s="485"/>
      <c r="DX888" s="485"/>
      <c r="DY888" s="485"/>
      <c r="DZ888" s="485"/>
      <c r="EA888" s="485"/>
      <c r="EB888" s="485"/>
      <c r="EC888" s="485"/>
      <c r="ED888" s="485"/>
      <c r="EE888" s="485"/>
      <c r="EF888" s="485"/>
      <c r="EG888" s="485"/>
      <c r="EH888" s="485"/>
      <c r="EI888" s="485"/>
      <c r="EJ888" s="485"/>
      <c r="EK888" s="485"/>
      <c r="EL888" s="485"/>
      <c r="EM888" s="485"/>
      <c r="EN888" s="485"/>
      <c r="EO888" s="485"/>
      <c r="EP888" s="485"/>
    </row>
    <row r="889" spans="1:146">
      <c r="A889" s="485"/>
      <c r="B889" s="485"/>
      <c r="C889" s="485"/>
      <c r="D889" s="485"/>
      <c r="E889" s="485"/>
      <c r="F889" s="485"/>
      <c r="G889" s="485"/>
      <c r="H889" s="485"/>
      <c r="I889" s="485"/>
      <c r="J889" s="485"/>
      <c r="K889" s="485"/>
      <c r="L889" s="485"/>
      <c r="M889" s="485"/>
      <c r="P889" s="485"/>
      <c r="Q889" s="485"/>
      <c r="R889" s="485"/>
      <c r="S889" s="485"/>
      <c r="T889" s="485"/>
      <c r="U889" s="485"/>
      <c r="V889" s="485"/>
      <c r="W889" s="485"/>
      <c r="X889" s="485"/>
      <c r="Y889" s="485"/>
      <c r="Z889" s="485"/>
      <c r="AA889" s="485"/>
      <c r="AB889" s="485"/>
      <c r="AC889" s="485"/>
      <c r="AD889" s="485"/>
      <c r="AE889" s="485"/>
      <c r="AF889" s="485"/>
      <c r="AG889" s="485"/>
      <c r="AH889" s="485"/>
      <c r="AI889" s="485"/>
      <c r="AJ889" s="485"/>
      <c r="AK889" s="485"/>
      <c r="AL889" s="485"/>
      <c r="AM889" s="485"/>
      <c r="AN889" s="485"/>
      <c r="AO889" s="485"/>
      <c r="AP889" s="485"/>
      <c r="AQ889" s="485"/>
      <c r="AR889" s="485"/>
      <c r="AS889" s="485"/>
      <c r="AT889" s="485"/>
      <c r="AU889" s="485"/>
      <c r="AV889" s="485"/>
      <c r="AW889" s="485"/>
      <c r="AX889" s="485"/>
      <c r="AY889" s="485"/>
      <c r="AZ889" s="485"/>
      <c r="BA889" s="485"/>
      <c r="BB889" s="485"/>
      <c r="BC889" s="485"/>
      <c r="BD889" s="485"/>
      <c r="BE889" s="485"/>
      <c r="BF889" s="485"/>
      <c r="BG889" s="485"/>
      <c r="BH889" s="485"/>
      <c r="BI889" s="485"/>
      <c r="BJ889" s="485"/>
      <c r="BK889" s="485"/>
      <c r="BL889" s="485"/>
      <c r="BM889" s="485"/>
      <c r="BN889" s="485"/>
      <c r="BO889" s="485"/>
      <c r="BP889" s="485"/>
      <c r="BQ889" s="485"/>
      <c r="BR889" s="485"/>
      <c r="BS889" s="485"/>
      <c r="BT889" s="485"/>
      <c r="BU889" s="485"/>
      <c r="BV889" s="485"/>
      <c r="BW889" s="485"/>
      <c r="BX889" s="485"/>
      <c r="BY889" s="485"/>
      <c r="BZ889" s="485"/>
      <c r="CA889" s="485"/>
      <c r="CB889" s="485"/>
      <c r="CC889" s="485"/>
      <c r="CD889" s="485"/>
      <c r="CE889" s="485"/>
      <c r="CF889" s="485"/>
      <c r="CG889" s="485"/>
      <c r="CH889" s="485"/>
      <c r="CI889" s="485"/>
      <c r="CJ889" s="485"/>
      <c r="CK889" s="485"/>
      <c r="CL889" s="485"/>
      <c r="CM889" s="485"/>
      <c r="CN889" s="485"/>
      <c r="CO889" s="485"/>
      <c r="CP889" s="485"/>
      <c r="CQ889" s="485"/>
      <c r="CR889" s="485"/>
      <c r="CS889" s="485"/>
      <c r="CT889" s="485"/>
      <c r="CU889" s="485"/>
      <c r="CV889" s="485"/>
      <c r="CW889" s="485"/>
      <c r="CX889" s="485"/>
      <c r="CY889" s="485"/>
      <c r="CZ889" s="485"/>
      <c r="DA889" s="485"/>
      <c r="DB889" s="485"/>
      <c r="DC889" s="485"/>
      <c r="DD889" s="485"/>
      <c r="DE889" s="485"/>
      <c r="DF889" s="485"/>
      <c r="DG889" s="485"/>
      <c r="DH889" s="485"/>
      <c r="DI889" s="485"/>
      <c r="DJ889" s="485"/>
      <c r="DK889" s="485"/>
      <c r="DL889" s="485"/>
      <c r="DM889" s="485"/>
      <c r="DN889" s="485"/>
      <c r="DO889" s="485"/>
      <c r="DP889" s="485"/>
      <c r="DQ889" s="485"/>
      <c r="DR889" s="485"/>
      <c r="DS889" s="485"/>
      <c r="DT889" s="485"/>
      <c r="DU889" s="485"/>
      <c r="DV889" s="485"/>
      <c r="DW889" s="485"/>
      <c r="DX889" s="485"/>
      <c r="DY889" s="485"/>
      <c r="DZ889" s="485"/>
      <c r="EA889" s="485"/>
      <c r="EB889" s="485"/>
      <c r="EC889" s="485"/>
      <c r="ED889" s="485"/>
      <c r="EE889" s="485"/>
      <c r="EF889" s="485"/>
      <c r="EG889" s="485"/>
      <c r="EH889" s="485"/>
      <c r="EI889" s="485"/>
      <c r="EJ889" s="485"/>
      <c r="EK889" s="485"/>
      <c r="EL889" s="485"/>
      <c r="EM889" s="485"/>
      <c r="EN889" s="485"/>
      <c r="EO889" s="485"/>
      <c r="EP889" s="485"/>
    </row>
    <row r="890" spans="1:146">
      <c r="A890" s="485"/>
      <c r="B890" s="485"/>
      <c r="C890" s="485"/>
      <c r="D890" s="485"/>
      <c r="E890" s="485"/>
      <c r="F890" s="485"/>
      <c r="G890" s="485"/>
      <c r="H890" s="485"/>
      <c r="I890" s="485"/>
      <c r="J890" s="485"/>
      <c r="K890" s="485"/>
      <c r="L890" s="485"/>
      <c r="M890" s="485"/>
      <c r="P890" s="485"/>
      <c r="Q890" s="485"/>
      <c r="R890" s="485"/>
      <c r="S890" s="485"/>
      <c r="T890" s="485"/>
      <c r="U890" s="485"/>
      <c r="V890" s="485"/>
      <c r="W890" s="485"/>
      <c r="X890" s="485"/>
      <c r="Y890" s="485"/>
      <c r="Z890" s="485"/>
      <c r="AA890" s="485"/>
      <c r="AB890" s="485"/>
      <c r="AC890" s="485"/>
      <c r="AD890" s="485"/>
      <c r="AE890" s="485"/>
      <c r="AF890" s="485"/>
      <c r="AG890" s="485"/>
      <c r="AH890" s="485"/>
      <c r="AI890" s="485"/>
      <c r="AJ890" s="485"/>
      <c r="AK890" s="485"/>
      <c r="AL890" s="485"/>
      <c r="AM890" s="485"/>
      <c r="AN890" s="485"/>
      <c r="AO890" s="485"/>
      <c r="AP890" s="485"/>
      <c r="AQ890" s="485"/>
      <c r="AR890" s="485"/>
      <c r="AS890" s="485"/>
      <c r="AT890" s="485"/>
      <c r="AU890" s="485"/>
      <c r="AV890" s="485"/>
      <c r="AW890" s="485"/>
      <c r="AX890" s="485"/>
      <c r="AY890" s="485"/>
      <c r="AZ890" s="485"/>
      <c r="BA890" s="485"/>
      <c r="BB890" s="485"/>
      <c r="BC890" s="485"/>
      <c r="BD890" s="485"/>
      <c r="BE890" s="485"/>
      <c r="BF890" s="485"/>
      <c r="BG890" s="485"/>
      <c r="BH890" s="485"/>
      <c r="BI890" s="485"/>
      <c r="BJ890" s="485"/>
      <c r="BK890" s="485"/>
      <c r="BL890" s="485"/>
      <c r="BM890" s="485"/>
      <c r="BN890" s="485"/>
      <c r="BO890" s="485"/>
      <c r="BP890" s="485"/>
      <c r="BQ890" s="485"/>
      <c r="BR890" s="485"/>
      <c r="BS890" s="485"/>
      <c r="BT890" s="485"/>
      <c r="BU890" s="485"/>
      <c r="BV890" s="485"/>
      <c r="BW890" s="485"/>
      <c r="BX890" s="485"/>
      <c r="BY890" s="485"/>
      <c r="BZ890" s="485"/>
      <c r="CA890" s="485"/>
      <c r="CB890" s="485"/>
      <c r="CC890" s="485"/>
      <c r="CD890" s="485"/>
      <c r="CE890" s="485"/>
      <c r="CF890" s="485"/>
      <c r="CG890" s="485"/>
      <c r="CH890" s="485"/>
      <c r="CI890" s="485"/>
      <c r="CJ890" s="485"/>
      <c r="CK890" s="485"/>
      <c r="CL890" s="485"/>
      <c r="CM890" s="485"/>
      <c r="CN890" s="485"/>
      <c r="CO890" s="485"/>
      <c r="CP890" s="485"/>
      <c r="CQ890" s="485"/>
      <c r="CR890" s="485"/>
      <c r="CS890" s="485"/>
      <c r="CT890" s="485"/>
      <c r="CU890" s="485"/>
      <c r="CV890" s="485"/>
      <c r="CW890" s="485"/>
      <c r="CX890" s="485"/>
      <c r="CY890" s="485"/>
      <c r="CZ890" s="485"/>
      <c r="DA890" s="485"/>
      <c r="DB890" s="485"/>
      <c r="DC890" s="485"/>
      <c r="DD890" s="485"/>
      <c r="DE890" s="485"/>
      <c r="DF890" s="485"/>
      <c r="DG890" s="485"/>
      <c r="DH890" s="485"/>
      <c r="DI890" s="485"/>
      <c r="DJ890" s="485"/>
      <c r="DK890" s="485"/>
      <c r="DL890" s="485"/>
      <c r="DM890" s="485"/>
      <c r="DN890" s="485"/>
      <c r="DO890" s="485"/>
      <c r="DP890" s="485"/>
      <c r="DQ890" s="485"/>
      <c r="DR890" s="485"/>
      <c r="DS890" s="485"/>
      <c r="DT890" s="485"/>
      <c r="DU890" s="485"/>
      <c r="DV890" s="485"/>
      <c r="DW890" s="485"/>
      <c r="DX890" s="485"/>
      <c r="DY890" s="485"/>
      <c r="DZ890" s="485"/>
      <c r="EA890" s="485"/>
      <c r="EB890" s="485"/>
      <c r="EC890" s="485"/>
      <c r="ED890" s="485"/>
      <c r="EE890" s="485"/>
      <c r="EF890" s="485"/>
      <c r="EG890" s="485"/>
      <c r="EH890" s="485"/>
      <c r="EI890" s="485"/>
      <c r="EJ890" s="485"/>
      <c r="EK890" s="485"/>
      <c r="EL890" s="485"/>
      <c r="EM890" s="485"/>
      <c r="EN890" s="485"/>
      <c r="EO890" s="485"/>
      <c r="EP890" s="485"/>
    </row>
    <row r="891" spans="1:146">
      <c r="A891" s="485"/>
      <c r="B891" s="485"/>
      <c r="C891" s="485"/>
      <c r="D891" s="485"/>
      <c r="E891" s="485"/>
      <c r="F891" s="485"/>
      <c r="G891" s="485"/>
      <c r="H891" s="485"/>
      <c r="I891" s="485"/>
      <c r="J891" s="485"/>
      <c r="K891" s="485"/>
      <c r="L891" s="485"/>
      <c r="M891" s="485"/>
      <c r="P891" s="485"/>
      <c r="Q891" s="485"/>
      <c r="R891" s="485"/>
      <c r="S891" s="485"/>
      <c r="T891" s="485"/>
      <c r="U891" s="485"/>
      <c r="V891" s="485"/>
      <c r="W891" s="485"/>
      <c r="X891" s="485"/>
      <c r="Y891" s="485"/>
      <c r="Z891" s="485"/>
      <c r="AA891" s="485"/>
      <c r="AB891" s="485"/>
      <c r="AC891" s="485"/>
      <c r="AD891" s="485"/>
      <c r="AE891" s="485"/>
      <c r="AF891" s="485"/>
      <c r="AG891" s="485"/>
      <c r="AH891" s="485"/>
      <c r="AI891" s="485"/>
      <c r="AJ891" s="485"/>
      <c r="AK891" s="485"/>
      <c r="AL891" s="485"/>
      <c r="AM891" s="485"/>
      <c r="AN891" s="485"/>
      <c r="AO891" s="485"/>
      <c r="AP891" s="485"/>
      <c r="AQ891" s="485"/>
      <c r="AR891" s="485"/>
      <c r="AS891" s="485"/>
      <c r="AT891" s="485"/>
      <c r="AU891" s="485"/>
      <c r="AV891" s="485"/>
      <c r="AW891" s="485"/>
      <c r="AX891" s="485"/>
      <c r="AY891" s="485"/>
      <c r="AZ891" s="485"/>
      <c r="BA891" s="485"/>
      <c r="BB891" s="485"/>
      <c r="BC891" s="485"/>
      <c r="BD891" s="485"/>
      <c r="BE891" s="485"/>
      <c r="BF891" s="485"/>
      <c r="BG891" s="485"/>
      <c r="BH891" s="485"/>
      <c r="BI891" s="485"/>
      <c r="BJ891" s="485"/>
      <c r="BK891" s="485"/>
      <c r="BL891" s="485"/>
      <c r="BM891" s="485"/>
      <c r="BN891" s="485"/>
      <c r="BO891" s="485"/>
      <c r="BP891" s="485"/>
      <c r="BQ891" s="485"/>
      <c r="BR891" s="485"/>
      <c r="BS891" s="485"/>
      <c r="BT891" s="485"/>
      <c r="BU891" s="485"/>
      <c r="BV891" s="485"/>
      <c r="BW891" s="485"/>
      <c r="BX891" s="485"/>
      <c r="BY891" s="485"/>
      <c r="BZ891" s="485"/>
      <c r="CA891" s="485"/>
      <c r="CB891" s="485"/>
      <c r="CC891" s="485"/>
      <c r="CD891" s="485"/>
      <c r="CE891" s="485"/>
      <c r="CF891" s="485"/>
      <c r="CG891" s="485"/>
      <c r="CH891" s="485"/>
      <c r="CI891" s="485"/>
      <c r="CJ891" s="485"/>
      <c r="CK891" s="485"/>
      <c r="CL891" s="485"/>
      <c r="CM891" s="485"/>
      <c r="CN891" s="485"/>
      <c r="CO891" s="485"/>
      <c r="CP891" s="485"/>
      <c r="CQ891" s="485"/>
      <c r="CR891" s="485"/>
      <c r="CS891" s="485"/>
      <c r="CT891" s="485"/>
      <c r="CU891" s="485"/>
      <c r="CV891" s="485"/>
      <c r="CW891" s="485"/>
      <c r="CX891" s="485"/>
      <c r="CY891" s="485"/>
      <c r="CZ891" s="485"/>
      <c r="DA891" s="485"/>
      <c r="DB891" s="485"/>
      <c r="DC891" s="485"/>
      <c r="DD891" s="485"/>
      <c r="DE891" s="485"/>
      <c r="DF891" s="485"/>
      <c r="DG891" s="485"/>
      <c r="DH891" s="485"/>
      <c r="DI891" s="485"/>
      <c r="DJ891" s="485"/>
      <c r="DK891" s="485"/>
      <c r="DL891" s="485"/>
      <c r="DM891" s="485"/>
      <c r="DN891" s="485"/>
      <c r="DO891" s="485"/>
      <c r="DP891" s="485"/>
      <c r="DQ891" s="485"/>
      <c r="DR891" s="485"/>
      <c r="DS891" s="485"/>
      <c r="DT891" s="485"/>
      <c r="DU891" s="485"/>
      <c r="DV891" s="485"/>
      <c r="DW891" s="485"/>
      <c r="DX891" s="485"/>
      <c r="DY891" s="485"/>
      <c r="DZ891" s="485"/>
      <c r="EA891" s="485"/>
      <c r="EB891" s="485"/>
      <c r="EC891" s="485"/>
      <c r="ED891" s="485"/>
      <c r="EE891" s="485"/>
      <c r="EF891" s="485"/>
      <c r="EG891" s="485"/>
      <c r="EH891" s="485"/>
      <c r="EI891" s="485"/>
      <c r="EJ891" s="485"/>
      <c r="EK891" s="485"/>
      <c r="EL891" s="485"/>
      <c r="EM891" s="485"/>
      <c r="EN891" s="485"/>
      <c r="EO891" s="485"/>
      <c r="EP891" s="485"/>
    </row>
    <row r="892" spans="1:146">
      <c r="A892" s="485"/>
      <c r="B892" s="485"/>
      <c r="C892" s="485"/>
      <c r="D892" s="485"/>
      <c r="E892" s="485"/>
      <c r="F892" s="485"/>
      <c r="G892" s="485"/>
      <c r="H892" s="485"/>
      <c r="I892" s="485"/>
      <c r="J892" s="485"/>
      <c r="K892" s="485"/>
      <c r="L892" s="485"/>
      <c r="M892" s="485"/>
      <c r="P892" s="485"/>
      <c r="Q892" s="485"/>
      <c r="R892" s="485"/>
      <c r="S892" s="485"/>
      <c r="T892" s="485"/>
      <c r="U892" s="485"/>
      <c r="V892" s="485"/>
      <c r="W892" s="485"/>
      <c r="X892" s="485"/>
      <c r="Y892" s="485"/>
      <c r="Z892" s="485"/>
      <c r="AA892" s="485"/>
      <c r="AB892" s="485"/>
      <c r="AC892" s="485"/>
      <c r="AD892" s="485"/>
      <c r="AE892" s="485"/>
      <c r="AF892" s="485"/>
      <c r="AG892" s="485"/>
      <c r="AH892" s="485"/>
      <c r="AI892" s="485"/>
      <c r="AJ892" s="485"/>
      <c r="AK892" s="485"/>
      <c r="AL892" s="485"/>
      <c r="AM892" s="485"/>
      <c r="AN892" s="485"/>
      <c r="AO892" s="485"/>
      <c r="AP892" s="485"/>
      <c r="AQ892" s="485"/>
      <c r="AR892" s="485"/>
      <c r="AS892" s="485"/>
      <c r="AT892" s="485"/>
      <c r="AU892" s="485"/>
      <c r="AV892" s="485"/>
      <c r="AW892" s="485"/>
      <c r="AX892" s="485"/>
      <c r="AY892" s="485"/>
      <c r="AZ892" s="485"/>
      <c r="BA892" s="485"/>
      <c r="BB892" s="485"/>
      <c r="BC892" s="485"/>
      <c r="BD892" s="485"/>
      <c r="BE892" s="485"/>
      <c r="BF892" s="485"/>
      <c r="BG892" s="485"/>
      <c r="BH892" s="485"/>
      <c r="BI892" s="485"/>
      <c r="BJ892" s="485"/>
      <c r="BK892" s="485"/>
      <c r="BL892" s="485"/>
      <c r="BM892" s="485"/>
      <c r="BN892" s="485"/>
      <c r="BO892" s="485"/>
      <c r="BP892" s="485"/>
      <c r="BQ892" s="485"/>
      <c r="BR892" s="485"/>
      <c r="BS892" s="485"/>
      <c r="BT892" s="485"/>
      <c r="BU892" s="485"/>
      <c r="BV892" s="485"/>
      <c r="BW892" s="485"/>
      <c r="BX892" s="485"/>
      <c r="BY892" s="485"/>
      <c r="BZ892" s="485"/>
      <c r="CA892" s="485"/>
      <c r="CB892" s="485"/>
      <c r="CC892" s="485"/>
      <c r="CD892" s="485"/>
      <c r="CE892" s="485"/>
      <c r="CF892" s="485"/>
      <c r="CG892" s="485"/>
      <c r="CH892" s="485"/>
      <c r="CI892" s="485"/>
      <c r="CJ892" s="485"/>
      <c r="CK892" s="485"/>
      <c r="CL892" s="485"/>
      <c r="CM892" s="485"/>
      <c r="CN892" s="485"/>
      <c r="CO892" s="485"/>
      <c r="CP892" s="485"/>
      <c r="CQ892" s="485"/>
      <c r="CR892" s="485"/>
      <c r="CS892" s="485"/>
      <c r="CT892" s="485"/>
      <c r="CU892" s="485"/>
      <c r="CV892" s="485"/>
      <c r="CW892" s="485"/>
      <c r="CX892" s="485"/>
      <c r="CY892" s="485"/>
      <c r="CZ892" s="485"/>
      <c r="DA892" s="485"/>
      <c r="DB892" s="485"/>
      <c r="DC892" s="485"/>
      <c r="DD892" s="485"/>
      <c r="DE892" s="485"/>
      <c r="DF892" s="485"/>
      <c r="DG892" s="485"/>
      <c r="DH892" s="485"/>
      <c r="DI892" s="485"/>
      <c r="DJ892" s="485"/>
      <c r="DK892" s="485"/>
      <c r="DL892" s="485"/>
      <c r="DM892" s="485"/>
      <c r="DN892" s="485"/>
      <c r="DO892" s="485"/>
      <c r="DP892" s="485"/>
      <c r="DQ892" s="485"/>
      <c r="DR892" s="485"/>
      <c r="DS892" s="485"/>
      <c r="DT892" s="485"/>
      <c r="DU892" s="485"/>
      <c r="DV892" s="485"/>
      <c r="DW892" s="485"/>
      <c r="DX892" s="485"/>
      <c r="DY892" s="485"/>
      <c r="DZ892" s="485"/>
      <c r="EA892" s="485"/>
      <c r="EB892" s="485"/>
      <c r="EC892" s="485"/>
      <c r="ED892" s="485"/>
      <c r="EE892" s="485"/>
      <c r="EF892" s="485"/>
      <c r="EG892" s="485"/>
      <c r="EH892" s="485"/>
      <c r="EI892" s="485"/>
      <c r="EJ892" s="485"/>
      <c r="EK892" s="485"/>
      <c r="EL892" s="485"/>
      <c r="EM892" s="485"/>
      <c r="EN892" s="485"/>
      <c r="EO892" s="485"/>
      <c r="EP892" s="485"/>
    </row>
    <row r="893" spans="1:146">
      <c r="A893" s="485"/>
      <c r="B893" s="485"/>
      <c r="C893" s="485"/>
      <c r="D893" s="485"/>
      <c r="E893" s="485"/>
      <c r="F893" s="485"/>
      <c r="G893" s="485"/>
      <c r="H893" s="485"/>
      <c r="I893" s="485"/>
      <c r="J893" s="485"/>
      <c r="K893" s="485"/>
      <c r="L893" s="485"/>
      <c r="M893" s="485"/>
      <c r="P893" s="485"/>
      <c r="Q893" s="485"/>
      <c r="R893" s="485"/>
      <c r="S893" s="485"/>
      <c r="T893" s="485"/>
      <c r="U893" s="485"/>
      <c r="V893" s="485"/>
      <c r="W893" s="485"/>
      <c r="X893" s="485"/>
      <c r="Y893" s="485"/>
      <c r="Z893" s="485"/>
      <c r="AA893" s="485"/>
      <c r="AB893" s="485"/>
      <c r="AC893" s="485"/>
      <c r="AD893" s="485"/>
      <c r="AE893" s="485"/>
      <c r="AF893" s="485"/>
      <c r="AG893" s="485"/>
      <c r="AH893" s="485"/>
      <c r="AI893" s="485"/>
      <c r="AJ893" s="485"/>
      <c r="AK893" s="485"/>
      <c r="AL893" s="485"/>
      <c r="AM893" s="485"/>
      <c r="AN893" s="485"/>
      <c r="AO893" s="485"/>
      <c r="AP893" s="485"/>
      <c r="AQ893" s="485"/>
      <c r="AR893" s="485"/>
      <c r="AS893" s="485"/>
      <c r="AT893" s="485"/>
      <c r="AU893" s="485"/>
      <c r="AV893" s="485"/>
      <c r="AW893" s="485"/>
      <c r="AX893" s="485"/>
      <c r="AY893" s="485"/>
      <c r="AZ893" s="485"/>
      <c r="BA893" s="485"/>
      <c r="BB893" s="485"/>
      <c r="BC893" s="485"/>
      <c r="BD893" s="485"/>
      <c r="BE893" s="485"/>
      <c r="BF893" s="485"/>
      <c r="BG893" s="485"/>
      <c r="BH893" s="485"/>
      <c r="BI893" s="485"/>
      <c r="BJ893" s="485"/>
      <c r="BK893" s="485"/>
      <c r="BL893" s="485"/>
      <c r="BM893" s="485"/>
      <c r="BN893" s="485"/>
      <c r="BO893" s="485"/>
      <c r="BP893" s="485"/>
      <c r="BQ893" s="485"/>
      <c r="BR893" s="485"/>
      <c r="BS893" s="485"/>
      <c r="BT893" s="485"/>
      <c r="BU893" s="485"/>
      <c r="BV893" s="485"/>
      <c r="BW893" s="485"/>
      <c r="BX893" s="485"/>
      <c r="BY893" s="485"/>
      <c r="BZ893" s="485"/>
      <c r="CA893" s="485"/>
      <c r="CB893" s="485"/>
      <c r="CC893" s="485"/>
      <c r="CD893" s="485"/>
      <c r="CE893" s="485"/>
      <c r="CF893" s="485"/>
      <c r="CG893" s="485"/>
      <c r="CH893" s="485"/>
      <c r="CI893" s="485"/>
      <c r="CJ893" s="485"/>
      <c r="CK893" s="485"/>
      <c r="CL893" s="485"/>
      <c r="CM893" s="485"/>
      <c r="CN893" s="485"/>
      <c r="CO893" s="485"/>
      <c r="CP893" s="485"/>
      <c r="CQ893" s="485"/>
      <c r="CR893" s="485"/>
      <c r="CS893" s="485"/>
      <c r="CT893" s="485"/>
      <c r="CU893" s="485"/>
      <c r="CV893" s="485"/>
      <c r="CW893" s="485"/>
      <c r="CX893" s="485"/>
      <c r="CY893" s="485"/>
      <c r="CZ893" s="485"/>
      <c r="DA893" s="485"/>
      <c r="DB893" s="485"/>
      <c r="DC893" s="485"/>
      <c r="DD893" s="485"/>
      <c r="DE893" s="485"/>
      <c r="DF893" s="485"/>
      <c r="DG893" s="485"/>
      <c r="DH893" s="485"/>
      <c r="DI893" s="485"/>
      <c r="DJ893" s="485"/>
      <c r="DK893" s="485"/>
      <c r="DL893" s="485"/>
      <c r="DM893" s="485"/>
      <c r="DN893" s="485"/>
      <c r="DO893" s="485"/>
      <c r="DP893" s="485"/>
      <c r="DQ893" s="485"/>
      <c r="DR893" s="485"/>
      <c r="DS893" s="485"/>
      <c r="DT893" s="485"/>
      <c r="DU893" s="485"/>
      <c r="DV893" s="485"/>
      <c r="DW893" s="485"/>
      <c r="DX893" s="485"/>
      <c r="DY893" s="485"/>
      <c r="DZ893" s="485"/>
      <c r="EA893" s="485"/>
      <c r="EB893" s="485"/>
      <c r="EC893" s="485"/>
      <c r="ED893" s="485"/>
      <c r="EE893" s="485"/>
      <c r="EF893" s="485"/>
      <c r="EG893" s="485"/>
      <c r="EH893" s="485"/>
      <c r="EI893" s="485"/>
      <c r="EJ893" s="485"/>
      <c r="EK893" s="485"/>
      <c r="EL893" s="485"/>
      <c r="EM893" s="485"/>
      <c r="EN893" s="485"/>
      <c r="EO893" s="485"/>
      <c r="EP893" s="485"/>
    </row>
    <row r="894" spans="1:146">
      <c r="A894" s="485"/>
      <c r="B894" s="485"/>
      <c r="C894" s="485"/>
      <c r="D894" s="485"/>
      <c r="E894" s="485"/>
      <c r="F894" s="485"/>
      <c r="G894" s="485"/>
      <c r="H894" s="485"/>
      <c r="I894" s="485"/>
      <c r="J894" s="485"/>
      <c r="K894" s="485"/>
      <c r="L894" s="485"/>
      <c r="M894" s="485"/>
      <c r="P894" s="485"/>
      <c r="Q894" s="485"/>
      <c r="R894" s="485"/>
      <c r="S894" s="485"/>
      <c r="T894" s="485"/>
      <c r="U894" s="485"/>
      <c r="V894" s="485"/>
      <c r="W894" s="485"/>
      <c r="X894" s="485"/>
      <c r="Y894" s="485"/>
      <c r="Z894" s="485"/>
      <c r="AA894" s="485"/>
      <c r="AB894" s="485"/>
      <c r="AC894" s="485"/>
      <c r="AD894" s="485"/>
      <c r="AE894" s="485"/>
      <c r="AF894" s="485"/>
      <c r="AG894" s="485"/>
      <c r="AH894" s="485"/>
      <c r="AI894" s="485"/>
      <c r="AJ894" s="485"/>
      <c r="AK894" s="485"/>
      <c r="AL894" s="485"/>
      <c r="AM894" s="485"/>
      <c r="AN894" s="485"/>
      <c r="AO894" s="485"/>
      <c r="AP894" s="485"/>
      <c r="AQ894" s="485"/>
      <c r="AR894" s="485"/>
      <c r="AS894" s="485"/>
      <c r="AT894" s="485"/>
      <c r="AU894" s="485"/>
      <c r="AV894" s="485"/>
      <c r="AW894" s="485"/>
      <c r="AX894" s="485"/>
      <c r="AY894" s="485"/>
      <c r="AZ894" s="485"/>
      <c r="BA894" s="485"/>
      <c r="BB894" s="485"/>
      <c r="BC894" s="485"/>
      <c r="BD894" s="485"/>
      <c r="BE894" s="485"/>
      <c r="BF894" s="485"/>
      <c r="BG894" s="485"/>
      <c r="BH894" s="485"/>
      <c r="BI894" s="485"/>
      <c r="BJ894" s="485"/>
      <c r="BK894" s="485"/>
      <c r="BL894" s="485"/>
      <c r="BM894" s="485"/>
      <c r="BN894" s="485"/>
      <c r="BO894" s="485"/>
      <c r="BP894" s="485"/>
      <c r="BQ894" s="485"/>
      <c r="BR894" s="485"/>
      <c r="BS894" s="485"/>
      <c r="BT894" s="485"/>
      <c r="BU894" s="485"/>
      <c r="BV894" s="485"/>
      <c r="BW894" s="485"/>
      <c r="BX894" s="485"/>
      <c r="BY894" s="485"/>
      <c r="BZ894" s="485"/>
      <c r="CA894" s="485"/>
      <c r="CB894" s="485"/>
      <c r="CC894" s="485"/>
      <c r="CD894" s="485"/>
      <c r="CE894" s="485"/>
      <c r="CF894" s="485"/>
      <c r="CG894" s="485"/>
      <c r="CH894" s="485"/>
      <c r="CI894" s="485"/>
      <c r="CJ894" s="485"/>
      <c r="CK894" s="485"/>
      <c r="CL894" s="485"/>
      <c r="CM894" s="485"/>
      <c r="CN894" s="485"/>
      <c r="CO894" s="485"/>
      <c r="CP894" s="485"/>
      <c r="CQ894" s="485"/>
      <c r="CR894" s="485"/>
      <c r="CS894" s="485"/>
      <c r="CT894" s="485"/>
      <c r="CU894" s="485"/>
      <c r="CV894" s="485"/>
      <c r="CW894" s="485"/>
      <c r="CX894" s="485"/>
      <c r="CY894" s="485"/>
      <c r="CZ894" s="485"/>
      <c r="DA894" s="485"/>
      <c r="DB894" s="485"/>
      <c r="DC894" s="485"/>
      <c r="DD894" s="485"/>
      <c r="DE894" s="485"/>
      <c r="DF894" s="485"/>
      <c r="DG894" s="485"/>
      <c r="DH894" s="485"/>
      <c r="DI894" s="485"/>
      <c r="DJ894" s="485"/>
      <c r="DK894" s="485"/>
      <c r="DL894" s="485"/>
      <c r="DM894" s="485"/>
      <c r="DN894" s="485"/>
      <c r="DO894" s="485"/>
      <c r="DP894" s="485"/>
      <c r="DQ894" s="485"/>
      <c r="DR894" s="485"/>
      <c r="DS894" s="485"/>
      <c r="DT894" s="485"/>
      <c r="DU894" s="485"/>
      <c r="DV894" s="485"/>
      <c r="DW894" s="485"/>
      <c r="DX894" s="485"/>
      <c r="DY894" s="485"/>
      <c r="DZ894" s="485"/>
      <c r="EA894" s="485"/>
      <c r="EB894" s="485"/>
      <c r="EC894" s="485"/>
      <c r="ED894" s="485"/>
      <c r="EE894" s="485"/>
      <c r="EF894" s="485"/>
      <c r="EG894" s="485"/>
      <c r="EH894" s="485"/>
      <c r="EI894" s="485"/>
      <c r="EJ894" s="485"/>
      <c r="EK894" s="485"/>
      <c r="EL894" s="485"/>
      <c r="EM894" s="485"/>
      <c r="EN894" s="485"/>
      <c r="EO894" s="485"/>
      <c r="EP894" s="485"/>
    </row>
    <row r="895" spans="1:146">
      <c r="A895" s="485"/>
      <c r="B895" s="485"/>
      <c r="C895" s="485"/>
      <c r="D895" s="485"/>
      <c r="E895" s="485"/>
      <c r="F895" s="485"/>
      <c r="G895" s="485"/>
      <c r="H895" s="485"/>
      <c r="I895" s="485"/>
      <c r="J895" s="485"/>
      <c r="K895" s="485"/>
      <c r="L895" s="485"/>
      <c r="M895" s="485"/>
      <c r="P895" s="485"/>
      <c r="Q895" s="485"/>
      <c r="R895" s="485"/>
      <c r="S895" s="485"/>
      <c r="T895" s="485"/>
      <c r="U895" s="485"/>
      <c r="V895" s="485"/>
      <c r="W895" s="485"/>
      <c r="X895" s="485"/>
      <c r="Y895" s="485"/>
      <c r="Z895" s="485"/>
      <c r="AA895" s="485"/>
      <c r="AB895" s="485"/>
      <c r="AC895" s="485"/>
      <c r="AD895" s="485"/>
      <c r="AE895" s="485"/>
      <c r="AF895" s="485"/>
      <c r="AG895" s="485"/>
      <c r="AH895" s="485"/>
      <c r="AI895" s="485"/>
      <c r="AJ895" s="485"/>
      <c r="AK895" s="485"/>
      <c r="AL895" s="485"/>
      <c r="AM895" s="485"/>
      <c r="AN895" s="485"/>
      <c r="AO895" s="485"/>
      <c r="AP895" s="485"/>
      <c r="AQ895" s="485"/>
      <c r="AR895" s="485"/>
      <c r="AS895" s="485"/>
      <c r="AT895" s="485"/>
      <c r="AU895" s="485"/>
      <c r="AV895" s="485"/>
      <c r="AW895" s="485"/>
      <c r="AX895" s="485"/>
      <c r="AY895" s="485"/>
      <c r="AZ895" s="485"/>
      <c r="BA895" s="485"/>
      <c r="BB895" s="485"/>
      <c r="BC895" s="485"/>
      <c r="BD895" s="485"/>
      <c r="BE895" s="485"/>
      <c r="BF895" s="485"/>
      <c r="BG895" s="485"/>
      <c r="BH895" s="485"/>
      <c r="BI895" s="485"/>
      <c r="BJ895" s="485"/>
      <c r="BK895" s="485"/>
      <c r="BL895" s="485"/>
      <c r="BM895" s="485"/>
      <c r="BN895" s="485"/>
      <c r="BO895" s="485"/>
      <c r="BP895" s="485"/>
      <c r="BQ895" s="485"/>
      <c r="BR895" s="485"/>
      <c r="BS895" s="485"/>
      <c r="BT895" s="485"/>
      <c r="BU895" s="485"/>
      <c r="BV895" s="485"/>
      <c r="BW895" s="485"/>
      <c r="BX895" s="485"/>
      <c r="BY895" s="485"/>
      <c r="BZ895" s="485"/>
      <c r="CA895" s="485"/>
      <c r="CB895" s="485"/>
      <c r="CC895" s="485"/>
      <c r="CD895" s="485"/>
      <c r="CE895" s="485"/>
      <c r="CF895" s="485"/>
      <c r="CG895" s="485"/>
      <c r="CH895" s="485"/>
      <c r="CI895" s="485"/>
      <c r="CJ895" s="485"/>
      <c r="CK895" s="485"/>
      <c r="CL895" s="485"/>
      <c r="CM895" s="485"/>
      <c r="CN895" s="485"/>
      <c r="CO895" s="485"/>
      <c r="CP895" s="485"/>
      <c r="CQ895" s="485"/>
      <c r="CR895" s="485"/>
      <c r="CS895" s="485"/>
      <c r="CT895" s="485"/>
      <c r="CU895" s="485"/>
      <c r="CV895" s="485"/>
      <c r="CW895" s="485"/>
      <c r="CX895" s="485"/>
      <c r="CY895" s="485"/>
      <c r="CZ895" s="485"/>
      <c r="DA895" s="485"/>
      <c r="DB895" s="485"/>
      <c r="DC895" s="485"/>
      <c r="DD895" s="485"/>
      <c r="DE895" s="485"/>
      <c r="DF895" s="485"/>
      <c r="DG895" s="485"/>
      <c r="DH895" s="485"/>
      <c r="DI895" s="485"/>
      <c r="DJ895" s="485"/>
      <c r="DK895" s="485"/>
      <c r="DL895" s="485"/>
      <c r="DM895" s="485"/>
      <c r="DN895" s="485"/>
      <c r="DO895" s="485"/>
      <c r="DP895" s="485"/>
      <c r="DQ895" s="485"/>
      <c r="DR895" s="485"/>
      <c r="DS895" s="485"/>
      <c r="DT895" s="485"/>
      <c r="DU895" s="485"/>
      <c r="DV895" s="485"/>
      <c r="DW895" s="485"/>
      <c r="DX895" s="485"/>
      <c r="DY895" s="485"/>
      <c r="DZ895" s="485"/>
      <c r="EA895" s="485"/>
      <c r="EB895" s="485"/>
      <c r="EC895" s="485"/>
      <c r="ED895" s="485"/>
      <c r="EE895" s="485"/>
      <c r="EF895" s="485"/>
      <c r="EG895" s="485"/>
      <c r="EH895" s="485"/>
      <c r="EI895" s="485"/>
      <c r="EJ895" s="485"/>
      <c r="EK895" s="485"/>
      <c r="EL895" s="485"/>
      <c r="EM895" s="485"/>
      <c r="EN895" s="485"/>
      <c r="EO895" s="485"/>
      <c r="EP895" s="485"/>
    </row>
    <row r="896" spans="1:146">
      <c r="A896" s="485"/>
      <c r="B896" s="485"/>
      <c r="C896" s="485"/>
      <c r="D896" s="485"/>
      <c r="E896" s="485"/>
      <c r="F896" s="485"/>
      <c r="G896" s="485"/>
      <c r="H896" s="485"/>
      <c r="I896" s="485"/>
      <c r="J896" s="485"/>
      <c r="K896" s="485"/>
      <c r="L896" s="485"/>
      <c r="M896" s="485"/>
      <c r="P896" s="485"/>
      <c r="Q896" s="485"/>
      <c r="R896" s="485"/>
      <c r="S896" s="485"/>
      <c r="T896" s="485"/>
      <c r="U896" s="485"/>
      <c r="V896" s="485"/>
      <c r="W896" s="485"/>
      <c r="X896" s="485"/>
      <c r="Y896" s="485"/>
      <c r="Z896" s="485"/>
      <c r="AA896" s="485"/>
      <c r="AB896" s="485"/>
      <c r="AC896" s="485"/>
      <c r="AD896" s="485"/>
      <c r="AE896" s="485"/>
      <c r="AF896" s="485"/>
      <c r="AG896" s="485"/>
      <c r="AH896" s="485"/>
      <c r="AI896" s="485"/>
      <c r="AJ896" s="485"/>
      <c r="AK896" s="485"/>
      <c r="AL896" s="485"/>
      <c r="AM896" s="485"/>
      <c r="AN896" s="485"/>
      <c r="AO896" s="485"/>
      <c r="AP896" s="485"/>
      <c r="AQ896" s="485"/>
      <c r="AR896" s="485"/>
      <c r="AS896" s="485"/>
      <c r="AT896" s="485"/>
      <c r="AU896" s="485"/>
      <c r="AV896" s="485"/>
      <c r="AW896" s="485"/>
      <c r="AX896" s="485"/>
      <c r="AY896" s="485"/>
      <c r="AZ896" s="485"/>
      <c r="BA896" s="485"/>
      <c r="BB896" s="485"/>
      <c r="BC896" s="485"/>
      <c r="BD896" s="485"/>
      <c r="BE896" s="485"/>
      <c r="BF896" s="485"/>
      <c r="BG896" s="485"/>
      <c r="BH896" s="485"/>
      <c r="BI896" s="485"/>
      <c r="BJ896" s="485"/>
      <c r="BK896" s="485"/>
      <c r="BL896" s="485"/>
      <c r="BM896" s="485"/>
      <c r="BN896" s="485"/>
      <c r="BO896" s="485"/>
      <c r="BP896" s="485"/>
      <c r="BQ896" s="485"/>
      <c r="BR896" s="485"/>
      <c r="BS896" s="485"/>
      <c r="BT896" s="485"/>
      <c r="BU896" s="485"/>
      <c r="BV896" s="485"/>
      <c r="BW896" s="485"/>
      <c r="BX896" s="485"/>
      <c r="BY896" s="485"/>
      <c r="BZ896" s="485"/>
      <c r="CA896" s="485"/>
      <c r="CB896" s="485"/>
      <c r="CC896" s="485"/>
      <c r="CD896" s="485"/>
      <c r="CE896" s="485"/>
      <c r="CF896" s="485"/>
      <c r="CG896" s="485"/>
      <c r="CH896" s="485"/>
      <c r="CI896" s="485"/>
      <c r="CJ896" s="485"/>
      <c r="CK896" s="485"/>
      <c r="CL896" s="485"/>
      <c r="CM896" s="485"/>
      <c r="CN896" s="485"/>
      <c r="CO896" s="485"/>
      <c r="CP896" s="485"/>
      <c r="CQ896" s="485"/>
      <c r="CR896" s="485"/>
      <c r="CS896" s="485"/>
      <c r="CT896" s="485"/>
      <c r="CU896" s="485"/>
      <c r="CV896" s="485"/>
      <c r="CW896" s="485"/>
      <c r="CX896" s="485"/>
      <c r="CY896" s="485"/>
      <c r="CZ896" s="485"/>
      <c r="DA896" s="485"/>
      <c r="DB896" s="485"/>
      <c r="DC896" s="485"/>
      <c r="DD896" s="485"/>
      <c r="DE896" s="485"/>
      <c r="DF896" s="485"/>
      <c r="DG896" s="485"/>
      <c r="DH896" s="485"/>
      <c r="DI896" s="485"/>
      <c r="DJ896" s="485"/>
      <c r="DK896" s="485"/>
      <c r="DL896" s="485"/>
      <c r="DM896" s="485"/>
      <c r="DN896" s="485"/>
      <c r="DO896" s="485"/>
      <c r="DP896" s="485"/>
      <c r="DQ896" s="485"/>
      <c r="DR896" s="485"/>
      <c r="DS896" s="485"/>
      <c r="DT896" s="485"/>
      <c r="DU896" s="485"/>
      <c r="DV896" s="485"/>
      <c r="DW896" s="485"/>
      <c r="DX896" s="485"/>
      <c r="DY896" s="485"/>
      <c r="DZ896" s="485"/>
      <c r="EA896" s="485"/>
      <c r="EB896" s="485"/>
      <c r="EC896" s="485"/>
      <c r="ED896" s="485"/>
      <c r="EE896" s="485"/>
      <c r="EF896" s="485"/>
      <c r="EG896" s="485"/>
      <c r="EH896" s="485"/>
      <c r="EI896" s="485"/>
      <c r="EJ896" s="485"/>
      <c r="EK896" s="485"/>
      <c r="EL896" s="485"/>
      <c r="EM896" s="485"/>
      <c r="EN896" s="485"/>
      <c r="EO896" s="485"/>
      <c r="EP896" s="485"/>
    </row>
    <row r="897" spans="1:146">
      <c r="A897" s="485"/>
      <c r="B897" s="485"/>
      <c r="C897" s="485"/>
      <c r="D897" s="485"/>
      <c r="E897" s="485"/>
      <c r="F897" s="485"/>
      <c r="G897" s="485"/>
      <c r="H897" s="485"/>
      <c r="I897" s="485"/>
      <c r="J897" s="485"/>
      <c r="K897" s="485"/>
      <c r="L897" s="485"/>
      <c r="M897" s="485"/>
      <c r="P897" s="485"/>
      <c r="Q897" s="485"/>
      <c r="R897" s="485"/>
      <c r="S897" s="485"/>
      <c r="T897" s="485"/>
      <c r="U897" s="485"/>
      <c r="V897" s="485"/>
      <c r="W897" s="485"/>
      <c r="X897" s="485"/>
      <c r="Y897" s="485"/>
      <c r="Z897" s="485"/>
      <c r="AA897" s="485"/>
      <c r="AB897" s="485"/>
      <c r="AC897" s="485"/>
      <c r="AD897" s="485"/>
      <c r="AE897" s="485"/>
      <c r="AF897" s="485"/>
      <c r="AG897" s="485"/>
      <c r="AH897" s="485"/>
      <c r="AI897" s="485"/>
      <c r="AJ897" s="485"/>
      <c r="AK897" s="485"/>
      <c r="AL897" s="485"/>
      <c r="AM897" s="485"/>
      <c r="AN897" s="485"/>
      <c r="AO897" s="485"/>
      <c r="AP897" s="485"/>
      <c r="AQ897" s="485"/>
      <c r="AR897" s="485"/>
      <c r="AS897" s="485"/>
      <c r="AT897" s="485"/>
      <c r="AU897" s="485"/>
      <c r="AV897" s="485"/>
      <c r="AW897" s="485"/>
      <c r="AX897" s="485"/>
      <c r="AY897" s="485"/>
      <c r="AZ897" s="485"/>
      <c r="BA897" s="485"/>
      <c r="BB897" s="485"/>
      <c r="BC897" s="485"/>
      <c r="BD897" s="485"/>
      <c r="BE897" s="485"/>
      <c r="BF897" s="485"/>
      <c r="BG897" s="485"/>
      <c r="BH897" s="485"/>
      <c r="BI897" s="485"/>
      <c r="BJ897" s="485"/>
      <c r="BK897" s="485"/>
      <c r="BL897" s="485"/>
      <c r="BM897" s="485"/>
      <c r="BN897" s="485"/>
      <c r="BO897" s="485"/>
      <c r="BP897" s="485"/>
      <c r="BQ897" s="485"/>
      <c r="BR897" s="485"/>
      <c r="BS897" s="485"/>
      <c r="BT897" s="485"/>
      <c r="BU897" s="485"/>
      <c r="BV897" s="485"/>
      <c r="BW897" s="485"/>
      <c r="BX897" s="485"/>
      <c r="BY897" s="485"/>
      <c r="BZ897" s="485"/>
      <c r="CA897" s="485"/>
      <c r="CB897" s="485"/>
      <c r="CC897" s="485"/>
      <c r="CD897" s="485"/>
      <c r="CE897" s="485"/>
      <c r="CF897" s="485"/>
      <c r="CG897" s="485"/>
      <c r="CH897" s="485"/>
      <c r="CI897" s="485"/>
      <c r="CJ897" s="485"/>
      <c r="CK897" s="485"/>
      <c r="CL897" s="485"/>
      <c r="CM897" s="485"/>
      <c r="CN897" s="485"/>
      <c r="CO897" s="485"/>
      <c r="CP897" s="485"/>
      <c r="CQ897" s="485"/>
      <c r="CR897" s="485"/>
      <c r="CS897" s="485"/>
      <c r="CT897" s="485"/>
      <c r="CU897" s="485"/>
      <c r="CV897" s="485"/>
      <c r="CW897" s="485"/>
      <c r="CX897" s="485"/>
      <c r="CY897" s="485"/>
      <c r="CZ897" s="485"/>
      <c r="DA897" s="485"/>
      <c r="DB897" s="485"/>
      <c r="DC897" s="485"/>
      <c r="DD897" s="485"/>
      <c r="DE897" s="485"/>
      <c r="DF897" s="485"/>
      <c r="DG897" s="485"/>
      <c r="DH897" s="485"/>
      <c r="DI897" s="485"/>
      <c r="DJ897" s="485"/>
      <c r="DK897" s="485"/>
      <c r="DL897" s="485"/>
      <c r="DM897" s="485"/>
      <c r="DN897" s="485"/>
      <c r="DO897" s="485"/>
      <c r="DP897" s="485"/>
      <c r="DQ897" s="485"/>
      <c r="DR897" s="485"/>
      <c r="DS897" s="485"/>
      <c r="DT897" s="485"/>
      <c r="DU897" s="485"/>
      <c r="DV897" s="485"/>
      <c r="DW897" s="485"/>
      <c r="DX897" s="485"/>
      <c r="DY897" s="485"/>
      <c r="DZ897" s="485"/>
      <c r="EA897" s="485"/>
      <c r="EB897" s="485"/>
      <c r="EC897" s="485"/>
      <c r="ED897" s="485"/>
      <c r="EE897" s="485"/>
      <c r="EF897" s="485"/>
      <c r="EG897" s="485"/>
      <c r="EH897" s="485"/>
      <c r="EI897" s="485"/>
      <c r="EJ897" s="485"/>
      <c r="EK897" s="485"/>
      <c r="EL897" s="485"/>
      <c r="EM897" s="485"/>
      <c r="EN897" s="485"/>
      <c r="EO897" s="485"/>
      <c r="EP897" s="485"/>
    </row>
    <row r="898" spans="1:146">
      <c r="A898" s="485"/>
      <c r="B898" s="485"/>
      <c r="C898" s="485"/>
      <c r="D898" s="485"/>
      <c r="E898" s="485"/>
      <c r="F898" s="485"/>
      <c r="G898" s="485"/>
      <c r="H898" s="485"/>
      <c r="I898" s="485"/>
      <c r="J898" s="485"/>
      <c r="K898" s="485"/>
      <c r="L898" s="485"/>
      <c r="M898" s="485"/>
      <c r="P898" s="485"/>
      <c r="Q898" s="485"/>
      <c r="R898" s="485"/>
      <c r="S898" s="485"/>
      <c r="T898" s="485"/>
      <c r="U898" s="485"/>
      <c r="V898" s="485"/>
      <c r="W898" s="485"/>
      <c r="X898" s="485"/>
      <c r="Y898" s="485"/>
      <c r="Z898" s="485"/>
      <c r="AA898" s="485"/>
      <c r="AB898" s="485"/>
      <c r="AC898" s="485"/>
      <c r="AD898" s="485"/>
      <c r="AE898" s="485"/>
      <c r="AF898" s="485"/>
      <c r="AG898" s="485"/>
      <c r="AH898" s="485"/>
      <c r="AI898" s="485"/>
      <c r="AJ898" s="485"/>
      <c r="AK898" s="485"/>
      <c r="AL898" s="485"/>
      <c r="AM898" s="485"/>
      <c r="AN898" s="485"/>
      <c r="AO898" s="485"/>
      <c r="AP898" s="485"/>
      <c r="AQ898" s="485"/>
      <c r="AR898" s="485"/>
      <c r="AS898" s="485"/>
      <c r="AT898" s="485"/>
      <c r="AU898" s="485"/>
      <c r="AV898" s="485"/>
      <c r="AW898" s="485"/>
      <c r="AX898" s="485"/>
      <c r="AY898" s="485"/>
      <c r="AZ898" s="485"/>
      <c r="BA898" s="485"/>
      <c r="BB898" s="485"/>
      <c r="BC898" s="485"/>
      <c r="BD898" s="485"/>
      <c r="BE898" s="485"/>
      <c r="BF898" s="485"/>
      <c r="BG898" s="485"/>
      <c r="BH898" s="485"/>
      <c r="BI898" s="485"/>
      <c r="BJ898" s="485"/>
      <c r="BK898" s="485"/>
      <c r="BL898" s="485"/>
      <c r="BM898" s="485"/>
      <c r="BN898" s="485"/>
      <c r="BO898" s="485"/>
      <c r="BP898" s="485"/>
      <c r="BQ898" s="485"/>
      <c r="BR898" s="485"/>
      <c r="BS898" s="485"/>
      <c r="BT898" s="485"/>
      <c r="BU898" s="485"/>
      <c r="BV898" s="485"/>
      <c r="BW898" s="485"/>
      <c r="BX898" s="485"/>
      <c r="BY898" s="485"/>
      <c r="BZ898" s="485"/>
      <c r="CA898" s="485"/>
      <c r="CB898" s="485"/>
      <c r="CC898" s="485"/>
      <c r="CD898" s="485"/>
      <c r="CE898" s="485"/>
      <c r="CF898" s="485"/>
      <c r="CG898" s="485"/>
      <c r="CH898" s="485"/>
      <c r="CI898" s="485"/>
      <c r="CJ898" s="485"/>
      <c r="CK898" s="485"/>
      <c r="CL898" s="485"/>
      <c r="CM898" s="485"/>
      <c r="CN898" s="485"/>
      <c r="CO898" s="485"/>
      <c r="CP898" s="485"/>
      <c r="CQ898" s="485"/>
      <c r="CR898" s="485"/>
      <c r="CS898" s="485"/>
      <c r="CT898" s="485"/>
      <c r="CU898" s="485"/>
      <c r="CV898" s="485"/>
      <c r="CW898" s="485"/>
      <c r="CX898" s="485"/>
      <c r="CY898" s="485"/>
      <c r="CZ898" s="485"/>
      <c r="DA898" s="485"/>
      <c r="DB898" s="485"/>
      <c r="DC898" s="485"/>
      <c r="DD898" s="485"/>
      <c r="DE898" s="485"/>
      <c r="DF898" s="485"/>
      <c r="DG898" s="485"/>
      <c r="DH898" s="485"/>
      <c r="DI898" s="485"/>
      <c r="DJ898" s="485"/>
      <c r="DK898" s="485"/>
      <c r="DL898" s="485"/>
      <c r="DM898" s="485"/>
      <c r="DN898" s="485"/>
      <c r="DO898" s="485"/>
      <c r="DP898" s="485"/>
      <c r="DQ898" s="485"/>
      <c r="DR898" s="485"/>
      <c r="DS898" s="485"/>
      <c r="DT898" s="485"/>
      <c r="DU898" s="485"/>
      <c r="DV898" s="485"/>
      <c r="DW898" s="485"/>
      <c r="DX898" s="485"/>
      <c r="DY898" s="485"/>
      <c r="DZ898" s="485"/>
      <c r="EA898" s="485"/>
      <c r="EB898" s="485"/>
      <c r="EC898" s="485"/>
      <c r="ED898" s="485"/>
      <c r="EE898" s="485"/>
      <c r="EF898" s="485"/>
      <c r="EG898" s="485"/>
      <c r="EH898" s="485"/>
      <c r="EI898" s="485"/>
      <c r="EJ898" s="485"/>
      <c r="EK898" s="485"/>
      <c r="EL898" s="485"/>
      <c r="EM898" s="485"/>
      <c r="EN898" s="485"/>
      <c r="EO898" s="485"/>
      <c r="EP898" s="485"/>
    </row>
    <row r="899" spans="1:146">
      <c r="A899" s="485"/>
      <c r="B899" s="485"/>
      <c r="C899" s="485"/>
      <c r="D899" s="485"/>
      <c r="E899" s="485"/>
      <c r="F899" s="485"/>
      <c r="G899" s="485"/>
      <c r="H899" s="485"/>
      <c r="I899" s="485"/>
      <c r="J899" s="485"/>
      <c r="K899" s="485"/>
      <c r="L899" s="485"/>
      <c r="M899" s="485"/>
      <c r="P899" s="485"/>
      <c r="Q899" s="485"/>
      <c r="R899" s="485"/>
      <c r="S899" s="485"/>
      <c r="T899" s="485"/>
      <c r="U899" s="485"/>
      <c r="V899" s="485"/>
      <c r="W899" s="485"/>
      <c r="X899" s="485"/>
      <c r="Y899" s="485"/>
      <c r="Z899" s="485"/>
      <c r="AA899" s="485"/>
      <c r="AB899" s="485"/>
      <c r="AC899" s="485"/>
      <c r="AD899" s="485"/>
      <c r="AE899" s="485"/>
      <c r="AF899" s="485"/>
      <c r="AG899" s="485"/>
      <c r="AH899" s="485"/>
      <c r="AI899" s="485"/>
      <c r="AJ899" s="485"/>
      <c r="AK899" s="485"/>
      <c r="AL899" s="485"/>
      <c r="AM899" s="485"/>
      <c r="AN899" s="485"/>
      <c r="AO899" s="485"/>
      <c r="AP899" s="485"/>
      <c r="AQ899" s="485"/>
      <c r="AR899" s="485"/>
      <c r="AS899" s="485"/>
      <c r="AT899" s="485"/>
      <c r="AU899" s="485"/>
      <c r="AV899" s="485"/>
      <c r="AW899" s="485"/>
      <c r="AX899" s="485"/>
      <c r="AY899" s="485"/>
      <c r="AZ899" s="485"/>
      <c r="BA899" s="485"/>
      <c r="BB899" s="485"/>
      <c r="BC899" s="485"/>
      <c r="BD899" s="485"/>
      <c r="BE899" s="485"/>
      <c r="BF899" s="485"/>
      <c r="BG899" s="485"/>
      <c r="BH899" s="485"/>
      <c r="BI899" s="485"/>
      <c r="BJ899" s="485"/>
      <c r="BK899" s="485"/>
      <c r="BL899" s="485"/>
      <c r="BM899" s="485"/>
      <c r="BN899" s="485"/>
      <c r="BO899" s="485"/>
      <c r="BP899" s="485"/>
      <c r="BQ899" s="485"/>
      <c r="BR899" s="485"/>
      <c r="BS899" s="485"/>
      <c r="BT899" s="485"/>
      <c r="BU899" s="485"/>
      <c r="BV899" s="485"/>
      <c r="BW899" s="485"/>
      <c r="BX899" s="485"/>
      <c r="BY899" s="485"/>
      <c r="BZ899" s="485"/>
      <c r="CA899" s="485"/>
      <c r="CB899" s="485"/>
      <c r="CC899" s="485"/>
      <c r="CD899" s="485"/>
      <c r="CE899" s="485"/>
      <c r="CF899" s="485"/>
      <c r="CG899" s="485"/>
      <c r="CH899" s="485"/>
      <c r="CI899" s="485"/>
      <c r="CJ899" s="485"/>
      <c r="CK899" s="485"/>
      <c r="CL899" s="485"/>
      <c r="CM899" s="485"/>
      <c r="CN899" s="485"/>
      <c r="CO899" s="485"/>
      <c r="CP899" s="485"/>
      <c r="CQ899" s="485"/>
      <c r="CR899" s="485"/>
      <c r="CS899" s="485"/>
      <c r="CT899" s="485"/>
      <c r="CU899" s="485"/>
      <c r="CV899" s="485"/>
      <c r="CW899" s="485"/>
      <c r="CX899" s="485"/>
      <c r="CY899" s="485"/>
      <c r="CZ899" s="485"/>
      <c r="DA899" s="485"/>
      <c r="DB899" s="485"/>
      <c r="DC899" s="485"/>
      <c r="DD899" s="485"/>
      <c r="DE899" s="485"/>
      <c r="DF899" s="485"/>
      <c r="DG899" s="485"/>
      <c r="DH899" s="485"/>
      <c r="DI899" s="485"/>
      <c r="DJ899" s="485"/>
      <c r="DK899" s="485"/>
      <c r="DL899" s="485"/>
      <c r="DM899" s="485"/>
      <c r="DN899" s="485"/>
      <c r="DO899" s="485"/>
      <c r="DP899" s="485"/>
      <c r="DQ899" s="485"/>
      <c r="DR899" s="485"/>
      <c r="DS899" s="485"/>
      <c r="DT899" s="485"/>
      <c r="DU899" s="485"/>
      <c r="DV899" s="485"/>
      <c r="DW899" s="485"/>
      <c r="DX899" s="485"/>
      <c r="DY899" s="485"/>
      <c r="DZ899" s="485"/>
      <c r="EA899" s="485"/>
      <c r="EB899" s="485"/>
      <c r="EC899" s="485"/>
      <c r="ED899" s="485"/>
      <c r="EE899" s="485"/>
      <c r="EF899" s="485"/>
      <c r="EG899" s="485"/>
      <c r="EH899" s="485"/>
      <c r="EI899" s="485"/>
      <c r="EJ899" s="485"/>
      <c r="EK899" s="485"/>
      <c r="EL899" s="485"/>
      <c r="EM899" s="485"/>
      <c r="EN899" s="485"/>
      <c r="EO899" s="485"/>
      <c r="EP899" s="485"/>
    </row>
    <row r="900" spans="1:146">
      <c r="A900" s="485"/>
      <c r="B900" s="485"/>
      <c r="C900" s="485"/>
      <c r="D900" s="485"/>
      <c r="E900" s="485"/>
      <c r="F900" s="485"/>
      <c r="G900" s="485"/>
      <c r="H900" s="485"/>
      <c r="I900" s="485"/>
      <c r="J900" s="485"/>
      <c r="K900" s="485"/>
      <c r="L900" s="485"/>
      <c r="M900" s="485"/>
      <c r="P900" s="485"/>
      <c r="Q900" s="485"/>
      <c r="R900" s="485"/>
      <c r="S900" s="485"/>
      <c r="T900" s="485"/>
      <c r="U900" s="485"/>
      <c r="V900" s="485"/>
      <c r="W900" s="485"/>
      <c r="X900" s="485"/>
      <c r="Y900" s="485"/>
      <c r="Z900" s="485"/>
      <c r="AA900" s="485"/>
      <c r="AB900" s="485"/>
      <c r="AC900" s="485"/>
      <c r="AD900" s="485"/>
      <c r="AE900" s="485"/>
      <c r="AF900" s="485"/>
      <c r="AG900" s="485"/>
      <c r="AH900" s="485"/>
      <c r="AI900" s="485"/>
      <c r="AJ900" s="485"/>
      <c r="AK900" s="485"/>
      <c r="AL900" s="485"/>
      <c r="AM900" s="485"/>
      <c r="AN900" s="485"/>
      <c r="AO900" s="485"/>
      <c r="AP900" s="485"/>
      <c r="AQ900" s="485"/>
      <c r="AR900" s="485"/>
      <c r="AS900" s="485"/>
      <c r="AT900" s="485"/>
      <c r="AU900" s="485"/>
      <c r="AV900" s="485"/>
      <c r="AW900" s="485"/>
      <c r="AX900" s="485"/>
      <c r="AY900" s="485"/>
      <c r="AZ900" s="485"/>
      <c r="BA900" s="485"/>
      <c r="BB900" s="485"/>
      <c r="BC900" s="485"/>
      <c r="BD900" s="485"/>
      <c r="BE900" s="485"/>
      <c r="BF900" s="485"/>
      <c r="BG900" s="485"/>
      <c r="BH900" s="485"/>
      <c r="BI900" s="485"/>
      <c r="BJ900" s="485"/>
      <c r="BK900" s="485"/>
      <c r="BL900" s="485"/>
      <c r="BM900" s="485"/>
      <c r="BN900" s="485"/>
      <c r="BO900" s="485"/>
      <c r="BP900" s="485"/>
      <c r="BQ900" s="485"/>
      <c r="BR900" s="485"/>
      <c r="BS900" s="485"/>
      <c r="BT900" s="485"/>
      <c r="BU900" s="485"/>
      <c r="BV900" s="485"/>
      <c r="BW900" s="485"/>
      <c r="BX900" s="485"/>
      <c r="BY900" s="485"/>
      <c r="BZ900" s="485"/>
      <c r="CA900" s="485"/>
      <c r="CB900" s="485"/>
      <c r="CC900" s="485"/>
      <c r="CD900" s="485"/>
      <c r="CE900" s="485"/>
      <c r="CF900" s="485"/>
      <c r="CG900" s="485"/>
      <c r="CH900" s="485"/>
      <c r="CI900" s="485"/>
      <c r="CJ900" s="485"/>
      <c r="CK900" s="485"/>
      <c r="CL900" s="485"/>
      <c r="CM900" s="485"/>
      <c r="CN900" s="485"/>
      <c r="CO900" s="485"/>
      <c r="CP900" s="485"/>
      <c r="CQ900" s="485"/>
      <c r="CR900" s="485"/>
      <c r="CS900" s="485"/>
      <c r="CT900" s="485"/>
      <c r="CU900" s="485"/>
      <c r="CV900" s="485"/>
      <c r="CW900" s="485"/>
      <c r="CX900" s="485"/>
      <c r="CY900" s="485"/>
      <c r="CZ900" s="485"/>
      <c r="DA900" s="485"/>
      <c r="DB900" s="485"/>
      <c r="DC900" s="485"/>
      <c r="DD900" s="485"/>
      <c r="DE900" s="485"/>
      <c r="DF900" s="485"/>
      <c r="DG900" s="485"/>
      <c r="DH900" s="485"/>
      <c r="DI900" s="485"/>
      <c r="DJ900" s="485"/>
      <c r="DK900" s="485"/>
      <c r="DL900" s="485"/>
      <c r="DM900" s="485"/>
      <c r="DN900" s="485"/>
      <c r="DO900" s="485"/>
      <c r="DP900" s="485"/>
      <c r="DQ900" s="485"/>
      <c r="DR900" s="485"/>
      <c r="DS900" s="485"/>
      <c r="DT900" s="485"/>
      <c r="DU900" s="485"/>
      <c r="DV900" s="485"/>
      <c r="DW900" s="485"/>
      <c r="DX900" s="485"/>
      <c r="DY900" s="485"/>
      <c r="DZ900" s="485"/>
      <c r="EA900" s="485"/>
      <c r="EB900" s="485"/>
      <c r="EC900" s="485"/>
      <c r="ED900" s="485"/>
      <c r="EE900" s="485"/>
      <c r="EF900" s="485"/>
      <c r="EG900" s="485"/>
      <c r="EH900" s="485"/>
      <c r="EI900" s="485"/>
      <c r="EJ900" s="485"/>
      <c r="EK900" s="485"/>
      <c r="EL900" s="485"/>
      <c r="EM900" s="485"/>
      <c r="EN900" s="485"/>
      <c r="EO900" s="485"/>
      <c r="EP900" s="485"/>
    </row>
    <row r="901" spans="1:146">
      <c r="A901" s="485"/>
      <c r="B901" s="485"/>
      <c r="C901" s="485"/>
      <c r="D901" s="485"/>
      <c r="E901" s="485"/>
      <c r="F901" s="485"/>
      <c r="G901" s="485"/>
      <c r="H901" s="485"/>
      <c r="I901" s="485"/>
      <c r="J901" s="485"/>
      <c r="K901" s="485"/>
      <c r="L901" s="485"/>
      <c r="M901" s="485"/>
      <c r="P901" s="485"/>
      <c r="Q901" s="485"/>
      <c r="R901" s="485"/>
      <c r="S901" s="485"/>
      <c r="T901" s="485"/>
      <c r="U901" s="485"/>
      <c r="V901" s="485"/>
      <c r="W901" s="485"/>
      <c r="X901" s="485"/>
      <c r="Y901" s="485"/>
      <c r="Z901" s="485"/>
      <c r="AA901" s="485"/>
      <c r="AB901" s="485"/>
      <c r="AC901" s="485"/>
      <c r="AD901" s="485"/>
      <c r="AE901" s="485"/>
      <c r="AF901" s="485"/>
      <c r="AG901" s="485"/>
      <c r="AH901" s="485"/>
      <c r="AI901" s="485"/>
      <c r="AJ901" s="485"/>
      <c r="AK901" s="485"/>
      <c r="AL901" s="485"/>
      <c r="AM901" s="485"/>
      <c r="AN901" s="485"/>
      <c r="AO901" s="485"/>
      <c r="AP901" s="485"/>
      <c r="AQ901" s="485"/>
      <c r="AR901" s="485"/>
      <c r="AS901" s="485"/>
      <c r="AT901" s="485"/>
      <c r="AU901" s="485"/>
      <c r="AV901" s="485"/>
      <c r="AW901" s="485"/>
      <c r="AX901" s="485"/>
      <c r="AY901" s="485"/>
      <c r="AZ901" s="485"/>
      <c r="BA901" s="485"/>
      <c r="BB901" s="485"/>
      <c r="BC901" s="485"/>
      <c r="BD901" s="485"/>
      <c r="BE901" s="485"/>
      <c r="BF901" s="485"/>
      <c r="BG901" s="485"/>
      <c r="BH901" s="485"/>
      <c r="BI901" s="485"/>
      <c r="BJ901" s="485"/>
      <c r="BK901" s="485"/>
      <c r="BL901" s="485"/>
      <c r="BM901" s="485"/>
      <c r="BN901" s="485"/>
      <c r="BO901" s="485"/>
      <c r="BP901" s="485"/>
      <c r="BQ901" s="485"/>
      <c r="BR901" s="485"/>
      <c r="BS901" s="485"/>
      <c r="BT901" s="485"/>
      <c r="BU901" s="485"/>
      <c r="BV901" s="485"/>
      <c r="BW901" s="485"/>
      <c r="BX901" s="485"/>
      <c r="BY901" s="485"/>
      <c r="BZ901" s="485"/>
      <c r="CA901" s="485"/>
      <c r="CB901" s="485"/>
      <c r="CC901" s="485"/>
      <c r="CD901" s="485"/>
      <c r="CE901" s="485"/>
      <c r="CF901" s="485"/>
      <c r="CG901" s="485"/>
      <c r="CH901" s="485"/>
      <c r="CI901" s="485"/>
      <c r="CJ901" s="485"/>
      <c r="CK901" s="485"/>
      <c r="CL901" s="485"/>
      <c r="CM901" s="485"/>
      <c r="CN901" s="485"/>
      <c r="CO901" s="485"/>
      <c r="CP901" s="485"/>
      <c r="CQ901" s="485"/>
      <c r="CR901" s="485"/>
      <c r="CS901" s="485"/>
      <c r="CT901" s="485"/>
      <c r="CU901" s="485"/>
      <c r="CV901" s="485"/>
      <c r="CW901" s="485"/>
      <c r="CX901" s="485"/>
      <c r="CY901" s="485"/>
      <c r="CZ901" s="485"/>
      <c r="DA901" s="485"/>
      <c r="DB901" s="485"/>
      <c r="DC901" s="485"/>
      <c r="DD901" s="485"/>
      <c r="DE901" s="485"/>
      <c r="DF901" s="485"/>
      <c r="DG901" s="485"/>
      <c r="DH901" s="485"/>
      <c r="DI901" s="485"/>
      <c r="DJ901" s="485"/>
      <c r="DK901" s="485"/>
      <c r="DL901" s="485"/>
      <c r="DM901" s="485"/>
      <c r="DN901" s="485"/>
      <c r="DO901" s="485"/>
      <c r="DP901" s="485"/>
      <c r="DQ901" s="485"/>
      <c r="DR901" s="485"/>
      <c r="DS901" s="485"/>
      <c r="DT901" s="485"/>
      <c r="DU901" s="485"/>
      <c r="DV901" s="485"/>
      <c r="DW901" s="485"/>
      <c r="DX901" s="485"/>
      <c r="DY901" s="485"/>
      <c r="DZ901" s="485"/>
      <c r="EA901" s="485"/>
      <c r="EB901" s="485"/>
      <c r="EC901" s="485"/>
      <c r="ED901" s="485"/>
      <c r="EE901" s="485"/>
      <c r="EF901" s="485"/>
      <c r="EG901" s="485"/>
      <c r="EH901" s="485"/>
      <c r="EI901" s="485"/>
      <c r="EJ901" s="485"/>
      <c r="EK901" s="485"/>
      <c r="EL901" s="485"/>
      <c r="EM901" s="485"/>
      <c r="EN901" s="485"/>
      <c r="EO901" s="485"/>
      <c r="EP901" s="485"/>
    </row>
    <row r="902" spans="1:146">
      <c r="A902" s="485"/>
      <c r="B902" s="485"/>
      <c r="C902" s="485"/>
      <c r="D902" s="485"/>
      <c r="E902" s="485"/>
      <c r="F902" s="485"/>
      <c r="G902" s="485"/>
      <c r="H902" s="485"/>
      <c r="I902" s="485"/>
      <c r="J902" s="485"/>
      <c r="K902" s="485"/>
      <c r="L902" s="485"/>
      <c r="M902" s="485"/>
      <c r="P902" s="485"/>
      <c r="Q902" s="485"/>
      <c r="R902" s="485"/>
      <c r="S902" s="485"/>
      <c r="T902" s="485"/>
      <c r="U902" s="485"/>
      <c r="V902" s="485"/>
      <c r="W902" s="485"/>
      <c r="X902" s="485"/>
      <c r="Y902" s="485"/>
      <c r="Z902" s="485"/>
      <c r="AA902" s="485"/>
      <c r="AB902" s="485"/>
      <c r="AC902" s="485"/>
      <c r="AD902" s="485"/>
      <c r="AE902" s="485"/>
      <c r="AF902" s="485"/>
      <c r="AG902" s="485"/>
      <c r="AH902" s="485"/>
      <c r="AI902" s="485"/>
      <c r="AJ902" s="485"/>
      <c r="AK902" s="485"/>
      <c r="AL902" s="485"/>
      <c r="AM902" s="485"/>
      <c r="AN902" s="485"/>
      <c r="AO902" s="485"/>
      <c r="AP902" s="485"/>
      <c r="AQ902" s="485"/>
      <c r="AR902" s="485"/>
      <c r="AS902" s="485"/>
      <c r="AT902" s="485"/>
      <c r="AU902" s="485"/>
      <c r="AV902" s="485"/>
      <c r="AW902" s="485"/>
      <c r="AX902" s="485"/>
      <c r="AY902" s="485"/>
      <c r="AZ902" s="485"/>
      <c r="BA902" s="485"/>
      <c r="BB902" s="485"/>
      <c r="BC902" s="485"/>
      <c r="BD902" s="485"/>
      <c r="BE902" s="485"/>
      <c r="BF902" s="485"/>
      <c r="BG902" s="485"/>
      <c r="BH902" s="485"/>
      <c r="BI902" s="485"/>
      <c r="BJ902" s="485"/>
      <c r="BK902" s="485"/>
      <c r="BL902" s="485"/>
      <c r="BM902" s="485"/>
      <c r="BN902" s="485"/>
      <c r="BO902" s="485"/>
      <c r="BP902" s="485"/>
      <c r="BQ902" s="485"/>
      <c r="BR902" s="485"/>
      <c r="BS902" s="485"/>
      <c r="BT902" s="485"/>
      <c r="BU902" s="485"/>
      <c r="BV902" s="485"/>
      <c r="BW902" s="485"/>
      <c r="BX902" s="485"/>
      <c r="BY902" s="485"/>
      <c r="BZ902" s="485"/>
      <c r="CA902" s="485"/>
      <c r="CB902" s="485"/>
      <c r="CC902" s="485"/>
      <c r="CD902" s="485"/>
      <c r="CE902" s="485"/>
      <c r="CF902" s="485"/>
      <c r="CG902" s="485"/>
      <c r="CH902" s="485"/>
      <c r="CI902" s="485"/>
      <c r="CJ902" s="485"/>
      <c r="CK902" s="485"/>
      <c r="CL902" s="485"/>
      <c r="CM902" s="485"/>
      <c r="CN902" s="485"/>
      <c r="CO902" s="485"/>
      <c r="CP902" s="485"/>
      <c r="CQ902" s="485"/>
      <c r="CR902" s="485"/>
      <c r="CS902" s="485"/>
      <c r="CT902" s="485"/>
      <c r="CU902" s="485"/>
      <c r="CV902" s="485"/>
      <c r="CW902" s="485"/>
      <c r="CX902" s="485"/>
      <c r="CY902" s="485"/>
      <c r="CZ902" s="485"/>
      <c r="DA902" s="485"/>
      <c r="DB902" s="485"/>
      <c r="DC902" s="485"/>
      <c r="DD902" s="485"/>
      <c r="DE902" s="485"/>
      <c r="DF902" s="485"/>
      <c r="DG902" s="485"/>
      <c r="DH902" s="485"/>
      <c r="DI902" s="485"/>
      <c r="DJ902" s="485"/>
      <c r="DK902" s="485"/>
      <c r="DL902" s="485"/>
      <c r="DM902" s="485"/>
      <c r="DN902" s="485"/>
      <c r="DO902" s="485"/>
      <c r="DP902" s="485"/>
      <c r="DQ902" s="485"/>
      <c r="DR902" s="485"/>
      <c r="DS902" s="485"/>
      <c r="DT902" s="485"/>
      <c r="DU902" s="485"/>
      <c r="DV902" s="485"/>
      <c r="DW902" s="485"/>
      <c r="DX902" s="485"/>
      <c r="DY902" s="485"/>
      <c r="DZ902" s="485"/>
      <c r="EA902" s="485"/>
      <c r="EB902" s="485"/>
      <c r="EC902" s="485"/>
      <c r="ED902" s="485"/>
      <c r="EE902" s="485"/>
      <c r="EF902" s="485"/>
      <c r="EG902" s="485"/>
      <c r="EH902" s="485"/>
      <c r="EI902" s="485"/>
      <c r="EJ902" s="485"/>
      <c r="EK902" s="485"/>
      <c r="EL902" s="485"/>
      <c r="EM902" s="485"/>
      <c r="EN902" s="485"/>
      <c r="EO902" s="485"/>
      <c r="EP902" s="485"/>
    </row>
    <row r="903" spans="1:146">
      <c r="A903" s="485"/>
      <c r="B903" s="485"/>
      <c r="C903" s="485"/>
      <c r="D903" s="485"/>
      <c r="E903" s="485"/>
      <c r="F903" s="485"/>
      <c r="G903" s="485"/>
      <c r="H903" s="485"/>
      <c r="I903" s="485"/>
      <c r="J903" s="485"/>
      <c r="K903" s="485"/>
      <c r="L903" s="485"/>
      <c r="M903" s="485"/>
      <c r="P903" s="485"/>
      <c r="Q903" s="485"/>
      <c r="R903" s="485"/>
      <c r="S903" s="485"/>
      <c r="T903" s="485"/>
      <c r="U903" s="485"/>
      <c r="V903" s="485"/>
      <c r="W903" s="485"/>
      <c r="X903" s="485"/>
      <c r="Y903" s="485"/>
      <c r="Z903" s="485"/>
      <c r="AA903" s="485"/>
      <c r="AB903" s="485"/>
      <c r="AC903" s="485"/>
      <c r="AD903" s="485"/>
      <c r="AE903" s="485"/>
      <c r="AF903" s="485"/>
      <c r="AG903" s="485"/>
      <c r="AH903" s="485"/>
      <c r="AI903" s="485"/>
      <c r="AJ903" s="485"/>
      <c r="AK903" s="485"/>
      <c r="AL903" s="485"/>
      <c r="AM903" s="485"/>
      <c r="AN903" s="485"/>
      <c r="AO903" s="485"/>
      <c r="AP903" s="485"/>
      <c r="AQ903" s="485"/>
      <c r="AR903" s="485"/>
      <c r="AS903" s="485"/>
      <c r="AT903" s="485"/>
      <c r="AU903" s="485"/>
      <c r="AV903" s="485"/>
      <c r="AW903" s="485"/>
      <c r="AX903" s="485"/>
      <c r="AY903" s="485"/>
      <c r="AZ903" s="485"/>
      <c r="BA903" s="485"/>
      <c r="BB903" s="485"/>
      <c r="BC903" s="485"/>
      <c r="BD903" s="485"/>
      <c r="BE903" s="485"/>
      <c r="BF903" s="485"/>
      <c r="BG903" s="485"/>
      <c r="BH903" s="485"/>
      <c r="BI903" s="485"/>
      <c r="BJ903" s="485"/>
      <c r="BK903" s="485"/>
      <c r="BL903" s="485"/>
      <c r="BM903" s="485"/>
      <c r="BN903" s="485"/>
      <c r="BO903" s="485"/>
      <c r="BP903" s="485"/>
      <c r="BQ903" s="485"/>
      <c r="BR903" s="485"/>
      <c r="BS903" s="485"/>
      <c r="BT903" s="485"/>
      <c r="BU903" s="485"/>
      <c r="BV903" s="485"/>
      <c r="BW903" s="485"/>
      <c r="BX903" s="485"/>
      <c r="BY903" s="485"/>
      <c r="BZ903" s="485"/>
      <c r="CA903" s="485"/>
      <c r="CB903" s="485"/>
      <c r="CC903" s="485"/>
      <c r="CD903" s="485"/>
      <c r="CE903" s="485"/>
      <c r="CF903" s="485"/>
      <c r="CG903" s="485"/>
      <c r="CH903" s="485"/>
      <c r="CI903" s="485"/>
      <c r="CJ903" s="485"/>
      <c r="CK903" s="485"/>
      <c r="CL903" s="485"/>
      <c r="CM903" s="485"/>
      <c r="CN903" s="485"/>
      <c r="CO903" s="485"/>
      <c r="CP903" s="485"/>
      <c r="CQ903" s="485"/>
      <c r="CR903" s="485"/>
      <c r="CS903" s="485"/>
      <c r="CT903" s="485"/>
      <c r="CU903" s="485"/>
      <c r="CV903" s="485"/>
      <c r="CW903" s="485"/>
      <c r="CX903" s="485"/>
      <c r="CY903" s="485"/>
      <c r="CZ903" s="485"/>
      <c r="DA903" s="485"/>
      <c r="DB903" s="485"/>
      <c r="DC903" s="485"/>
      <c r="DD903" s="485"/>
      <c r="DE903" s="485"/>
      <c r="DF903" s="485"/>
      <c r="DG903" s="485"/>
      <c r="DH903" s="485"/>
      <c r="DI903" s="485"/>
      <c r="DJ903" s="485"/>
      <c r="DK903" s="485"/>
      <c r="DL903" s="485"/>
      <c r="DM903" s="485"/>
      <c r="DN903" s="485"/>
      <c r="DO903" s="485"/>
      <c r="DP903" s="485"/>
      <c r="DQ903" s="485"/>
      <c r="DR903" s="485"/>
      <c r="DS903" s="485"/>
      <c r="DT903" s="485"/>
      <c r="DU903" s="485"/>
      <c r="DV903" s="485"/>
      <c r="DW903" s="485"/>
      <c r="DX903" s="485"/>
      <c r="DY903" s="485"/>
      <c r="DZ903" s="485"/>
      <c r="EA903" s="485"/>
      <c r="EB903" s="485"/>
      <c r="EC903" s="485"/>
      <c r="ED903" s="485"/>
      <c r="EE903" s="485"/>
      <c r="EF903" s="485"/>
      <c r="EG903" s="485"/>
      <c r="EH903" s="485"/>
      <c r="EI903" s="485"/>
      <c r="EJ903" s="485"/>
      <c r="EK903" s="485"/>
      <c r="EL903" s="485"/>
      <c r="EM903" s="485"/>
      <c r="EN903" s="485"/>
      <c r="EO903" s="485"/>
      <c r="EP903" s="485"/>
    </row>
    <row r="904" spans="1:146">
      <c r="A904" s="485"/>
      <c r="B904" s="485"/>
      <c r="C904" s="485"/>
      <c r="D904" s="485"/>
      <c r="E904" s="485"/>
      <c r="F904" s="485"/>
      <c r="G904" s="485"/>
      <c r="H904" s="485"/>
      <c r="I904" s="485"/>
      <c r="J904" s="485"/>
      <c r="K904" s="485"/>
      <c r="L904" s="485"/>
      <c r="M904" s="485"/>
      <c r="P904" s="485"/>
      <c r="Q904" s="485"/>
      <c r="R904" s="485"/>
      <c r="S904" s="485"/>
      <c r="T904" s="485"/>
      <c r="U904" s="485"/>
      <c r="V904" s="485"/>
      <c r="W904" s="485"/>
      <c r="X904" s="485"/>
      <c r="Y904" s="485"/>
      <c r="Z904" s="485"/>
      <c r="AA904" s="485"/>
      <c r="AB904" s="485"/>
      <c r="AC904" s="485"/>
      <c r="AD904" s="485"/>
      <c r="AE904" s="485"/>
      <c r="AF904" s="485"/>
      <c r="AG904" s="485"/>
      <c r="AH904" s="485"/>
      <c r="AI904" s="485"/>
      <c r="AJ904" s="485"/>
      <c r="AK904" s="485"/>
      <c r="AL904" s="485"/>
      <c r="AM904" s="485"/>
      <c r="AN904" s="485"/>
      <c r="AO904" s="485"/>
      <c r="AP904" s="485"/>
      <c r="AQ904" s="485"/>
      <c r="AR904" s="485"/>
      <c r="AS904" s="485"/>
      <c r="AT904" s="485"/>
      <c r="AU904" s="485"/>
      <c r="AV904" s="485"/>
      <c r="AW904" s="485"/>
      <c r="AX904" s="485"/>
      <c r="AY904" s="485"/>
      <c r="AZ904" s="485"/>
      <c r="BA904" s="485"/>
      <c r="BB904" s="485"/>
      <c r="BC904" s="485"/>
      <c r="BD904" s="485"/>
      <c r="BE904" s="485"/>
      <c r="BF904" s="485"/>
      <c r="BG904" s="485"/>
      <c r="BH904" s="485"/>
      <c r="BI904" s="485"/>
      <c r="BJ904" s="485"/>
      <c r="BK904" s="485"/>
      <c r="BL904" s="485"/>
      <c r="BM904" s="485"/>
      <c r="BN904" s="485"/>
      <c r="BO904" s="485"/>
      <c r="BP904" s="485"/>
      <c r="BQ904" s="485"/>
      <c r="BR904" s="485"/>
      <c r="BS904" s="485"/>
      <c r="BT904" s="485"/>
      <c r="BU904" s="485"/>
      <c r="BV904" s="485"/>
      <c r="BW904" s="485"/>
      <c r="BX904" s="485"/>
      <c r="BY904" s="485"/>
      <c r="BZ904" s="485"/>
      <c r="CA904" s="485"/>
      <c r="CB904" s="485"/>
      <c r="CC904" s="485"/>
      <c r="CD904" s="485"/>
      <c r="CE904" s="485"/>
      <c r="CF904" s="485"/>
      <c r="CG904" s="485"/>
      <c r="CH904" s="485"/>
      <c r="CI904" s="485"/>
      <c r="CJ904" s="485"/>
      <c r="CK904" s="485"/>
      <c r="CL904" s="485"/>
      <c r="CM904" s="485"/>
      <c r="CN904" s="485"/>
      <c r="CO904" s="485"/>
      <c r="CP904" s="485"/>
      <c r="CQ904" s="485"/>
      <c r="CR904" s="485"/>
      <c r="CS904" s="485"/>
      <c r="CT904" s="485"/>
      <c r="CU904" s="485"/>
      <c r="CV904" s="485"/>
      <c r="CW904" s="485"/>
      <c r="CX904" s="485"/>
      <c r="CY904" s="485"/>
      <c r="CZ904" s="485"/>
      <c r="DA904" s="485"/>
      <c r="DB904" s="485"/>
      <c r="DC904" s="485"/>
      <c r="DD904" s="485"/>
      <c r="DE904" s="485"/>
      <c r="DF904" s="485"/>
      <c r="DG904" s="485"/>
      <c r="DH904" s="485"/>
      <c r="DI904" s="485"/>
      <c r="DJ904" s="485"/>
      <c r="DK904" s="485"/>
      <c r="DL904" s="485"/>
      <c r="DM904" s="485"/>
      <c r="DN904" s="485"/>
      <c r="DO904" s="485"/>
      <c r="DP904" s="485"/>
      <c r="DQ904" s="485"/>
      <c r="DR904" s="485"/>
      <c r="DS904" s="485"/>
      <c r="DT904" s="485"/>
      <c r="DU904" s="485"/>
      <c r="DV904" s="485"/>
      <c r="DW904" s="485"/>
      <c r="DX904" s="485"/>
      <c r="DY904" s="485"/>
      <c r="DZ904" s="485"/>
      <c r="EA904" s="485"/>
      <c r="EB904" s="485"/>
      <c r="EC904" s="485"/>
      <c r="ED904" s="485"/>
      <c r="EE904" s="485"/>
      <c r="EF904" s="485"/>
      <c r="EG904" s="485"/>
      <c r="EH904" s="485"/>
      <c r="EI904" s="485"/>
      <c r="EJ904" s="485"/>
      <c r="EK904" s="485"/>
      <c r="EL904" s="485"/>
      <c r="EM904" s="485"/>
      <c r="EN904" s="485"/>
      <c r="EO904" s="485"/>
      <c r="EP904" s="485"/>
    </row>
    <row r="905" spans="1:146">
      <c r="A905" s="485"/>
      <c r="B905" s="485"/>
      <c r="C905" s="485"/>
      <c r="D905" s="485"/>
      <c r="E905" s="485"/>
      <c r="F905" s="485"/>
      <c r="G905" s="485"/>
      <c r="H905" s="485"/>
      <c r="I905" s="485"/>
      <c r="J905" s="485"/>
      <c r="K905" s="485"/>
      <c r="L905" s="485"/>
      <c r="M905" s="485"/>
      <c r="P905" s="485"/>
      <c r="Q905" s="485"/>
      <c r="R905" s="485"/>
      <c r="S905" s="485"/>
      <c r="T905" s="485"/>
      <c r="U905" s="485"/>
      <c r="V905" s="485"/>
      <c r="W905" s="485"/>
      <c r="X905" s="485"/>
      <c r="Y905" s="485"/>
      <c r="Z905" s="485"/>
      <c r="AA905" s="485"/>
      <c r="AB905" s="485"/>
      <c r="AC905" s="485"/>
      <c r="AD905" s="485"/>
      <c r="AE905" s="485"/>
      <c r="AF905" s="485"/>
      <c r="AG905" s="485"/>
      <c r="AH905" s="485"/>
      <c r="AI905" s="485"/>
      <c r="AJ905" s="485"/>
      <c r="AK905" s="485"/>
      <c r="AL905" s="485"/>
      <c r="AM905" s="485"/>
      <c r="AN905" s="485"/>
      <c r="AO905" s="485"/>
      <c r="AP905" s="485"/>
      <c r="AQ905" s="485"/>
      <c r="AR905" s="485"/>
      <c r="AS905" s="485"/>
      <c r="AT905" s="485"/>
      <c r="AU905" s="485"/>
      <c r="AV905" s="485"/>
      <c r="AW905" s="485"/>
      <c r="AX905" s="485"/>
      <c r="AY905" s="485"/>
      <c r="AZ905" s="485"/>
      <c r="BA905" s="485"/>
      <c r="BB905" s="485"/>
      <c r="BC905" s="485"/>
      <c r="BD905" s="485"/>
      <c r="BE905" s="485"/>
      <c r="BF905" s="485"/>
      <c r="BG905" s="485"/>
      <c r="BH905" s="485"/>
      <c r="BI905" s="485"/>
      <c r="BJ905" s="485"/>
      <c r="BK905" s="485"/>
      <c r="BL905" s="485"/>
      <c r="BM905" s="485"/>
      <c r="BN905" s="485"/>
      <c r="BO905" s="485"/>
      <c r="BP905" s="485"/>
      <c r="BQ905" s="485"/>
      <c r="BR905" s="485"/>
      <c r="BS905" s="485"/>
      <c r="BT905" s="485"/>
      <c r="BU905" s="485"/>
      <c r="BV905" s="485"/>
      <c r="BW905" s="485"/>
      <c r="BX905" s="485"/>
      <c r="BY905" s="485"/>
      <c r="BZ905" s="485"/>
      <c r="CA905" s="485"/>
      <c r="CB905" s="485"/>
      <c r="CC905" s="485"/>
      <c r="CD905" s="485"/>
      <c r="CE905" s="485"/>
      <c r="CF905" s="485"/>
      <c r="CG905" s="485"/>
      <c r="CH905" s="485"/>
      <c r="CI905" s="485"/>
      <c r="CJ905" s="485"/>
      <c r="CK905" s="485"/>
      <c r="CL905" s="485"/>
      <c r="CM905" s="485"/>
      <c r="CN905" s="485"/>
      <c r="CO905" s="485"/>
      <c r="CP905" s="485"/>
      <c r="CQ905" s="485"/>
      <c r="CR905" s="485"/>
      <c r="CS905" s="485"/>
      <c r="CT905" s="485"/>
      <c r="CU905" s="485"/>
      <c r="CV905" s="485"/>
      <c r="CW905" s="485"/>
      <c r="CX905" s="485"/>
      <c r="CY905" s="485"/>
      <c r="CZ905" s="485"/>
      <c r="DA905" s="485"/>
      <c r="DB905" s="485"/>
      <c r="DC905" s="485"/>
      <c r="DD905" s="485"/>
      <c r="DE905" s="485"/>
      <c r="DF905" s="485"/>
      <c r="DG905" s="485"/>
      <c r="DH905" s="485"/>
      <c r="DI905" s="485"/>
      <c r="DJ905" s="485"/>
      <c r="DK905" s="485"/>
      <c r="DL905" s="485"/>
      <c r="DM905" s="485"/>
      <c r="DN905" s="485"/>
      <c r="DO905" s="485"/>
      <c r="DP905" s="485"/>
      <c r="DQ905" s="485"/>
      <c r="DR905" s="485"/>
      <c r="DS905" s="485"/>
      <c r="DT905" s="485"/>
      <c r="DU905" s="485"/>
      <c r="DV905" s="485"/>
      <c r="DW905" s="485"/>
      <c r="DX905" s="485"/>
      <c r="DY905" s="485"/>
      <c r="DZ905" s="485"/>
      <c r="EA905" s="485"/>
      <c r="EB905" s="485"/>
      <c r="EC905" s="485"/>
      <c r="ED905" s="485"/>
      <c r="EE905" s="485"/>
      <c r="EF905" s="485"/>
      <c r="EG905" s="485"/>
      <c r="EH905" s="485"/>
      <c r="EI905" s="485"/>
      <c r="EJ905" s="485"/>
      <c r="EK905" s="485"/>
      <c r="EL905" s="485"/>
      <c r="EM905" s="485"/>
      <c r="EN905" s="485"/>
      <c r="EO905" s="485"/>
      <c r="EP905" s="485"/>
    </row>
    <row r="906" spans="1:146">
      <c r="A906" s="485"/>
      <c r="B906" s="485"/>
      <c r="C906" s="485"/>
      <c r="D906" s="485"/>
      <c r="E906" s="485"/>
      <c r="F906" s="485"/>
      <c r="G906" s="485"/>
      <c r="H906" s="485"/>
      <c r="I906" s="485"/>
      <c r="J906" s="485"/>
      <c r="K906" s="485"/>
      <c r="L906" s="485"/>
      <c r="M906" s="485"/>
      <c r="P906" s="485"/>
      <c r="Q906" s="485"/>
      <c r="R906" s="485"/>
      <c r="S906" s="485"/>
      <c r="T906" s="485"/>
      <c r="U906" s="485"/>
      <c r="V906" s="485"/>
      <c r="W906" s="485"/>
      <c r="X906" s="485"/>
      <c r="Y906" s="485"/>
      <c r="Z906" s="485"/>
      <c r="AA906" s="485"/>
      <c r="AB906" s="485"/>
      <c r="AC906" s="485"/>
      <c r="AD906" s="485"/>
      <c r="AE906" s="485"/>
      <c r="AF906" s="485"/>
      <c r="AG906" s="485"/>
      <c r="AH906" s="485"/>
      <c r="AI906" s="485"/>
      <c r="AJ906" s="485"/>
      <c r="AK906" s="485"/>
      <c r="AL906" s="485"/>
      <c r="AM906" s="485"/>
      <c r="AN906" s="485"/>
      <c r="AO906" s="485"/>
      <c r="AP906" s="485"/>
      <c r="AQ906" s="485"/>
      <c r="AR906" s="485"/>
      <c r="AS906" s="485"/>
      <c r="AT906" s="485"/>
      <c r="AU906" s="485"/>
      <c r="AV906" s="485"/>
      <c r="AW906" s="485"/>
      <c r="AX906" s="485"/>
      <c r="AY906" s="485"/>
      <c r="AZ906" s="485"/>
      <c r="BA906" s="485"/>
      <c r="BB906" s="485"/>
      <c r="BC906" s="485"/>
      <c r="BD906" s="485"/>
      <c r="BE906" s="485"/>
      <c r="BF906" s="485"/>
      <c r="BG906" s="485"/>
      <c r="BH906" s="485"/>
      <c r="BI906" s="485"/>
      <c r="BJ906" s="485"/>
      <c r="BK906" s="485"/>
      <c r="BL906" s="485"/>
      <c r="BM906" s="485"/>
      <c r="BN906" s="485"/>
      <c r="BO906" s="485"/>
      <c r="BP906" s="485"/>
      <c r="BQ906" s="485"/>
      <c r="BR906" s="485"/>
      <c r="BS906" s="485"/>
      <c r="BT906" s="485"/>
      <c r="BU906" s="485"/>
      <c r="BV906" s="485"/>
      <c r="BW906" s="485"/>
      <c r="BX906" s="485"/>
      <c r="BY906" s="485"/>
      <c r="BZ906" s="485"/>
      <c r="CA906" s="485"/>
      <c r="CB906" s="485"/>
      <c r="CC906" s="485"/>
      <c r="CD906" s="485"/>
      <c r="CE906" s="485"/>
      <c r="CF906" s="485"/>
      <c r="CG906" s="485"/>
      <c r="CH906" s="485"/>
      <c r="CI906" s="485"/>
      <c r="CJ906" s="485"/>
      <c r="CK906" s="485"/>
      <c r="CL906" s="485"/>
      <c r="CM906" s="485"/>
      <c r="CN906" s="485"/>
      <c r="CO906" s="485"/>
      <c r="CP906" s="485"/>
      <c r="CQ906" s="485"/>
      <c r="CR906" s="485"/>
      <c r="CS906" s="485"/>
      <c r="CT906" s="485"/>
      <c r="CU906" s="485"/>
      <c r="CV906" s="485"/>
      <c r="CW906" s="485"/>
      <c r="CX906" s="485"/>
      <c r="CY906" s="485"/>
      <c r="CZ906" s="485"/>
      <c r="DA906" s="485"/>
      <c r="DB906" s="485"/>
      <c r="DC906" s="485"/>
      <c r="DD906" s="485"/>
      <c r="DE906" s="485"/>
      <c r="DF906" s="485"/>
      <c r="DG906" s="485"/>
      <c r="DH906" s="485"/>
      <c r="DI906" s="485"/>
      <c r="DJ906" s="485"/>
      <c r="DK906" s="485"/>
      <c r="DL906" s="485"/>
      <c r="DM906" s="485"/>
      <c r="DN906" s="485"/>
      <c r="DO906" s="485"/>
      <c r="DP906" s="485"/>
      <c r="DQ906" s="485"/>
      <c r="DR906" s="485"/>
      <c r="DS906" s="485"/>
      <c r="DT906" s="485"/>
      <c r="DU906" s="485"/>
      <c r="DV906" s="485"/>
      <c r="DW906" s="485"/>
      <c r="DX906" s="485"/>
      <c r="DY906" s="485"/>
      <c r="DZ906" s="485"/>
      <c r="EA906" s="485"/>
      <c r="EB906" s="485"/>
      <c r="EC906" s="485"/>
      <c r="ED906" s="485"/>
      <c r="EE906" s="485"/>
      <c r="EF906" s="485"/>
      <c r="EG906" s="485"/>
      <c r="EH906" s="485"/>
      <c r="EI906" s="485"/>
      <c r="EJ906" s="485"/>
      <c r="EK906" s="485"/>
      <c r="EL906" s="485"/>
      <c r="EM906" s="485"/>
      <c r="EN906" s="485"/>
      <c r="EO906" s="485"/>
      <c r="EP906" s="485"/>
    </row>
    <row r="907" spans="1:146">
      <c r="A907" s="485"/>
      <c r="B907" s="485"/>
      <c r="C907" s="485"/>
      <c r="D907" s="485"/>
      <c r="E907" s="485"/>
      <c r="F907" s="485"/>
      <c r="G907" s="485"/>
      <c r="H907" s="485"/>
      <c r="I907" s="485"/>
      <c r="J907" s="485"/>
      <c r="K907" s="485"/>
      <c r="L907" s="485"/>
      <c r="M907" s="485"/>
      <c r="P907" s="485"/>
      <c r="Q907" s="485"/>
      <c r="R907" s="485"/>
      <c r="S907" s="485"/>
      <c r="T907" s="485"/>
      <c r="U907" s="485"/>
      <c r="V907" s="485"/>
      <c r="W907" s="485"/>
      <c r="X907" s="485"/>
      <c r="Y907" s="485"/>
      <c r="Z907" s="485"/>
      <c r="AA907" s="485"/>
      <c r="AB907" s="485"/>
      <c r="AC907" s="485"/>
      <c r="AD907" s="485"/>
      <c r="AE907" s="485"/>
      <c r="AF907" s="485"/>
      <c r="AG907" s="485"/>
      <c r="AH907" s="485"/>
      <c r="AI907" s="485"/>
      <c r="AJ907" s="485"/>
      <c r="AK907" s="485"/>
      <c r="AL907" s="485"/>
      <c r="AM907" s="485"/>
      <c r="AN907" s="485"/>
      <c r="AO907" s="485"/>
      <c r="AP907" s="485"/>
      <c r="AQ907" s="485"/>
      <c r="AR907" s="485"/>
      <c r="AS907" s="485"/>
      <c r="AT907" s="485"/>
      <c r="AU907" s="485"/>
      <c r="AV907" s="485"/>
      <c r="AW907" s="485"/>
      <c r="AX907" s="485"/>
      <c r="AY907" s="485"/>
      <c r="AZ907" s="485"/>
      <c r="BA907" s="485"/>
      <c r="BB907" s="485"/>
      <c r="BC907" s="485"/>
      <c r="BD907" s="485"/>
      <c r="BE907" s="485"/>
      <c r="BF907" s="485"/>
      <c r="BG907" s="485"/>
      <c r="BH907" s="485"/>
      <c r="BI907" s="485"/>
      <c r="BJ907" s="485"/>
      <c r="BK907" s="485"/>
      <c r="BL907" s="485"/>
      <c r="BM907" s="485"/>
      <c r="BN907" s="485"/>
      <c r="BO907" s="485"/>
      <c r="BP907" s="485"/>
      <c r="BQ907" s="485"/>
      <c r="BR907" s="485"/>
      <c r="BS907" s="485"/>
      <c r="BT907" s="485"/>
      <c r="BU907" s="485"/>
      <c r="BV907" s="485"/>
      <c r="BW907" s="485"/>
      <c r="BX907" s="485"/>
      <c r="BY907" s="485"/>
      <c r="BZ907" s="485"/>
      <c r="CA907" s="485"/>
      <c r="CB907" s="485"/>
      <c r="CC907" s="485"/>
      <c r="CD907" s="485"/>
      <c r="CE907" s="485"/>
      <c r="CF907" s="485"/>
      <c r="CG907" s="485"/>
      <c r="CH907" s="485"/>
      <c r="CI907" s="485"/>
      <c r="CJ907" s="485"/>
      <c r="CK907" s="485"/>
      <c r="CL907" s="485"/>
      <c r="CM907" s="485"/>
      <c r="CN907" s="485"/>
      <c r="CO907" s="485"/>
      <c r="CP907" s="485"/>
      <c r="CQ907" s="485"/>
      <c r="CR907" s="485"/>
      <c r="CS907" s="485"/>
      <c r="CT907" s="485"/>
      <c r="CU907" s="485"/>
      <c r="CV907" s="485"/>
      <c r="CW907" s="485"/>
      <c r="CX907" s="485"/>
      <c r="CY907" s="485"/>
      <c r="CZ907" s="485"/>
      <c r="DA907" s="485"/>
      <c r="DB907" s="485"/>
      <c r="DC907" s="485"/>
      <c r="DD907" s="485"/>
      <c r="DE907" s="485"/>
      <c r="DF907" s="485"/>
      <c r="DG907" s="485"/>
      <c r="DH907" s="485"/>
      <c r="DI907" s="485"/>
      <c r="DJ907" s="485"/>
      <c r="DK907" s="485"/>
      <c r="DL907" s="485"/>
      <c r="DM907" s="485"/>
      <c r="DN907" s="485"/>
      <c r="DO907" s="485"/>
      <c r="DP907" s="485"/>
      <c r="DQ907" s="485"/>
      <c r="DR907" s="485"/>
      <c r="DS907" s="485"/>
      <c r="DT907" s="485"/>
      <c r="DU907" s="485"/>
      <c r="DV907" s="485"/>
      <c r="DW907" s="485"/>
      <c r="DX907" s="485"/>
      <c r="DY907" s="485"/>
      <c r="DZ907" s="485"/>
      <c r="EA907" s="485"/>
      <c r="EB907" s="485"/>
      <c r="EC907" s="485"/>
      <c r="ED907" s="485"/>
      <c r="EE907" s="485"/>
      <c r="EF907" s="485"/>
      <c r="EG907" s="485"/>
      <c r="EH907" s="485"/>
      <c r="EI907" s="485"/>
      <c r="EJ907" s="485"/>
      <c r="EK907" s="485"/>
      <c r="EL907" s="485"/>
      <c r="EM907" s="485"/>
      <c r="EN907" s="485"/>
      <c r="EO907" s="485"/>
      <c r="EP907" s="485"/>
    </row>
    <row r="908" spans="1:146">
      <c r="A908" s="485"/>
      <c r="B908" s="485"/>
      <c r="C908" s="485"/>
      <c r="D908" s="485"/>
      <c r="E908" s="485"/>
      <c r="F908" s="485"/>
      <c r="G908" s="485"/>
      <c r="H908" s="485"/>
      <c r="I908" s="485"/>
      <c r="J908" s="485"/>
      <c r="K908" s="485"/>
      <c r="L908" s="485"/>
      <c r="M908" s="485"/>
      <c r="P908" s="485"/>
      <c r="Q908" s="485"/>
      <c r="R908" s="485"/>
      <c r="S908" s="485"/>
      <c r="T908" s="485"/>
      <c r="U908" s="485"/>
      <c r="V908" s="485"/>
      <c r="W908" s="485"/>
      <c r="X908" s="485"/>
      <c r="Y908" s="485"/>
      <c r="Z908" s="485"/>
      <c r="AA908" s="485"/>
      <c r="AB908" s="485"/>
      <c r="AC908" s="485"/>
      <c r="AD908" s="485"/>
      <c r="AE908" s="485"/>
      <c r="AF908" s="485"/>
      <c r="AG908" s="485"/>
      <c r="AH908" s="485"/>
      <c r="AI908" s="485"/>
      <c r="AJ908" s="485"/>
      <c r="AK908" s="485"/>
      <c r="AL908" s="485"/>
      <c r="AM908" s="485"/>
      <c r="AN908" s="485"/>
      <c r="AO908" s="485"/>
      <c r="AP908" s="485"/>
      <c r="AQ908" s="485"/>
      <c r="AR908" s="485"/>
      <c r="AS908" s="485"/>
      <c r="AT908" s="485"/>
      <c r="AU908" s="485"/>
      <c r="AV908" s="485"/>
      <c r="AW908" s="485"/>
      <c r="AX908" s="485"/>
      <c r="AY908" s="485"/>
      <c r="AZ908" s="485"/>
      <c r="BA908" s="485"/>
      <c r="BB908" s="485"/>
      <c r="BC908" s="485"/>
      <c r="BD908" s="485"/>
      <c r="BE908" s="485"/>
      <c r="BF908" s="485"/>
      <c r="BG908" s="485"/>
      <c r="BH908" s="485"/>
      <c r="BI908" s="485"/>
      <c r="BJ908" s="485"/>
      <c r="BK908" s="485"/>
      <c r="BL908" s="485"/>
      <c r="BM908" s="485"/>
      <c r="BN908" s="485"/>
      <c r="BO908" s="485"/>
      <c r="BP908" s="485"/>
      <c r="BQ908" s="485"/>
      <c r="BR908" s="485"/>
      <c r="BS908" s="485"/>
      <c r="BT908" s="485"/>
      <c r="BU908" s="485"/>
      <c r="BV908" s="485"/>
      <c r="BW908" s="485"/>
      <c r="BX908" s="485"/>
      <c r="BY908" s="485"/>
      <c r="BZ908" s="485"/>
      <c r="CA908" s="485"/>
      <c r="CB908" s="485"/>
      <c r="CC908" s="485"/>
      <c r="CD908" s="485"/>
      <c r="CE908" s="485"/>
      <c r="CF908" s="485"/>
      <c r="CG908" s="485"/>
      <c r="CH908" s="485"/>
      <c r="CI908" s="485"/>
      <c r="CJ908" s="485"/>
      <c r="CK908" s="485"/>
      <c r="CL908" s="485"/>
      <c r="CM908" s="485"/>
      <c r="CN908" s="485"/>
      <c r="CO908" s="485"/>
      <c r="CP908" s="485"/>
      <c r="CQ908" s="485"/>
      <c r="CR908" s="485"/>
      <c r="CS908" s="485"/>
      <c r="CT908" s="485"/>
      <c r="CU908" s="485"/>
      <c r="CV908" s="485"/>
      <c r="CW908" s="485"/>
      <c r="CX908" s="485"/>
      <c r="CY908" s="485"/>
      <c r="CZ908" s="485"/>
      <c r="DA908" s="485"/>
      <c r="DB908" s="485"/>
      <c r="DC908" s="485"/>
      <c r="DD908" s="485"/>
      <c r="DE908" s="485"/>
      <c r="DF908" s="485"/>
      <c r="DG908" s="485"/>
      <c r="DH908" s="485"/>
      <c r="DI908" s="485"/>
      <c r="DJ908" s="485"/>
      <c r="DK908" s="485"/>
      <c r="DL908" s="485"/>
      <c r="DM908" s="485"/>
      <c r="DN908" s="485"/>
      <c r="DO908" s="485"/>
      <c r="DP908" s="485"/>
      <c r="DQ908" s="485"/>
      <c r="DR908" s="485"/>
      <c r="DS908" s="485"/>
      <c r="DT908" s="485"/>
      <c r="DU908" s="485"/>
      <c r="DV908" s="485"/>
      <c r="DW908" s="485"/>
      <c r="DX908" s="485"/>
      <c r="DY908" s="485"/>
      <c r="DZ908" s="485"/>
      <c r="EA908" s="485"/>
      <c r="EB908" s="485"/>
      <c r="EC908" s="485"/>
      <c r="ED908" s="485"/>
      <c r="EE908" s="485"/>
      <c r="EF908" s="485"/>
      <c r="EG908" s="485"/>
      <c r="EH908" s="485"/>
      <c r="EI908" s="485"/>
      <c r="EJ908" s="485"/>
      <c r="EK908" s="485"/>
      <c r="EL908" s="485"/>
      <c r="EM908" s="485"/>
      <c r="EN908" s="485"/>
      <c r="EO908" s="485"/>
      <c r="EP908" s="485"/>
    </row>
    <row r="909" spans="1:146">
      <c r="A909" s="485"/>
      <c r="B909" s="485"/>
      <c r="C909" s="485"/>
      <c r="D909" s="485"/>
      <c r="E909" s="485"/>
      <c r="F909" s="485"/>
      <c r="G909" s="485"/>
      <c r="H909" s="485"/>
      <c r="I909" s="485"/>
      <c r="J909" s="485"/>
      <c r="K909" s="485"/>
      <c r="L909" s="485"/>
      <c r="M909" s="485"/>
      <c r="P909" s="485"/>
      <c r="Q909" s="485"/>
      <c r="R909" s="485"/>
      <c r="S909" s="485"/>
      <c r="T909" s="485"/>
      <c r="U909" s="485"/>
      <c r="V909" s="485"/>
      <c r="W909" s="485"/>
      <c r="X909" s="485"/>
      <c r="Y909" s="485"/>
      <c r="Z909" s="485"/>
      <c r="AA909" s="485"/>
      <c r="AB909" s="485"/>
      <c r="AC909" s="485"/>
      <c r="AD909" s="485"/>
      <c r="AE909" s="485"/>
      <c r="AF909" s="485"/>
      <c r="AG909" s="485"/>
      <c r="AH909" s="485"/>
      <c r="AI909" s="485"/>
      <c r="AJ909" s="485"/>
      <c r="AK909" s="485"/>
      <c r="AL909" s="485"/>
      <c r="AM909" s="485"/>
      <c r="AN909" s="485"/>
      <c r="AO909" s="485"/>
      <c r="AP909" s="485"/>
      <c r="AQ909" s="485"/>
      <c r="AR909" s="485"/>
      <c r="AS909" s="485"/>
      <c r="AT909" s="485"/>
      <c r="AU909" s="485"/>
      <c r="AV909" s="485"/>
      <c r="AW909" s="485"/>
      <c r="AX909" s="485"/>
      <c r="AY909" s="485"/>
      <c r="AZ909" s="485"/>
      <c r="BA909" s="485"/>
      <c r="BB909" s="485"/>
      <c r="BC909" s="485"/>
      <c r="BD909" s="485"/>
      <c r="BE909" s="485"/>
      <c r="BF909" s="485"/>
      <c r="BG909" s="485"/>
      <c r="BH909" s="485"/>
      <c r="BI909" s="485"/>
      <c r="BJ909" s="485"/>
      <c r="BK909" s="485"/>
      <c r="BL909" s="485"/>
      <c r="BM909" s="485"/>
      <c r="BN909" s="485"/>
      <c r="BO909" s="485"/>
      <c r="BP909" s="485"/>
      <c r="BQ909" s="485"/>
      <c r="BR909" s="485"/>
      <c r="BS909" s="485"/>
      <c r="BT909" s="485"/>
      <c r="BU909" s="485"/>
      <c r="BV909" s="485"/>
      <c r="BW909" s="485"/>
      <c r="BX909" s="485"/>
      <c r="BY909" s="485"/>
      <c r="BZ909" s="485"/>
      <c r="CA909" s="485"/>
      <c r="CB909" s="485"/>
      <c r="CC909" s="485"/>
      <c r="CD909" s="485"/>
      <c r="CE909" s="485"/>
      <c r="CF909" s="485"/>
      <c r="CG909" s="485"/>
      <c r="CH909" s="485"/>
      <c r="CI909" s="485"/>
      <c r="CJ909" s="485"/>
      <c r="CK909" s="485"/>
      <c r="CL909" s="485"/>
      <c r="CM909" s="485"/>
      <c r="CN909" s="485"/>
      <c r="CO909" s="485"/>
      <c r="CP909" s="485"/>
      <c r="CQ909" s="485"/>
      <c r="CR909" s="485"/>
      <c r="CS909" s="485"/>
      <c r="CT909" s="485"/>
      <c r="CU909" s="485"/>
      <c r="CV909" s="485"/>
      <c r="CW909" s="485"/>
      <c r="CX909" s="485"/>
      <c r="CY909" s="485"/>
      <c r="CZ909" s="485"/>
      <c r="DA909" s="485"/>
      <c r="DB909" s="485"/>
      <c r="DC909" s="485"/>
      <c r="DD909" s="485"/>
      <c r="DE909" s="485"/>
      <c r="DF909" s="485"/>
      <c r="DG909" s="485"/>
      <c r="DH909" s="485"/>
      <c r="DI909" s="485"/>
      <c r="DJ909" s="485"/>
      <c r="DK909" s="485"/>
      <c r="DL909" s="485"/>
      <c r="DM909" s="485"/>
      <c r="DN909" s="485"/>
      <c r="DO909" s="485"/>
      <c r="DP909" s="485"/>
      <c r="DQ909" s="485"/>
      <c r="DR909" s="485"/>
      <c r="DS909" s="485"/>
      <c r="DT909" s="485"/>
      <c r="DU909" s="485"/>
      <c r="DV909" s="485"/>
      <c r="DW909" s="485"/>
      <c r="DX909" s="485"/>
      <c r="DY909" s="485"/>
      <c r="DZ909" s="485"/>
      <c r="EA909" s="485"/>
      <c r="EB909" s="485"/>
      <c r="EC909" s="485"/>
      <c r="ED909" s="485"/>
      <c r="EE909" s="485"/>
      <c r="EF909" s="485"/>
      <c r="EG909" s="485"/>
      <c r="EH909" s="485"/>
      <c r="EI909" s="485"/>
      <c r="EJ909" s="485"/>
      <c r="EK909" s="485"/>
      <c r="EL909" s="485"/>
      <c r="EM909" s="485"/>
      <c r="EN909" s="485"/>
      <c r="EO909" s="485"/>
      <c r="EP909" s="485"/>
    </row>
    <row r="910" spans="1:146">
      <c r="A910" s="485"/>
      <c r="B910" s="485"/>
      <c r="C910" s="485"/>
      <c r="D910" s="485"/>
      <c r="E910" s="485"/>
      <c r="F910" s="485"/>
      <c r="G910" s="485"/>
      <c r="H910" s="485"/>
      <c r="I910" s="485"/>
      <c r="J910" s="485"/>
      <c r="K910" s="485"/>
      <c r="L910" s="485"/>
      <c r="M910" s="485"/>
      <c r="P910" s="485"/>
      <c r="Q910" s="485"/>
      <c r="R910" s="485"/>
      <c r="S910" s="485"/>
      <c r="T910" s="485"/>
      <c r="U910" s="485"/>
      <c r="V910" s="485"/>
      <c r="W910" s="485"/>
      <c r="X910" s="485"/>
      <c r="Y910" s="485"/>
      <c r="Z910" s="485"/>
      <c r="AA910" s="485"/>
      <c r="AB910" s="485"/>
      <c r="AC910" s="485"/>
      <c r="AD910" s="485"/>
      <c r="AE910" s="485"/>
      <c r="AF910" s="485"/>
      <c r="AG910" s="485"/>
      <c r="AH910" s="485"/>
      <c r="AI910" s="485"/>
      <c r="AJ910" s="485"/>
      <c r="AK910" s="485"/>
      <c r="AL910" s="485"/>
      <c r="AM910" s="485"/>
      <c r="AN910" s="485"/>
      <c r="AO910" s="485"/>
      <c r="AP910" s="485"/>
      <c r="AQ910" s="485"/>
      <c r="AR910" s="485"/>
      <c r="AS910" s="485"/>
      <c r="AT910" s="485"/>
      <c r="AU910" s="485"/>
      <c r="AV910" s="485"/>
      <c r="AW910" s="485"/>
      <c r="AX910" s="485"/>
      <c r="AY910" s="485"/>
      <c r="AZ910" s="485"/>
      <c r="BA910" s="485"/>
      <c r="BB910" s="485"/>
      <c r="BC910" s="485"/>
      <c r="BD910" s="485"/>
      <c r="BE910" s="485"/>
      <c r="BF910" s="485"/>
      <c r="BG910" s="485"/>
      <c r="BH910" s="485"/>
      <c r="BI910" s="485"/>
      <c r="BJ910" s="485"/>
      <c r="BK910" s="485"/>
      <c r="BL910" s="485"/>
      <c r="BM910" s="485"/>
      <c r="BN910" s="485"/>
      <c r="BO910" s="485"/>
      <c r="BP910" s="485"/>
      <c r="BQ910" s="485"/>
      <c r="BR910" s="485"/>
      <c r="BS910" s="485"/>
      <c r="BT910" s="485"/>
      <c r="BU910" s="485"/>
      <c r="BV910" s="485"/>
      <c r="BW910" s="485"/>
      <c r="BX910" s="485"/>
      <c r="BY910" s="485"/>
      <c r="BZ910" s="485"/>
      <c r="CA910" s="485"/>
      <c r="CB910" s="485"/>
      <c r="CC910" s="485"/>
      <c r="CD910" s="485"/>
      <c r="CE910" s="485"/>
      <c r="CF910" s="485"/>
      <c r="CG910" s="485"/>
      <c r="CH910" s="485"/>
      <c r="CI910" s="485"/>
      <c r="CJ910" s="485"/>
      <c r="CK910" s="485"/>
      <c r="CL910" s="485"/>
      <c r="CM910" s="485"/>
      <c r="CN910" s="485"/>
      <c r="CO910" s="485"/>
      <c r="CP910" s="485"/>
      <c r="CQ910" s="485"/>
      <c r="CR910" s="485"/>
      <c r="CS910" s="485"/>
      <c r="CT910" s="485"/>
      <c r="CU910" s="485"/>
      <c r="CV910" s="485"/>
      <c r="CW910" s="485"/>
      <c r="CX910" s="485"/>
      <c r="CY910" s="485"/>
      <c r="CZ910" s="485"/>
      <c r="DA910" s="485"/>
      <c r="DB910" s="485"/>
      <c r="DC910" s="485"/>
      <c r="DD910" s="485"/>
      <c r="DE910" s="485"/>
      <c r="DF910" s="485"/>
      <c r="DG910" s="485"/>
      <c r="DH910" s="485"/>
      <c r="DI910" s="485"/>
      <c r="DJ910" s="485"/>
      <c r="DK910" s="485"/>
      <c r="DL910" s="485"/>
      <c r="DM910" s="485"/>
      <c r="DN910" s="485"/>
      <c r="DO910" s="485"/>
      <c r="DP910" s="485"/>
      <c r="DQ910" s="485"/>
      <c r="DR910" s="485"/>
      <c r="DS910" s="485"/>
      <c r="DT910" s="485"/>
      <c r="DU910" s="485"/>
      <c r="DV910" s="485"/>
      <c r="DW910" s="485"/>
      <c r="DX910" s="485"/>
      <c r="DY910" s="485"/>
      <c r="DZ910" s="485"/>
      <c r="EA910" s="485"/>
      <c r="EB910" s="485"/>
      <c r="EC910" s="485"/>
      <c r="ED910" s="485"/>
      <c r="EE910" s="485"/>
      <c r="EF910" s="485"/>
      <c r="EG910" s="485"/>
      <c r="EH910" s="485"/>
      <c r="EI910" s="485"/>
      <c r="EJ910" s="485"/>
      <c r="EK910" s="485"/>
      <c r="EL910" s="485"/>
      <c r="EM910" s="485"/>
      <c r="EN910" s="485"/>
      <c r="EO910" s="485"/>
      <c r="EP910" s="485"/>
    </row>
    <row r="911" spans="1:146">
      <c r="A911" s="485"/>
      <c r="B911" s="485"/>
      <c r="C911" s="485"/>
      <c r="D911" s="485"/>
      <c r="E911" s="485"/>
      <c r="F911" s="485"/>
      <c r="G911" s="485"/>
      <c r="H911" s="485"/>
      <c r="I911" s="485"/>
      <c r="J911" s="485"/>
      <c r="K911" s="485"/>
      <c r="L911" s="485"/>
      <c r="M911" s="485"/>
      <c r="P911" s="485"/>
      <c r="Q911" s="485"/>
      <c r="R911" s="485"/>
      <c r="S911" s="485"/>
      <c r="T911" s="485"/>
      <c r="U911" s="485"/>
      <c r="V911" s="485"/>
      <c r="W911" s="485"/>
      <c r="X911" s="485"/>
      <c r="Y911" s="485"/>
      <c r="Z911" s="485"/>
      <c r="AA911" s="485"/>
      <c r="AB911" s="485"/>
      <c r="AC911" s="485"/>
      <c r="AD911" s="485"/>
      <c r="AE911" s="485"/>
      <c r="AF911" s="485"/>
      <c r="AG911" s="485"/>
      <c r="AH911" s="485"/>
      <c r="AI911" s="485"/>
      <c r="AJ911" s="485"/>
      <c r="AK911" s="485"/>
      <c r="AL911" s="485"/>
      <c r="AM911" s="485"/>
      <c r="AN911" s="485"/>
      <c r="AO911" s="485"/>
      <c r="AP911" s="485"/>
      <c r="AQ911" s="485"/>
      <c r="AR911" s="485"/>
      <c r="AS911" s="485"/>
      <c r="AT911" s="485"/>
      <c r="AU911" s="485"/>
      <c r="AV911" s="485"/>
      <c r="AW911" s="485"/>
      <c r="AX911" s="485"/>
      <c r="AY911" s="485"/>
      <c r="AZ911" s="485"/>
      <c r="BA911" s="485"/>
      <c r="BB911" s="485"/>
      <c r="BC911" s="485"/>
      <c r="BD911" s="485"/>
      <c r="BE911" s="485"/>
      <c r="BF911" s="485"/>
      <c r="BG911" s="485"/>
      <c r="BH911" s="485"/>
      <c r="BI911" s="485"/>
      <c r="BJ911" s="485"/>
      <c r="BK911" s="485"/>
      <c r="BL911" s="485"/>
      <c r="BM911" s="485"/>
      <c r="BN911" s="485"/>
      <c r="BO911" s="485"/>
      <c r="BP911" s="485"/>
      <c r="BQ911" s="485"/>
      <c r="BR911" s="485"/>
      <c r="BS911" s="485"/>
      <c r="BT911" s="485"/>
      <c r="BU911" s="485"/>
      <c r="BV911" s="485"/>
      <c r="BW911" s="485"/>
      <c r="BX911" s="485"/>
      <c r="BY911" s="485"/>
      <c r="BZ911" s="485"/>
      <c r="CA911" s="485"/>
      <c r="CB911" s="485"/>
      <c r="CC911" s="485"/>
      <c r="CD911" s="485"/>
      <c r="CE911" s="485"/>
      <c r="CF911" s="485"/>
      <c r="CG911" s="485"/>
      <c r="CH911" s="485"/>
      <c r="CI911" s="485"/>
      <c r="CJ911" s="485"/>
      <c r="CK911" s="485"/>
      <c r="CL911" s="485"/>
      <c r="CM911" s="485"/>
      <c r="CN911" s="485"/>
      <c r="CO911" s="485"/>
      <c r="CP911" s="485"/>
      <c r="CQ911" s="485"/>
      <c r="CR911" s="485"/>
      <c r="CS911" s="485"/>
      <c r="CT911" s="485"/>
      <c r="CU911" s="485"/>
      <c r="CV911" s="485"/>
      <c r="CW911" s="485"/>
      <c r="CX911" s="485"/>
      <c r="CY911" s="485"/>
      <c r="CZ911" s="485"/>
      <c r="DA911" s="485"/>
      <c r="DB911" s="485"/>
      <c r="DC911" s="485"/>
      <c r="DD911" s="485"/>
      <c r="DE911" s="485"/>
      <c r="DF911" s="485"/>
      <c r="DG911" s="485"/>
      <c r="DH911" s="485"/>
      <c r="DI911" s="485"/>
      <c r="DJ911" s="485"/>
      <c r="DK911" s="485"/>
      <c r="DL911" s="485"/>
      <c r="DM911" s="485"/>
      <c r="DN911" s="485"/>
      <c r="DO911" s="485"/>
      <c r="DP911" s="485"/>
      <c r="DQ911" s="485"/>
      <c r="DR911" s="485"/>
      <c r="DS911" s="485"/>
      <c r="DT911" s="485"/>
      <c r="DU911" s="485"/>
      <c r="DV911" s="485"/>
      <c r="DW911" s="485"/>
      <c r="DX911" s="485"/>
      <c r="DY911" s="485"/>
      <c r="DZ911" s="485"/>
      <c r="EA911" s="485"/>
      <c r="EB911" s="485"/>
      <c r="EC911" s="485"/>
      <c r="ED911" s="485"/>
      <c r="EE911" s="485"/>
      <c r="EF911" s="485"/>
      <c r="EG911" s="485"/>
      <c r="EH911" s="485"/>
      <c r="EI911" s="485"/>
      <c r="EJ911" s="485"/>
      <c r="EK911" s="485"/>
      <c r="EL911" s="485"/>
      <c r="EM911" s="485"/>
      <c r="EN911" s="485"/>
      <c r="EO911" s="485"/>
      <c r="EP911" s="485"/>
    </row>
    <row r="912" spans="1:146">
      <c r="A912" s="485"/>
      <c r="B912" s="485"/>
      <c r="C912" s="485"/>
      <c r="D912" s="485"/>
      <c r="E912" s="485"/>
      <c r="F912" s="485"/>
      <c r="G912" s="485"/>
      <c r="H912" s="485"/>
      <c r="I912" s="485"/>
      <c r="J912" s="485"/>
      <c r="K912" s="485"/>
      <c r="L912" s="485"/>
      <c r="M912" s="485"/>
      <c r="P912" s="485"/>
      <c r="Q912" s="485"/>
      <c r="R912" s="485"/>
      <c r="S912" s="485"/>
      <c r="T912" s="485"/>
      <c r="U912" s="485"/>
      <c r="V912" s="485"/>
      <c r="W912" s="485"/>
      <c r="X912" s="485"/>
      <c r="Y912" s="485"/>
      <c r="Z912" s="485"/>
      <c r="AA912" s="485"/>
      <c r="AB912" s="485"/>
      <c r="AC912" s="485"/>
      <c r="AD912" s="485"/>
      <c r="AE912" s="485"/>
      <c r="AF912" s="485"/>
      <c r="AG912" s="485"/>
      <c r="AH912" s="485"/>
      <c r="AI912" s="485"/>
      <c r="AJ912" s="485"/>
      <c r="AK912" s="485"/>
      <c r="AL912" s="485"/>
      <c r="AM912" s="485"/>
      <c r="AN912" s="485"/>
      <c r="AO912" s="485"/>
      <c r="AP912" s="485"/>
      <c r="AQ912" s="485"/>
      <c r="AR912" s="485"/>
      <c r="AS912" s="485"/>
      <c r="AT912" s="485"/>
      <c r="AU912" s="485"/>
      <c r="AV912" s="485"/>
      <c r="AW912" s="485"/>
      <c r="AX912" s="485"/>
      <c r="AY912" s="485"/>
      <c r="AZ912" s="485"/>
      <c r="BA912" s="485"/>
      <c r="BB912" s="485"/>
      <c r="BC912" s="485"/>
      <c r="BD912" s="485"/>
      <c r="BE912" s="485"/>
      <c r="BF912" s="485"/>
      <c r="BG912" s="485"/>
      <c r="BH912" s="485"/>
      <c r="BI912" s="485"/>
      <c r="BJ912" s="485"/>
      <c r="BK912" s="485"/>
      <c r="BL912" s="485"/>
      <c r="BM912" s="485"/>
      <c r="BN912" s="485"/>
      <c r="BO912" s="485"/>
      <c r="BP912" s="485"/>
      <c r="BQ912" s="485"/>
      <c r="BR912" s="485"/>
      <c r="BS912" s="485"/>
      <c r="BT912" s="485"/>
      <c r="BU912" s="485"/>
      <c r="BV912" s="485"/>
      <c r="BW912" s="485"/>
      <c r="BX912" s="485"/>
      <c r="BY912" s="485"/>
      <c r="BZ912" s="485"/>
      <c r="CA912" s="485"/>
      <c r="CB912" s="485"/>
      <c r="CC912" s="485"/>
      <c r="CD912" s="485"/>
      <c r="CE912" s="485"/>
      <c r="CF912" s="485"/>
      <c r="CG912" s="485"/>
      <c r="CH912" s="485"/>
      <c r="CI912" s="485"/>
      <c r="CJ912" s="485"/>
      <c r="CK912" s="485"/>
      <c r="CL912" s="485"/>
      <c r="CM912" s="485"/>
      <c r="CN912" s="485"/>
      <c r="CO912" s="485"/>
      <c r="CP912" s="485"/>
      <c r="CQ912" s="485"/>
      <c r="CR912" s="485"/>
      <c r="CS912" s="485"/>
      <c r="CT912" s="485"/>
      <c r="CU912" s="485"/>
      <c r="CV912" s="485"/>
      <c r="CW912" s="485"/>
      <c r="CX912" s="485"/>
      <c r="CY912" s="485"/>
      <c r="CZ912" s="485"/>
      <c r="DA912" s="485"/>
      <c r="DB912" s="485"/>
      <c r="DC912" s="485"/>
      <c r="DD912" s="485"/>
      <c r="DE912" s="485"/>
      <c r="DF912" s="485"/>
      <c r="DG912" s="485"/>
      <c r="DH912" s="485"/>
      <c r="DI912" s="485"/>
      <c r="DJ912" s="485"/>
      <c r="DK912" s="485"/>
      <c r="DL912" s="485"/>
      <c r="DM912" s="485"/>
      <c r="DN912" s="485"/>
      <c r="DO912" s="485"/>
      <c r="DP912" s="485"/>
      <c r="DQ912" s="485"/>
      <c r="DR912" s="485"/>
      <c r="DS912" s="485"/>
      <c r="DT912" s="485"/>
      <c r="DU912" s="485"/>
      <c r="DV912" s="485"/>
      <c r="DW912" s="485"/>
      <c r="DX912" s="485"/>
      <c r="DY912" s="485"/>
      <c r="DZ912" s="485"/>
      <c r="EA912" s="485"/>
      <c r="EB912" s="485"/>
      <c r="EC912" s="485"/>
      <c r="ED912" s="485"/>
      <c r="EE912" s="485"/>
      <c r="EF912" s="485"/>
      <c r="EG912" s="485"/>
      <c r="EH912" s="485"/>
      <c r="EI912" s="485"/>
      <c r="EJ912" s="485"/>
      <c r="EK912" s="485"/>
      <c r="EL912" s="485"/>
      <c r="EM912" s="485"/>
      <c r="EN912" s="485"/>
      <c r="EO912" s="485"/>
      <c r="EP912" s="485"/>
    </row>
    <row r="913" spans="1:146">
      <c r="A913" s="485"/>
      <c r="B913" s="485"/>
      <c r="C913" s="485"/>
      <c r="D913" s="485"/>
      <c r="E913" s="485"/>
      <c r="F913" s="485"/>
      <c r="G913" s="485"/>
      <c r="H913" s="485"/>
      <c r="I913" s="485"/>
      <c r="J913" s="485"/>
      <c r="K913" s="485"/>
      <c r="L913" s="485"/>
      <c r="M913" s="485"/>
      <c r="P913" s="485"/>
      <c r="Q913" s="485"/>
      <c r="R913" s="485"/>
      <c r="S913" s="485"/>
      <c r="T913" s="485"/>
      <c r="U913" s="485"/>
      <c r="V913" s="485"/>
      <c r="W913" s="485"/>
      <c r="X913" s="485"/>
      <c r="Y913" s="485"/>
      <c r="Z913" s="485"/>
      <c r="AA913" s="485"/>
      <c r="AB913" s="485"/>
      <c r="AC913" s="485"/>
      <c r="AD913" s="485"/>
      <c r="AE913" s="485"/>
      <c r="AF913" s="485"/>
      <c r="AG913" s="485"/>
      <c r="AH913" s="485"/>
      <c r="AI913" s="485"/>
      <c r="AJ913" s="485"/>
      <c r="AK913" s="485"/>
      <c r="AL913" s="485"/>
      <c r="AM913" s="485"/>
      <c r="AN913" s="485"/>
      <c r="AO913" s="485"/>
      <c r="AP913" s="485"/>
      <c r="AQ913" s="485"/>
      <c r="AR913" s="485"/>
      <c r="AS913" s="485"/>
      <c r="AT913" s="485"/>
      <c r="AU913" s="485"/>
      <c r="AV913" s="485"/>
      <c r="AW913" s="485"/>
      <c r="AX913" s="485"/>
      <c r="AY913" s="485"/>
      <c r="AZ913" s="485"/>
      <c r="BA913" s="485"/>
      <c r="BB913" s="485"/>
      <c r="BC913" s="485"/>
      <c r="BD913" s="485"/>
      <c r="BE913" s="485"/>
      <c r="BF913" s="485"/>
      <c r="BG913" s="485"/>
      <c r="BH913" s="485"/>
      <c r="BI913" s="485"/>
      <c r="BJ913" s="485"/>
      <c r="BK913" s="485"/>
      <c r="BL913" s="485"/>
      <c r="BM913" s="485"/>
      <c r="BN913" s="485"/>
      <c r="BO913" s="485"/>
      <c r="BP913" s="485"/>
      <c r="BQ913" s="485"/>
      <c r="BR913" s="485"/>
      <c r="BS913" s="485"/>
      <c r="BT913" s="485"/>
      <c r="BU913" s="485"/>
      <c r="BV913" s="485"/>
      <c r="BW913" s="485"/>
      <c r="BX913" s="485"/>
      <c r="BY913" s="485"/>
      <c r="BZ913" s="485"/>
      <c r="CA913" s="485"/>
      <c r="CB913" s="485"/>
      <c r="CC913" s="485"/>
      <c r="CD913" s="485"/>
      <c r="CE913" s="485"/>
      <c r="CF913" s="485"/>
      <c r="CG913" s="485"/>
      <c r="CH913" s="485"/>
      <c r="CI913" s="485"/>
      <c r="CJ913" s="485"/>
      <c r="CK913" s="485"/>
      <c r="CL913" s="485"/>
      <c r="CM913" s="485"/>
      <c r="CN913" s="485"/>
      <c r="CO913" s="485"/>
      <c r="CP913" s="485"/>
      <c r="CQ913" s="485"/>
      <c r="CR913" s="485"/>
      <c r="CS913" s="485"/>
      <c r="CT913" s="485"/>
      <c r="CU913" s="485"/>
      <c r="CV913" s="485"/>
      <c r="CW913" s="485"/>
      <c r="CX913" s="485"/>
      <c r="CY913" s="485"/>
      <c r="CZ913" s="485"/>
      <c r="DA913" s="485"/>
      <c r="DB913" s="485"/>
      <c r="DC913" s="485"/>
      <c r="DD913" s="485"/>
      <c r="DE913" s="485"/>
      <c r="DF913" s="485"/>
      <c r="DG913" s="485"/>
      <c r="DH913" s="485"/>
      <c r="DI913" s="485"/>
      <c r="DJ913" s="485"/>
      <c r="DK913" s="485"/>
      <c r="DL913" s="485"/>
      <c r="DM913" s="485"/>
      <c r="DN913" s="485"/>
      <c r="DO913" s="485"/>
      <c r="DP913" s="485"/>
      <c r="DQ913" s="485"/>
      <c r="DR913" s="485"/>
      <c r="DS913" s="485"/>
      <c r="DT913" s="485"/>
      <c r="DU913" s="485"/>
      <c r="DV913" s="485"/>
      <c r="DW913" s="485"/>
      <c r="DX913" s="485"/>
      <c r="DY913" s="485"/>
      <c r="DZ913" s="485"/>
      <c r="EA913" s="485"/>
      <c r="EB913" s="485"/>
      <c r="EC913" s="485"/>
      <c r="ED913" s="485"/>
      <c r="EE913" s="485"/>
      <c r="EF913" s="485"/>
      <c r="EG913" s="485"/>
      <c r="EH913" s="485"/>
      <c r="EI913" s="485"/>
      <c r="EJ913" s="485"/>
      <c r="EK913" s="485"/>
      <c r="EL913" s="485"/>
      <c r="EM913" s="485"/>
      <c r="EN913" s="485"/>
      <c r="EO913" s="485"/>
      <c r="EP913" s="485"/>
    </row>
    <row r="914" spans="1:146">
      <c r="A914" s="485"/>
      <c r="B914" s="485"/>
      <c r="C914" s="485"/>
      <c r="D914" s="485"/>
      <c r="E914" s="485"/>
      <c r="F914" s="485"/>
      <c r="G914" s="485"/>
      <c r="H914" s="485"/>
      <c r="I914" s="485"/>
      <c r="J914" s="485"/>
      <c r="K914" s="485"/>
      <c r="L914" s="485"/>
      <c r="M914" s="485"/>
      <c r="P914" s="485"/>
      <c r="Q914" s="485"/>
      <c r="R914" s="485"/>
      <c r="S914" s="485"/>
      <c r="T914" s="485"/>
      <c r="U914" s="485"/>
      <c r="V914" s="485"/>
      <c r="W914" s="485"/>
      <c r="X914" s="485"/>
      <c r="Y914" s="485"/>
      <c r="Z914" s="485"/>
      <c r="AA914" s="485"/>
      <c r="AB914" s="485"/>
      <c r="AC914" s="485"/>
      <c r="AD914" s="485"/>
      <c r="AE914" s="485"/>
      <c r="AF914" s="485"/>
      <c r="AG914" s="485"/>
      <c r="AH914" s="485"/>
      <c r="AI914" s="485"/>
      <c r="AJ914" s="485"/>
      <c r="AK914" s="485"/>
      <c r="AL914" s="485"/>
      <c r="AM914" s="485"/>
      <c r="AN914" s="485"/>
      <c r="AO914" s="485"/>
      <c r="AP914" s="485"/>
      <c r="AQ914" s="485"/>
      <c r="AR914" s="485"/>
      <c r="AS914" s="485"/>
      <c r="AT914" s="485"/>
      <c r="AU914" s="485"/>
      <c r="AV914" s="485"/>
      <c r="AW914" s="485"/>
      <c r="AX914" s="485"/>
      <c r="AY914" s="485"/>
      <c r="AZ914" s="485"/>
      <c r="BA914" s="485"/>
      <c r="BB914" s="485"/>
      <c r="BC914" s="485"/>
      <c r="BD914" s="485"/>
      <c r="BE914" s="485"/>
      <c r="BF914" s="485"/>
      <c r="BG914" s="485"/>
      <c r="BH914" s="485"/>
      <c r="BI914" s="485"/>
      <c r="BJ914" s="485"/>
      <c r="BK914" s="485"/>
      <c r="BL914" s="485"/>
      <c r="BM914" s="485"/>
      <c r="BN914" s="485"/>
      <c r="BO914" s="485"/>
      <c r="BP914" s="485"/>
      <c r="BQ914" s="485"/>
      <c r="BR914" s="485"/>
      <c r="BS914" s="485"/>
      <c r="BT914" s="485"/>
      <c r="BU914" s="485"/>
      <c r="BV914" s="485"/>
      <c r="BW914" s="485"/>
      <c r="BX914" s="485"/>
      <c r="BY914" s="485"/>
      <c r="BZ914" s="485"/>
      <c r="CA914" s="485"/>
      <c r="CB914" s="485"/>
      <c r="CC914" s="485"/>
      <c r="CD914" s="485"/>
      <c r="CE914" s="485"/>
      <c r="CF914" s="485"/>
      <c r="CG914" s="485"/>
      <c r="CH914" s="485"/>
      <c r="CI914" s="485"/>
      <c r="CJ914" s="485"/>
      <c r="CK914" s="485"/>
      <c r="CL914" s="485"/>
      <c r="CM914" s="485"/>
      <c r="CN914" s="485"/>
      <c r="CO914" s="485"/>
      <c r="CP914" s="485"/>
      <c r="CQ914" s="485"/>
      <c r="CR914" s="485"/>
      <c r="CS914" s="485"/>
      <c r="CT914" s="485"/>
      <c r="CU914" s="485"/>
      <c r="CV914" s="485"/>
      <c r="CW914" s="485"/>
      <c r="CX914" s="485"/>
      <c r="CY914" s="485"/>
      <c r="CZ914" s="485"/>
      <c r="DA914" s="485"/>
      <c r="DB914" s="485"/>
      <c r="DC914" s="485"/>
      <c r="DD914" s="485"/>
      <c r="DE914" s="485"/>
      <c r="DF914" s="485"/>
      <c r="DG914" s="485"/>
      <c r="DH914" s="485"/>
      <c r="DI914" s="485"/>
      <c r="DJ914" s="485"/>
      <c r="DK914" s="485"/>
      <c r="DL914" s="485"/>
      <c r="DM914" s="485"/>
      <c r="DN914" s="485"/>
      <c r="DO914" s="485"/>
      <c r="DP914" s="485"/>
      <c r="DQ914" s="485"/>
      <c r="DR914" s="485"/>
      <c r="DS914" s="485"/>
      <c r="DT914" s="485"/>
      <c r="DU914" s="485"/>
      <c r="DV914" s="485"/>
      <c r="DW914" s="485"/>
      <c r="DX914" s="485"/>
      <c r="DY914" s="485"/>
      <c r="DZ914" s="485"/>
      <c r="EA914" s="485"/>
      <c r="EB914" s="485"/>
      <c r="EC914" s="485"/>
      <c r="ED914" s="485"/>
      <c r="EE914" s="485"/>
      <c r="EF914" s="485"/>
      <c r="EG914" s="485"/>
      <c r="EH914" s="485"/>
      <c r="EI914" s="485"/>
      <c r="EJ914" s="485"/>
      <c r="EK914" s="485"/>
      <c r="EL914" s="485"/>
      <c r="EM914" s="485"/>
      <c r="EN914" s="485"/>
      <c r="EO914" s="485"/>
      <c r="EP914" s="485"/>
    </row>
    <row r="915" spans="1:146">
      <c r="A915" s="485"/>
      <c r="B915" s="485"/>
      <c r="C915" s="485"/>
      <c r="D915" s="485"/>
      <c r="E915" s="485"/>
      <c r="F915" s="485"/>
      <c r="G915" s="485"/>
      <c r="H915" s="485"/>
      <c r="I915" s="485"/>
      <c r="J915" s="485"/>
      <c r="K915" s="485"/>
      <c r="L915" s="485"/>
      <c r="M915" s="485"/>
      <c r="P915" s="485"/>
      <c r="Q915" s="485"/>
      <c r="R915" s="485"/>
      <c r="S915" s="485"/>
      <c r="T915" s="485"/>
      <c r="U915" s="485"/>
      <c r="V915" s="485"/>
      <c r="W915" s="485"/>
      <c r="X915" s="485"/>
      <c r="Y915" s="485"/>
      <c r="Z915" s="485"/>
      <c r="AA915" s="485"/>
      <c r="AB915" s="485"/>
      <c r="AC915" s="485"/>
      <c r="AD915" s="485"/>
      <c r="AE915" s="485"/>
      <c r="AF915" s="485"/>
      <c r="AG915" s="485"/>
      <c r="AH915" s="485"/>
      <c r="AI915" s="485"/>
      <c r="AJ915" s="485"/>
      <c r="AK915" s="485"/>
      <c r="AL915" s="485"/>
      <c r="AM915" s="485"/>
      <c r="AN915" s="485"/>
      <c r="AO915" s="485"/>
      <c r="AP915" s="485"/>
      <c r="AQ915" s="485"/>
      <c r="AR915" s="485"/>
      <c r="AS915" s="485"/>
      <c r="AT915" s="485"/>
      <c r="AU915" s="485"/>
      <c r="AV915" s="485"/>
      <c r="AW915" s="485"/>
      <c r="AX915" s="485"/>
      <c r="AY915" s="485"/>
      <c r="AZ915" s="485"/>
      <c r="BA915" s="485"/>
      <c r="BB915" s="485"/>
      <c r="BC915" s="485"/>
      <c r="BD915" s="485"/>
      <c r="BE915" s="485"/>
      <c r="BF915" s="485"/>
      <c r="BG915" s="485"/>
      <c r="BH915" s="485"/>
      <c r="BI915" s="485"/>
      <c r="BJ915" s="485"/>
      <c r="BK915" s="485"/>
      <c r="BL915" s="485"/>
      <c r="BM915" s="485"/>
      <c r="BN915" s="485"/>
      <c r="BO915" s="485"/>
      <c r="BP915" s="485"/>
      <c r="BQ915" s="485"/>
      <c r="BR915" s="485"/>
      <c r="BS915" s="485"/>
      <c r="BT915" s="485"/>
      <c r="BU915" s="485"/>
      <c r="BV915" s="485"/>
      <c r="BW915" s="485"/>
      <c r="BX915" s="485"/>
      <c r="BY915" s="485"/>
      <c r="BZ915" s="485"/>
      <c r="CA915" s="485"/>
      <c r="CB915" s="485"/>
      <c r="CC915" s="485"/>
      <c r="CD915" s="485"/>
      <c r="CE915" s="485"/>
      <c r="CF915" s="485"/>
      <c r="CG915" s="485"/>
      <c r="CH915" s="485"/>
      <c r="CI915" s="485"/>
      <c r="CJ915" s="485"/>
      <c r="CK915" s="485"/>
      <c r="CL915" s="485"/>
      <c r="CM915" s="485"/>
      <c r="CN915" s="485"/>
      <c r="CO915" s="485"/>
      <c r="CP915" s="485"/>
      <c r="CQ915" s="485"/>
      <c r="CR915" s="485"/>
      <c r="CS915" s="485"/>
      <c r="CT915" s="485"/>
      <c r="CU915" s="485"/>
      <c r="CV915" s="485"/>
      <c r="CW915" s="485"/>
      <c r="CX915" s="485"/>
      <c r="CY915" s="485"/>
      <c r="CZ915" s="485"/>
      <c r="DA915" s="485"/>
      <c r="DB915" s="485"/>
      <c r="DC915" s="485"/>
      <c r="DD915" s="485"/>
      <c r="DE915" s="485"/>
      <c r="DF915" s="485"/>
      <c r="DG915" s="485"/>
      <c r="DH915" s="485"/>
      <c r="DI915" s="485"/>
      <c r="DJ915" s="485"/>
      <c r="DK915" s="485"/>
      <c r="DL915" s="485"/>
      <c r="DM915" s="485"/>
      <c r="DN915" s="485"/>
      <c r="DO915" s="485"/>
      <c r="DP915" s="485"/>
      <c r="DQ915" s="485"/>
      <c r="DR915" s="485"/>
      <c r="DS915" s="485"/>
      <c r="DT915" s="485"/>
      <c r="DU915" s="485"/>
      <c r="DV915" s="485"/>
      <c r="DW915" s="485"/>
      <c r="DX915" s="485"/>
      <c r="DY915" s="485"/>
      <c r="DZ915" s="485"/>
      <c r="EA915" s="485"/>
      <c r="EB915" s="485"/>
      <c r="EC915" s="485"/>
      <c r="ED915" s="485"/>
      <c r="EE915" s="485"/>
      <c r="EF915" s="485"/>
      <c r="EG915" s="485"/>
      <c r="EH915" s="485"/>
      <c r="EI915" s="485"/>
      <c r="EJ915" s="485"/>
      <c r="EK915" s="485"/>
      <c r="EL915" s="485"/>
      <c r="EM915" s="485"/>
      <c r="EN915" s="485"/>
      <c r="EO915" s="485"/>
      <c r="EP915" s="485"/>
    </row>
    <row r="916" spans="1:146">
      <c r="A916" s="485"/>
      <c r="B916" s="485"/>
      <c r="C916" s="485"/>
      <c r="D916" s="485"/>
      <c r="E916" s="485"/>
      <c r="F916" s="485"/>
      <c r="G916" s="485"/>
      <c r="H916" s="485"/>
      <c r="I916" s="485"/>
      <c r="J916" s="485"/>
      <c r="K916" s="485"/>
      <c r="L916" s="485"/>
      <c r="M916" s="485"/>
      <c r="P916" s="485"/>
      <c r="Q916" s="485"/>
      <c r="R916" s="485"/>
      <c r="S916" s="485"/>
      <c r="T916" s="485"/>
      <c r="U916" s="485"/>
      <c r="V916" s="485"/>
      <c r="W916" s="485"/>
      <c r="X916" s="485"/>
      <c r="Y916" s="485"/>
      <c r="Z916" s="485"/>
      <c r="AA916" s="485"/>
      <c r="AB916" s="485"/>
      <c r="AC916" s="485"/>
      <c r="AD916" s="485"/>
      <c r="AE916" s="485"/>
      <c r="AF916" s="485"/>
      <c r="AG916" s="485"/>
      <c r="AH916" s="485"/>
      <c r="AI916" s="485"/>
      <c r="AJ916" s="485"/>
      <c r="AK916" s="485"/>
      <c r="AL916" s="485"/>
      <c r="AM916" s="485"/>
      <c r="AN916" s="485"/>
      <c r="AO916" s="485"/>
      <c r="AP916" s="485"/>
      <c r="AQ916" s="485"/>
      <c r="AR916" s="485"/>
      <c r="AS916" s="485"/>
      <c r="AT916" s="485"/>
      <c r="AU916" s="485"/>
      <c r="AV916" s="485"/>
      <c r="AW916" s="485"/>
      <c r="AX916" s="485"/>
      <c r="AY916" s="485"/>
      <c r="AZ916" s="485"/>
      <c r="BA916" s="485"/>
      <c r="BB916" s="485"/>
      <c r="BC916" s="485"/>
      <c r="BD916" s="485"/>
      <c r="BE916" s="485"/>
      <c r="BF916" s="485"/>
      <c r="BG916" s="485"/>
      <c r="BH916" s="485"/>
      <c r="BI916" s="485"/>
      <c r="BJ916" s="485"/>
      <c r="BK916" s="485"/>
      <c r="BL916" s="485"/>
      <c r="BM916" s="485"/>
      <c r="BN916" s="485"/>
      <c r="BO916" s="485"/>
      <c r="BP916" s="485"/>
      <c r="BQ916" s="485"/>
      <c r="BR916" s="485"/>
      <c r="BS916" s="485"/>
      <c r="BT916" s="485"/>
      <c r="BU916" s="485"/>
      <c r="BV916" s="485"/>
      <c r="BW916" s="485"/>
      <c r="BX916" s="485"/>
      <c r="BY916" s="485"/>
      <c r="BZ916" s="485"/>
      <c r="CA916" s="485"/>
      <c r="CB916" s="485"/>
      <c r="CC916" s="485"/>
      <c r="CD916" s="485"/>
      <c r="CE916" s="485"/>
      <c r="CF916" s="485"/>
      <c r="CG916" s="485"/>
      <c r="CH916" s="485"/>
      <c r="CI916" s="485"/>
      <c r="CJ916" s="485"/>
      <c r="CK916" s="485"/>
      <c r="CL916" s="485"/>
      <c r="CM916" s="485"/>
      <c r="CN916" s="485"/>
      <c r="CO916" s="485"/>
      <c r="CP916" s="485"/>
      <c r="CQ916" s="485"/>
      <c r="CR916" s="485"/>
      <c r="CS916" s="485"/>
      <c r="CT916" s="485"/>
      <c r="CU916" s="485"/>
      <c r="CV916" s="485"/>
      <c r="CW916" s="485"/>
      <c r="CX916" s="485"/>
      <c r="CY916" s="485"/>
      <c r="CZ916" s="485"/>
      <c r="DA916" s="485"/>
      <c r="DB916" s="485"/>
      <c r="DC916" s="485"/>
      <c r="DD916" s="485"/>
      <c r="DE916" s="485"/>
      <c r="DF916" s="485"/>
      <c r="DG916" s="485"/>
      <c r="DH916" s="485"/>
      <c r="DI916" s="485"/>
      <c r="DJ916" s="485"/>
      <c r="DK916" s="485"/>
      <c r="DL916" s="485"/>
      <c r="DM916" s="485"/>
      <c r="DN916" s="485"/>
      <c r="DO916" s="485"/>
      <c r="DP916" s="485"/>
      <c r="DQ916" s="485"/>
      <c r="DR916" s="485"/>
      <c r="DS916" s="485"/>
      <c r="DT916" s="485"/>
      <c r="DU916" s="485"/>
      <c r="DV916" s="485"/>
      <c r="DW916" s="485"/>
      <c r="DX916" s="485"/>
      <c r="DY916" s="485"/>
      <c r="DZ916" s="485"/>
      <c r="EA916" s="485"/>
      <c r="EB916" s="485"/>
      <c r="EC916" s="485"/>
      <c r="ED916" s="485"/>
      <c r="EE916" s="485"/>
      <c r="EF916" s="485"/>
      <c r="EG916" s="485"/>
      <c r="EH916" s="485"/>
      <c r="EI916" s="485"/>
      <c r="EJ916" s="485"/>
      <c r="EK916" s="485"/>
      <c r="EL916" s="485"/>
      <c r="EM916" s="485"/>
      <c r="EN916" s="485"/>
      <c r="EO916" s="485"/>
      <c r="EP916" s="485"/>
    </row>
    <row r="917" spans="1:146">
      <c r="A917" s="485"/>
      <c r="B917" s="485"/>
      <c r="C917" s="485"/>
      <c r="D917" s="485"/>
      <c r="E917" s="485"/>
      <c r="F917" s="485"/>
      <c r="G917" s="485"/>
      <c r="H917" s="485"/>
      <c r="I917" s="485"/>
      <c r="J917" s="485"/>
      <c r="K917" s="485"/>
      <c r="L917" s="485"/>
      <c r="M917" s="485"/>
      <c r="P917" s="485"/>
      <c r="Q917" s="485"/>
      <c r="R917" s="485"/>
      <c r="S917" s="485"/>
      <c r="T917" s="485"/>
      <c r="U917" s="485"/>
      <c r="V917" s="485"/>
      <c r="W917" s="485"/>
      <c r="X917" s="485"/>
      <c r="Y917" s="485"/>
      <c r="Z917" s="485"/>
      <c r="AA917" s="485"/>
      <c r="AB917" s="485"/>
      <c r="AC917" s="485"/>
      <c r="AD917" s="485"/>
      <c r="AE917" s="485"/>
      <c r="AF917" s="485"/>
      <c r="AG917" s="485"/>
      <c r="AH917" s="485"/>
      <c r="AI917" s="485"/>
      <c r="AJ917" s="485"/>
      <c r="AK917" s="485"/>
      <c r="AL917" s="485"/>
      <c r="AM917" s="485"/>
      <c r="AN917" s="485"/>
      <c r="AO917" s="485"/>
      <c r="AP917" s="485"/>
      <c r="AQ917" s="485"/>
      <c r="AR917" s="485"/>
      <c r="AS917" s="485"/>
      <c r="AT917" s="485"/>
      <c r="AU917" s="485"/>
      <c r="AV917" s="485"/>
      <c r="AW917" s="485"/>
      <c r="AX917" s="485"/>
      <c r="AY917" s="485"/>
      <c r="AZ917" s="485"/>
      <c r="BA917" s="485"/>
      <c r="BB917" s="485"/>
      <c r="BC917" s="485"/>
      <c r="BD917" s="485"/>
      <c r="BE917" s="485"/>
      <c r="BF917" s="485"/>
      <c r="BG917" s="485"/>
      <c r="BH917" s="485"/>
      <c r="BI917" s="485"/>
      <c r="BJ917" s="485"/>
      <c r="BK917" s="485"/>
      <c r="BL917" s="485"/>
      <c r="BM917" s="485"/>
      <c r="BN917" s="485"/>
      <c r="BO917" s="485"/>
      <c r="BP917" s="485"/>
      <c r="BQ917" s="485"/>
      <c r="BR917" s="485"/>
      <c r="BS917" s="485"/>
      <c r="BT917" s="485"/>
      <c r="BU917" s="485"/>
      <c r="BV917" s="485"/>
      <c r="BW917" s="485"/>
      <c r="BX917" s="485"/>
      <c r="BY917" s="485"/>
      <c r="BZ917" s="485"/>
      <c r="CA917" s="485"/>
      <c r="CB917" s="485"/>
      <c r="CC917" s="485"/>
      <c r="CD917" s="485"/>
      <c r="CE917" s="485"/>
      <c r="CF917" s="485"/>
      <c r="CG917" s="485"/>
      <c r="CH917" s="485"/>
      <c r="CI917" s="485"/>
      <c r="CJ917" s="485"/>
      <c r="CK917" s="485"/>
      <c r="CL917" s="485"/>
      <c r="CM917" s="485"/>
      <c r="CN917" s="485"/>
      <c r="CO917" s="485"/>
      <c r="CP917" s="485"/>
      <c r="CQ917" s="485"/>
      <c r="CR917" s="485"/>
      <c r="CS917" s="485"/>
      <c r="CT917" s="485"/>
      <c r="CU917" s="485"/>
      <c r="CV917" s="485"/>
      <c r="CW917" s="485"/>
      <c r="CX917" s="485"/>
      <c r="CY917" s="485"/>
      <c r="CZ917" s="485"/>
      <c r="DA917" s="485"/>
      <c r="DB917" s="485"/>
      <c r="DC917" s="485"/>
      <c r="DD917" s="485"/>
      <c r="DE917" s="485"/>
      <c r="DF917" s="485"/>
      <c r="DG917" s="485"/>
      <c r="DH917" s="485"/>
      <c r="DI917" s="485"/>
      <c r="DJ917" s="485"/>
      <c r="DK917" s="485"/>
      <c r="DL917" s="485"/>
      <c r="DM917" s="485"/>
      <c r="DN917" s="485"/>
      <c r="DO917" s="485"/>
      <c r="DP917" s="485"/>
      <c r="DQ917" s="485"/>
      <c r="DR917" s="485"/>
      <c r="DS917" s="485"/>
      <c r="DT917" s="485"/>
      <c r="DU917" s="485"/>
      <c r="DV917" s="485"/>
      <c r="DW917" s="485"/>
      <c r="DX917" s="485"/>
      <c r="DY917" s="485"/>
      <c r="DZ917" s="485"/>
      <c r="EA917" s="485"/>
      <c r="EB917" s="485"/>
      <c r="EC917" s="485"/>
      <c r="ED917" s="485"/>
      <c r="EE917" s="485"/>
      <c r="EF917" s="485"/>
      <c r="EG917" s="485"/>
      <c r="EH917" s="485"/>
      <c r="EI917" s="485"/>
      <c r="EJ917" s="485"/>
      <c r="EK917" s="485"/>
      <c r="EL917" s="485"/>
      <c r="EM917" s="485"/>
      <c r="EN917" s="485"/>
      <c r="EO917" s="485"/>
      <c r="EP917" s="485"/>
    </row>
    <row r="918" spans="1:146">
      <c r="A918" s="485"/>
      <c r="B918" s="485"/>
      <c r="C918" s="485"/>
      <c r="D918" s="485"/>
      <c r="E918" s="485"/>
      <c r="F918" s="485"/>
      <c r="G918" s="485"/>
      <c r="H918" s="485"/>
      <c r="I918" s="485"/>
      <c r="J918" s="485"/>
      <c r="K918" s="485"/>
      <c r="L918" s="485"/>
      <c r="M918" s="485"/>
      <c r="P918" s="485"/>
      <c r="Q918" s="485"/>
      <c r="R918" s="485"/>
      <c r="S918" s="485"/>
      <c r="T918" s="485"/>
      <c r="U918" s="485"/>
      <c r="V918" s="485"/>
      <c r="W918" s="485"/>
      <c r="X918" s="485"/>
      <c r="Y918" s="485"/>
      <c r="Z918" s="485"/>
      <c r="AA918" s="485"/>
      <c r="AB918" s="485"/>
      <c r="AC918" s="485"/>
      <c r="AD918" s="485"/>
      <c r="AE918" s="485"/>
      <c r="AF918" s="485"/>
      <c r="AG918" s="485"/>
      <c r="AH918" s="485"/>
      <c r="AI918" s="485"/>
      <c r="AJ918" s="485"/>
      <c r="AK918" s="485"/>
      <c r="AL918" s="485"/>
      <c r="AM918" s="485"/>
      <c r="AN918" s="485"/>
      <c r="AO918" s="485"/>
      <c r="AP918" s="485"/>
      <c r="AQ918" s="485"/>
      <c r="AR918" s="485"/>
      <c r="AS918" s="485"/>
      <c r="AT918" s="485"/>
      <c r="AU918" s="485"/>
      <c r="AV918" s="485"/>
      <c r="AW918" s="485"/>
      <c r="AX918" s="485"/>
      <c r="AY918" s="485"/>
      <c r="AZ918" s="485"/>
      <c r="BA918" s="485"/>
      <c r="BB918" s="485"/>
      <c r="BC918" s="485"/>
      <c r="BD918" s="485"/>
      <c r="BE918" s="485"/>
      <c r="BF918" s="485"/>
      <c r="BG918" s="485"/>
      <c r="BH918" s="485"/>
      <c r="BI918" s="485"/>
      <c r="BJ918" s="485"/>
      <c r="BK918" s="485"/>
      <c r="BL918" s="485"/>
      <c r="BM918" s="485"/>
      <c r="BN918" s="485"/>
      <c r="BO918" s="485"/>
      <c r="BP918" s="485"/>
      <c r="BQ918" s="485"/>
      <c r="BR918" s="485"/>
      <c r="BS918" s="485"/>
      <c r="BT918" s="485"/>
      <c r="BU918" s="485"/>
      <c r="BV918" s="485"/>
      <c r="BW918" s="485"/>
      <c r="BX918" s="485"/>
      <c r="BY918" s="485"/>
      <c r="BZ918" s="485"/>
      <c r="CA918" s="485"/>
      <c r="CB918" s="485"/>
      <c r="CC918" s="485"/>
      <c r="CD918" s="485"/>
      <c r="CE918" s="485"/>
      <c r="CF918" s="485"/>
      <c r="CG918" s="485"/>
      <c r="CH918" s="485"/>
      <c r="CI918" s="485"/>
      <c r="CJ918" s="485"/>
      <c r="CK918" s="485"/>
      <c r="CL918" s="485"/>
      <c r="CM918" s="485"/>
      <c r="CN918" s="485"/>
      <c r="CO918" s="485"/>
      <c r="CP918" s="485"/>
      <c r="CQ918" s="485"/>
      <c r="CR918" s="485"/>
      <c r="CS918" s="485"/>
      <c r="CT918" s="485"/>
      <c r="CU918" s="485"/>
      <c r="CV918" s="485"/>
      <c r="CW918" s="485"/>
      <c r="CX918" s="485"/>
      <c r="CY918" s="485"/>
      <c r="CZ918" s="485"/>
      <c r="DA918" s="485"/>
      <c r="DB918" s="485"/>
      <c r="DC918" s="485"/>
      <c r="DD918" s="485"/>
      <c r="DE918" s="485"/>
      <c r="DF918" s="485"/>
      <c r="DG918" s="485"/>
      <c r="DH918" s="485"/>
      <c r="DI918" s="485"/>
      <c r="DJ918" s="485"/>
      <c r="DK918" s="485"/>
      <c r="DL918" s="485"/>
      <c r="DM918" s="485"/>
      <c r="DN918" s="485"/>
      <c r="DO918" s="485"/>
      <c r="DP918" s="485"/>
      <c r="DQ918" s="485"/>
      <c r="DR918" s="485"/>
      <c r="DS918" s="485"/>
      <c r="DT918" s="485"/>
      <c r="DU918" s="485"/>
      <c r="DV918" s="485"/>
      <c r="DW918" s="485"/>
      <c r="DX918" s="485"/>
      <c r="DY918" s="485"/>
      <c r="DZ918" s="485"/>
      <c r="EA918" s="485"/>
      <c r="EB918" s="485"/>
      <c r="EC918" s="485"/>
      <c r="ED918" s="485"/>
      <c r="EE918" s="485"/>
      <c r="EF918" s="485"/>
      <c r="EG918" s="485"/>
      <c r="EH918" s="485"/>
      <c r="EI918" s="485"/>
      <c r="EJ918" s="485"/>
      <c r="EK918" s="485"/>
      <c r="EL918" s="485"/>
      <c r="EM918" s="485"/>
      <c r="EN918" s="485"/>
      <c r="EO918" s="485"/>
      <c r="EP918" s="485"/>
    </row>
    <row r="919" spans="1:146">
      <c r="A919" s="485"/>
      <c r="B919" s="485"/>
      <c r="C919" s="485"/>
      <c r="D919" s="485"/>
      <c r="E919" s="485"/>
      <c r="F919" s="485"/>
      <c r="G919" s="485"/>
      <c r="H919" s="485"/>
      <c r="I919" s="485"/>
      <c r="J919" s="485"/>
      <c r="K919" s="485"/>
      <c r="L919" s="485"/>
      <c r="M919" s="485"/>
      <c r="P919" s="485"/>
      <c r="Q919" s="485"/>
      <c r="R919" s="485"/>
      <c r="S919" s="485"/>
      <c r="T919" s="485"/>
      <c r="U919" s="485"/>
      <c r="V919" s="485"/>
      <c r="W919" s="485"/>
      <c r="X919" s="485"/>
      <c r="Y919" s="485"/>
      <c r="Z919" s="485"/>
      <c r="AA919" s="485"/>
      <c r="AB919" s="485"/>
      <c r="AC919" s="485"/>
      <c r="AD919" s="485"/>
      <c r="AE919" s="485"/>
      <c r="AF919" s="485"/>
      <c r="AG919" s="485"/>
      <c r="AH919" s="485"/>
      <c r="AI919" s="485"/>
      <c r="AJ919" s="485"/>
      <c r="AK919" s="485"/>
      <c r="AL919" s="485"/>
      <c r="AM919" s="485"/>
      <c r="AN919" s="485"/>
      <c r="AO919" s="485"/>
      <c r="AP919" s="485"/>
      <c r="AQ919" s="485"/>
      <c r="AR919" s="485"/>
      <c r="AS919" s="485"/>
      <c r="AT919" s="485"/>
      <c r="AU919" s="485"/>
      <c r="AV919" s="485"/>
      <c r="AW919" s="485"/>
      <c r="AX919" s="485"/>
      <c r="AY919" s="485"/>
      <c r="AZ919" s="485"/>
      <c r="BA919" s="485"/>
      <c r="BB919" s="485"/>
      <c r="BC919" s="485"/>
      <c r="BD919" s="485"/>
      <c r="BE919" s="485"/>
      <c r="BF919" s="485"/>
      <c r="BG919" s="485"/>
      <c r="BH919" s="485"/>
      <c r="BI919" s="485"/>
      <c r="BJ919" s="485"/>
      <c r="BK919" s="485"/>
      <c r="BL919" s="485"/>
      <c r="BM919" s="485"/>
      <c r="BN919" s="485"/>
      <c r="BO919" s="485"/>
      <c r="BP919" s="485"/>
      <c r="BQ919" s="485"/>
      <c r="BR919" s="485"/>
      <c r="BS919" s="485"/>
      <c r="BT919" s="485"/>
      <c r="BU919" s="485"/>
      <c r="BV919" s="485"/>
      <c r="BW919" s="485"/>
      <c r="BX919" s="485"/>
      <c r="BY919" s="485"/>
      <c r="BZ919" s="485"/>
      <c r="CA919" s="485"/>
      <c r="CB919" s="485"/>
      <c r="CC919" s="485"/>
      <c r="CD919" s="485"/>
      <c r="CE919" s="485"/>
      <c r="CF919" s="485"/>
      <c r="CG919" s="485"/>
      <c r="CH919" s="485"/>
      <c r="CI919" s="485"/>
      <c r="CJ919" s="485"/>
      <c r="CK919" s="485"/>
      <c r="CL919" s="485"/>
      <c r="CM919" s="485"/>
      <c r="CN919" s="485"/>
      <c r="CO919" s="485"/>
      <c r="CP919" s="485"/>
      <c r="CQ919" s="485"/>
      <c r="CR919" s="485"/>
      <c r="CS919" s="485"/>
      <c r="CT919" s="485"/>
      <c r="CU919" s="485"/>
      <c r="CV919" s="485"/>
      <c r="CW919" s="485"/>
      <c r="CX919" s="485"/>
      <c r="CY919" s="485"/>
      <c r="CZ919" s="485"/>
      <c r="DA919" s="485"/>
      <c r="DB919" s="485"/>
      <c r="DC919" s="485"/>
      <c r="DD919" s="485"/>
      <c r="DE919" s="485"/>
      <c r="DF919" s="485"/>
      <c r="DG919" s="485"/>
      <c r="DH919" s="485"/>
      <c r="DI919" s="485"/>
      <c r="DJ919" s="485"/>
      <c r="DK919" s="485"/>
      <c r="DL919" s="485"/>
      <c r="DM919" s="485"/>
      <c r="DN919" s="485"/>
      <c r="DO919" s="485"/>
      <c r="DP919" s="485"/>
      <c r="DQ919" s="485"/>
      <c r="DR919" s="485"/>
      <c r="DS919" s="485"/>
      <c r="DT919" s="485"/>
      <c r="DU919" s="485"/>
      <c r="DV919" s="485"/>
      <c r="DW919" s="485"/>
      <c r="DX919" s="485"/>
      <c r="DY919" s="485"/>
      <c r="DZ919" s="485"/>
      <c r="EA919" s="485"/>
      <c r="EB919" s="485"/>
      <c r="EC919" s="485"/>
      <c r="ED919" s="485"/>
      <c r="EE919" s="485"/>
      <c r="EF919" s="485"/>
      <c r="EG919" s="485"/>
      <c r="EH919" s="485"/>
      <c r="EI919" s="485"/>
      <c r="EJ919" s="485"/>
      <c r="EK919" s="485"/>
      <c r="EL919" s="485"/>
      <c r="EM919" s="485"/>
      <c r="EN919" s="485"/>
      <c r="EO919" s="485"/>
      <c r="EP919" s="485"/>
    </row>
    <row r="920" spans="1:146">
      <c r="A920" s="485"/>
      <c r="B920" s="485"/>
      <c r="C920" s="485"/>
      <c r="D920" s="485"/>
      <c r="E920" s="485"/>
      <c r="F920" s="485"/>
      <c r="G920" s="485"/>
      <c r="H920" s="485"/>
      <c r="I920" s="485"/>
      <c r="J920" s="485"/>
      <c r="K920" s="485"/>
      <c r="L920" s="485"/>
      <c r="M920" s="485"/>
      <c r="P920" s="485"/>
      <c r="Q920" s="485"/>
      <c r="R920" s="485"/>
      <c r="S920" s="485"/>
      <c r="T920" s="485"/>
      <c r="U920" s="485"/>
      <c r="V920" s="485"/>
      <c r="W920" s="485"/>
      <c r="X920" s="485"/>
      <c r="Y920" s="485"/>
      <c r="Z920" s="485"/>
      <c r="AA920" s="485"/>
      <c r="AB920" s="485"/>
      <c r="AC920" s="485"/>
      <c r="AD920" s="485"/>
      <c r="AE920" s="485"/>
      <c r="AF920" s="485"/>
      <c r="AG920" s="485"/>
      <c r="AH920" s="485"/>
      <c r="AI920" s="485"/>
      <c r="AJ920" s="485"/>
      <c r="AK920" s="485"/>
      <c r="AL920" s="485"/>
      <c r="AM920" s="485"/>
      <c r="AN920" s="485"/>
      <c r="AO920" s="485"/>
      <c r="AP920" s="485"/>
      <c r="AQ920" s="485"/>
      <c r="AR920" s="485"/>
      <c r="AS920" s="485"/>
      <c r="AT920" s="485"/>
      <c r="AU920" s="485"/>
      <c r="AV920" s="485"/>
      <c r="AW920" s="485"/>
      <c r="AX920" s="485"/>
      <c r="AY920" s="485"/>
      <c r="AZ920" s="485"/>
      <c r="BA920" s="485"/>
      <c r="BB920" s="485"/>
      <c r="BC920" s="485"/>
      <c r="BD920" s="485"/>
      <c r="BE920" s="485"/>
      <c r="BF920" s="485"/>
      <c r="BG920" s="485"/>
      <c r="BH920" s="485"/>
      <c r="BI920" s="485"/>
      <c r="BJ920" s="485"/>
      <c r="BK920" s="485"/>
      <c r="BL920" s="485"/>
      <c r="BM920" s="485"/>
      <c r="BN920" s="485"/>
      <c r="BO920" s="485"/>
      <c r="BP920" s="485"/>
      <c r="BQ920" s="485"/>
      <c r="BR920" s="485"/>
      <c r="BS920" s="485"/>
      <c r="BT920" s="485"/>
      <c r="BU920" s="485"/>
      <c r="BV920" s="485"/>
      <c r="BW920" s="485"/>
      <c r="BX920" s="485"/>
      <c r="BY920" s="485"/>
      <c r="BZ920" s="485"/>
      <c r="CA920" s="485"/>
      <c r="CB920" s="485"/>
      <c r="CC920" s="485"/>
      <c r="CD920" s="485"/>
      <c r="CE920" s="485"/>
      <c r="CF920" s="485"/>
      <c r="CG920" s="485"/>
      <c r="CH920" s="485"/>
      <c r="CI920" s="485"/>
      <c r="CJ920" s="485"/>
      <c r="CK920" s="485"/>
      <c r="CL920" s="485"/>
      <c r="CM920" s="485"/>
      <c r="CN920" s="485"/>
      <c r="CO920" s="485"/>
      <c r="CP920" s="485"/>
      <c r="CQ920" s="485"/>
      <c r="CR920" s="485"/>
      <c r="CS920" s="485"/>
      <c r="CT920" s="485"/>
      <c r="CU920" s="485"/>
      <c r="CV920" s="485"/>
      <c r="CW920" s="485"/>
      <c r="CX920" s="485"/>
      <c r="CY920" s="485"/>
      <c r="CZ920" s="485"/>
      <c r="DA920" s="485"/>
      <c r="DB920" s="485"/>
      <c r="DC920" s="485"/>
      <c r="DD920" s="485"/>
      <c r="DE920" s="485"/>
      <c r="DF920" s="485"/>
      <c r="DG920" s="485"/>
      <c r="DH920" s="485"/>
      <c r="DI920" s="485"/>
      <c r="DJ920" s="485"/>
      <c r="DK920" s="485"/>
      <c r="DL920" s="485"/>
      <c r="DM920" s="485"/>
      <c r="DN920" s="485"/>
      <c r="DO920" s="485"/>
      <c r="DP920" s="485"/>
      <c r="DQ920" s="485"/>
      <c r="DR920" s="485"/>
      <c r="DS920" s="485"/>
      <c r="DT920" s="485"/>
      <c r="DU920" s="485"/>
      <c r="DV920" s="485"/>
      <c r="DW920" s="485"/>
      <c r="DX920" s="485"/>
      <c r="DY920" s="485"/>
      <c r="DZ920" s="485"/>
      <c r="EA920" s="485"/>
      <c r="EB920" s="485"/>
      <c r="EC920" s="485"/>
      <c r="ED920" s="485"/>
      <c r="EE920" s="485"/>
      <c r="EF920" s="485"/>
      <c r="EG920" s="485"/>
      <c r="EH920" s="485"/>
      <c r="EI920" s="485"/>
      <c r="EJ920" s="485"/>
      <c r="EK920" s="485"/>
      <c r="EL920" s="485"/>
      <c r="EM920" s="485"/>
      <c r="EN920" s="485"/>
      <c r="EO920" s="485"/>
      <c r="EP920" s="485"/>
    </row>
    <row r="921" spans="1:146">
      <c r="A921" s="485"/>
      <c r="B921" s="485"/>
      <c r="C921" s="485"/>
      <c r="D921" s="485"/>
      <c r="E921" s="485"/>
      <c r="F921" s="485"/>
      <c r="G921" s="485"/>
      <c r="H921" s="485"/>
      <c r="I921" s="485"/>
      <c r="J921" s="485"/>
      <c r="K921" s="485"/>
      <c r="L921" s="485"/>
      <c r="M921" s="485"/>
      <c r="P921" s="485"/>
      <c r="Q921" s="485"/>
      <c r="R921" s="485"/>
      <c r="S921" s="485"/>
      <c r="T921" s="485"/>
      <c r="U921" s="485"/>
      <c r="V921" s="485"/>
      <c r="W921" s="485"/>
      <c r="X921" s="485"/>
      <c r="Y921" s="485"/>
      <c r="Z921" s="485"/>
      <c r="AA921" s="485"/>
      <c r="AB921" s="485"/>
      <c r="AC921" s="485"/>
      <c r="AD921" s="485"/>
      <c r="AE921" s="485"/>
      <c r="AF921" s="485"/>
      <c r="AG921" s="485"/>
      <c r="AH921" s="485"/>
      <c r="AI921" s="485"/>
      <c r="AJ921" s="485"/>
      <c r="AK921" s="485"/>
      <c r="AL921" s="485"/>
      <c r="AM921" s="485"/>
      <c r="AN921" s="485"/>
      <c r="AO921" s="485"/>
      <c r="AP921" s="485"/>
      <c r="AQ921" s="485"/>
      <c r="AR921" s="485"/>
      <c r="AS921" s="485"/>
      <c r="AT921" s="485"/>
      <c r="AU921" s="485"/>
      <c r="AV921" s="485"/>
      <c r="AW921" s="485"/>
      <c r="AX921" s="485"/>
      <c r="AY921" s="485"/>
      <c r="AZ921" s="485"/>
      <c r="BA921" s="485"/>
      <c r="BB921" s="485"/>
      <c r="BC921" s="485"/>
      <c r="BD921" s="485"/>
      <c r="BE921" s="485"/>
      <c r="BF921" s="485"/>
      <c r="BG921" s="485"/>
      <c r="BH921" s="485"/>
      <c r="BI921" s="485"/>
      <c r="BJ921" s="485"/>
      <c r="BK921" s="485"/>
      <c r="BL921" s="485"/>
      <c r="BM921" s="485"/>
      <c r="BN921" s="485"/>
      <c r="BO921" s="485"/>
      <c r="BP921" s="485"/>
      <c r="BQ921" s="485"/>
      <c r="BR921" s="485"/>
      <c r="BS921" s="485"/>
      <c r="BT921" s="485"/>
      <c r="BU921" s="485"/>
      <c r="BV921" s="485"/>
      <c r="BW921" s="485"/>
      <c r="BX921" s="485"/>
      <c r="BY921" s="485"/>
      <c r="BZ921" s="485"/>
      <c r="CA921" s="485"/>
      <c r="CB921" s="485"/>
      <c r="CC921" s="485"/>
      <c r="CD921" s="485"/>
      <c r="CE921" s="485"/>
      <c r="CF921" s="485"/>
      <c r="CG921" s="485"/>
      <c r="CH921" s="485"/>
      <c r="CI921" s="485"/>
      <c r="CJ921" s="485"/>
      <c r="CK921" s="485"/>
      <c r="CL921" s="485"/>
      <c r="CM921" s="485"/>
      <c r="CN921" s="485"/>
      <c r="CO921" s="485"/>
      <c r="CP921" s="485"/>
      <c r="CQ921" s="485"/>
      <c r="CR921" s="485"/>
      <c r="CS921" s="485"/>
      <c r="CT921" s="485"/>
      <c r="CU921" s="485"/>
      <c r="CV921" s="485"/>
      <c r="CW921" s="485"/>
      <c r="CX921" s="485"/>
      <c r="CY921" s="485"/>
      <c r="CZ921" s="485"/>
      <c r="DA921" s="485"/>
      <c r="DB921" s="485"/>
      <c r="DC921" s="485"/>
      <c r="DD921" s="485"/>
      <c r="DE921" s="485"/>
      <c r="DF921" s="485"/>
      <c r="DG921" s="485"/>
      <c r="DH921" s="485"/>
      <c r="DI921" s="485"/>
      <c r="DJ921" s="485"/>
      <c r="DK921" s="485"/>
      <c r="DL921" s="485"/>
      <c r="DM921" s="485"/>
      <c r="DN921" s="485"/>
      <c r="DO921" s="485"/>
      <c r="DP921" s="485"/>
      <c r="DQ921" s="485"/>
      <c r="DR921" s="485"/>
      <c r="DS921" s="485"/>
      <c r="DT921" s="485"/>
      <c r="DU921" s="485"/>
      <c r="DV921" s="485"/>
      <c r="DW921" s="485"/>
      <c r="DX921" s="485"/>
      <c r="DY921" s="485"/>
      <c r="DZ921" s="485"/>
      <c r="EA921" s="485"/>
      <c r="EB921" s="485"/>
      <c r="EC921" s="485"/>
      <c r="ED921" s="485"/>
      <c r="EE921" s="485"/>
      <c r="EF921" s="485"/>
      <c r="EG921" s="485"/>
      <c r="EH921" s="485"/>
      <c r="EI921" s="485"/>
      <c r="EJ921" s="485"/>
      <c r="EK921" s="485"/>
      <c r="EL921" s="485"/>
      <c r="EM921" s="485"/>
      <c r="EN921" s="485"/>
      <c r="EO921" s="485"/>
      <c r="EP921" s="485"/>
    </row>
    <row r="922" spans="1:146">
      <c r="A922" s="485"/>
      <c r="B922" s="485"/>
      <c r="C922" s="485"/>
      <c r="D922" s="485"/>
      <c r="E922" s="485"/>
      <c r="F922" s="485"/>
      <c r="G922" s="485"/>
      <c r="H922" s="485"/>
      <c r="I922" s="485"/>
      <c r="J922" s="485"/>
      <c r="K922" s="485"/>
      <c r="L922" s="485"/>
      <c r="M922" s="485"/>
      <c r="P922" s="485"/>
      <c r="Q922" s="485"/>
      <c r="R922" s="485"/>
      <c r="S922" s="485"/>
      <c r="T922" s="485"/>
      <c r="U922" s="485"/>
      <c r="V922" s="485"/>
      <c r="W922" s="485"/>
      <c r="X922" s="485"/>
      <c r="Y922" s="485"/>
      <c r="Z922" s="485"/>
      <c r="AA922" s="485"/>
      <c r="AB922" s="485"/>
      <c r="AC922" s="485"/>
      <c r="AD922" s="485"/>
      <c r="AE922" s="485"/>
      <c r="AF922" s="485"/>
      <c r="AG922" s="485"/>
      <c r="AH922" s="485"/>
      <c r="AI922" s="485"/>
      <c r="AJ922" s="485"/>
      <c r="AK922" s="485"/>
      <c r="AL922" s="485"/>
      <c r="AM922" s="485"/>
      <c r="AN922" s="485"/>
      <c r="AO922" s="485"/>
      <c r="AP922" s="485"/>
      <c r="AQ922" s="485"/>
      <c r="AR922" s="485"/>
      <c r="AS922" s="485"/>
      <c r="AT922" s="485"/>
      <c r="AU922" s="485"/>
      <c r="AV922" s="485"/>
      <c r="AW922" s="485"/>
      <c r="AX922" s="485"/>
      <c r="AY922" s="485"/>
      <c r="AZ922" s="485"/>
      <c r="BA922" s="485"/>
      <c r="BB922" s="485"/>
      <c r="BC922" s="485"/>
      <c r="BD922" s="485"/>
      <c r="BE922" s="485"/>
      <c r="BF922" s="485"/>
      <c r="BG922" s="485"/>
      <c r="BH922" s="485"/>
      <c r="BI922" s="485"/>
      <c r="BJ922" s="485"/>
      <c r="BK922" s="485"/>
      <c r="BL922" s="485"/>
      <c r="BM922" s="485"/>
      <c r="BN922" s="485"/>
      <c r="BO922" s="485"/>
      <c r="BP922" s="485"/>
      <c r="BQ922" s="485"/>
      <c r="BR922" s="485"/>
      <c r="BS922" s="485"/>
      <c r="BT922" s="485"/>
      <c r="BU922" s="485"/>
      <c r="BV922" s="485"/>
      <c r="BW922" s="485"/>
      <c r="BX922" s="485"/>
      <c r="BY922" s="485"/>
      <c r="BZ922" s="485"/>
      <c r="CA922" s="485"/>
      <c r="CB922" s="485"/>
      <c r="CC922" s="485"/>
      <c r="CD922" s="485"/>
      <c r="CE922" s="485"/>
      <c r="CF922" s="485"/>
      <c r="CG922" s="485"/>
      <c r="CH922" s="485"/>
      <c r="CI922" s="485"/>
      <c r="CJ922" s="485"/>
      <c r="CK922" s="485"/>
      <c r="CL922" s="485"/>
      <c r="CM922" s="485"/>
      <c r="CN922" s="485"/>
      <c r="CO922" s="485"/>
      <c r="CP922" s="485"/>
      <c r="CQ922" s="485"/>
      <c r="CR922" s="485"/>
      <c r="CS922" s="485"/>
      <c r="CT922" s="485"/>
      <c r="CU922" s="485"/>
      <c r="CV922" s="485"/>
      <c r="CW922" s="485"/>
      <c r="CX922" s="485"/>
      <c r="CY922" s="485"/>
      <c r="CZ922" s="485"/>
      <c r="DA922" s="485"/>
      <c r="DB922" s="485"/>
      <c r="DC922" s="485"/>
      <c r="DD922" s="485"/>
      <c r="DE922" s="485"/>
      <c r="DF922" s="485"/>
      <c r="DG922" s="485"/>
      <c r="DH922" s="485"/>
      <c r="DI922" s="485"/>
      <c r="DJ922" s="485"/>
      <c r="DK922" s="485"/>
      <c r="DL922" s="485"/>
      <c r="DM922" s="485"/>
      <c r="DN922" s="485"/>
      <c r="DO922" s="485"/>
      <c r="DP922" s="485"/>
      <c r="DQ922" s="485"/>
      <c r="DR922" s="485"/>
      <c r="DS922" s="485"/>
      <c r="DT922" s="485"/>
      <c r="DU922" s="485"/>
      <c r="DV922" s="485"/>
      <c r="DW922" s="485"/>
      <c r="DX922" s="485"/>
      <c r="DY922" s="485"/>
      <c r="DZ922" s="485"/>
      <c r="EA922" s="485"/>
      <c r="EB922" s="485"/>
      <c r="EC922" s="485"/>
      <c r="ED922" s="485"/>
      <c r="EE922" s="485"/>
      <c r="EF922" s="485"/>
      <c r="EG922" s="485"/>
      <c r="EH922" s="485"/>
      <c r="EI922" s="485"/>
      <c r="EJ922" s="485"/>
      <c r="EK922" s="485"/>
      <c r="EL922" s="485"/>
      <c r="EM922" s="485"/>
      <c r="EN922" s="485"/>
      <c r="EO922" s="485"/>
      <c r="EP922" s="485"/>
    </row>
    <row r="923" spans="1:146">
      <c r="A923" s="485"/>
      <c r="B923" s="485"/>
      <c r="C923" s="485"/>
      <c r="D923" s="485"/>
      <c r="E923" s="485"/>
      <c r="F923" s="485"/>
      <c r="G923" s="485"/>
      <c r="H923" s="485"/>
      <c r="I923" s="485"/>
      <c r="J923" s="485"/>
      <c r="K923" s="485"/>
      <c r="L923" s="485"/>
      <c r="M923" s="485"/>
      <c r="P923" s="485"/>
      <c r="Q923" s="485"/>
      <c r="R923" s="485"/>
      <c r="S923" s="485"/>
      <c r="T923" s="485"/>
      <c r="U923" s="485"/>
      <c r="V923" s="485"/>
      <c r="W923" s="485"/>
      <c r="X923" s="485"/>
      <c r="Y923" s="485"/>
      <c r="Z923" s="485"/>
      <c r="AA923" s="485"/>
      <c r="AB923" s="485"/>
      <c r="AC923" s="485"/>
      <c r="AD923" s="485"/>
      <c r="AE923" s="485"/>
      <c r="AF923" s="485"/>
      <c r="AG923" s="485"/>
      <c r="AH923" s="485"/>
      <c r="AI923" s="485"/>
      <c r="AJ923" s="485"/>
      <c r="AK923" s="485"/>
      <c r="AL923" s="485"/>
      <c r="AM923" s="485"/>
      <c r="AN923" s="485"/>
      <c r="AO923" s="485"/>
      <c r="AP923" s="485"/>
      <c r="AQ923" s="485"/>
      <c r="AR923" s="485"/>
      <c r="AS923" s="485"/>
      <c r="AT923" s="485"/>
      <c r="AU923" s="485"/>
      <c r="AV923" s="485"/>
      <c r="AW923" s="485"/>
      <c r="AX923" s="485"/>
      <c r="AY923" s="485"/>
      <c r="AZ923" s="485"/>
      <c r="BA923" s="485"/>
      <c r="BB923" s="485"/>
      <c r="BC923" s="485"/>
      <c r="BD923" s="485"/>
      <c r="BE923" s="485"/>
      <c r="BF923" s="485"/>
      <c r="BG923" s="485"/>
      <c r="BH923" s="485"/>
      <c r="BI923" s="485"/>
      <c r="BJ923" s="485"/>
      <c r="BK923" s="485"/>
      <c r="BL923" s="485"/>
      <c r="BM923" s="485"/>
      <c r="BN923" s="485"/>
      <c r="BO923" s="485"/>
      <c r="BP923" s="485"/>
      <c r="BQ923" s="485"/>
      <c r="BR923" s="485"/>
      <c r="BS923" s="485"/>
      <c r="BT923" s="485"/>
      <c r="BU923" s="485"/>
      <c r="BV923" s="485"/>
      <c r="BW923" s="485"/>
      <c r="BX923" s="485"/>
      <c r="BY923" s="485"/>
      <c r="BZ923" s="485"/>
      <c r="CA923" s="485"/>
      <c r="CB923" s="485"/>
      <c r="CC923" s="485"/>
      <c r="CD923" s="485"/>
      <c r="CE923" s="485"/>
      <c r="CF923" s="485"/>
      <c r="CG923" s="485"/>
      <c r="CH923" s="485"/>
      <c r="CI923" s="485"/>
      <c r="CJ923" s="485"/>
      <c r="CK923" s="485"/>
      <c r="CL923" s="485"/>
      <c r="CM923" s="485"/>
      <c r="CN923" s="485"/>
      <c r="CO923" s="485"/>
      <c r="CP923" s="485"/>
      <c r="CQ923" s="485"/>
      <c r="CR923" s="485"/>
      <c r="CS923" s="485"/>
      <c r="CT923" s="485"/>
      <c r="CU923" s="485"/>
      <c r="CV923" s="485"/>
      <c r="CW923" s="485"/>
      <c r="CX923" s="485"/>
      <c r="CY923" s="485"/>
      <c r="CZ923" s="485"/>
      <c r="DA923" s="485"/>
      <c r="DB923" s="485"/>
      <c r="DC923" s="485"/>
      <c r="DD923" s="485"/>
      <c r="DE923" s="485"/>
      <c r="DF923" s="485"/>
      <c r="DG923" s="485"/>
      <c r="DH923" s="485"/>
      <c r="DI923" s="485"/>
      <c r="DJ923" s="485"/>
      <c r="DK923" s="485"/>
      <c r="DL923" s="485"/>
      <c r="DM923" s="485"/>
      <c r="DN923" s="485"/>
      <c r="DO923" s="485"/>
      <c r="DP923" s="485"/>
      <c r="DQ923" s="485"/>
      <c r="DR923" s="485"/>
      <c r="DS923" s="485"/>
      <c r="DT923" s="485"/>
      <c r="DU923" s="485"/>
      <c r="DV923" s="485"/>
      <c r="DW923" s="485"/>
      <c r="DX923" s="485"/>
      <c r="DY923" s="485"/>
      <c r="DZ923" s="485"/>
      <c r="EA923" s="485"/>
      <c r="EB923" s="485"/>
      <c r="EC923" s="485"/>
      <c r="ED923" s="485"/>
      <c r="EE923" s="485"/>
      <c r="EF923" s="485"/>
      <c r="EG923" s="485"/>
      <c r="EH923" s="485"/>
      <c r="EI923" s="485"/>
      <c r="EJ923" s="485"/>
      <c r="EK923" s="485"/>
      <c r="EL923" s="485"/>
      <c r="EM923" s="485"/>
      <c r="EN923" s="485"/>
      <c r="EO923" s="485"/>
      <c r="EP923" s="485"/>
    </row>
    <row r="924" spans="1:146">
      <c r="A924" s="485"/>
      <c r="B924" s="485"/>
      <c r="C924" s="485"/>
      <c r="D924" s="485"/>
      <c r="E924" s="485"/>
      <c r="F924" s="485"/>
      <c r="G924" s="485"/>
      <c r="H924" s="485"/>
      <c r="I924" s="485"/>
      <c r="J924" s="485"/>
      <c r="K924" s="485"/>
      <c r="L924" s="485"/>
      <c r="M924" s="485"/>
      <c r="P924" s="485"/>
      <c r="Q924" s="485"/>
      <c r="R924" s="485"/>
      <c r="S924" s="485"/>
      <c r="T924" s="485"/>
      <c r="U924" s="485"/>
      <c r="V924" s="485"/>
      <c r="W924" s="485"/>
      <c r="X924" s="485"/>
      <c r="Y924" s="485"/>
      <c r="Z924" s="485"/>
      <c r="AA924" s="485"/>
      <c r="AB924" s="485"/>
      <c r="AC924" s="485"/>
      <c r="AD924" s="485"/>
      <c r="AE924" s="485"/>
      <c r="AF924" s="485"/>
      <c r="AG924" s="485"/>
      <c r="AH924" s="485"/>
      <c r="AI924" s="485"/>
      <c r="AJ924" s="485"/>
      <c r="AK924" s="485"/>
      <c r="AL924" s="485"/>
      <c r="AM924" s="485"/>
      <c r="AN924" s="485"/>
      <c r="AO924" s="485"/>
      <c r="AP924" s="485"/>
      <c r="AQ924" s="485"/>
      <c r="AR924" s="485"/>
      <c r="AS924" s="485"/>
      <c r="AT924" s="485"/>
      <c r="AU924" s="485"/>
      <c r="AV924" s="485"/>
      <c r="AW924" s="485"/>
      <c r="AX924" s="485"/>
      <c r="AY924" s="485"/>
      <c r="AZ924" s="485"/>
      <c r="BA924" s="485"/>
      <c r="BB924" s="485"/>
      <c r="BC924" s="485"/>
      <c r="BD924" s="485"/>
      <c r="BE924" s="485"/>
      <c r="BF924" s="485"/>
      <c r="BG924" s="485"/>
      <c r="BH924" s="485"/>
      <c r="BI924" s="485"/>
      <c r="BJ924" s="485"/>
      <c r="BK924" s="485"/>
      <c r="BL924" s="485"/>
      <c r="BM924" s="485"/>
      <c r="BN924" s="485"/>
      <c r="BO924" s="485"/>
      <c r="BP924" s="485"/>
      <c r="BQ924" s="485"/>
      <c r="BR924" s="485"/>
      <c r="BS924" s="485"/>
      <c r="BT924" s="485"/>
      <c r="BU924" s="485"/>
      <c r="BV924" s="485"/>
      <c r="BW924" s="485"/>
      <c r="BX924" s="485"/>
      <c r="BY924" s="485"/>
      <c r="BZ924" s="485"/>
      <c r="CA924" s="485"/>
      <c r="CB924" s="485"/>
      <c r="CC924" s="485"/>
      <c r="CD924" s="485"/>
      <c r="CE924" s="485"/>
      <c r="CF924" s="485"/>
      <c r="CG924" s="485"/>
      <c r="CH924" s="485"/>
      <c r="CI924" s="485"/>
      <c r="CJ924" s="485"/>
      <c r="CK924" s="485"/>
      <c r="CL924" s="485"/>
      <c r="CM924" s="485"/>
      <c r="CN924" s="485"/>
      <c r="CO924" s="485"/>
      <c r="CP924" s="485"/>
      <c r="CQ924" s="485"/>
      <c r="CR924" s="485"/>
      <c r="CS924" s="485"/>
      <c r="CT924" s="485"/>
      <c r="CU924" s="485"/>
      <c r="CV924" s="485"/>
      <c r="CW924" s="485"/>
      <c r="CX924" s="485"/>
      <c r="CY924" s="485"/>
      <c r="CZ924" s="485"/>
      <c r="DA924" s="485"/>
      <c r="DB924" s="485"/>
      <c r="DC924" s="485"/>
      <c r="DD924" s="485"/>
      <c r="DE924" s="485"/>
      <c r="DF924" s="485"/>
      <c r="DG924" s="485"/>
      <c r="DH924" s="485"/>
      <c r="DI924" s="485"/>
      <c r="DJ924" s="485"/>
      <c r="DK924" s="485"/>
      <c r="DL924" s="485"/>
      <c r="DM924" s="485"/>
      <c r="DN924" s="485"/>
      <c r="DO924" s="485"/>
      <c r="DP924" s="485"/>
      <c r="DQ924" s="485"/>
      <c r="DR924" s="485"/>
      <c r="DS924" s="485"/>
      <c r="DT924" s="485"/>
      <c r="DU924" s="485"/>
      <c r="DV924" s="485"/>
      <c r="DW924" s="485"/>
      <c r="DX924" s="485"/>
      <c r="DY924" s="485"/>
      <c r="DZ924" s="485"/>
      <c r="EA924" s="485"/>
      <c r="EB924" s="485"/>
      <c r="EC924" s="485"/>
      <c r="ED924" s="485"/>
      <c r="EE924" s="485"/>
      <c r="EF924" s="485"/>
      <c r="EG924" s="485"/>
      <c r="EH924" s="485"/>
      <c r="EI924" s="485"/>
      <c r="EJ924" s="485"/>
      <c r="EK924" s="485"/>
      <c r="EL924" s="485"/>
      <c r="EM924" s="485"/>
      <c r="EN924" s="485"/>
      <c r="EO924" s="485"/>
      <c r="EP924" s="485"/>
    </row>
    <row r="925" spans="1:146">
      <c r="A925" s="485"/>
      <c r="B925" s="485"/>
      <c r="C925" s="485"/>
      <c r="D925" s="485"/>
      <c r="E925" s="485"/>
      <c r="F925" s="485"/>
      <c r="G925" s="485"/>
      <c r="H925" s="485"/>
      <c r="I925" s="485"/>
      <c r="J925" s="485"/>
      <c r="K925" s="485"/>
      <c r="L925" s="485"/>
      <c r="M925" s="485"/>
      <c r="P925" s="485"/>
      <c r="Q925" s="485"/>
      <c r="R925" s="485"/>
      <c r="S925" s="485"/>
      <c r="T925" s="485"/>
      <c r="U925" s="485"/>
      <c r="V925" s="485"/>
      <c r="W925" s="485"/>
      <c r="X925" s="485"/>
      <c r="Y925" s="485"/>
      <c r="Z925" s="485"/>
      <c r="AA925" s="485"/>
      <c r="AB925" s="485"/>
      <c r="AC925" s="485"/>
      <c r="AD925" s="485"/>
      <c r="AE925" s="485"/>
      <c r="AF925" s="485"/>
      <c r="AG925" s="485"/>
      <c r="AH925" s="485"/>
      <c r="AI925" s="485"/>
      <c r="AJ925" s="485"/>
      <c r="AK925" s="485"/>
      <c r="AL925" s="485"/>
      <c r="AM925" s="485"/>
      <c r="AN925" s="485"/>
      <c r="AO925" s="485"/>
      <c r="AP925" s="485"/>
      <c r="AQ925" s="485"/>
      <c r="AR925" s="485"/>
      <c r="AS925" s="485"/>
      <c r="AT925" s="485"/>
      <c r="AU925" s="485"/>
      <c r="AV925" s="485"/>
      <c r="AW925" s="485"/>
      <c r="AX925" s="485"/>
      <c r="AY925" s="485"/>
      <c r="AZ925" s="485"/>
      <c r="BA925" s="485"/>
      <c r="BB925" s="485"/>
      <c r="BC925" s="485"/>
      <c r="BD925" s="485"/>
      <c r="BE925" s="485"/>
      <c r="BF925" s="485"/>
      <c r="BG925" s="485"/>
      <c r="BH925" s="485"/>
      <c r="BI925" s="485"/>
      <c r="BJ925" s="485"/>
      <c r="BK925" s="485"/>
      <c r="BL925" s="485"/>
      <c r="BM925" s="485"/>
      <c r="BN925" s="485"/>
      <c r="BO925" s="485"/>
      <c r="BP925" s="485"/>
      <c r="BQ925" s="485"/>
      <c r="BR925" s="485"/>
      <c r="BS925" s="485"/>
      <c r="BT925" s="485"/>
      <c r="BU925" s="485"/>
      <c r="BV925" s="485"/>
      <c r="BW925" s="485"/>
      <c r="BX925" s="485"/>
      <c r="BY925" s="485"/>
      <c r="BZ925" s="485"/>
      <c r="CA925" s="485"/>
      <c r="CB925" s="485"/>
      <c r="CC925" s="485"/>
      <c r="CD925" s="485"/>
      <c r="CE925" s="485"/>
      <c r="CF925" s="485"/>
      <c r="CG925" s="485"/>
      <c r="CH925" s="485"/>
      <c r="CI925" s="485"/>
      <c r="CJ925" s="485"/>
      <c r="CK925" s="485"/>
      <c r="CL925" s="485"/>
      <c r="CM925" s="485"/>
      <c r="CN925" s="485"/>
      <c r="CO925" s="485"/>
      <c r="CP925" s="485"/>
      <c r="CQ925" s="485"/>
      <c r="CR925" s="485"/>
      <c r="CS925" s="485"/>
      <c r="CT925" s="485"/>
      <c r="CU925" s="485"/>
      <c r="CV925" s="485"/>
      <c r="CW925" s="485"/>
      <c r="CX925" s="485"/>
      <c r="CY925" s="485"/>
      <c r="CZ925" s="485"/>
      <c r="DA925" s="485"/>
      <c r="DB925" s="485"/>
      <c r="DC925" s="485"/>
      <c r="DD925" s="485"/>
      <c r="DE925" s="485"/>
      <c r="DF925" s="485"/>
      <c r="DG925" s="485"/>
      <c r="DH925" s="485"/>
      <c r="DI925" s="485"/>
      <c r="DJ925" s="485"/>
      <c r="DK925" s="485"/>
      <c r="DL925" s="485"/>
      <c r="DM925" s="485"/>
      <c r="DN925" s="485"/>
      <c r="DO925" s="485"/>
      <c r="DP925" s="485"/>
      <c r="DQ925" s="485"/>
      <c r="DR925" s="485"/>
      <c r="DS925" s="485"/>
      <c r="DT925" s="485"/>
      <c r="DU925" s="485"/>
      <c r="DV925" s="485"/>
      <c r="DW925" s="485"/>
      <c r="DX925" s="485"/>
      <c r="DY925" s="485"/>
      <c r="DZ925" s="485"/>
      <c r="EA925" s="485"/>
      <c r="EB925" s="485"/>
      <c r="EC925" s="485"/>
      <c r="ED925" s="485"/>
      <c r="EE925" s="485"/>
      <c r="EF925" s="485"/>
      <c r="EG925" s="485"/>
      <c r="EH925" s="485"/>
      <c r="EI925" s="485"/>
      <c r="EJ925" s="485"/>
      <c r="EK925" s="485"/>
      <c r="EL925" s="485"/>
      <c r="EM925" s="485"/>
      <c r="EN925" s="485"/>
      <c r="EO925" s="485"/>
      <c r="EP925" s="485"/>
    </row>
    <row r="926" spans="1:146">
      <c r="A926" s="485"/>
      <c r="B926" s="485"/>
      <c r="C926" s="485"/>
      <c r="D926" s="485"/>
      <c r="E926" s="485"/>
      <c r="F926" s="485"/>
      <c r="G926" s="485"/>
      <c r="H926" s="485"/>
      <c r="I926" s="485"/>
      <c r="J926" s="485"/>
      <c r="K926" s="485"/>
      <c r="L926" s="485"/>
      <c r="M926" s="485"/>
      <c r="P926" s="485"/>
      <c r="Q926" s="485"/>
      <c r="R926" s="485"/>
      <c r="S926" s="485"/>
      <c r="T926" s="485"/>
      <c r="U926" s="485"/>
      <c r="V926" s="485"/>
      <c r="W926" s="485"/>
      <c r="X926" s="485"/>
      <c r="Y926" s="485"/>
      <c r="Z926" s="485"/>
      <c r="AA926" s="485"/>
      <c r="AB926" s="485"/>
      <c r="AC926" s="485"/>
      <c r="AD926" s="485"/>
      <c r="AE926" s="485"/>
      <c r="AF926" s="485"/>
      <c r="AG926" s="485"/>
      <c r="AH926" s="485"/>
      <c r="AI926" s="485"/>
      <c r="AJ926" s="485"/>
      <c r="AK926" s="485"/>
      <c r="AL926" s="485"/>
      <c r="AM926" s="485"/>
      <c r="AN926" s="485"/>
      <c r="AO926" s="485"/>
      <c r="AP926" s="485"/>
      <c r="AQ926" s="485"/>
      <c r="AR926" s="485"/>
      <c r="AS926" s="485"/>
      <c r="AT926" s="485"/>
      <c r="AU926" s="485"/>
      <c r="AV926" s="485"/>
      <c r="AW926" s="485"/>
      <c r="AX926" s="485"/>
      <c r="AY926" s="485"/>
      <c r="AZ926" s="485"/>
      <c r="BA926" s="485"/>
      <c r="BB926" s="485"/>
      <c r="BC926" s="485"/>
      <c r="BD926" s="485"/>
      <c r="BE926" s="485"/>
      <c r="BF926" s="485"/>
      <c r="BG926" s="485"/>
      <c r="BH926" s="485"/>
      <c r="BI926" s="485"/>
      <c r="BJ926" s="485"/>
      <c r="BK926" s="485"/>
      <c r="BL926" s="485"/>
      <c r="BM926" s="485"/>
      <c r="BN926" s="485"/>
      <c r="BO926" s="485"/>
      <c r="BP926" s="485"/>
      <c r="BQ926" s="485"/>
      <c r="BR926" s="485"/>
      <c r="BS926" s="485"/>
      <c r="BT926" s="485"/>
      <c r="BU926" s="485"/>
      <c r="BV926" s="485"/>
      <c r="BW926" s="485"/>
      <c r="BX926" s="485"/>
      <c r="BY926" s="485"/>
      <c r="BZ926" s="485"/>
      <c r="CA926" s="485"/>
      <c r="CB926" s="485"/>
      <c r="CC926" s="485"/>
      <c r="CD926" s="485"/>
      <c r="CE926" s="485"/>
      <c r="CF926" s="485"/>
      <c r="CG926" s="485"/>
      <c r="CH926" s="485"/>
      <c r="CI926" s="485"/>
      <c r="CJ926" s="485"/>
      <c r="CK926" s="485"/>
      <c r="CL926" s="485"/>
      <c r="CM926" s="485"/>
      <c r="CN926" s="485"/>
      <c r="CO926" s="485"/>
      <c r="CP926" s="485"/>
      <c r="CQ926" s="485"/>
      <c r="CR926" s="485"/>
      <c r="CS926" s="485"/>
      <c r="CT926" s="485"/>
      <c r="CU926" s="485"/>
      <c r="CV926" s="485"/>
      <c r="CW926" s="485"/>
      <c r="CX926" s="485"/>
      <c r="CY926" s="485"/>
      <c r="CZ926" s="485"/>
      <c r="DA926" s="485"/>
      <c r="DB926" s="485"/>
      <c r="DC926" s="485"/>
      <c r="DD926" s="485"/>
      <c r="DE926" s="485"/>
      <c r="DF926" s="485"/>
      <c r="DG926" s="485"/>
      <c r="DH926" s="485"/>
      <c r="DI926" s="485"/>
      <c r="DJ926" s="485"/>
      <c r="DK926" s="485"/>
      <c r="DL926" s="485"/>
      <c r="DM926" s="485"/>
      <c r="DN926" s="485"/>
      <c r="DO926" s="485"/>
      <c r="DP926" s="485"/>
      <c r="DQ926" s="485"/>
      <c r="DR926" s="485"/>
      <c r="DS926" s="485"/>
      <c r="DT926" s="485"/>
      <c r="DU926" s="485"/>
      <c r="DV926" s="485"/>
      <c r="DW926" s="485"/>
      <c r="DX926" s="485"/>
      <c r="DY926" s="485"/>
      <c r="DZ926" s="485"/>
      <c r="EA926" s="485"/>
      <c r="EB926" s="485"/>
      <c r="EC926" s="485"/>
      <c r="ED926" s="485"/>
      <c r="EE926" s="485"/>
      <c r="EF926" s="485"/>
      <c r="EG926" s="485"/>
      <c r="EH926" s="485"/>
      <c r="EI926" s="485"/>
      <c r="EJ926" s="485"/>
      <c r="EK926" s="485"/>
      <c r="EL926" s="485"/>
      <c r="EM926" s="485"/>
      <c r="EN926" s="485"/>
      <c r="EO926" s="485"/>
      <c r="EP926" s="485"/>
    </row>
    <row r="927" spans="1:146">
      <c r="A927" s="485"/>
      <c r="B927" s="485"/>
      <c r="C927" s="485"/>
      <c r="D927" s="485"/>
      <c r="E927" s="485"/>
      <c r="F927" s="485"/>
      <c r="G927" s="485"/>
      <c r="H927" s="485"/>
      <c r="I927" s="485"/>
      <c r="J927" s="485"/>
      <c r="K927" s="485"/>
      <c r="L927" s="485"/>
      <c r="M927" s="485"/>
      <c r="P927" s="485"/>
      <c r="Q927" s="485"/>
      <c r="R927" s="485"/>
      <c r="S927" s="485"/>
      <c r="T927" s="485"/>
      <c r="U927" s="485"/>
      <c r="V927" s="485"/>
      <c r="W927" s="485"/>
      <c r="X927" s="485"/>
      <c r="Y927" s="485"/>
      <c r="Z927" s="485"/>
      <c r="AA927" s="485"/>
      <c r="AB927" s="485"/>
      <c r="AC927" s="485"/>
      <c r="AD927" s="485"/>
      <c r="AE927" s="485"/>
      <c r="AF927" s="485"/>
      <c r="AG927" s="485"/>
      <c r="AH927" s="485"/>
      <c r="AI927" s="485"/>
      <c r="AJ927" s="485"/>
      <c r="AK927" s="485"/>
      <c r="AL927" s="485"/>
      <c r="AM927" s="485"/>
      <c r="AN927" s="485"/>
      <c r="AO927" s="485"/>
      <c r="AP927" s="485"/>
      <c r="AQ927" s="485"/>
      <c r="AR927" s="485"/>
      <c r="AS927" s="485"/>
      <c r="AT927" s="485"/>
      <c r="AU927" s="485"/>
      <c r="AV927" s="485"/>
      <c r="AW927" s="485"/>
      <c r="AX927" s="485"/>
      <c r="AY927" s="485"/>
      <c r="AZ927" s="485"/>
      <c r="BA927" s="485"/>
      <c r="BB927" s="485"/>
      <c r="BC927" s="485"/>
      <c r="BD927" s="485"/>
      <c r="BE927" s="485"/>
      <c r="BF927" s="485"/>
      <c r="BG927" s="485"/>
      <c r="BH927" s="485"/>
      <c r="BI927" s="485"/>
      <c r="BJ927" s="485"/>
      <c r="BK927" s="485"/>
      <c r="BL927" s="485"/>
      <c r="BM927" s="485"/>
      <c r="BN927" s="485"/>
      <c r="BO927" s="485"/>
      <c r="BP927" s="485"/>
      <c r="BQ927" s="485"/>
      <c r="BR927" s="485"/>
      <c r="BS927" s="485"/>
      <c r="BT927" s="485"/>
      <c r="BU927" s="485"/>
      <c r="BV927" s="485"/>
      <c r="BW927" s="485"/>
      <c r="BX927" s="485"/>
      <c r="BY927" s="485"/>
      <c r="BZ927" s="485"/>
      <c r="CA927" s="485"/>
      <c r="CB927" s="485"/>
      <c r="CC927" s="485"/>
      <c r="CD927" s="485"/>
      <c r="CE927" s="485"/>
      <c r="CF927" s="485"/>
      <c r="CG927" s="485"/>
      <c r="CH927" s="485"/>
      <c r="CI927" s="485"/>
      <c r="CJ927" s="485"/>
      <c r="CK927" s="485"/>
      <c r="CL927" s="485"/>
      <c r="CM927" s="485"/>
      <c r="CN927" s="485"/>
      <c r="CO927" s="485"/>
      <c r="CP927" s="485"/>
      <c r="CQ927" s="485"/>
      <c r="CR927" s="485"/>
      <c r="CS927" s="485"/>
      <c r="CT927" s="485"/>
      <c r="CU927" s="485"/>
      <c r="CV927" s="485"/>
      <c r="CW927" s="485"/>
      <c r="CX927" s="485"/>
      <c r="CY927" s="485"/>
      <c r="CZ927" s="485"/>
      <c r="DA927" s="485"/>
      <c r="DB927" s="485"/>
      <c r="DC927" s="485"/>
      <c r="DD927" s="485"/>
      <c r="DE927" s="485"/>
      <c r="DF927" s="485"/>
      <c r="DG927" s="485"/>
      <c r="DH927" s="485"/>
      <c r="DI927" s="485"/>
      <c r="DJ927" s="485"/>
      <c r="DK927" s="485"/>
      <c r="DL927" s="485"/>
      <c r="DM927" s="485"/>
      <c r="DN927" s="485"/>
      <c r="DO927" s="485"/>
      <c r="DP927" s="485"/>
      <c r="DQ927" s="485"/>
      <c r="DR927" s="485"/>
      <c r="DS927" s="485"/>
      <c r="DT927" s="485"/>
      <c r="DU927" s="485"/>
      <c r="DV927" s="485"/>
      <c r="DW927" s="485"/>
      <c r="DX927" s="485"/>
      <c r="DY927" s="485"/>
      <c r="DZ927" s="485"/>
      <c r="EA927" s="485"/>
      <c r="EB927" s="485"/>
      <c r="EC927" s="485"/>
      <c r="ED927" s="485"/>
      <c r="EE927" s="485"/>
      <c r="EF927" s="485"/>
      <c r="EG927" s="485"/>
      <c r="EH927" s="485"/>
      <c r="EI927" s="485"/>
      <c r="EJ927" s="485"/>
      <c r="EK927" s="485"/>
      <c r="EL927" s="485"/>
      <c r="EM927" s="485"/>
      <c r="EN927" s="485"/>
      <c r="EO927" s="485"/>
      <c r="EP927" s="485"/>
    </row>
    <row r="928" spans="1:146">
      <c r="A928" s="485"/>
      <c r="B928" s="485"/>
      <c r="C928" s="485"/>
      <c r="D928" s="485"/>
      <c r="E928" s="485"/>
      <c r="F928" s="485"/>
      <c r="G928" s="485"/>
      <c r="H928" s="485"/>
      <c r="I928" s="485"/>
      <c r="J928" s="485"/>
      <c r="K928" s="485"/>
      <c r="L928" s="485"/>
      <c r="M928" s="485"/>
      <c r="P928" s="485"/>
      <c r="Q928" s="485"/>
      <c r="R928" s="485"/>
      <c r="S928" s="485"/>
      <c r="T928" s="485"/>
      <c r="U928" s="485"/>
      <c r="V928" s="485"/>
      <c r="W928" s="485"/>
      <c r="X928" s="485"/>
      <c r="Y928" s="485"/>
      <c r="Z928" s="485"/>
      <c r="AA928" s="485"/>
      <c r="AB928" s="485"/>
      <c r="AC928" s="485"/>
      <c r="AD928" s="485"/>
      <c r="AE928" s="485"/>
      <c r="AF928" s="485"/>
      <c r="AG928" s="485"/>
      <c r="AH928" s="485"/>
      <c r="AI928" s="485"/>
      <c r="AJ928" s="485"/>
      <c r="AK928" s="485"/>
      <c r="AL928" s="485"/>
      <c r="AM928" s="485"/>
      <c r="AN928" s="485"/>
      <c r="AO928" s="485"/>
      <c r="AP928" s="485"/>
      <c r="AQ928" s="485"/>
      <c r="AR928" s="485"/>
      <c r="AS928" s="485"/>
      <c r="AT928" s="485"/>
      <c r="AU928" s="485"/>
      <c r="AV928" s="485"/>
      <c r="AW928" s="485"/>
      <c r="AX928" s="485"/>
      <c r="AY928" s="485"/>
      <c r="AZ928" s="485"/>
      <c r="BA928" s="485"/>
      <c r="BB928" s="485"/>
      <c r="BC928" s="485"/>
      <c r="BD928" s="485"/>
      <c r="BE928" s="485"/>
      <c r="BF928" s="485"/>
      <c r="BG928" s="485"/>
      <c r="BH928" s="485"/>
      <c r="BI928" s="485"/>
      <c r="BJ928" s="485"/>
      <c r="BK928" s="485"/>
      <c r="BL928" s="485"/>
      <c r="BM928" s="485"/>
      <c r="BN928" s="485"/>
      <c r="BO928" s="485"/>
      <c r="BP928" s="485"/>
      <c r="BQ928" s="485"/>
      <c r="BR928" s="485"/>
      <c r="BS928" s="485"/>
      <c r="BT928" s="485"/>
      <c r="BU928" s="485"/>
      <c r="BV928" s="485"/>
      <c r="BW928" s="485"/>
      <c r="BX928" s="485"/>
      <c r="BY928" s="485"/>
      <c r="BZ928" s="485"/>
      <c r="CA928" s="485"/>
      <c r="CB928" s="485"/>
      <c r="CC928" s="485"/>
      <c r="CD928" s="485"/>
      <c r="CE928" s="485"/>
      <c r="CF928" s="485"/>
      <c r="CG928" s="485"/>
      <c r="CH928" s="485"/>
      <c r="CI928" s="485"/>
      <c r="CJ928" s="485"/>
      <c r="CK928" s="485"/>
      <c r="CL928" s="485"/>
      <c r="CM928" s="485"/>
      <c r="CN928" s="485"/>
      <c r="CO928" s="485"/>
      <c r="CP928" s="485"/>
      <c r="CQ928" s="485"/>
      <c r="CR928" s="485"/>
      <c r="CS928" s="485"/>
      <c r="CT928" s="485"/>
      <c r="CU928" s="485"/>
      <c r="CV928" s="485"/>
      <c r="CW928" s="485"/>
      <c r="CX928" s="485"/>
      <c r="CY928" s="485"/>
      <c r="CZ928" s="485"/>
      <c r="DA928" s="485"/>
      <c r="DB928" s="485"/>
      <c r="DC928" s="485"/>
      <c r="DD928" s="485"/>
      <c r="DE928" s="485"/>
      <c r="DF928" s="485"/>
      <c r="DG928" s="485"/>
      <c r="DH928" s="485"/>
      <c r="DI928" s="485"/>
      <c r="DJ928" s="485"/>
      <c r="DK928" s="485"/>
      <c r="DL928" s="485"/>
      <c r="DM928" s="485"/>
      <c r="DN928" s="485"/>
      <c r="DO928" s="485"/>
      <c r="DP928" s="485"/>
      <c r="DQ928" s="485"/>
      <c r="DR928" s="485"/>
      <c r="DS928" s="485"/>
      <c r="DT928" s="485"/>
      <c r="DU928" s="485"/>
      <c r="DV928" s="485"/>
      <c r="DW928" s="485"/>
      <c r="DX928" s="485"/>
      <c r="DY928" s="485"/>
      <c r="DZ928" s="485"/>
      <c r="EA928" s="485"/>
      <c r="EB928" s="485"/>
      <c r="EC928" s="485"/>
      <c r="ED928" s="485"/>
      <c r="EE928" s="485"/>
      <c r="EF928" s="485"/>
      <c r="EG928" s="485"/>
      <c r="EH928" s="485"/>
      <c r="EI928" s="485"/>
      <c r="EJ928" s="485"/>
      <c r="EK928" s="485"/>
      <c r="EL928" s="485"/>
      <c r="EM928" s="485"/>
      <c r="EN928" s="485"/>
      <c r="EO928" s="485"/>
      <c r="EP928" s="485"/>
    </row>
    <row r="929" spans="1:146">
      <c r="A929" s="485"/>
      <c r="B929" s="485"/>
      <c r="C929" s="485"/>
      <c r="D929" s="485"/>
      <c r="E929" s="485"/>
      <c r="F929" s="485"/>
      <c r="G929" s="485"/>
      <c r="H929" s="485"/>
      <c r="I929" s="485"/>
      <c r="J929" s="485"/>
      <c r="K929" s="485"/>
      <c r="L929" s="485"/>
      <c r="M929" s="485"/>
      <c r="P929" s="485"/>
      <c r="Q929" s="485"/>
      <c r="R929" s="485"/>
      <c r="S929" s="485"/>
      <c r="T929" s="485"/>
      <c r="U929" s="485"/>
      <c r="V929" s="485"/>
      <c r="W929" s="485"/>
      <c r="X929" s="485"/>
      <c r="Y929" s="485"/>
      <c r="Z929" s="485"/>
      <c r="AA929" s="485"/>
      <c r="AB929" s="485"/>
      <c r="AC929" s="485"/>
      <c r="AD929" s="485"/>
      <c r="AE929" s="485"/>
      <c r="AF929" s="485"/>
      <c r="AG929" s="485"/>
      <c r="AH929" s="485"/>
      <c r="AI929" s="485"/>
      <c r="AJ929" s="485"/>
      <c r="AK929" s="485"/>
      <c r="AL929" s="485"/>
      <c r="AM929" s="485"/>
      <c r="AN929" s="485"/>
      <c r="AO929" s="485"/>
      <c r="AP929" s="485"/>
      <c r="AQ929" s="485"/>
      <c r="AR929" s="485"/>
      <c r="AS929" s="485"/>
      <c r="AT929" s="485"/>
      <c r="AU929" s="485"/>
      <c r="AV929" s="485"/>
      <c r="AW929" s="485"/>
      <c r="AX929" s="485"/>
      <c r="AY929" s="485"/>
      <c r="AZ929" s="485"/>
      <c r="BA929" s="485"/>
      <c r="BB929" s="485"/>
      <c r="BC929" s="485"/>
      <c r="BD929" s="485"/>
      <c r="BE929" s="485"/>
      <c r="BF929" s="485"/>
      <c r="BG929" s="485"/>
      <c r="BH929" s="485"/>
      <c r="BI929" s="485"/>
      <c r="BJ929" s="485"/>
      <c r="BK929" s="485"/>
      <c r="BL929" s="485"/>
      <c r="BM929" s="485"/>
      <c r="BN929" s="485"/>
      <c r="BO929" s="485"/>
      <c r="BP929" s="485"/>
      <c r="BQ929" s="485"/>
      <c r="BR929" s="485"/>
      <c r="BS929" s="485"/>
      <c r="BT929" s="485"/>
      <c r="BU929" s="485"/>
      <c r="BV929" s="485"/>
      <c r="BW929" s="485"/>
      <c r="BX929" s="485"/>
      <c r="BY929" s="485"/>
      <c r="BZ929" s="485"/>
      <c r="CA929" s="485"/>
      <c r="CB929" s="485"/>
      <c r="CC929" s="485"/>
      <c r="CD929" s="485"/>
      <c r="CE929" s="485"/>
      <c r="CF929" s="485"/>
      <c r="CG929" s="485"/>
      <c r="CH929" s="485"/>
      <c r="CI929" s="485"/>
      <c r="CJ929" s="485"/>
      <c r="CK929" s="485"/>
      <c r="CL929" s="485"/>
      <c r="CM929" s="485"/>
      <c r="CN929" s="485"/>
      <c r="CO929" s="485"/>
      <c r="CP929" s="485"/>
      <c r="CQ929" s="485"/>
      <c r="CR929" s="485"/>
      <c r="CS929" s="485"/>
      <c r="CT929" s="485"/>
      <c r="CU929" s="485"/>
      <c r="CV929" s="485"/>
      <c r="CW929" s="485"/>
      <c r="CX929" s="485"/>
      <c r="CY929" s="485"/>
      <c r="CZ929" s="485"/>
      <c r="DA929" s="485"/>
      <c r="DB929" s="485"/>
      <c r="DC929" s="485"/>
      <c r="DD929" s="485"/>
      <c r="DE929" s="485"/>
      <c r="DF929" s="485"/>
      <c r="DG929" s="485"/>
      <c r="DH929" s="485"/>
      <c r="DI929" s="485"/>
      <c r="DJ929" s="485"/>
      <c r="DK929" s="485"/>
      <c r="DL929" s="485"/>
      <c r="DM929" s="485"/>
      <c r="DN929" s="485"/>
      <c r="DO929" s="485"/>
      <c r="DP929" s="485"/>
      <c r="DQ929" s="485"/>
      <c r="DR929" s="485"/>
      <c r="DS929" s="485"/>
      <c r="DT929" s="485"/>
      <c r="DU929" s="485"/>
      <c r="DV929" s="485"/>
      <c r="DW929" s="485"/>
      <c r="DX929" s="485"/>
      <c r="DY929" s="485"/>
      <c r="DZ929" s="485"/>
      <c r="EA929" s="485"/>
      <c r="EB929" s="485"/>
      <c r="EC929" s="485"/>
      <c r="ED929" s="485"/>
      <c r="EE929" s="485"/>
      <c r="EF929" s="485"/>
      <c r="EG929" s="485"/>
      <c r="EH929" s="485"/>
      <c r="EI929" s="485"/>
      <c r="EJ929" s="485"/>
      <c r="EK929" s="485"/>
      <c r="EL929" s="485"/>
      <c r="EM929" s="485"/>
      <c r="EN929" s="485"/>
      <c r="EO929" s="485"/>
      <c r="EP929" s="485"/>
    </row>
    <row r="930" spans="1:146">
      <c r="A930" s="485"/>
      <c r="B930" s="485"/>
      <c r="C930" s="485"/>
      <c r="D930" s="485"/>
      <c r="E930" s="485"/>
      <c r="F930" s="485"/>
      <c r="G930" s="485"/>
      <c r="H930" s="485"/>
      <c r="I930" s="485"/>
      <c r="J930" s="485"/>
      <c r="K930" s="485"/>
      <c r="L930" s="485"/>
      <c r="M930" s="485"/>
      <c r="P930" s="485"/>
      <c r="Q930" s="485"/>
      <c r="R930" s="485"/>
      <c r="S930" s="485"/>
      <c r="T930" s="485"/>
      <c r="U930" s="485"/>
      <c r="V930" s="485"/>
      <c r="W930" s="485"/>
      <c r="X930" s="485"/>
      <c r="Y930" s="485"/>
      <c r="Z930" s="485"/>
      <c r="AA930" s="485"/>
      <c r="AB930" s="485"/>
      <c r="AC930" s="485"/>
      <c r="AD930" s="485"/>
      <c r="AE930" s="485"/>
      <c r="AF930" s="485"/>
      <c r="AG930" s="485"/>
      <c r="AH930" s="485"/>
      <c r="AI930" s="485"/>
      <c r="AJ930" s="485"/>
      <c r="AK930" s="485"/>
      <c r="AL930" s="485"/>
      <c r="AM930" s="485"/>
      <c r="AN930" s="485"/>
      <c r="AO930" s="485"/>
      <c r="AP930" s="485"/>
      <c r="AQ930" s="485"/>
      <c r="AR930" s="485"/>
      <c r="AS930" s="485"/>
      <c r="AT930" s="485"/>
      <c r="AU930" s="485"/>
      <c r="AV930" s="485"/>
      <c r="AW930" s="485"/>
      <c r="AX930" s="485"/>
      <c r="AY930" s="485"/>
      <c r="AZ930" s="485"/>
      <c r="BA930" s="485"/>
      <c r="BB930" s="485"/>
      <c r="BC930" s="485"/>
      <c r="BD930" s="485"/>
      <c r="BE930" s="485"/>
      <c r="BF930" s="485"/>
      <c r="BG930" s="485"/>
      <c r="BH930" s="485"/>
      <c r="BI930" s="485"/>
      <c r="BJ930" s="485"/>
      <c r="BK930" s="485"/>
      <c r="BL930" s="485"/>
      <c r="BM930" s="485"/>
      <c r="BN930" s="485"/>
      <c r="BO930" s="485"/>
      <c r="BP930" s="485"/>
      <c r="BQ930" s="485"/>
      <c r="BR930" s="485"/>
      <c r="BS930" s="485"/>
      <c r="BT930" s="485"/>
      <c r="BU930" s="485"/>
      <c r="BV930" s="485"/>
      <c r="BW930" s="485"/>
      <c r="BX930" s="485"/>
      <c r="BY930" s="485"/>
      <c r="BZ930" s="485"/>
      <c r="CA930" s="485"/>
      <c r="CB930" s="485"/>
      <c r="CC930" s="485"/>
      <c r="CD930" s="485"/>
      <c r="CE930" s="485"/>
      <c r="CF930" s="485"/>
      <c r="CG930" s="485"/>
      <c r="CH930" s="485"/>
      <c r="CI930" s="485"/>
      <c r="CJ930" s="485"/>
      <c r="CK930" s="485"/>
      <c r="CL930" s="485"/>
      <c r="CM930" s="485"/>
      <c r="CN930" s="485"/>
      <c r="CO930" s="485"/>
      <c r="CP930" s="485"/>
      <c r="CQ930" s="485"/>
      <c r="CR930" s="485"/>
      <c r="CS930" s="485"/>
      <c r="CT930" s="485"/>
      <c r="CU930" s="485"/>
      <c r="CV930" s="485"/>
      <c r="CW930" s="485"/>
      <c r="CX930" s="485"/>
      <c r="CY930" s="485"/>
      <c r="CZ930" s="485"/>
      <c r="DA930" s="485"/>
      <c r="DB930" s="485"/>
      <c r="DC930" s="485"/>
      <c r="DD930" s="485"/>
      <c r="DE930" s="485"/>
      <c r="DF930" s="485"/>
      <c r="DG930" s="485"/>
      <c r="DH930" s="485"/>
      <c r="DI930" s="485"/>
      <c r="DJ930" s="485"/>
      <c r="DK930" s="485"/>
      <c r="DL930" s="485"/>
      <c r="DM930" s="485"/>
      <c r="DN930" s="485"/>
      <c r="DO930" s="485"/>
      <c r="DP930" s="485"/>
      <c r="DQ930" s="485"/>
      <c r="DR930" s="485"/>
      <c r="DS930" s="485"/>
      <c r="DT930" s="485"/>
      <c r="DU930" s="485"/>
      <c r="DV930" s="485"/>
      <c r="DW930" s="485"/>
      <c r="DX930" s="485"/>
      <c r="DY930" s="485"/>
      <c r="DZ930" s="485"/>
      <c r="EA930" s="485"/>
      <c r="EB930" s="485"/>
      <c r="EC930" s="485"/>
      <c r="ED930" s="485"/>
      <c r="EE930" s="485"/>
      <c r="EF930" s="485"/>
      <c r="EG930" s="485"/>
      <c r="EH930" s="485"/>
      <c r="EI930" s="485"/>
      <c r="EJ930" s="485"/>
      <c r="EK930" s="485"/>
      <c r="EL930" s="485"/>
      <c r="EM930" s="485"/>
      <c r="EN930" s="485"/>
      <c r="EO930" s="485"/>
      <c r="EP930" s="485"/>
    </row>
    <row r="931" spans="1:146">
      <c r="A931" s="485"/>
      <c r="B931" s="485"/>
      <c r="C931" s="485"/>
      <c r="D931" s="485"/>
      <c r="E931" s="485"/>
      <c r="F931" s="485"/>
      <c r="G931" s="485"/>
      <c r="H931" s="485"/>
      <c r="I931" s="485"/>
      <c r="J931" s="485"/>
      <c r="K931" s="485"/>
      <c r="L931" s="485"/>
      <c r="M931" s="485"/>
      <c r="P931" s="485"/>
      <c r="Q931" s="485"/>
      <c r="R931" s="485"/>
      <c r="S931" s="485"/>
      <c r="T931" s="485"/>
      <c r="U931" s="485"/>
      <c r="V931" s="485"/>
      <c r="W931" s="485"/>
      <c r="X931" s="485"/>
      <c r="Y931" s="485"/>
      <c r="Z931" s="485"/>
      <c r="AA931" s="485"/>
      <c r="AB931" s="485"/>
      <c r="AC931" s="485"/>
      <c r="AD931" s="485"/>
      <c r="AE931" s="485"/>
      <c r="AF931" s="485"/>
      <c r="AG931" s="485"/>
      <c r="AH931" s="485"/>
      <c r="AI931" s="485"/>
      <c r="AJ931" s="485"/>
      <c r="AK931" s="485"/>
      <c r="AL931" s="485"/>
      <c r="AM931" s="485"/>
      <c r="AN931" s="485"/>
      <c r="AO931" s="485"/>
      <c r="AP931" s="485"/>
      <c r="AQ931" s="485"/>
      <c r="AR931" s="485"/>
      <c r="AS931" s="485"/>
      <c r="AT931" s="485"/>
      <c r="AU931" s="485"/>
      <c r="AV931" s="485"/>
      <c r="AW931" s="485"/>
      <c r="AX931" s="485"/>
      <c r="AY931" s="485"/>
      <c r="AZ931" s="485"/>
      <c r="BA931" s="485"/>
      <c r="BB931" s="485"/>
      <c r="BC931" s="485"/>
      <c r="BD931" s="485"/>
      <c r="BE931" s="485"/>
      <c r="BF931" s="485"/>
      <c r="BG931" s="485"/>
      <c r="BH931" s="485"/>
      <c r="BI931" s="485"/>
      <c r="BJ931" s="485"/>
      <c r="BK931" s="485"/>
      <c r="BL931" s="485"/>
      <c r="BM931" s="485"/>
      <c r="BN931" s="485"/>
      <c r="BO931" s="485"/>
      <c r="BP931" s="485"/>
      <c r="BQ931" s="485"/>
      <c r="BR931" s="485"/>
      <c r="BS931" s="485"/>
      <c r="BT931" s="485"/>
      <c r="BU931" s="485"/>
      <c r="BV931" s="485"/>
      <c r="BW931" s="485"/>
      <c r="BX931" s="485"/>
      <c r="BY931" s="485"/>
      <c r="BZ931" s="485"/>
      <c r="CA931" s="485"/>
      <c r="CB931" s="485"/>
      <c r="CC931" s="485"/>
      <c r="CD931" s="485"/>
      <c r="CE931" s="485"/>
      <c r="CF931" s="485"/>
      <c r="CG931" s="485"/>
      <c r="CH931" s="485"/>
      <c r="CI931" s="485"/>
      <c r="CJ931" s="485"/>
      <c r="CK931" s="485"/>
      <c r="CL931" s="485"/>
      <c r="CM931" s="485"/>
      <c r="CN931" s="485"/>
      <c r="CO931" s="485"/>
      <c r="CP931" s="485"/>
      <c r="CQ931" s="485"/>
      <c r="CR931" s="485"/>
      <c r="CS931" s="485"/>
      <c r="CT931" s="485"/>
      <c r="CU931" s="485"/>
      <c r="CV931" s="485"/>
      <c r="CW931" s="485"/>
      <c r="CX931" s="485"/>
      <c r="CY931" s="485"/>
      <c r="CZ931" s="485"/>
      <c r="DA931" s="485"/>
      <c r="DB931" s="485"/>
      <c r="DC931" s="485"/>
      <c r="DD931" s="485"/>
      <c r="DE931" s="485"/>
      <c r="DF931" s="485"/>
      <c r="DG931" s="485"/>
      <c r="DH931" s="485"/>
      <c r="DI931" s="485"/>
      <c r="DJ931" s="485"/>
      <c r="DK931" s="485"/>
      <c r="DL931" s="485"/>
      <c r="DM931" s="485"/>
      <c r="DN931" s="485"/>
      <c r="DO931" s="485"/>
      <c r="DP931" s="485"/>
      <c r="DQ931" s="485"/>
      <c r="DR931" s="485"/>
      <c r="DS931" s="485"/>
      <c r="DT931" s="485"/>
      <c r="DU931" s="485"/>
      <c r="DV931" s="485"/>
      <c r="DW931" s="485"/>
      <c r="DX931" s="485"/>
      <c r="DY931" s="485"/>
      <c r="DZ931" s="485"/>
      <c r="EA931" s="485"/>
      <c r="EB931" s="485"/>
      <c r="EC931" s="485"/>
      <c r="ED931" s="485"/>
      <c r="EE931" s="485"/>
      <c r="EF931" s="485"/>
      <c r="EG931" s="485"/>
      <c r="EH931" s="485"/>
      <c r="EI931" s="485"/>
      <c r="EJ931" s="485"/>
      <c r="EK931" s="485"/>
      <c r="EL931" s="485"/>
      <c r="EM931" s="485"/>
      <c r="EN931" s="485"/>
      <c r="EO931" s="485"/>
      <c r="EP931" s="485"/>
    </row>
    <row r="932" spans="1:146">
      <c r="A932" s="485"/>
      <c r="B932" s="485"/>
      <c r="C932" s="485"/>
      <c r="D932" s="485"/>
      <c r="E932" s="485"/>
      <c r="F932" s="485"/>
      <c r="G932" s="485"/>
      <c r="H932" s="485"/>
      <c r="I932" s="485"/>
      <c r="J932" s="485"/>
      <c r="K932" s="485"/>
      <c r="L932" s="485"/>
      <c r="M932" s="485"/>
      <c r="P932" s="485"/>
      <c r="Q932" s="485"/>
      <c r="R932" s="485"/>
      <c r="S932" s="485"/>
      <c r="T932" s="485"/>
      <c r="U932" s="485"/>
      <c r="V932" s="485"/>
      <c r="W932" s="485"/>
      <c r="X932" s="485"/>
      <c r="Y932" s="485"/>
      <c r="Z932" s="485"/>
      <c r="AA932" s="485"/>
      <c r="AB932" s="485"/>
      <c r="AC932" s="485"/>
      <c r="AD932" s="485"/>
      <c r="AE932" s="485"/>
      <c r="AF932" s="485"/>
      <c r="AG932" s="485"/>
      <c r="AH932" s="485"/>
      <c r="AI932" s="485"/>
      <c r="AJ932" s="485"/>
      <c r="AK932" s="485"/>
      <c r="AL932" s="485"/>
      <c r="AM932" s="485"/>
      <c r="AN932" s="485"/>
      <c r="AO932" s="485"/>
      <c r="AP932" s="485"/>
      <c r="AQ932" s="485"/>
      <c r="AR932" s="485"/>
      <c r="AS932" s="485"/>
      <c r="AT932" s="485"/>
      <c r="AU932" s="485"/>
      <c r="AV932" s="485"/>
      <c r="AW932" s="485"/>
      <c r="AX932" s="485"/>
      <c r="AY932" s="485"/>
      <c r="AZ932" s="485"/>
      <c r="BA932" s="485"/>
      <c r="BB932" s="485"/>
      <c r="BC932" s="485"/>
      <c r="BD932" s="485"/>
      <c r="BE932" s="485"/>
      <c r="BF932" s="485"/>
      <c r="BG932" s="485"/>
      <c r="BH932" s="485"/>
      <c r="BI932" s="485"/>
      <c r="BJ932" s="485"/>
      <c r="BK932" s="485"/>
      <c r="BL932" s="485"/>
      <c r="BM932" s="485"/>
      <c r="BN932" s="485"/>
      <c r="BO932" s="485"/>
      <c r="BP932" s="485"/>
      <c r="BQ932" s="485"/>
      <c r="BR932" s="485"/>
      <c r="BS932" s="485"/>
      <c r="BT932" s="485"/>
      <c r="BU932" s="485"/>
      <c r="BV932" s="485"/>
      <c r="BW932" s="485"/>
      <c r="BX932" s="485"/>
      <c r="BY932" s="485"/>
      <c r="BZ932" s="485"/>
      <c r="CA932" s="485"/>
      <c r="CB932" s="485"/>
      <c r="CC932" s="485"/>
      <c r="CD932" s="485"/>
      <c r="CE932" s="485"/>
      <c r="CF932" s="485"/>
      <c r="CG932" s="485"/>
      <c r="CH932" s="485"/>
      <c r="CI932" s="485"/>
      <c r="CJ932" s="485"/>
      <c r="CK932" s="485"/>
      <c r="CL932" s="485"/>
      <c r="CM932" s="485"/>
      <c r="CN932" s="485"/>
      <c r="CO932" s="485"/>
      <c r="CP932" s="485"/>
      <c r="CQ932" s="485"/>
      <c r="CR932" s="485"/>
      <c r="CS932" s="485"/>
      <c r="CT932" s="485"/>
      <c r="CU932" s="485"/>
      <c r="CV932" s="485"/>
      <c r="CW932" s="485"/>
      <c r="CX932" s="485"/>
      <c r="CY932" s="485"/>
      <c r="CZ932" s="485"/>
      <c r="DA932" s="485"/>
      <c r="DB932" s="485"/>
      <c r="DC932" s="485"/>
      <c r="DD932" s="485"/>
      <c r="DE932" s="485"/>
      <c r="DF932" s="485"/>
      <c r="DG932" s="485"/>
      <c r="DH932" s="485"/>
      <c r="DI932" s="485"/>
      <c r="DJ932" s="485"/>
      <c r="DK932" s="485"/>
      <c r="DL932" s="485"/>
      <c r="DM932" s="485"/>
      <c r="DN932" s="485"/>
      <c r="DO932" s="485"/>
      <c r="DP932" s="485"/>
      <c r="DQ932" s="485"/>
      <c r="DR932" s="485"/>
      <c r="DS932" s="485"/>
      <c r="DT932" s="485"/>
      <c r="DU932" s="485"/>
      <c r="DV932" s="485"/>
      <c r="DW932" s="485"/>
      <c r="DX932" s="485"/>
      <c r="DY932" s="485"/>
      <c r="DZ932" s="485"/>
      <c r="EA932" s="485"/>
      <c r="EB932" s="485"/>
      <c r="EC932" s="485"/>
      <c r="ED932" s="485"/>
      <c r="EE932" s="485"/>
      <c r="EF932" s="485"/>
      <c r="EG932" s="485"/>
      <c r="EH932" s="485"/>
      <c r="EI932" s="485"/>
      <c r="EJ932" s="485"/>
      <c r="EK932" s="485"/>
      <c r="EL932" s="485"/>
      <c r="EM932" s="485"/>
      <c r="EN932" s="485"/>
      <c r="EO932" s="485"/>
      <c r="EP932" s="485"/>
    </row>
    <row r="933" spans="1:146">
      <c r="A933" s="485"/>
      <c r="B933" s="485"/>
      <c r="C933" s="485"/>
      <c r="D933" s="485"/>
      <c r="E933" s="485"/>
      <c r="F933" s="485"/>
      <c r="G933" s="485"/>
      <c r="H933" s="485"/>
      <c r="I933" s="485"/>
      <c r="J933" s="485"/>
      <c r="K933" s="485"/>
      <c r="L933" s="485"/>
      <c r="M933" s="485"/>
      <c r="P933" s="485"/>
      <c r="Q933" s="485"/>
      <c r="R933" s="485"/>
      <c r="S933" s="485"/>
      <c r="T933" s="485"/>
      <c r="U933" s="485"/>
      <c r="V933" s="485"/>
      <c r="W933" s="485"/>
      <c r="X933" s="485"/>
      <c r="Y933" s="485"/>
      <c r="Z933" s="485"/>
      <c r="AA933" s="485"/>
      <c r="AB933" s="485"/>
      <c r="AC933" s="485"/>
      <c r="AD933" s="485"/>
      <c r="AE933" s="485"/>
      <c r="AF933" s="485"/>
      <c r="AG933" s="485"/>
      <c r="AH933" s="485"/>
      <c r="AI933" s="485"/>
      <c r="AJ933" s="485"/>
      <c r="AK933" s="485"/>
      <c r="AL933" s="485"/>
      <c r="AM933" s="485"/>
      <c r="AN933" s="485"/>
      <c r="AO933" s="485"/>
      <c r="AP933" s="485"/>
      <c r="AQ933" s="485"/>
      <c r="AR933" s="485"/>
      <c r="AS933" s="485"/>
      <c r="AT933" s="485"/>
      <c r="AU933" s="485"/>
      <c r="AV933" s="485"/>
      <c r="AW933" s="485"/>
      <c r="AX933" s="485"/>
      <c r="AY933" s="485"/>
      <c r="AZ933" s="485"/>
      <c r="BA933" s="485"/>
      <c r="BB933" s="485"/>
      <c r="BC933" s="485"/>
      <c r="BD933" s="485"/>
      <c r="BE933" s="485"/>
      <c r="BF933" s="485"/>
      <c r="BG933" s="485"/>
      <c r="BH933" s="485"/>
      <c r="BI933" s="485"/>
      <c r="BJ933" s="485"/>
      <c r="BK933" s="485"/>
      <c r="BL933" s="485"/>
      <c r="BM933" s="485"/>
      <c r="BN933" s="485"/>
      <c r="BO933" s="485"/>
      <c r="BP933" s="485"/>
      <c r="BQ933" s="485"/>
      <c r="BR933" s="485"/>
      <c r="BS933" s="485"/>
      <c r="BT933" s="485"/>
      <c r="BU933" s="485"/>
      <c r="BV933" s="485"/>
      <c r="BW933" s="485"/>
      <c r="BX933" s="485"/>
      <c r="BY933" s="485"/>
      <c r="BZ933" s="485"/>
      <c r="CA933" s="485"/>
      <c r="CB933" s="485"/>
      <c r="CC933" s="485"/>
      <c r="CD933" s="485"/>
      <c r="CE933" s="485"/>
      <c r="CF933" s="485"/>
      <c r="CG933" s="485"/>
      <c r="CH933" s="485"/>
      <c r="CI933" s="485"/>
      <c r="CJ933" s="485"/>
      <c r="CK933" s="485"/>
      <c r="CL933" s="485"/>
      <c r="CM933" s="485"/>
      <c r="CN933" s="485"/>
      <c r="CO933" s="485"/>
      <c r="CP933" s="485"/>
      <c r="CQ933" s="485"/>
      <c r="CR933" s="485"/>
      <c r="CS933" s="485"/>
      <c r="CT933" s="485"/>
      <c r="CU933" s="485"/>
      <c r="CV933" s="485"/>
      <c r="CW933" s="485"/>
      <c r="CX933" s="485"/>
      <c r="CY933" s="485"/>
      <c r="CZ933" s="485"/>
      <c r="DA933" s="485"/>
      <c r="DB933" s="485"/>
      <c r="DC933" s="485"/>
      <c r="DD933" s="485"/>
      <c r="DE933" s="485"/>
      <c r="DF933" s="485"/>
      <c r="DG933" s="485"/>
      <c r="DH933" s="485"/>
      <c r="DI933" s="485"/>
      <c r="DJ933" s="485"/>
      <c r="DK933" s="485"/>
      <c r="DL933" s="485"/>
      <c r="DM933" s="485"/>
      <c r="DN933" s="485"/>
      <c r="DO933" s="485"/>
      <c r="DP933" s="485"/>
      <c r="DQ933" s="485"/>
      <c r="DR933" s="485"/>
      <c r="DS933" s="485"/>
      <c r="DT933" s="485"/>
      <c r="DU933" s="485"/>
      <c r="DV933" s="485"/>
      <c r="DW933" s="485"/>
      <c r="DX933" s="485"/>
      <c r="DY933" s="485"/>
      <c r="DZ933" s="485"/>
      <c r="EA933" s="485"/>
      <c r="EB933" s="485"/>
      <c r="EC933" s="485"/>
      <c r="ED933" s="485"/>
      <c r="EE933" s="485"/>
      <c r="EF933" s="485"/>
      <c r="EG933" s="485"/>
      <c r="EH933" s="485"/>
      <c r="EI933" s="485"/>
      <c r="EJ933" s="485"/>
      <c r="EK933" s="485"/>
      <c r="EL933" s="485"/>
      <c r="EM933" s="485"/>
      <c r="EN933" s="485"/>
      <c r="EO933" s="485"/>
      <c r="EP933" s="485"/>
    </row>
    <row r="934" spans="1:146">
      <c r="A934" s="485"/>
      <c r="B934" s="485"/>
      <c r="C934" s="485"/>
      <c r="D934" s="485"/>
      <c r="E934" s="485"/>
      <c r="F934" s="485"/>
      <c r="G934" s="485"/>
      <c r="H934" s="485"/>
      <c r="I934" s="485"/>
      <c r="J934" s="485"/>
      <c r="K934" s="485"/>
      <c r="L934" s="485"/>
      <c r="M934" s="485"/>
      <c r="P934" s="485"/>
      <c r="Q934" s="485"/>
      <c r="R934" s="485"/>
      <c r="S934" s="485"/>
      <c r="T934" s="485"/>
      <c r="U934" s="485"/>
      <c r="V934" s="485"/>
      <c r="W934" s="485"/>
      <c r="X934" s="485"/>
      <c r="Y934" s="485"/>
      <c r="Z934" s="485"/>
      <c r="AA934" s="485"/>
      <c r="AB934" s="485"/>
      <c r="AC934" s="485"/>
      <c r="AD934" s="485"/>
      <c r="AE934" s="485"/>
      <c r="AF934" s="485"/>
      <c r="AG934" s="485"/>
      <c r="AH934" s="485"/>
      <c r="AI934" s="485"/>
      <c r="AJ934" s="485"/>
      <c r="AK934" s="485"/>
      <c r="AL934" s="485"/>
      <c r="AM934" s="485"/>
      <c r="AN934" s="485"/>
      <c r="AO934" s="485"/>
      <c r="AP934" s="485"/>
      <c r="AQ934" s="485"/>
      <c r="AR934" s="485"/>
      <c r="AS934" s="485"/>
      <c r="AT934" s="485"/>
      <c r="AU934" s="485"/>
      <c r="AV934" s="485"/>
      <c r="AW934" s="485"/>
      <c r="AX934" s="485"/>
      <c r="AY934" s="485"/>
      <c r="AZ934" s="485"/>
      <c r="BA934" s="485"/>
      <c r="BB934" s="485"/>
      <c r="BC934" s="485"/>
      <c r="BD934" s="485"/>
      <c r="BE934" s="485"/>
      <c r="BF934" s="485"/>
      <c r="BG934" s="485"/>
      <c r="BH934" s="485"/>
      <c r="BI934" s="485"/>
      <c r="BJ934" s="485"/>
      <c r="BK934" s="485"/>
      <c r="BL934" s="485"/>
      <c r="BM934" s="485"/>
      <c r="BN934" s="485"/>
      <c r="BO934" s="485"/>
      <c r="BP934" s="485"/>
      <c r="BQ934" s="485"/>
      <c r="BR934" s="485"/>
      <c r="BS934" s="485"/>
      <c r="BT934" s="485"/>
      <c r="BU934" s="485"/>
      <c r="BV934" s="485"/>
      <c r="BW934" s="485"/>
      <c r="BX934" s="485"/>
      <c r="BY934" s="485"/>
      <c r="BZ934" s="485"/>
      <c r="CA934" s="485"/>
      <c r="CB934" s="485"/>
      <c r="CC934" s="485"/>
      <c r="CD934" s="485"/>
      <c r="CE934" s="485"/>
      <c r="CF934" s="485"/>
      <c r="CG934" s="485"/>
      <c r="CH934" s="485"/>
      <c r="CI934" s="485"/>
      <c r="CJ934" s="485"/>
      <c r="CK934" s="485"/>
      <c r="CL934" s="485"/>
      <c r="CM934" s="485"/>
      <c r="CN934" s="485"/>
      <c r="CO934" s="485"/>
      <c r="CP934" s="485"/>
      <c r="CQ934" s="485"/>
      <c r="CR934" s="485"/>
      <c r="CS934" s="485"/>
      <c r="CT934" s="485"/>
      <c r="CU934" s="485"/>
      <c r="CV934" s="485"/>
      <c r="CW934" s="485"/>
      <c r="CX934" s="485"/>
      <c r="CY934" s="485"/>
      <c r="CZ934" s="485"/>
      <c r="DA934" s="485"/>
      <c r="DB934" s="485"/>
      <c r="DC934" s="485"/>
      <c r="DD934" s="485"/>
      <c r="DE934" s="485"/>
      <c r="DF934" s="485"/>
      <c r="DG934" s="485"/>
      <c r="DH934" s="485"/>
      <c r="DI934" s="485"/>
      <c r="DJ934" s="485"/>
      <c r="DK934" s="485"/>
      <c r="DL934" s="485"/>
      <c r="DM934" s="485"/>
      <c r="DN934" s="485"/>
      <c r="DO934" s="485"/>
      <c r="DP934" s="485"/>
      <c r="DQ934" s="485"/>
      <c r="DR934" s="485"/>
      <c r="DS934" s="485"/>
      <c r="DT934" s="485"/>
      <c r="DU934" s="485"/>
      <c r="DV934" s="485"/>
      <c r="DW934" s="485"/>
      <c r="DX934" s="485"/>
      <c r="DY934" s="485"/>
      <c r="DZ934" s="485"/>
      <c r="EA934" s="485"/>
      <c r="EB934" s="485"/>
      <c r="EC934" s="485"/>
      <c r="ED934" s="485"/>
      <c r="EE934" s="485"/>
      <c r="EF934" s="485"/>
      <c r="EG934" s="485"/>
      <c r="EH934" s="485"/>
      <c r="EI934" s="485"/>
      <c r="EJ934" s="485"/>
      <c r="EK934" s="485"/>
      <c r="EL934" s="485"/>
      <c r="EM934" s="485"/>
      <c r="EN934" s="485"/>
      <c r="EO934" s="485"/>
      <c r="EP934" s="485"/>
    </row>
    <row r="935" spans="1:146">
      <c r="A935" s="485"/>
      <c r="B935" s="485"/>
      <c r="C935" s="485"/>
      <c r="D935" s="485"/>
      <c r="E935" s="485"/>
      <c r="F935" s="485"/>
      <c r="G935" s="485"/>
      <c r="H935" s="485"/>
      <c r="I935" s="485"/>
      <c r="J935" s="485"/>
      <c r="K935" s="485"/>
      <c r="L935" s="485"/>
      <c r="M935" s="485"/>
      <c r="P935" s="485"/>
      <c r="Q935" s="485"/>
      <c r="R935" s="485"/>
      <c r="S935" s="485"/>
      <c r="T935" s="485"/>
      <c r="U935" s="485"/>
      <c r="V935" s="485"/>
      <c r="W935" s="485"/>
      <c r="X935" s="485"/>
      <c r="Y935" s="485"/>
      <c r="Z935" s="485"/>
      <c r="AA935" s="485"/>
      <c r="AB935" s="485"/>
      <c r="AC935" s="485"/>
      <c r="AD935" s="485"/>
      <c r="AE935" s="485"/>
      <c r="AF935" s="485"/>
      <c r="AG935" s="485"/>
      <c r="AH935" s="485"/>
      <c r="AI935" s="485"/>
      <c r="AJ935" s="485"/>
      <c r="AK935" s="485"/>
      <c r="AL935" s="485"/>
      <c r="AM935" s="485"/>
      <c r="AN935" s="485"/>
      <c r="AO935" s="485"/>
      <c r="AP935" s="485"/>
      <c r="AQ935" s="485"/>
      <c r="AR935" s="485"/>
      <c r="AS935" s="485"/>
      <c r="AT935" s="485"/>
      <c r="AU935" s="485"/>
      <c r="AV935" s="485"/>
      <c r="AW935" s="485"/>
      <c r="AX935" s="485"/>
      <c r="AY935" s="485"/>
      <c r="AZ935" s="485"/>
      <c r="BA935" s="485"/>
      <c r="BB935" s="485"/>
      <c r="BC935" s="485"/>
      <c r="BD935" s="485"/>
      <c r="BE935" s="485"/>
      <c r="BF935" s="485"/>
      <c r="BG935" s="485"/>
      <c r="BH935" s="485"/>
      <c r="BI935" s="485"/>
      <c r="BJ935" s="485"/>
      <c r="BK935" s="485"/>
      <c r="BL935" s="485"/>
      <c r="BM935" s="485"/>
      <c r="BN935" s="485"/>
      <c r="BO935" s="485"/>
      <c r="BP935" s="485"/>
      <c r="BQ935" s="485"/>
      <c r="BR935" s="485"/>
      <c r="BS935" s="485"/>
      <c r="BT935" s="485"/>
      <c r="BU935" s="485"/>
      <c r="BV935" s="485"/>
      <c r="BW935" s="485"/>
      <c r="BX935" s="485"/>
      <c r="BY935" s="485"/>
      <c r="BZ935" s="485"/>
      <c r="CA935" s="485"/>
      <c r="CB935" s="485"/>
      <c r="CC935" s="485"/>
      <c r="CD935" s="485"/>
      <c r="CE935" s="485"/>
      <c r="CF935" s="485"/>
      <c r="CG935" s="485"/>
      <c r="CH935" s="485"/>
      <c r="CI935" s="485"/>
      <c r="CJ935" s="485"/>
      <c r="CK935" s="485"/>
      <c r="CL935" s="485"/>
      <c r="CM935" s="485"/>
      <c r="CN935" s="485"/>
      <c r="CO935" s="485"/>
      <c r="CP935" s="485"/>
      <c r="CQ935" s="485"/>
      <c r="CR935" s="485"/>
      <c r="CS935" s="485"/>
      <c r="CT935" s="485"/>
      <c r="CU935" s="485"/>
      <c r="CV935" s="485"/>
      <c r="CW935" s="485"/>
      <c r="CX935" s="485"/>
      <c r="CY935" s="485"/>
      <c r="CZ935" s="485"/>
      <c r="DA935" s="485"/>
      <c r="DB935" s="485"/>
      <c r="DC935" s="485"/>
      <c r="DD935" s="485"/>
      <c r="DE935" s="485"/>
      <c r="DF935" s="485"/>
      <c r="DG935" s="485"/>
      <c r="DH935" s="485"/>
      <c r="DI935" s="485"/>
      <c r="DJ935" s="485"/>
      <c r="DK935" s="485"/>
      <c r="DL935" s="485"/>
      <c r="DM935" s="485"/>
      <c r="DN935" s="485"/>
      <c r="DO935" s="485"/>
      <c r="DP935" s="485"/>
      <c r="DQ935" s="485"/>
      <c r="DR935" s="485"/>
      <c r="DS935" s="485"/>
      <c r="DT935" s="485"/>
      <c r="DU935" s="485"/>
      <c r="DV935" s="485"/>
      <c r="DW935" s="485"/>
      <c r="DX935" s="485"/>
      <c r="DY935" s="485"/>
      <c r="DZ935" s="485"/>
      <c r="EA935" s="485"/>
      <c r="EB935" s="485"/>
      <c r="EC935" s="485"/>
      <c r="ED935" s="485"/>
      <c r="EE935" s="485"/>
      <c r="EF935" s="485"/>
      <c r="EG935" s="485"/>
      <c r="EH935" s="485"/>
      <c r="EI935" s="485"/>
      <c r="EJ935" s="485"/>
      <c r="EK935" s="485"/>
      <c r="EL935" s="485"/>
      <c r="EM935" s="485"/>
      <c r="EN935" s="485"/>
      <c r="EO935" s="485"/>
      <c r="EP935" s="485"/>
    </row>
    <row r="936" spans="1:146">
      <c r="A936" s="485"/>
      <c r="B936" s="485"/>
      <c r="C936" s="485"/>
      <c r="D936" s="485"/>
      <c r="E936" s="485"/>
      <c r="F936" s="485"/>
      <c r="G936" s="485"/>
      <c r="H936" s="485"/>
      <c r="I936" s="485"/>
      <c r="J936" s="485"/>
      <c r="K936" s="485"/>
      <c r="L936" s="485"/>
      <c r="M936" s="485"/>
      <c r="P936" s="485"/>
      <c r="Q936" s="485"/>
      <c r="R936" s="485"/>
      <c r="S936" s="485"/>
      <c r="T936" s="485"/>
      <c r="U936" s="485"/>
      <c r="V936" s="485"/>
      <c r="W936" s="485"/>
      <c r="X936" s="485"/>
      <c r="Y936" s="485"/>
      <c r="Z936" s="485"/>
      <c r="AA936" s="485"/>
      <c r="AB936" s="485"/>
      <c r="AC936" s="485"/>
      <c r="AD936" s="485"/>
      <c r="AE936" s="485"/>
      <c r="AF936" s="485"/>
      <c r="AG936" s="485"/>
      <c r="AH936" s="485"/>
      <c r="AI936" s="485"/>
      <c r="AJ936" s="485"/>
      <c r="AK936" s="485"/>
      <c r="AL936" s="485"/>
      <c r="AM936" s="485"/>
      <c r="AN936" s="485"/>
      <c r="AO936" s="485"/>
      <c r="AP936" s="485"/>
      <c r="AQ936" s="485"/>
      <c r="AR936" s="485"/>
      <c r="AS936" s="485"/>
      <c r="AT936" s="485"/>
      <c r="AU936" s="485"/>
      <c r="AV936" s="485"/>
      <c r="AW936" s="485"/>
      <c r="AX936" s="485"/>
      <c r="AY936" s="485"/>
      <c r="AZ936" s="485"/>
      <c r="BA936" s="485"/>
      <c r="BB936" s="485"/>
      <c r="BC936" s="485"/>
      <c r="BD936" s="485"/>
      <c r="BE936" s="485"/>
      <c r="BF936" s="485"/>
      <c r="BG936" s="485"/>
      <c r="BH936" s="485"/>
      <c r="BI936" s="485"/>
      <c r="BJ936" s="485"/>
      <c r="BK936" s="485"/>
      <c r="BL936" s="485"/>
      <c r="BM936" s="485"/>
      <c r="BN936" s="485"/>
      <c r="BO936" s="485"/>
      <c r="BP936" s="485"/>
      <c r="BQ936" s="485"/>
      <c r="BR936" s="485"/>
      <c r="BS936" s="485"/>
      <c r="BT936" s="485"/>
      <c r="BU936" s="485"/>
      <c r="BV936" s="485"/>
      <c r="BW936" s="485"/>
      <c r="BX936" s="485"/>
      <c r="BY936" s="485"/>
      <c r="BZ936" s="485"/>
      <c r="CA936" s="485"/>
      <c r="CB936" s="485"/>
      <c r="CC936" s="485"/>
      <c r="CD936" s="485"/>
      <c r="CE936" s="485"/>
      <c r="CF936" s="485"/>
      <c r="CG936" s="485"/>
      <c r="CH936" s="485"/>
      <c r="CI936" s="485"/>
      <c r="CJ936" s="485"/>
      <c r="CK936" s="485"/>
      <c r="CL936" s="485"/>
      <c r="CM936" s="485"/>
      <c r="CN936" s="485"/>
      <c r="CO936" s="485"/>
      <c r="CP936" s="485"/>
      <c r="CQ936" s="485"/>
      <c r="CR936" s="485"/>
      <c r="CS936" s="485"/>
      <c r="CT936" s="485"/>
      <c r="CU936" s="485"/>
      <c r="CV936" s="485"/>
      <c r="CW936" s="485"/>
      <c r="CX936" s="485"/>
      <c r="CY936" s="485"/>
      <c r="CZ936" s="485"/>
      <c r="DA936" s="485"/>
      <c r="DB936" s="485"/>
      <c r="DC936" s="485"/>
      <c r="DD936" s="485"/>
      <c r="DE936" s="485"/>
      <c r="DF936" s="485"/>
      <c r="DG936" s="485"/>
      <c r="DH936" s="485"/>
      <c r="DI936" s="485"/>
      <c r="DJ936" s="485"/>
      <c r="DK936" s="485"/>
      <c r="DL936" s="485"/>
      <c r="DM936" s="485"/>
      <c r="DN936" s="485"/>
      <c r="DO936" s="485"/>
      <c r="DP936" s="485"/>
      <c r="DQ936" s="485"/>
      <c r="DR936" s="485"/>
      <c r="DS936" s="485"/>
      <c r="DT936" s="485"/>
      <c r="DU936" s="485"/>
      <c r="DV936" s="485"/>
      <c r="DW936" s="485"/>
      <c r="DX936" s="485"/>
      <c r="DY936" s="485"/>
      <c r="DZ936" s="485"/>
      <c r="EA936" s="485"/>
      <c r="EB936" s="485"/>
      <c r="EC936" s="485"/>
      <c r="ED936" s="485"/>
      <c r="EE936" s="485"/>
      <c r="EF936" s="485"/>
      <c r="EG936" s="485"/>
      <c r="EH936" s="485"/>
      <c r="EI936" s="485"/>
      <c r="EJ936" s="485"/>
      <c r="EK936" s="485"/>
      <c r="EL936" s="485"/>
      <c r="EM936" s="485"/>
      <c r="EN936" s="485"/>
      <c r="EO936" s="485"/>
      <c r="EP936" s="485"/>
    </row>
    <row r="937" spans="1:146">
      <c r="A937" s="485"/>
      <c r="B937" s="485"/>
      <c r="C937" s="485"/>
      <c r="D937" s="485"/>
      <c r="E937" s="485"/>
      <c r="F937" s="485"/>
      <c r="G937" s="485"/>
      <c r="H937" s="485"/>
      <c r="I937" s="485"/>
      <c r="J937" s="485"/>
      <c r="K937" s="485"/>
      <c r="L937" s="485"/>
      <c r="M937" s="485"/>
      <c r="P937" s="485"/>
      <c r="Q937" s="485"/>
      <c r="R937" s="485"/>
      <c r="S937" s="485"/>
      <c r="T937" s="485"/>
      <c r="U937" s="485"/>
      <c r="V937" s="485"/>
      <c r="W937" s="485"/>
      <c r="X937" s="485"/>
      <c r="Y937" s="485"/>
      <c r="Z937" s="485"/>
      <c r="AA937" s="485"/>
      <c r="AB937" s="485"/>
      <c r="AC937" s="485"/>
      <c r="AD937" s="485"/>
      <c r="AE937" s="485"/>
      <c r="AF937" s="485"/>
      <c r="AG937" s="485"/>
      <c r="AH937" s="485"/>
      <c r="AI937" s="485"/>
      <c r="AJ937" s="485"/>
      <c r="AK937" s="485"/>
      <c r="AL937" s="485"/>
      <c r="AM937" s="485"/>
      <c r="AN937" s="485"/>
      <c r="AO937" s="485"/>
      <c r="AP937" s="485"/>
      <c r="AQ937" s="485"/>
      <c r="AR937" s="485"/>
      <c r="AS937" s="485"/>
      <c r="AT937" s="485"/>
      <c r="AU937" s="485"/>
      <c r="AV937" s="485"/>
      <c r="AW937" s="485"/>
      <c r="AX937" s="485"/>
      <c r="AY937" s="485"/>
      <c r="AZ937" s="485"/>
      <c r="BA937" s="485"/>
      <c r="BB937" s="485"/>
      <c r="BC937" s="485"/>
      <c r="BD937" s="485"/>
      <c r="BE937" s="485"/>
      <c r="BF937" s="485"/>
      <c r="BG937" s="485"/>
      <c r="BH937" s="485"/>
      <c r="BI937" s="485"/>
      <c r="BJ937" s="485"/>
      <c r="BK937" s="485"/>
      <c r="BL937" s="485"/>
      <c r="BM937" s="485"/>
      <c r="BN937" s="485"/>
      <c r="BO937" s="485"/>
      <c r="BP937" s="485"/>
      <c r="BQ937" s="485"/>
      <c r="BR937" s="485"/>
      <c r="BS937" s="485"/>
      <c r="BT937" s="485"/>
      <c r="BU937" s="485"/>
      <c r="BV937" s="485"/>
      <c r="BW937" s="485"/>
      <c r="BX937" s="485"/>
      <c r="BY937" s="485"/>
      <c r="BZ937" s="485"/>
      <c r="CA937" s="485"/>
      <c r="CB937" s="485"/>
      <c r="CC937" s="485"/>
      <c r="CD937" s="485"/>
      <c r="CE937" s="485"/>
      <c r="CF937" s="485"/>
      <c r="CG937" s="485"/>
      <c r="CH937" s="485"/>
      <c r="CI937" s="485"/>
      <c r="CJ937" s="485"/>
      <c r="CK937" s="485"/>
      <c r="CL937" s="485"/>
      <c r="CM937" s="485"/>
      <c r="CN937" s="485"/>
      <c r="CO937" s="485"/>
      <c r="CP937" s="485"/>
      <c r="CQ937" s="485"/>
      <c r="CR937" s="485"/>
      <c r="CS937" s="485"/>
      <c r="CT937" s="485"/>
      <c r="CU937" s="485"/>
      <c r="CV937" s="485"/>
      <c r="CW937" s="485"/>
      <c r="CX937" s="485"/>
      <c r="CY937" s="485"/>
      <c r="CZ937" s="485"/>
      <c r="DA937" s="485"/>
      <c r="DB937" s="485"/>
      <c r="DC937" s="485"/>
      <c r="DD937" s="485"/>
      <c r="DE937" s="485"/>
      <c r="DF937" s="485"/>
      <c r="DG937" s="485"/>
      <c r="DH937" s="485"/>
      <c r="DI937" s="485"/>
      <c r="DJ937" s="485"/>
      <c r="DK937" s="485"/>
      <c r="DL937" s="485"/>
      <c r="DM937" s="485"/>
      <c r="DN937" s="485"/>
      <c r="DO937" s="485"/>
      <c r="DP937" s="485"/>
      <c r="DQ937" s="485"/>
      <c r="DR937" s="485"/>
      <c r="DS937" s="485"/>
      <c r="DT937" s="485"/>
      <c r="DU937" s="485"/>
      <c r="DV937" s="485"/>
      <c r="DW937" s="485"/>
      <c r="DX937" s="485"/>
      <c r="DY937" s="485"/>
      <c r="DZ937" s="485"/>
      <c r="EA937" s="485"/>
      <c r="EB937" s="485"/>
      <c r="EC937" s="485"/>
      <c r="ED937" s="485"/>
      <c r="EE937" s="485"/>
      <c r="EF937" s="485"/>
      <c r="EG937" s="485"/>
      <c r="EH937" s="485"/>
      <c r="EI937" s="485"/>
      <c r="EJ937" s="485"/>
      <c r="EK937" s="485"/>
      <c r="EL937" s="485"/>
      <c r="EM937" s="485"/>
      <c r="EN937" s="485"/>
      <c r="EO937" s="485"/>
      <c r="EP937" s="485"/>
    </row>
    <row r="938" spans="1:146">
      <c r="A938" s="485"/>
      <c r="B938" s="485"/>
      <c r="C938" s="485"/>
      <c r="D938" s="485"/>
      <c r="E938" s="485"/>
      <c r="F938" s="485"/>
      <c r="G938" s="485"/>
      <c r="H938" s="485"/>
      <c r="I938" s="485"/>
      <c r="J938" s="485"/>
      <c r="K938" s="485"/>
      <c r="L938" s="485"/>
      <c r="M938" s="485"/>
      <c r="P938" s="485"/>
      <c r="Q938" s="485"/>
      <c r="R938" s="485"/>
      <c r="S938" s="485"/>
      <c r="T938" s="485"/>
      <c r="U938" s="485"/>
      <c r="V938" s="485"/>
      <c r="W938" s="485"/>
      <c r="X938" s="485"/>
      <c r="Y938" s="485"/>
      <c r="Z938" s="485"/>
      <c r="AA938" s="485"/>
      <c r="AB938" s="485"/>
      <c r="AC938" s="485"/>
      <c r="AD938" s="485"/>
      <c r="AE938" s="485"/>
      <c r="AF938" s="485"/>
      <c r="AG938" s="485"/>
      <c r="AH938" s="485"/>
      <c r="AI938" s="485"/>
      <c r="AJ938" s="485"/>
      <c r="AK938" s="485"/>
      <c r="AL938" s="485"/>
      <c r="AM938" s="485"/>
      <c r="AN938" s="485"/>
      <c r="AO938" s="485"/>
      <c r="AP938" s="485"/>
      <c r="AQ938" s="485"/>
      <c r="AR938" s="485"/>
      <c r="AS938" s="485"/>
      <c r="AT938" s="485"/>
      <c r="AU938" s="485"/>
      <c r="AV938" s="485"/>
      <c r="AW938" s="485"/>
      <c r="AX938" s="485"/>
      <c r="AY938" s="485"/>
      <c r="AZ938" s="485"/>
      <c r="BA938" s="485"/>
      <c r="BB938" s="485"/>
      <c r="BC938" s="485"/>
      <c r="BD938" s="485"/>
      <c r="BE938" s="485"/>
      <c r="BF938" s="485"/>
      <c r="BG938" s="485"/>
      <c r="BH938" s="485"/>
      <c r="BI938" s="485"/>
      <c r="BJ938" s="485"/>
      <c r="BK938" s="485"/>
      <c r="BL938" s="485"/>
      <c r="BM938" s="485"/>
      <c r="BN938" s="485"/>
      <c r="BO938" s="485"/>
      <c r="BP938" s="485"/>
      <c r="BQ938" s="485"/>
      <c r="BR938" s="485"/>
      <c r="BS938" s="485"/>
      <c r="BT938" s="485"/>
      <c r="BU938" s="485"/>
      <c r="BV938" s="485"/>
      <c r="BW938" s="485"/>
      <c r="BX938" s="485"/>
      <c r="BY938" s="485"/>
      <c r="BZ938" s="485"/>
      <c r="CA938" s="485"/>
      <c r="CB938" s="485"/>
      <c r="CC938" s="485"/>
      <c r="CD938" s="485"/>
      <c r="CE938" s="485"/>
      <c r="CF938" s="485"/>
      <c r="CG938" s="485"/>
      <c r="CH938" s="485"/>
      <c r="CI938" s="485"/>
      <c r="CJ938" s="485"/>
      <c r="CK938" s="485"/>
      <c r="CL938" s="485"/>
      <c r="CM938" s="485"/>
      <c r="CN938" s="485"/>
      <c r="CO938" s="485"/>
      <c r="CP938" s="485"/>
      <c r="CQ938" s="485"/>
      <c r="CR938" s="485"/>
      <c r="CS938" s="485"/>
      <c r="CT938" s="485"/>
      <c r="CU938" s="485"/>
      <c r="CV938" s="485"/>
      <c r="CW938" s="485"/>
      <c r="CX938" s="485"/>
      <c r="CY938" s="485"/>
      <c r="CZ938" s="485"/>
      <c r="DA938" s="485"/>
      <c r="DB938" s="485"/>
      <c r="DC938" s="485"/>
      <c r="DD938" s="485"/>
      <c r="DE938" s="485"/>
      <c r="DF938" s="485"/>
      <c r="DG938" s="485"/>
      <c r="DH938" s="485"/>
      <c r="DI938" s="485"/>
      <c r="DJ938" s="485"/>
      <c r="DK938" s="485"/>
      <c r="DL938" s="485"/>
      <c r="DM938" s="485"/>
      <c r="DN938" s="485"/>
      <c r="DO938" s="485"/>
      <c r="DP938" s="485"/>
      <c r="DQ938" s="485"/>
      <c r="DR938" s="485"/>
      <c r="DS938" s="485"/>
      <c r="DT938" s="485"/>
      <c r="DU938" s="485"/>
      <c r="DV938" s="485"/>
      <c r="DW938" s="485"/>
      <c r="DX938" s="485"/>
      <c r="DY938" s="485"/>
      <c r="DZ938" s="485"/>
      <c r="EA938" s="485"/>
      <c r="EB938" s="485"/>
      <c r="EC938" s="485"/>
      <c r="ED938" s="485"/>
      <c r="EE938" s="485"/>
      <c r="EF938" s="485"/>
      <c r="EG938" s="485"/>
      <c r="EH938" s="485"/>
      <c r="EI938" s="485"/>
      <c r="EJ938" s="485"/>
      <c r="EK938" s="485"/>
      <c r="EL938" s="485"/>
      <c r="EM938" s="485"/>
      <c r="EN938" s="485"/>
      <c r="EO938" s="485"/>
      <c r="EP938" s="485"/>
    </row>
    <row r="939" spans="1:146">
      <c r="A939" s="485"/>
      <c r="B939" s="485"/>
      <c r="C939" s="485"/>
      <c r="D939" s="485"/>
      <c r="E939" s="485"/>
      <c r="F939" s="485"/>
      <c r="G939" s="485"/>
      <c r="H939" s="485"/>
      <c r="I939" s="485"/>
      <c r="J939" s="485"/>
      <c r="K939" s="485"/>
      <c r="L939" s="485"/>
      <c r="M939" s="485"/>
      <c r="P939" s="485"/>
      <c r="Q939" s="485"/>
      <c r="R939" s="485"/>
      <c r="S939" s="485"/>
      <c r="T939" s="485"/>
      <c r="U939" s="485"/>
      <c r="V939" s="485"/>
      <c r="W939" s="485"/>
      <c r="X939" s="485"/>
      <c r="Y939" s="485"/>
      <c r="Z939" s="485"/>
      <c r="AA939" s="485"/>
      <c r="AB939" s="485"/>
      <c r="AC939" s="485"/>
      <c r="AD939" s="485"/>
      <c r="AE939" s="485"/>
      <c r="AF939" s="485"/>
      <c r="AG939" s="485"/>
      <c r="AH939" s="485"/>
      <c r="AI939" s="485"/>
      <c r="AJ939" s="485"/>
      <c r="AK939" s="485"/>
      <c r="AL939" s="485"/>
      <c r="AM939" s="485"/>
      <c r="AN939" s="485"/>
      <c r="AO939" s="485"/>
      <c r="AP939" s="485"/>
      <c r="AQ939" s="485"/>
      <c r="AR939" s="485"/>
      <c r="AS939" s="485"/>
      <c r="AT939" s="485"/>
      <c r="AU939" s="485"/>
      <c r="AV939" s="485"/>
      <c r="AW939" s="485"/>
      <c r="AX939" s="485"/>
      <c r="AY939" s="485"/>
      <c r="AZ939" s="485"/>
      <c r="BA939" s="485"/>
      <c r="BB939" s="485"/>
      <c r="BC939" s="485"/>
      <c r="BD939" s="485"/>
      <c r="BE939" s="485"/>
      <c r="BF939" s="485"/>
      <c r="BG939" s="485"/>
      <c r="BH939" s="485"/>
      <c r="BI939" s="485"/>
      <c r="BJ939" s="485"/>
      <c r="BK939" s="485"/>
      <c r="BL939" s="485"/>
      <c r="BM939" s="485"/>
      <c r="BN939" s="485"/>
      <c r="BO939" s="485"/>
      <c r="BP939" s="485"/>
      <c r="BQ939" s="485"/>
      <c r="BR939" s="485"/>
      <c r="BS939" s="485"/>
      <c r="BT939" s="485"/>
      <c r="BU939" s="485"/>
      <c r="BV939" s="485"/>
      <c r="BW939" s="485"/>
      <c r="BX939" s="485"/>
      <c r="BY939" s="485"/>
      <c r="BZ939" s="485"/>
      <c r="CA939" s="485"/>
      <c r="CB939" s="485"/>
      <c r="CC939" s="485"/>
      <c r="CD939" s="485"/>
      <c r="CE939" s="485"/>
      <c r="CF939" s="485"/>
      <c r="CG939" s="485"/>
      <c r="CH939" s="485"/>
      <c r="CI939" s="485"/>
      <c r="CJ939" s="485"/>
      <c r="CK939" s="485"/>
      <c r="CL939" s="485"/>
      <c r="CM939" s="485"/>
      <c r="CN939" s="485"/>
      <c r="CO939" s="485"/>
      <c r="CP939" s="485"/>
      <c r="CQ939" s="485"/>
      <c r="CR939" s="485"/>
      <c r="CS939" s="485"/>
      <c r="CT939" s="485"/>
      <c r="CU939" s="485"/>
      <c r="CV939" s="485"/>
      <c r="CW939" s="485"/>
      <c r="CX939" s="485"/>
      <c r="CY939" s="485"/>
      <c r="CZ939" s="485"/>
      <c r="DA939" s="485"/>
      <c r="DB939" s="485"/>
      <c r="DC939" s="485"/>
      <c r="DD939" s="485"/>
      <c r="DE939" s="485"/>
      <c r="DF939" s="485"/>
      <c r="DG939" s="485"/>
      <c r="DH939" s="485"/>
      <c r="DI939" s="485"/>
      <c r="DJ939" s="485"/>
      <c r="DK939" s="485"/>
      <c r="DL939" s="485"/>
      <c r="DM939" s="485"/>
      <c r="DN939" s="485"/>
      <c r="DO939" s="485"/>
      <c r="DP939" s="485"/>
      <c r="DQ939" s="485"/>
      <c r="DR939" s="485"/>
      <c r="DS939" s="485"/>
      <c r="DT939" s="485"/>
      <c r="DU939" s="485"/>
      <c r="DV939" s="485"/>
      <c r="DW939" s="485"/>
      <c r="DX939" s="485"/>
      <c r="DY939" s="485"/>
      <c r="DZ939" s="485"/>
      <c r="EA939" s="485"/>
      <c r="EB939" s="485"/>
      <c r="EC939" s="485"/>
      <c r="ED939" s="485"/>
      <c r="EE939" s="485"/>
      <c r="EF939" s="485"/>
      <c r="EG939" s="485"/>
      <c r="EH939" s="485"/>
      <c r="EI939" s="485"/>
      <c r="EJ939" s="485"/>
      <c r="EK939" s="485"/>
      <c r="EL939" s="485"/>
      <c r="EM939" s="485"/>
      <c r="EN939" s="485"/>
      <c r="EO939" s="485"/>
      <c r="EP939" s="485"/>
    </row>
    <row r="940" spans="1:146">
      <c r="A940" s="485"/>
      <c r="B940" s="485"/>
      <c r="C940" s="485"/>
      <c r="D940" s="485"/>
      <c r="E940" s="485"/>
      <c r="F940" s="485"/>
      <c r="G940" s="485"/>
      <c r="H940" s="485"/>
      <c r="I940" s="485"/>
      <c r="J940" s="485"/>
      <c r="K940" s="485"/>
      <c r="L940" s="485"/>
      <c r="M940" s="485"/>
      <c r="P940" s="485"/>
      <c r="Q940" s="485"/>
      <c r="R940" s="485"/>
      <c r="S940" s="485"/>
      <c r="T940" s="485"/>
      <c r="U940" s="485"/>
      <c r="V940" s="485"/>
      <c r="W940" s="485"/>
      <c r="X940" s="485"/>
      <c r="Y940" s="485"/>
      <c r="Z940" s="485"/>
      <c r="AA940" s="485"/>
      <c r="AB940" s="485"/>
      <c r="AC940" s="485"/>
      <c r="AD940" s="485"/>
      <c r="AE940" s="485"/>
      <c r="AF940" s="485"/>
      <c r="AG940" s="485"/>
      <c r="AH940" s="485"/>
      <c r="AI940" s="485"/>
      <c r="AJ940" s="485"/>
      <c r="AK940" s="485"/>
      <c r="AL940" s="485"/>
      <c r="AM940" s="485"/>
      <c r="AN940" s="485"/>
      <c r="AO940" s="485"/>
      <c r="AP940" s="485"/>
      <c r="AQ940" s="485"/>
      <c r="AR940" s="485"/>
      <c r="AS940" s="485"/>
      <c r="AT940" s="485"/>
      <c r="AU940" s="485"/>
      <c r="AV940" s="485"/>
      <c r="AW940" s="485"/>
      <c r="AX940" s="485"/>
      <c r="AY940" s="485"/>
      <c r="AZ940" s="485"/>
      <c r="BA940" s="485"/>
      <c r="BB940" s="485"/>
      <c r="BC940" s="485"/>
      <c r="BD940" s="485"/>
      <c r="BE940" s="485"/>
      <c r="BF940" s="485"/>
      <c r="BG940" s="485"/>
      <c r="BH940" s="485"/>
      <c r="BI940" s="485"/>
      <c r="BJ940" s="485"/>
      <c r="BK940" s="485"/>
      <c r="BL940" s="485"/>
      <c r="BM940" s="485"/>
      <c r="BN940" s="485"/>
      <c r="BO940" s="485"/>
      <c r="BP940" s="485"/>
      <c r="BQ940" s="485"/>
      <c r="BR940" s="485"/>
      <c r="BS940" s="485"/>
      <c r="BT940" s="485"/>
      <c r="BU940" s="485"/>
      <c r="BV940" s="485"/>
      <c r="BW940" s="485"/>
      <c r="BX940" s="485"/>
      <c r="BY940" s="485"/>
      <c r="BZ940" s="485"/>
      <c r="CA940" s="485"/>
      <c r="CB940" s="485"/>
      <c r="CC940" s="485"/>
      <c r="CD940" s="485"/>
      <c r="CE940" s="485"/>
      <c r="CF940" s="485"/>
      <c r="CG940" s="485"/>
      <c r="CH940" s="485"/>
      <c r="CI940" s="485"/>
      <c r="CJ940" s="485"/>
      <c r="CK940" s="485"/>
      <c r="CL940" s="485"/>
      <c r="CM940" s="485"/>
      <c r="CN940" s="485"/>
      <c r="CO940" s="485"/>
      <c r="CP940" s="485"/>
      <c r="CQ940" s="485"/>
      <c r="CR940" s="485"/>
      <c r="CS940" s="485"/>
      <c r="CT940" s="485"/>
      <c r="CU940" s="485"/>
      <c r="CV940" s="485"/>
      <c r="CW940" s="485"/>
      <c r="CX940" s="485"/>
      <c r="CY940" s="485"/>
      <c r="CZ940" s="485"/>
      <c r="DA940" s="485"/>
      <c r="DB940" s="485"/>
      <c r="DC940" s="485"/>
      <c r="DD940" s="485"/>
      <c r="DE940" s="485"/>
      <c r="DF940" s="485"/>
      <c r="DG940" s="485"/>
      <c r="DH940" s="485"/>
      <c r="DI940" s="485"/>
      <c r="DJ940" s="485"/>
      <c r="DK940" s="485"/>
      <c r="DL940" s="485"/>
      <c r="DM940" s="485"/>
      <c r="DN940" s="485"/>
      <c r="DO940" s="485"/>
      <c r="DP940" s="485"/>
      <c r="DQ940" s="485"/>
      <c r="DR940" s="485"/>
      <c r="DS940" s="485"/>
      <c r="DT940" s="485"/>
      <c r="DU940" s="485"/>
      <c r="DV940" s="485"/>
      <c r="DW940" s="485"/>
      <c r="DX940" s="485"/>
      <c r="DY940" s="485"/>
      <c r="DZ940" s="485"/>
      <c r="EA940" s="485"/>
      <c r="EB940" s="485"/>
      <c r="EC940" s="485"/>
      <c r="ED940" s="485"/>
      <c r="EE940" s="485"/>
      <c r="EF940" s="485"/>
      <c r="EG940" s="485"/>
      <c r="EH940" s="485"/>
      <c r="EI940" s="485"/>
      <c r="EJ940" s="485"/>
      <c r="EK940" s="485"/>
      <c r="EL940" s="485"/>
      <c r="EM940" s="485"/>
      <c r="EN940" s="485"/>
      <c r="EO940" s="485"/>
      <c r="EP940" s="485"/>
    </row>
    <row r="941" spans="1:146">
      <c r="A941" s="485"/>
      <c r="B941" s="485"/>
      <c r="C941" s="485"/>
      <c r="D941" s="485"/>
      <c r="E941" s="485"/>
      <c r="F941" s="485"/>
      <c r="G941" s="485"/>
      <c r="H941" s="485"/>
      <c r="I941" s="485"/>
      <c r="J941" s="485"/>
      <c r="K941" s="485"/>
      <c r="L941" s="485"/>
      <c r="M941" s="485"/>
      <c r="P941" s="485"/>
      <c r="Q941" s="485"/>
      <c r="R941" s="485"/>
      <c r="S941" s="485"/>
      <c r="T941" s="485"/>
      <c r="U941" s="485"/>
      <c r="V941" s="485"/>
      <c r="W941" s="485"/>
      <c r="X941" s="485"/>
      <c r="Y941" s="485"/>
      <c r="Z941" s="485"/>
      <c r="AA941" s="485"/>
      <c r="AB941" s="485"/>
      <c r="AC941" s="485"/>
      <c r="AD941" s="485"/>
      <c r="AE941" s="485"/>
      <c r="AF941" s="485"/>
      <c r="AG941" s="485"/>
      <c r="AH941" s="485"/>
      <c r="AI941" s="485"/>
      <c r="AJ941" s="485"/>
      <c r="AK941" s="485"/>
      <c r="AL941" s="485"/>
      <c r="AM941" s="485"/>
      <c r="AN941" s="485"/>
      <c r="AO941" s="485"/>
      <c r="AP941" s="485"/>
      <c r="AQ941" s="485"/>
      <c r="AR941" s="485"/>
      <c r="AS941" s="485"/>
      <c r="AT941" s="485"/>
      <c r="AU941" s="485"/>
      <c r="AV941" s="485"/>
      <c r="AW941" s="485"/>
      <c r="AX941" s="485"/>
      <c r="AY941" s="485"/>
      <c r="AZ941" s="485"/>
      <c r="BA941" s="485"/>
      <c r="BB941" s="485"/>
      <c r="BC941" s="485"/>
      <c r="BD941" s="485"/>
      <c r="BE941" s="485"/>
      <c r="BF941" s="485"/>
      <c r="BG941" s="485"/>
      <c r="BH941" s="485"/>
      <c r="BI941" s="485"/>
      <c r="BJ941" s="485"/>
      <c r="BK941" s="485"/>
      <c r="BL941" s="485"/>
      <c r="BM941" s="485"/>
      <c r="BN941" s="485"/>
      <c r="BO941" s="485"/>
      <c r="BP941" s="485"/>
      <c r="BQ941" s="485"/>
      <c r="BR941" s="485"/>
      <c r="BS941" s="485"/>
      <c r="BT941" s="485"/>
      <c r="BU941" s="485"/>
      <c r="BV941" s="485"/>
      <c r="BW941" s="485"/>
      <c r="BX941" s="485"/>
      <c r="BY941" s="485"/>
      <c r="BZ941" s="485"/>
      <c r="CA941" s="485"/>
      <c r="CB941" s="485"/>
      <c r="CC941" s="485"/>
      <c r="CD941" s="485"/>
      <c r="CE941" s="485"/>
      <c r="CF941" s="485"/>
      <c r="CG941" s="485"/>
      <c r="CH941" s="485"/>
      <c r="CI941" s="485"/>
      <c r="CJ941" s="485"/>
      <c r="CK941" s="485"/>
      <c r="CL941" s="485"/>
      <c r="CM941" s="485"/>
      <c r="CN941" s="485"/>
      <c r="CO941" s="485"/>
      <c r="CP941" s="485"/>
      <c r="CQ941" s="485"/>
      <c r="CR941" s="485"/>
      <c r="CS941" s="485"/>
      <c r="CT941" s="485"/>
      <c r="CU941" s="485"/>
      <c r="CV941" s="485"/>
      <c r="CW941" s="485"/>
      <c r="CX941" s="485"/>
      <c r="CY941" s="485"/>
      <c r="CZ941" s="485"/>
      <c r="DA941" s="485"/>
      <c r="DB941" s="485"/>
      <c r="DC941" s="485"/>
      <c r="DD941" s="485"/>
      <c r="DE941" s="485"/>
      <c r="DF941" s="485"/>
      <c r="DG941" s="485"/>
      <c r="DH941" s="485"/>
      <c r="DI941" s="485"/>
      <c r="DJ941" s="485"/>
      <c r="DK941" s="485"/>
      <c r="DL941" s="485"/>
      <c r="DM941" s="485"/>
      <c r="DN941" s="485"/>
      <c r="DO941" s="485"/>
      <c r="DP941" s="485"/>
      <c r="DQ941" s="485"/>
      <c r="DR941" s="485"/>
      <c r="DS941" s="485"/>
      <c r="DT941" s="485"/>
      <c r="DU941" s="485"/>
      <c r="DV941" s="485"/>
      <c r="DW941" s="485"/>
      <c r="DX941" s="485"/>
      <c r="DY941" s="485"/>
      <c r="DZ941" s="485"/>
      <c r="EA941" s="485"/>
      <c r="EB941" s="485"/>
      <c r="EC941" s="485"/>
      <c r="ED941" s="485"/>
      <c r="EE941" s="485"/>
      <c r="EF941" s="485"/>
      <c r="EG941" s="485"/>
      <c r="EH941" s="485"/>
      <c r="EI941" s="485"/>
      <c r="EJ941" s="485"/>
      <c r="EK941" s="485"/>
      <c r="EL941" s="485"/>
      <c r="EM941" s="485"/>
      <c r="EN941" s="485"/>
      <c r="EO941" s="485"/>
      <c r="EP941" s="485"/>
    </row>
    <row r="942" spans="1:146">
      <c r="A942" s="485"/>
      <c r="B942" s="485"/>
      <c r="C942" s="485"/>
      <c r="D942" s="485"/>
      <c r="E942" s="485"/>
      <c r="F942" s="485"/>
      <c r="G942" s="485"/>
      <c r="H942" s="485"/>
      <c r="I942" s="485"/>
      <c r="J942" s="485"/>
      <c r="K942" s="485"/>
      <c r="L942" s="485"/>
      <c r="M942" s="485"/>
      <c r="P942" s="485"/>
      <c r="Q942" s="485"/>
      <c r="R942" s="485"/>
      <c r="S942" s="485"/>
      <c r="T942" s="485"/>
      <c r="U942" s="485"/>
      <c r="V942" s="485"/>
      <c r="W942" s="485"/>
      <c r="X942" s="485"/>
      <c r="Y942" s="485"/>
      <c r="Z942" s="485"/>
      <c r="AA942" s="485"/>
      <c r="AB942" s="485"/>
      <c r="AC942" s="485"/>
      <c r="AD942" s="485"/>
      <c r="AE942" s="485"/>
      <c r="AF942" s="485"/>
      <c r="AG942" s="485"/>
      <c r="AH942" s="485"/>
      <c r="AI942" s="485"/>
      <c r="AJ942" s="485"/>
      <c r="AK942" s="485"/>
      <c r="AL942" s="485"/>
      <c r="AM942" s="485"/>
      <c r="AN942" s="485"/>
      <c r="AO942" s="485"/>
      <c r="AP942" s="485"/>
      <c r="AQ942" s="485"/>
      <c r="AR942" s="485"/>
      <c r="AS942" s="485"/>
      <c r="AT942" s="485"/>
      <c r="AU942" s="485"/>
      <c r="AV942" s="485"/>
      <c r="AW942" s="485"/>
      <c r="AX942" s="485"/>
      <c r="AY942" s="485"/>
      <c r="AZ942" s="485"/>
      <c r="BA942" s="485"/>
      <c r="BB942" s="485"/>
      <c r="BC942" s="485"/>
      <c r="BD942" s="485"/>
      <c r="BE942" s="485"/>
      <c r="BF942" s="485"/>
      <c r="BG942" s="485"/>
      <c r="BH942" s="485"/>
      <c r="BI942" s="485"/>
      <c r="BJ942" s="485"/>
      <c r="BK942" s="485"/>
      <c r="BL942" s="485"/>
      <c r="BM942" s="485"/>
      <c r="BN942" s="485"/>
      <c r="BO942" s="485"/>
      <c r="BP942" s="485"/>
      <c r="BQ942" s="485"/>
      <c r="BR942" s="485"/>
      <c r="BS942" s="485"/>
      <c r="BT942" s="485"/>
      <c r="BU942" s="485"/>
      <c r="BV942" s="485"/>
      <c r="BW942" s="485"/>
      <c r="BX942" s="485"/>
      <c r="BY942" s="485"/>
      <c r="BZ942" s="485"/>
      <c r="CA942" s="485"/>
      <c r="CB942" s="485"/>
      <c r="CC942" s="485"/>
      <c r="CD942" s="485"/>
      <c r="CE942" s="485"/>
      <c r="CF942" s="485"/>
      <c r="CG942" s="485"/>
      <c r="CH942" s="485"/>
      <c r="CI942" s="485"/>
      <c r="CJ942" s="485"/>
      <c r="CK942" s="485"/>
      <c r="CL942" s="485"/>
      <c r="CM942" s="485"/>
      <c r="CN942" s="485"/>
      <c r="CO942" s="485"/>
      <c r="CP942" s="485"/>
      <c r="CQ942" s="485"/>
      <c r="CR942" s="485"/>
      <c r="CS942" s="485"/>
      <c r="CT942" s="485"/>
      <c r="CU942" s="485"/>
      <c r="CV942" s="485"/>
      <c r="CW942" s="485"/>
      <c r="CX942" s="485"/>
      <c r="CY942" s="485"/>
      <c r="CZ942" s="485"/>
      <c r="DA942" s="485"/>
      <c r="DB942" s="485"/>
      <c r="DC942" s="485"/>
      <c r="DD942" s="485"/>
      <c r="DE942" s="485"/>
      <c r="DF942" s="485"/>
      <c r="DG942" s="485"/>
      <c r="DH942" s="485"/>
      <c r="DI942" s="485"/>
      <c r="DJ942" s="485"/>
      <c r="DK942" s="485"/>
      <c r="DL942" s="485"/>
      <c r="DM942" s="485"/>
      <c r="DN942" s="485"/>
      <c r="DO942" s="485"/>
      <c r="DP942" s="485"/>
      <c r="DQ942" s="485"/>
      <c r="DR942" s="485"/>
      <c r="DS942" s="485"/>
      <c r="DT942" s="485"/>
      <c r="DU942" s="485"/>
      <c r="DV942" s="485"/>
      <c r="DW942" s="485"/>
      <c r="DX942" s="485"/>
      <c r="DY942" s="485"/>
      <c r="DZ942" s="485"/>
      <c r="EA942" s="485"/>
      <c r="EB942" s="485"/>
      <c r="EC942" s="485"/>
      <c r="ED942" s="485"/>
      <c r="EE942" s="485"/>
      <c r="EF942" s="485"/>
      <c r="EG942" s="485"/>
      <c r="EH942" s="485"/>
      <c r="EI942" s="485"/>
      <c r="EJ942" s="485"/>
      <c r="EK942" s="485"/>
      <c r="EL942" s="485"/>
      <c r="EM942" s="485"/>
      <c r="EN942" s="485"/>
      <c r="EO942" s="485"/>
      <c r="EP942" s="485"/>
    </row>
    <row r="943" spans="1:146">
      <c r="A943" s="485"/>
      <c r="B943" s="485"/>
      <c r="C943" s="485"/>
      <c r="D943" s="485"/>
      <c r="E943" s="485"/>
      <c r="F943" s="485"/>
      <c r="G943" s="485"/>
      <c r="H943" s="485"/>
      <c r="I943" s="485"/>
      <c r="J943" s="485"/>
      <c r="K943" s="485"/>
      <c r="L943" s="485"/>
      <c r="M943" s="485"/>
      <c r="P943" s="485"/>
      <c r="Q943" s="485"/>
      <c r="R943" s="485"/>
      <c r="S943" s="485"/>
      <c r="T943" s="485"/>
      <c r="U943" s="485"/>
      <c r="V943" s="485"/>
      <c r="W943" s="485"/>
      <c r="X943" s="485"/>
      <c r="Y943" s="485"/>
      <c r="Z943" s="485"/>
      <c r="AA943" s="485"/>
      <c r="AB943" s="485"/>
      <c r="AC943" s="485"/>
      <c r="AD943" s="485"/>
      <c r="AE943" s="485"/>
      <c r="AF943" s="485"/>
      <c r="AG943" s="485"/>
      <c r="AH943" s="485"/>
      <c r="AI943" s="485"/>
      <c r="AJ943" s="485"/>
      <c r="AK943" s="485"/>
      <c r="AL943" s="485"/>
      <c r="AM943" s="485"/>
      <c r="AN943" s="485"/>
      <c r="AO943" s="485"/>
      <c r="AP943" s="485"/>
      <c r="AQ943" s="485"/>
      <c r="AR943" s="485"/>
      <c r="AS943" s="485"/>
      <c r="AT943" s="485"/>
      <c r="AU943" s="485"/>
      <c r="AV943" s="485"/>
      <c r="AW943" s="485"/>
      <c r="AX943" s="485"/>
      <c r="AY943" s="485"/>
      <c r="AZ943" s="485"/>
      <c r="BA943" s="485"/>
      <c r="BB943" s="485"/>
      <c r="BC943" s="485"/>
      <c r="BD943" s="485"/>
      <c r="BE943" s="485"/>
      <c r="BF943" s="485"/>
      <c r="BG943" s="485"/>
      <c r="BH943" s="485"/>
      <c r="BI943" s="485"/>
      <c r="BJ943" s="485"/>
      <c r="BK943" s="485"/>
      <c r="BL943" s="485"/>
      <c r="BM943" s="485"/>
      <c r="BN943" s="485"/>
      <c r="BO943" s="485"/>
      <c r="BP943" s="485"/>
      <c r="BQ943" s="485"/>
      <c r="BR943" s="485"/>
      <c r="BS943" s="485"/>
      <c r="BT943" s="485"/>
      <c r="BU943" s="485"/>
      <c r="BV943" s="485"/>
      <c r="BW943" s="485"/>
      <c r="BX943" s="485"/>
      <c r="BY943" s="485"/>
      <c r="BZ943" s="485"/>
      <c r="CA943" s="485"/>
      <c r="CB943" s="485"/>
      <c r="CC943" s="485"/>
      <c r="CD943" s="485"/>
      <c r="CE943" s="485"/>
      <c r="CF943" s="485"/>
      <c r="CG943" s="485"/>
      <c r="CH943" s="485"/>
      <c r="CI943" s="485"/>
      <c r="CJ943" s="485"/>
      <c r="CK943" s="485"/>
      <c r="CL943" s="485"/>
      <c r="CM943" s="485"/>
      <c r="CN943" s="485"/>
      <c r="CO943" s="485"/>
      <c r="CP943" s="485"/>
      <c r="CQ943" s="485"/>
      <c r="CR943" s="485"/>
      <c r="CS943" s="485"/>
      <c r="CT943" s="485"/>
      <c r="CU943" s="485"/>
      <c r="CV943" s="485"/>
      <c r="CW943" s="485"/>
      <c r="CX943" s="485"/>
      <c r="CY943" s="485"/>
      <c r="CZ943" s="485"/>
      <c r="DA943" s="485"/>
      <c r="DB943" s="485"/>
      <c r="DC943" s="485"/>
      <c r="DD943" s="485"/>
      <c r="DE943" s="485"/>
      <c r="DF943" s="485"/>
      <c r="DG943" s="485"/>
      <c r="DH943" s="485"/>
      <c r="DI943" s="485"/>
      <c r="DJ943" s="485"/>
      <c r="DK943" s="485"/>
      <c r="DL943" s="485"/>
      <c r="DM943" s="485"/>
      <c r="DN943" s="485"/>
      <c r="DO943" s="485"/>
      <c r="DP943" s="485"/>
      <c r="DQ943" s="485"/>
      <c r="DR943" s="485"/>
      <c r="DS943" s="485"/>
      <c r="DT943" s="485"/>
      <c r="DU943" s="485"/>
      <c r="DV943" s="485"/>
      <c r="DW943" s="485"/>
      <c r="DX943" s="485"/>
      <c r="DY943" s="485"/>
      <c r="DZ943" s="485"/>
      <c r="EA943" s="485"/>
      <c r="EB943" s="485"/>
      <c r="EC943" s="485"/>
      <c r="ED943" s="485"/>
      <c r="EE943" s="485"/>
      <c r="EF943" s="485"/>
      <c r="EG943" s="485"/>
      <c r="EH943" s="485"/>
      <c r="EI943" s="485"/>
      <c r="EJ943" s="485"/>
      <c r="EK943" s="485"/>
      <c r="EL943" s="485"/>
      <c r="EM943" s="485"/>
      <c r="EN943" s="485"/>
      <c r="EO943" s="485"/>
      <c r="EP943" s="485"/>
    </row>
    <row r="944" spans="1:146">
      <c r="A944" s="485"/>
      <c r="B944" s="485"/>
      <c r="C944" s="485"/>
      <c r="D944" s="485"/>
      <c r="E944" s="485"/>
      <c r="F944" s="485"/>
      <c r="G944" s="485"/>
      <c r="H944" s="485"/>
      <c r="I944" s="485"/>
      <c r="J944" s="485"/>
      <c r="K944" s="485"/>
      <c r="L944" s="485"/>
      <c r="M944" s="485"/>
      <c r="P944" s="485"/>
      <c r="Q944" s="485"/>
      <c r="R944" s="485"/>
      <c r="S944" s="485"/>
      <c r="T944" s="485"/>
      <c r="U944" s="485"/>
      <c r="V944" s="485"/>
      <c r="W944" s="485"/>
      <c r="X944" s="485"/>
      <c r="Y944" s="485"/>
      <c r="Z944" s="485"/>
      <c r="AA944" s="485"/>
      <c r="AB944" s="485"/>
      <c r="AC944" s="485"/>
      <c r="AD944" s="485"/>
      <c r="AE944" s="485"/>
      <c r="AF944" s="485"/>
      <c r="AG944" s="485"/>
      <c r="AH944" s="485"/>
      <c r="AI944" s="485"/>
      <c r="AJ944" s="485"/>
      <c r="AK944" s="485"/>
      <c r="AL944" s="485"/>
      <c r="AM944" s="485"/>
      <c r="AN944" s="485"/>
      <c r="AO944" s="485"/>
      <c r="AP944" s="485"/>
      <c r="AQ944" s="485"/>
      <c r="AR944" s="485"/>
      <c r="AS944" s="485"/>
      <c r="AT944" s="485"/>
      <c r="AU944" s="485"/>
      <c r="AV944" s="485"/>
      <c r="AW944" s="485"/>
      <c r="AX944" s="485"/>
      <c r="AY944" s="485"/>
      <c r="AZ944" s="485"/>
      <c r="BA944" s="485"/>
      <c r="BB944" s="485"/>
      <c r="BC944" s="485"/>
      <c r="BD944" s="485"/>
      <c r="BE944" s="485"/>
      <c r="BF944" s="485"/>
      <c r="BG944" s="485"/>
      <c r="BH944" s="485"/>
      <c r="BI944" s="485"/>
      <c r="BJ944" s="485"/>
      <c r="BK944" s="485"/>
      <c r="BL944" s="485"/>
      <c r="BM944" s="485"/>
      <c r="BN944" s="485"/>
      <c r="BO944" s="485"/>
      <c r="BP944" s="485"/>
      <c r="BQ944" s="485"/>
      <c r="BR944" s="485"/>
      <c r="BS944" s="485"/>
      <c r="BT944" s="485"/>
      <c r="BU944" s="485"/>
      <c r="BV944" s="485"/>
      <c r="BW944" s="485"/>
      <c r="BX944" s="485"/>
      <c r="BY944" s="485"/>
      <c r="BZ944" s="485"/>
      <c r="CA944" s="485"/>
      <c r="CB944" s="485"/>
      <c r="CC944" s="485"/>
      <c r="CD944" s="485"/>
      <c r="CE944" s="485"/>
      <c r="CF944" s="485"/>
      <c r="CG944" s="485"/>
      <c r="CH944" s="485"/>
      <c r="CI944" s="485"/>
      <c r="CJ944" s="485"/>
      <c r="CK944" s="485"/>
      <c r="CL944" s="485"/>
      <c r="CM944" s="485"/>
      <c r="CN944" s="485"/>
      <c r="CO944" s="485"/>
      <c r="CP944" s="485"/>
      <c r="CQ944" s="485"/>
      <c r="CR944" s="485"/>
      <c r="CS944" s="485"/>
      <c r="CT944" s="485"/>
      <c r="CU944" s="485"/>
      <c r="CV944" s="485"/>
      <c r="CW944" s="485"/>
      <c r="CX944" s="485"/>
      <c r="CY944" s="485"/>
      <c r="CZ944" s="485"/>
      <c r="DA944" s="485"/>
      <c r="DB944" s="485"/>
      <c r="DC944" s="485"/>
      <c r="DD944" s="485"/>
      <c r="DE944" s="485"/>
      <c r="DF944" s="485"/>
      <c r="DG944" s="485"/>
      <c r="DH944" s="485"/>
      <c r="DI944" s="485"/>
      <c r="DJ944" s="485"/>
      <c r="DK944" s="485"/>
      <c r="DL944" s="485"/>
      <c r="DM944" s="485"/>
      <c r="DN944" s="485"/>
      <c r="DO944" s="485"/>
      <c r="DP944" s="485"/>
      <c r="DQ944" s="485"/>
      <c r="DR944" s="485"/>
      <c r="DS944" s="485"/>
      <c r="DT944" s="485"/>
      <c r="DU944" s="485"/>
      <c r="DV944" s="485"/>
      <c r="DW944" s="485"/>
      <c r="DX944" s="485"/>
      <c r="DY944" s="485"/>
      <c r="DZ944" s="485"/>
      <c r="EA944" s="485"/>
      <c r="EB944" s="485"/>
      <c r="EC944" s="485"/>
      <c r="ED944" s="485"/>
      <c r="EE944" s="485"/>
      <c r="EF944" s="485"/>
      <c r="EG944" s="485"/>
      <c r="EH944" s="485"/>
      <c r="EI944" s="485"/>
      <c r="EJ944" s="485"/>
      <c r="EK944" s="485"/>
      <c r="EL944" s="485"/>
      <c r="EM944" s="485"/>
      <c r="EN944" s="485"/>
      <c r="EO944" s="485"/>
      <c r="EP944" s="485"/>
    </row>
    <row r="945" spans="1:146">
      <c r="A945" s="485"/>
      <c r="B945" s="485"/>
      <c r="C945" s="485"/>
      <c r="D945" s="485"/>
      <c r="E945" s="485"/>
      <c r="F945" s="485"/>
      <c r="G945" s="485"/>
      <c r="H945" s="485"/>
      <c r="I945" s="485"/>
      <c r="J945" s="485"/>
      <c r="K945" s="485"/>
      <c r="L945" s="485"/>
      <c r="M945" s="485"/>
      <c r="P945" s="485"/>
      <c r="Q945" s="485"/>
      <c r="R945" s="485"/>
      <c r="S945" s="485"/>
      <c r="T945" s="485"/>
      <c r="U945" s="485"/>
      <c r="V945" s="485"/>
      <c r="W945" s="485"/>
      <c r="X945" s="485"/>
      <c r="Y945" s="485"/>
      <c r="Z945" s="485"/>
      <c r="AA945" s="485"/>
      <c r="AB945" s="485"/>
      <c r="AC945" s="485"/>
      <c r="AD945" s="485"/>
      <c r="AE945" s="485"/>
      <c r="AF945" s="485"/>
      <c r="AG945" s="485"/>
      <c r="AH945" s="485"/>
      <c r="AI945" s="485"/>
      <c r="AJ945" s="485"/>
      <c r="AK945" s="485"/>
      <c r="AL945" s="485"/>
      <c r="AM945" s="485"/>
      <c r="AN945" s="485"/>
      <c r="AO945" s="485"/>
      <c r="AP945" s="485"/>
      <c r="AQ945" s="485"/>
      <c r="AR945" s="485"/>
      <c r="AS945" s="485"/>
      <c r="AT945" s="485"/>
      <c r="AU945" s="485"/>
      <c r="AV945" s="485"/>
      <c r="AW945" s="485"/>
      <c r="AX945" s="485"/>
      <c r="AY945" s="485"/>
      <c r="AZ945" s="485"/>
      <c r="BA945" s="485"/>
      <c r="BB945" s="485"/>
      <c r="BC945" s="485"/>
      <c r="BD945" s="485"/>
      <c r="BE945" s="485"/>
      <c r="BF945" s="485"/>
      <c r="BG945" s="485"/>
      <c r="BH945" s="485"/>
      <c r="BI945" s="485"/>
      <c r="BJ945" s="485"/>
      <c r="BK945" s="485"/>
      <c r="BL945" s="485"/>
      <c r="BM945" s="485"/>
      <c r="BN945" s="485"/>
      <c r="BO945" s="485"/>
      <c r="BP945" s="485"/>
      <c r="BQ945" s="485"/>
      <c r="BR945" s="485"/>
      <c r="BS945" s="485"/>
      <c r="BT945" s="485"/>
      <c r="BU945" s="485"/>
      <c r="BV945" s="485"/>
      <c r="BW945" s="485"/>
      <c r="BX945" s="485"/>
      <c r="BY945" s="485"/>
      <c r="BZ945" s="485"/>
      <c r="CA945" s="485"/>
      <c r="CB945" s="485"/>
      <c r="CC945" s="485"/>
      <c r="CD945" s="485"/>
      <c r="CE945" s="485"/>
      <c r="CF945" s="485"/>
      <c r="CG945" s="485"/>
      <c r="CH945" s="485"/>
      <c r="CI945" s="485"/>
      <c r="CJ945" s="485"/>
      <c r="CK945" s="485"/>
      <c r="CL945" s="485"/>
      <c r="CM945" s="485"/>
      <c r="CN945" s="485"/>
      <c r="CO945" s="485"/>
      <c r="CP945" s="485"/>
      <c r="CQ945" s="485"/>
      <c r="CR945" s="485"/>
      <c r="CS945" s="485"/>
      <c r="CT945" s="485"/>
      <c r="CU945" s="485"/>
      <c r="CV945" s="485"/>
      <c r="CW945" s="485"/>
      <c r="CX945" s="485"/>
      <c r="CY945" s="485"/>
      <c r="CZ945" s="485"/>
      <c r="DA945" s="485"/>
      <c r="DB945" s="485"/>
      <c r="DC945" s="485"/>
      <c r="DD945" s="485"/>
      <c r="DE945" s="485"/>
      <c r="DF945" s="485"/>
      <c r="DG945" s="485"/>
      <c r="DH945" s="485"/>
      <c r="DI945" s="485"/>
      <c r="DJ945" s="485"/>
      <c r="DK945" s="485"/>
      <c r="DL945" s="485"/>
      <c r="DM945" s="485"/>
      <c r="DN945" s="485"/>
      <c r="DO945" s="485"/>
      <c r="DP945" s="485"/>
      <c r="DQ945" s="485"/>
      <c r="DR945" s="485"/>
      <c r="DS945" s="485"/>
      <c r="DT945" s="485"/>
      <c r="DU945" s="485"/>
      <c r="DV945" s="485"/>
      <c r="DW945" s="485"/>
      <c r="DX945" s="485"/>
      <c r="DY945" s="485"/>
      <c r="DZ945" s="485"/>
      <c r="EA945" s="485"/>
      <c r="EB945" s="485"/>
      <c r="EC945" s="485"/>
      <c r="ED945" s="485"/>
      <c r="EE945" s="485"/>
      <c r="EF945" s="485"/>
      <c r="EG945" s="485"/>
      <c r="EH945" s="485"/>
      <c r="EI945" s="485"/>
      <c r="EJ945" s="485"/>
      <c r="EK945" s="485"/>
      <c r="EL945" s="485"/>
      <c r="EM945" s="485"/>
      <c r="EN945" s="485"/>
      <c r="EO945" s="485"/>
      <c r="EP945" s="485"/>
    </row>
    <row r="946" spans="1:146">
      <c r="A946" s="485"/>
      <c r="B946" s="485"/>
      <c r="C946" s="485"/>
      <c r="D946" s="485"/>
      <c r="E946" s="485"/>
      <c r="F946" s="485"/>
      <c r="G946" s="485"/>
      <c r="H946" s="485"/>
      <c r="I946" s="485"/>
      <c r="J946" s="485"/>
      <c r="K946" s="485"/>
      <c r="L946" s="485"/>
      <c r="M946" s="485"/>
      <c r="P946" s="485"/>
      <c r="Q946" s="485"/>
      <c r="R946" s="485"/>
      <c r="S946" s="485"/>
      <c r="T946" s="485"/>
      <c r="U946" s="485"/>
      <c r="V946" s="485"/>
      <c r="W946" s="485"/>
      <c r="X946" s="485"/>
      <c r="Y946" s="485"/>
      <c r="Z946" s="485"/>
      <c r="AA946" s="485"/>
      <c r="AB946" s="485"/>
      <c r="AC946" s="485"/>
      <c r="AD946" s="485"/>
      <c r="AE946" s="485"/>
      <c r="AF946" s="485"/>
      <c r="AG946" s="485"/>
      <c r="AH946" s="485"/>
      <c r="AI946" s="485"/>
      <c r="AJ946" s="485"/>
      <c r="AK946" s="485"/>
      <c r="AL946" s="485"/>
      <c r="AM946" s="485"/>
      <c r="AN946" s="485"/>
      <c r="AO946" s="485"/>
      <c r="AP946" s="485"/>
      <c r="AQ946" s="485"/>
      <c r="AR946" s="485"/>
      <c r="AS946" s="485"/>
      <c r="AT946" s="485"/>
      <c r="AU946" s="485"/>
      <c r="AV946" s="485"/>
      <c r="AW946" s="485"/>
      <c r="AX946" s="485"/>
      <c r="AY946" s="485"/>
      <c r="AZ946" s="485"/>
      <c r="BA946" s="485"/>
      <c r="BB946" s="485"/>
      <c r="BC946" s="485"/>
      <c r="BD946" s="485"/>
      <c r="BE946" s="485"/>
      <c r="BF946" s="485"/>
      <c r="BG946" s="485"/>
      <c r="BH946" s="485"/>
      <c r="BI946" s="485"/>
      <c r="BJ946" s="485"/>
      <c r="BK946" s="485"/>
      <c r="BL946" s="485"/>
      <c r="BM946" s="485"/>
      <c r="BN946" s="485"/>
      <c r="BO946" s="485"/>
      <c r="BP946" s="485"/>
      <c r="BQ946" s="485"/>
      <c r="BR946" s="485"/>
      <c r="BS946" s="485"/>
      <c r="BT946" s="485"/>
      <c r="BU946" s="485"/>
      <c r="BV946" s="485"/>
      <c r="BW946" s="485"/>
      <c r="BX946" s="485"/>
      <c r="BY946" s="485"/>
      <c r="BZ946" s="485"/>
      <c r="CA946" s="485"/>
      <c r="CB946" s="485"/>
      <c r="CC946" s="485"/>
      <c r="CD946" s="485"/>
      <c r="CE946" s="485"/>
      <c r="CF946" s="485"/>
      <c r="CG946" s="485"/>
      <c r="CH946" s="485"/>
      <c r="CI946" s="485"/>
      <c r="CJ946" s="485"/>
      <c r="CK946" s="485"/>
      <c r="CL946" s="485"/>
      <c r="CM946" s="485"/>
      <c r="CN946" s="485"/>
      <c r="CO946" s="485"/>
      <c r="CP946" s="485"/>
      <c r="CQ946" s="485"/>
      <c r="CR946" s="485"/>
      <c r="CS946" s="485"/>
      <c r="CT946" s="485"/>
      <c r="CU946" s="485"/>
      <c r="CV946" s="485"/>
      <c r="CW946" s="485"/>
      <c r="CX946" s="485"/>
      <c r="CY946" s="485"/>
      <c r="CZ946" s="485"/>
      <c r="DA946" s="485"/>
      <c r="DB946" s="485"/>
      <c r="DC946" s="485"/>
      <c r="DD946" s="485"/>
      <c r="DE946" s="485"/>
      <c r="DF946" s="485"/>
      <c r="DG946" s="485"/>
      <c r="DH946" s="485"/>
      <c r="DI946" s="485"/>
      <c r="DJ946" s="485"/>
      <c r="DK946" s="485"/>
      <c r="DL946" s="485"/>
      <c r="DM946" s="485"/>
      <c r="DN946" s="485"/>
      <c r="DO946" s="485"/>
      <c r="DP946" s="485"/>
      <c r="DQ946" s="485"/>
      <c r="DR946" s="485"/>
      <c r="DS946" s="485"/>
      <c r="DT946" s="485"/>
      <c r="DU946" s="485"/>
      <c r="DV946" s="485"/>
      <c r="DW946" s="485"/>
      <c r="DX946" s="485"/>
      <c r="DY946" s="485"/>
      <c r="DZ946" s="485"/>
      <c r="EA946" s="485"/>
      <c r="EB946" s="485"/>
      <c r="EC946" s="485"/>
      <c r="ED946" s="485"/>
      <c r="EE946" s="485"/>
      <c r="EF946" s="485"/>
      <c r="EG946" s="485"/>
      <c r="EH946" s="485"/>
      <c r="EI946" s="485"/>
      <c r="EJ946" s="485"/>
      <c r="EK946" s="485"/>
      <c r="EL946" s="485"/>
      <c r="EM946" s="485"/>
      <c r="EN946" s="485"/>
      <c r="EO946" s="485"/>
      <c r="EP946" s="485"/>
    </row>
    <row r="947" spans="1:146">
      <c r="A947" s="485"/>
      <c r="B947" s="485"/>
      <c r="C947" s="485"/>
      <c r="D947" s="485"/>
      <c r="E947" s="485"/>
      <c r="F947" s="485"/>
      <c r="G947" s="485"/>
      <c r="H947" s="485"/>
      <c r="I947" s="485"/>
      <c r="J947" s="485"/>
      <c r="K947" s="485"/>
      <c r="L947" s="485"/>
      <c r="M947" s="485"/>
      <c r="P947" s="485"/>
      <c r="Q947" s="485"/>
      <c r="R947" s="485"/>
      <c r="S947" s="485"/>
      <c r="T947" s="485"/>
      <c r="U947" s="485"/>
      <c r="V947" s="485"/>
      <c r="W947" s="485"/>
      <c r="X947" s="485"/>
      <c r="Y947" s="485"/>
      <c r="Z947" s="485"/>
      <c r="AA947" s="485"/>
      <c r="AB947" s="485"/>
      <c r="AC947" s="485"/>
      <c r="AD947" s="485"/>
      <c r="AE947" s="485"/>
      <c r="AF947" s="485"/>
      <c r="AG947" s="485"/>
      <c r="AH947" s="485"/>
      <c r="AI947" s="485"/>
      <c r="AJ947" s="485"/>
      <c r="AK947" s="485"/>
      <c r="AL947" s="485"/>
      <c r="AM947" s="485"/>
      <c r="AN947" s="485"/>
      <c r="AO947" s="485"/>
      <c r="AP947" s="485"/>
      <c r="AQ947" s="485"/>
      <c r="AR947" s="485"/>
      <c r="AS947" s="485"/>
      <c r="AT947" s="485"/>
      <c r="AU947" s="485"/>
      <c r="AV947" s="485"/>
      <c r="AW947" s="485"/>
      <c r="AX947" s="485"/>
      <c r="AY947" s="485"/>
      <c r="AZ947" s="485"/>
      <c r="BA947" s="485"/>
      <c r="BB947" s="485"/>
      <c r="BC947" s="485"/>
      <c r="BD947" s="485"/>
      <c r="BE947" s="485"/>
      <c r="BF947" s="485"/>
      <c r="BG947" s="485"/>
      <c r="BH947" s="485"/>
      <c r="BI947" s="485"/>
      <c r="BJ947" s="485"/>
      <c r="BK947" s="485"/>
      <c r="BL947" s="485"/>
      <c r="BM947" s="485"/>
      <c r="BN947" s="485"/>
      <c r="BO947" s="485"/>
      <c r="BP947" s="485"/>
      <c r="BQ947" s="485"/>
      <c r="BR947" s="485"/>
      <c r="BS947" s="485"/>
      <c r="BT947" s="485"/>
      <c r="BU947" s="485"/>
      <c r="BV947" s="485"/>
      <c r="BW947" s="485"/>
      <c r="BX947" s="485"/>
      <c r="BY947" s="485"/>
      <c r="BZ947" s="485"/>
      <c r="CA947" s="485"/>
      <c r="CB947" s="485"/>
      <c r="CC947" s="485"/>
      <c r="CD947" s="485"/>
      <c r="CE947" s="485"/>
      <c r="CF947" s="485"/>
      <c r="CG947" s="485"/>
      <c r="CH947" s="485"/>
      <c r="CI947" s="485"/>
      <c r="CJ947" s="485"/>
      <c r="CK947" s="485"/>
      <c r="CL947" s="485"/>
      <c r="CM947" s="485"/>
      <c r="CN947" s="485"/>
      <c r="CO947" s="485"/>
      <c r="CP947" s="485"/>
      <c r="CQ947" s="485"/>
      <c r="CR947" s="485"/>
      <c r="CS947" s="485"/>
      <c r="CT947" s="485"/>
      <c r="CU947" s="485"/>
      <c r="CV947" s="485"/>
      <c r="CW947" s="485"/>
      <c r="CX947" s="485"/>
      <c r="CY947" s="485"/>
      <c r="CZ947" s="485"/>
      <c r="DA947" s="485"/>
      <c r="DB947" s="485"/>
      <c r="DC947" s="485"/>
      <c r="DD947" s="485"/>
      <c r="DE947" s="485"/>
      <c r="DF947" s="485"/>
      <c r="DG947" s="485"/>
      <c r="DH947" s="485"/>
      <c r="DI947" s="485"/>
      <c r="DJ947" s="485"/>
      <c r="DK947" s="485"/>
      <c r="DL947" s="485"/>
      <c r="DM947" s="485"/>
      <c r="DN947" s="485"/>
      <c r="DO947" s="485"/>
      <c r="DP947" s="485"/>
      <c r="DQ947" s="485"/>
      <c r="DR947" s="485"/>
      <c r="DS947" s="485"/>
      <c r="DT947" s="485"/>
      <c r="DU947" s="485"/>
      <c r="DV947" s="485"/>
      <c r="DW947" s="485"/>
      <c r="DX947" s="485"/>
      <c r="DY947" s="485"/>
      <c r="DZ947" s="485"/>
      <c r="EA947" s="485"/>
      <c r="EB947" s="485"/>
      <c r="EC947" s="485"/>
      <c r="ED947" s="485"/>
      <c r="EE947" s="485"/>
      <c r="EF947" s="485"/>
      <c r="EG947" s="485"/>
      <c r="EH947" s="485"/>
      <c r="EI947" s="485"/>
      <c r="EJ947" s="485"/>
      <c r="EK947" s="485"/>
      <c r="EL947" s="485"/>
      <c r="EM947" s="485"/>
      <c r="EN947" s="485"/>
      <c r="EO947" s="485"/>
      <c r="EP947" s="485"/>
    </row>
    <row r="948" spans="1:146">
      <c r="A948" s="485"/>
      <c r="B948" s="485"/>
      <c r="C948" s="485"/>
      <c r="D948" s="485"/>
      <c r="E948" s="485"/>
      <c r="F948" s="485"/>
      <c r="G948" s="485"/>
      <c r="H948" s="485"/>
      <c r="I948" s="485"/>
      <c r="J948" s="485"/>
      <c r="K948" s="485"/>
      <c r="L948" s="485"/>
      <c r="M948" s="485"/>
      <c r="P948" s="485"/>
      <c r="Q948" s="485"/>
      <c r="R948" s="485"/>
      <c r="S948" s="485"/>
      <c r="T948" s="485"/>
      <c r="U948" s="485"/>
      <c r="V948" s="485"/>
      <c r="W948" s="485"/>
      <c r="X948" s="485"/>
      <c r="Y948" s="485"/>
      <c r="Z948" s="485"/>
      <c r="AA948" s="485"/>
      <c r="AB948" s="485"/>
      <c r="AC948" s="485"/>
      <c r="AD948" s="485"/>
      <c r="AE948" s="485"/>
      <c r="AF948" s="485"/>
      <c r="AG948" s="485"/>
      <c r="AH948" s="485"/>
      <c r="AI948" s="485"/>
      <c r="AJ948" s="485"/>
      <c r="AK948" s="485"/>
      <c r="AL948" s="485"/>
      <c r="AM948" s="485"/>
      <c r="AN948" s="485"/>
      <c r="AO948" s="485"/>
      <c r="AP948" s="485"/>
      <c r="AQ948" s="485"/>
      <c r="AR948" s="485"/>
      <c r="AS948" s="485"/>
      <c r="AT948" s="485"/>
      <c r="AU948" s="485"/>
      <c r="AV948" s="485"/>
      <c r="AW948" s="485"/>
      <c r="AX948" s="485"/>
      <c r="AY948" s="485"/>
      <c r="AZ948" s="485"/>
      <c r="BA948" s="485"/>
      <c r="BB948" s="485"/>
      <c r="BC948" s="485"/>
      <c r="BD948" s="485"/>
      <c r="BE948" s="485"/>
      <c r="BF948" s="485"/>
      <c r="BG948" s="485"/>
      <c r="BH948" s="485"/>
      <c r="BI948" s="485"/>
      <c r="BJ948" s="485"/>
      <c r="BK948" s="485"/>
      <c r="BL948" s="485"/>
      <c r="BM948" s="485"/>
      <c r="BN948" s="485"/>
      <c r="BO948" s="485"/>
      <c r="BP948" s="485"/>
      <c r="BQ948" s="485"/>
      <c r="BR948" s="485"/>
      <c r="BS948" s="485"/>
      <c r="BT948" s="485"/>
      <c r="BU948" s="485"/>
      <c r="BV948" s="485"/>
      <c r="BW948" s="485"/>
      <c r="BX948" s="485"/>
      <c r="BY948" s="485"/>
      <c r="BZ948" s="485"/>
      <c r="CA948" s="485"/>
      <c r="CB948" s="485"/>
      <c r="CC948" s="485"/>
      <c r="CD948" s="485"/>
      <c r="CE948" s="485"/>
      <c r="CF948" s="485"/>
      <c r="CG948" s="485"/>
      <c r="CH948" s="485"/>
      <c r="CI948" s="485"/>
      <c r="CJ948" s="485"/>
      <c r="CK948" s="485"/>
      <c r="CL948" s="485"/>
      <c r="CM948" s="485"/>
      <c r="CN948" s="485"/>
      <c r="CO948" s="485"/>
      <c r="CP948" s="485"/>
      <c r="CQ948" s="485"/>
      <c r="CR948" s="485"/>
      <c r="CS948" s="485"/>
      <c r="CT948" s="485"/>
      <c r="CU948" s="485"/>
      <c r="CV948" s="485"/>
      <c r="CW948" s="485"/>
      <c r="CX948" s="485"/>
      <c r="CY948" s="485"/>
      <c r="CZ948" s="485"/>
      <c r="DA948" s="485"/>
      <c r="DB948" s="485"/>
      <c r="DC948" s="485"/>
      <c r="DD948" s="485"/>
      <c r="DE948" s="485"/>
      <c r="DF948" s="485"/>
      <c r="DG948" s="485"/>
      <c r="DH948" s="485"/>
      <c r="DI948" s="485"/>
      <c r="DJ948" s="485"/>
      <c r="DK948" s="485"/>
      <c r="DL948" s="485"/>
      <c r="DM948" s="485"/>
      <c r="DN948" s="485"/>
      <c r="DO948" s="485"/>
      <c r="DP948" s="485"/>
      <c r="DQ948" s="485"/>
      <c r="DR948" s="485"/>
      <c r="DS948" s="485"/>
      <c r="DT948" s="485"/>
      <c r="DU948" s="485"/>
      <c r="DV948" s="485"/>
      <c r="DW948" s="485"/>
      <c r="DX948" s="485"/>
      <c r="DY948" s="485"/>
      <c r="DZ948" s="485"/>
      <c r="EA948" s="485"/>
      <c r="EB948" s="485"/>
      <c r="EC948" s="485"/>
      <c r="ED948" s="485"/>
      <c r="EE948" s="485"/>
      <c r="EF948" s="485"/>
      <c r="EG948" s="485"/>
      <c r="EH948" s="485"/>
      <c r="EI948" s="485"/>
      <c r="EJ948" s="485"/>
      <c r="EK948" s="485"/>
      <c r="EL948" s="485"/>
      <c r="EM948" s="485"/>
      <c r="EN948" s="485"/>
      <c r="EO948" s="485"/>
      <c r="EP948" s="485"/>
    </row>
    <row r="949" spans="1:146">
      <c r="A949" s="485"/>
      <c r="B949" s="485"/>
      <c r="C949" s="485"/>
      <c r="D949" s="485"/>
      <c r="E949" s="485"/>
      <c r="F949" s="485"/>
      <c r="G949" s="485"/>
      <c r="H949" s="485"/>
      <c r="I949" s="485"/>
      <c r="J949" s="485"/>
      <c r="K949" s="485"/>
      <c r="L949" s="485"/>
      <c r="M949" s="485"/>
      <c r="P949" s="485"/>
      <c r="Q949" s="485"/>
      <c r="R949" s="485"/>
      <c r="S949" s="485"/>
      <c r="T949" s="485"/>
      <c r="U949" s="485"/>
      <c r="V949" s="485"/>
      <c r="W949" s="485"/>
      <c r="X949" s="485"/>
      <c r="Y949" s="485"/>
      <c r="Z949" s="485"/>
      <c r="AA949" s="485"/>
      <c r="AB949" s="485"/>
      <c r="AC949" s="485"/>
      <c r="AD949" s="485"/>
      <c r="AE949" s="485"/>
      <c r="AF949" s="485"/>
      <c r="AG949" s="485"/>
      <c r="AH949" s="485"/>
      <c r="AI949" s="485"/>
      <c r="AJ949" s="485"/>
      <c r="AK949" s="485"/>
      <c r="AL949" s="485"/>
      <c r="AM949" s="485"/>
      <c r="AN949" s="485"/>
      <c r="AO949" s="485"/>
      <c r="AP949" s="485"/>
      <c r="AQ949" s="485"/>
      <c r="AR949" s="485"/>
      <c r="AS949" s="485"/>
      <c r="AT949" s="485"/>
      <c r="AU949" s="485"/>
      <c r="AV949" s="485"/>
      <c r="AW949" s="485"/>
      <c r="AX949" s="485"/>
      <c r="AY949" s="485"/>
      <c r="AZ949" s="485"/>
      <c r="BA949" s="485"/>
      <c r="BB949" s="485"/>
      <c r="BC949" s="485"/>
      <c r="BD949" s="485"/>
      <c r="BE949" s="485"/>
      <c r="BF949" s="485"/>
      <c r="BG949" s="485"/>
      <c r="BH949" s="485"/>
      <c r="BI949" s="485"/>
      <c r="BJ949" s="485"/>
      <c r="BK949" s="485"/>
      <c r="BL949" s="485"/>
      <c r="BM949" s="485"/>
      <c r="BN949" s="485"/>
      <c r="BO949" s="485"/>
      <c r="BP949" s="485"/>
      <c r="BQ949" s="485"/>
      <c r="BR949" s="485"/>
      <c r="BS949" s="485"/>
      <c r="BT949" s="485"/>
      <c r="BU949" s="485"/>
      <c r="BV949" s="485"/>
      <c r="BW949" s="485"/>
      <c r="BX949" s="485"/>
      <c r="BY949" s="485"/>
      <c r="BZ949" s="485"/>
      <c r="CA949" s="485"/>
      <c r="CB949" s="485"/>
      <c r="CC949" s="485"/>
      <c r="CD949" s="485"/>
      <c r="CE949" s="485"/>
      <c r="CF949" s="485"/>
      <c r="CG949" s="485"/>
      <c r="CH949" s="485"/>
      <c r="CI949" s="485"/>
      <c r="CJ949" s="485"/>
      <c r="CK949" s="485"/>
      <c r="CL949" s="485"/>
      <c r="CM949" s="485"/>
      <c r="CN949" s="485"/>
      <c r="CO949" s="485"/>
      <c r="CP949" s="485"/>
      <c r="CQ949" s="485"/>
      <c r="CR949" s="485"/>
      <c r="CS949" s="485"/>
      <c r="CT949" s="485"/>
      <c r="CU949" s="485"/>
      <c r="CV949" s="485"/>
      <c r="CW949" s="485"/>
      <c r="CX949" s="485"/>
      <c r="CY949" s="485"/>
      <c r="CZ949" s="485"/>
      <c r="DA949" s="485"/>
      <c r="DB949" s="485"/>
      <c r="DC949" s="485"/>
      <c r="DD949" s="485"/>
      <c r="DE949" s="485"/>
      <c r="DF949" s="485"/>
      <c r="DG949" s="485"/>
      <c r="DH949" s="485"/>
      <c r="DI949" s="485"/>
      <c r="DJ949" s="485"/>
      <c r="DK949" s="485"/>
      <c r="DL949" s="485"/>
      <c r="DM949" s="485"/>
      <c r="DN949" s="485"/>
      <c r="DO949" s="485"/>
      <c r="DP949" s="485"/>
      <c r="DQ949" s="485"/>
      <c r="DR949" s="485"/>
      <c r="DS949" s="485"/>
      <c r="DT949" s="485"/>
      <c r="DU949" s="485"/>
      <c r="DV949" s="485"/>
      <c r="DW949" s="485"/>
      <c r="DX949" s="485"/>
      <c r="DY949" s="485"/>
      <c r="DZ949" s="485"/>
      <c r="EA949" s="485"/>
      <c r="EB949" s="485"/>
      <c r="EC949" s="485"/>
      <c r="ED949" s="485"/>
      <c r="EE949" s="485"/>
      <c r="EF949" s="485"/>
      <c r="EG949" s="485"/>
      <c r="EH949" s="485"/>
      <c r="EI949" s="485"/>
      <c r="EJ949" s="485"/>
      <c r="EK949" s="485"/>
      <c r="EL949" s="485"/>
      <c r="EM949" s="485"/>
      <c r="EN949" s="485"/>
      <c r="EO949" s="485"/>
      <c r="EP949" s="485"/>
    </row>
    <row r="950" spans="1:146">
      <c r="A950" s="485"/>
      <c r="B950" s="485"/>
      <c r="C950" s="485"/>
      <c r="D950" s="485"/>
      <c r="E950" s="485"/>
      <c r="F950" s="485"/>
      <c r="G950" s="485"/>
      <c r="H950" s="485"/>
      <c r="I950" s="485"/>
      <c r="J950" s="485"/>
      <c r="K950" s="485"/>
      <c r="L950" s="485"/>
      <c r="M950" s="485"/>
      <c r="P950" s="485"/>
      <c r="Q950" s="485"/>
      <c r="R950" s="485"/>
      <c r="S950" s="485"/>
      <c r="T950" s="485"/>
      <c r="U950" s="485"/>
      <c r="V950" s="485"/>
      <c r="W950" s="485"/>
      <c r="X950" s="485"/>
      <c r="Y950" s="485"/>
      <c r="Z950" s="485"/>
      <c r="AA950" s="485"/>
      <c r="AB950" s="485"/>
      <c r="AC950" s="485"/>
      <c r="AD950" s="485"/>
      <c r="AE950" s="485"/>
      <c r="AF950" s="485"/>
      <c r="AG950" s="485"/>
      <c r="AH950" s="485"/>
      <c r="AI950" s="485"/>
      <c r="AJ950" s="485"/>
      <c r="AK950" s="485"/>
      <c r="AL950" s="485"/>
      <c r="AM950" s="485"/>
      <c r="AN950" s="485"/>
      <c r="AO950" s="485"/>
      <c r="AP950" s="485"/>
      <c r="AQ950" s="485"/>
      <c r="AR950" s="485"/>
      <c r="AS950" s="485"/>
      <c r="AT950" s="485"/>
      <c r="AU950" s="485"/>
      <c r="AV950" s="485"/>
      <c r="AW950" s="485"/>
      <c r="AX950" s="485"/>
      <c r="AY950" s="485"/>
      <c r="AZ950" s="485"/>
      <c r="BA950" s="485"/>
      <c r="BB950" s="485"/>
      <c r="BC950" s="485"/>
      <c r="BD950" s="485"/>
      <c r="BE950" s="485"/>
      <c r="BF950" s="485"/>
      <c r="BG950" s="485"/>
      <c r="BH950" s="485"/>
      <c r="BI950" s="485"/>
      <c r="BJ950" s="485"/>
      <c r="BK950" s="485"/>
      <c r="BL950" s="485"/>
      <c r="BM950" s="485"/>
      <c r="BN950" s="485"/>
      <c r="BO950" s="485"/>
      <c r="BP950" s="485"/>
      <c r="BQ950" s="485"/>
      <c r="BR950" s="485"/>
      <c r="BS950" s="485"/>
      <c r="BT950" s="485"/>
      <c r="BU950" s="485"/>
      <c r="BV950" s="485"/>
      <c r="BW950" s="485"/>
      <c r="BX950" s="485"/>
      <c r="BY950" s="485"/>
      <c r="BZ950" s="485"/>
      <c r="CA950" s="485"/>
      <c r="CB950" s="485"/>
      <c r="CC950" s="485"/>
      <c r="CD950" s="485"/>
      <c r="CE950" s="485"/>
      <c r="CF950" s="485"/>
      <c r="CG950" s="485"/>
      <c r="CH950" s="485"/>
      <c r="CI950" s="485"/>
      <c r="CJ950" s="485"/>
      <c r="CK950" s="485"/>
      <c r="CL950" s="485"/>
      <c r="CM950" s="485"/>
      <c r="CN950" s="485"/>
      <c r="CO950" s="485"/>
      <c r="CP950" s="485"/>
      <c r="CQ950" s="485"/>
      <c r="CR950" s="485"/>
      <c r="CS950" s="485"/>
      <c r="CT950" s="485"/>
      <c r="CU950" s="485"/>
      <c r="CV950" s="485"/>
      <c r="CW950" s="485"/>
      <c r="CX950" s="485"/>
      <c r="CY950" s="485"/>
      <c r="CZ950" s="485"/>
      <c r="DA950" s="485"/>
      <c r="DB950" s="485"/>
      <c r="DC950" s="485"/>
      <c r="DD950" s="485"/>
      <c r="DE950" s="485"/>
      <c r="DF950" s="485"/>
      <c r="DG950" s="485"/>
      <c r="DH950" s="485"/>
      <c r="DI950" s="485"/>
      <c r="DJ950" s="485"/>
      <c r="DK950" s="485"/>
      <c r="DL950" s="485"/>
      <c r="DM950" s="485"/>
      <c r="DN950" s="485"/>
      <c r="DO950" s="485"/>
      <c r="DP950" s="485"/>
      <c r="DQ950" s="485"/>
      <c r="DR950" s="485"/>
      <c r="DS950" s="485"/>
      <c r="DT950" s="485"/>
      <c r="DU950" s="485"/>
      <c r="DV950" s="485"/>
      <c r="DW950" s="485"/>
      <c r="DX950" s="485"/>
      <c r="DY950" s="485"/>
      <c r="DZ950" s="485"/>
      <c r="EA950" s="485"/>
      <c r="EB950" s="485"/>
      <c r="EC950" s="485"/>
      <c r="ED950" s="485"/>
      <c r="EE950" s="485"/>
      <c r="EF950" s="485"/>
      <c r="EG950" s="485"/>
      <c r="EH950" s="485"/>
      <c r="EI950" s="485"/>
      <c r="EJ950" s="485"/>
      <c r="EK950" s="485"/>
      <c r="EL950" s="485"/>
      <c r="EM950" s="485"/>
      <c r="EN950" s="485"/>
      <c r="EO950" s="485"/>
      <c r="EP950" s="485"/>
    </row>
    <row r="951" spans="1:146">
      <c r="A951" s="485"/>
      <c r="B951" s="485"/>
      <c r="C951" s="485"/>
      <c r="D951" s="485"/>
      <c r="E951" s="485"/>
      <c r="F951" s="485"/>
      <c r="G951" s="485"/>
      <c r="H951" s="485"/>
      <c r="I951" s="485"/>
      <c r="J951" s="485"/>
      <c r="K951" s="485"/>
      <c r="L951" s="485"/>
      <c r="M951" s="485"/>
      <c r="P951" s="485"/>
      <c r="Q951" s="485"/>
      <c r="R951" s="485"/>
      <c r="S951" s="485"/>
      <c r="T951" s="485"/>
      <c r="U951" s="485"/>
      <c r="V951" s="485"/>
      <c r="W951" s="485"/>
      <c r="X951" s="485"/>
      <c r="Y951" s="485"/>
      <c r="Z951" s="485"/>
      <c r="AA951" s="485"/>
      <c r="AB951" s="485"/>
      <c r="AC951" s="485"/>
      <c r="AD951" s="485"/>
      <c r="AE951" s="485"/>
      <c r="AF951" s="485"/>
      <c r="AG951" s="485"/>
      <c r="AH951" s="485"/>
      <c r="AI951" s="485"/>
      <c r="AJ951" s="485"/>
      <c r="AK951" s="485"/>
      <c r="AL951" s="485"/>
      <c r="AM951" s="485"/>
      <c r="AN951" s="485"/>
      <c r="AO951" s="485"/>
      <c r="AP951" s="485"/>
      <c r="AQ951" s="485"/>
      <c r="AR951" s="485"/>
      <c r="AS951" s="485"/>
      <c r="AT951" s="485"/>
      <c r="AU951" s="485"/>
      <c r="AV951" s="485"/>
      <c r="AW951" s="485"/>
      <c r="AX951" s="485"/>
      <c r="AY951" s="485"/>
      <c r="AZ951" s="485"/>
      <c r="BA951" s="485"/>
      <c r="BB951" s="485"/>
      <c r="BC951" s="485"/>
      <c r="BD951" s="485"/>
      <c r="BE951" s="485"/>
      <c r="BF951" s="485"/>
      <c r="BG951" s="485"/>
      <c r="BH951" s="485"/>
      <c r="BI951" s="485"/>
      <c r="BJ951" s="485"/>
      <c r="BK951" s="485"/>
      <c r="BL951" s="485"/>
      <c r="BM951" s="485"/>
      <c r="BN951" s="485"/>
      <c r="BO951" s="485"/>
      <c r="BP951" s="485"/>
      <c r="BQ951" s="485"/>
      <c r="BR951" s="485"/>
      <c r="BS951" s="485"/>
      <c r="BT951" s="485"/>
      <c r="BU951" s="485"/>
      <c r="BV951" s="485"/>
      <c r="BW951" s="485"/>
      <c r="BX951" s="485"/>
      <c r="BY951" s="485"/>
      <c r="BZ951" s="485"/>
      <c r="CA951" s="485"/>
      <c r="CB951" s="485"/>
      <c r="CC951" s="485"/>
      <c r="CD951" s="485"/>
      <c r="CE951" s="485"/>
      <c r="CF951" s="485"/>
      <c r="CG951" s="485"/>
      <c r="CH951" s="485"/>
      <c r="CI951" s="485"/>
      <c r="CJ951" s="485"/>
      <c r="CK951" s="485"/>
      <c r="CL951" s="485"/>
      <c r="CM951" s="485"/>
      <c r="CN951" s="485"/>
      <c r="CO951" s="485"/>
      <c r="CP951" s="485"/>
      <c r="CQ951" s="485"/>
      <c r="CR951" s="485"/>
      <c r="CS951" s="485"/>
      <c r="CT951" s="485"/>
      <c r="CU951" s="485"/>
      <c r="CV951" s="485"/>
      <c r="CW951" s="485"/>
      <c r="CX951" s="485"/>
      <c r="CY951" s="485"/>
      <c r="CZ951" s="485"/>
      <c r="DA951" s="485"/>
      <c r="DB951" s="485"/>
      <c r="DC951" s="485"/>
      <c r="DD951" s="485"/>
      <c r="DE951" s="485"/>
      <c r="DF951" s="485"/>
      <c r="DG951" s="485"/>
      <c r="DH951" s="485"/>
      <c r="DI951" s="485"/>
      <c r="DJ951" s="485"/>
      <c r="DK951" s="485"/>
      <c r="DL951" s="485"/>
      <c r="DM951" s="485"/>
      <c r="DN951" s="485"/>
      <c r="DO951" s="485"/>
      <c r="DP951" s="485"/>
      <c r="DQ951" s="485"/>
      <c r="DR951" s="485"/>
      <c r="DS951" s="485"/>
      <c r="DT951" s="485"/>
      <c r="DU951" s="485"/>
      <c r="DV951" s="485"/>
      <c r="DW951" s="485"/>
      <c r="DX951" s="485"/>
      <c r="DY951" s="485"/>
      <c r="DZ951" s="485"/>
      <c r="EA951" s="485"/>
      <c r="EB951" s="485"/>
      <c r="EC951" s="485"/>
      <c r="ED951" s="485"/>
      <c r="EE951" s="485"/>
      <c r="EF951" s="485"/>
      <c r="EG951" s="485"/>
      <c r="EH951" s="485"/>
      <c r="EI951" s="485"/>
      <c r="EJ951" s="485"/>
      <c r="EK951" s="485"/>
      <c r="EL951" s="485"/>
      <c r="EM951" s="485"/>
      <c r="EN951" s="485"/>
      <c r="EO951" s="485"/>
      <c r="EP951" s="485"/>
    </row>
    <row r="952" spans="1:146">
      <c r="A952" s="485"/>
      <c r="B952" s="485"/>
      <c r="C952" s="485"/>
      <c r="D952" s="485"/>
      <c r="E952" s="485"/>
      <c r="F952" s="485"/>
      <c r="G952" s="485"/>
      <c r="H952" s="485"/>
      <c r="I952" s="485"/>
      <c r="J952" s="485"/>
      <c r="K952" s="485"/>
      <c r="L952" s="485"/>
      <c r="M952" s="485"/>
      <c r="P952" s="485"/>
      <c r="Q952" s="485"/>
      <c r="R952" s="485"/>
      <c r="S952" s="485"/>
      <c r="T952" s="485"/>
      <c r="U952" s="485"/>
      <c r="V952" s="485"/>
      <c r="W952" s="485"/>
      <c r="X952" s="485"/>
      <c r="Y952" s="485"/>
      <c r="Z952" s="485"/>
      <c r="AA952" s="485"/>
      <c r="AB952" s="485"/>
      <c r="AC952" s="485"/>
      <c r="AD952" s="485"/>
      <c r="AE952" s="485"/>
      <c r="AF952" s="485"/>
      <c r="AG952" s="485"/>
      <c r="AH952" s="485"/>
      <c r="AI952" s="485"/>
      <c r="AJ952" s="485"/>
      <c r="AK952" s="485"/>
      <c r="AL952" s="485"/>
      <c r="AM952" s="485"/>
      <c r="AN952" s="485"/>
      <c r="AO952" s="485"/>
      <c r="AP952" s="485"/>
      <c r="AQ952" s="485"/>
      <c r="AR952" s="485"/>
      <c r="AS952" s="485"/>
      <c r="AT952" s="485"/>
      <c r="AU952" s="485"/>
      <c r="AV952" s="485"/>
      <c r="AW952" s="485"/>
      <c r="AX952" s="485"/>
      <c r="AY952" s="485"/>
      <c r="AZ952" s="485"/>
      <c r="BA952" s="485"/>
      <c r="BB952" s="485"/>
      <c r="BC952" s="485"/>
      <c r="BD952" s="485"/>
      <c r="BE952" s="485"/>
      <c r="BF952" s="485"/>
      <c r="BG952" s="485"/>
      <c r="BH952" s="485"/>
      <c r="BI952" s="485"/>
      <c r="BJ952" s="485"/>
      <c r="BK952" s="485"/>
      <c r="BL952" s="485"/>
      <c r="BM952" s="485"/>
      <c r="BN952" s="485"/>
      <c r="BO952" s="485"/>
      <c r="BP952" s="485"/>
      <c r="BQ952" s="485"/>
      <c r="BR952" s="485"/>
      <c r="BS952" s="485"/>
      <c r="BT952" s="485"/>
      <c r="BU952" s="485"/>
      <c r="BV952" s="485"/>
      <c r="BW952" s="485"/>
      <c r="BX952" s="485"/>
      <c r="BY952" s="485"/>
      <c r="BZ952" s="485"/>
      <c r="CA952" s="485"/>
      <c r="CB952" s="485"/>
      <c r="CC952" s="485"/>
      <c r="CD952" s="485"/>
      <c r="CE952" s="485"/>
      <c r="CF952" s="485"/>
      <c r="CG952" s="485"/>
      <c r="CH952" s="485"/>
      <c r="CI952" s="485"/>
      <c r="CJ952" s="485"/>
      <c r="CK952" s="485"/>
      <c r="CL952" s="485"/>
      <c r="CM952" s="485"/>
      <c r="CN952" s="485"/>
      <c r="CO952" s="485"/>
      <c r="CP952" s="485"/>
      <c r="CQ952" s="485"/>
      <c r="CR952" s="485"/>
      <c r="CS952" s="485"/>
      <c r="CT952" s="485"/>
      <c r="CU952" s="485"/>
      <c r="CV952" s="485"/>
      <c r="CW952" s="485"/>
      <c r="CX952" s="485"/>
      <c r="CY952" s="485"/>
      <c r="CZ952" s="485"/>
      <c r="DA952" s="485"/>
      <c r="DB952" s="485"/>
      <c r="DC952" s="485"/>
      <c r="DD952" s="485"/>
      <c r="DE952" s="485"/>
      <c r="DF952" s="485"/>
      <c r="DG952" s="485"/>
      <c r="DH952" s="485"/>
      <c r="DI952" s="485"/>
      <c r="DJ952" s="485"/>
      <c r="DK952" s="485"/>
      <c r="DL952" s="485"/>
      <c r="DM952" s="485"/>
      <c r="DN952" s="485"/>
      <c r="DO952" s="485"/>
      <c r="DP952" s="485"/>
      <c r="DQ952" s="485"/>
      <c r="DR952" s="485"/>
      <c r="DS952" s="485"/>
      <c r="DT952" s="485"/>
      <c r="DU952" s="485"/>
      <c r="DV952" s="485"/>
      <c r="DW952" s="485"/>
      <c r="DX952" s="485"/>
      <c r="DY952" s="485"/>
      <c r="DZ952" s="485"/>
      <c r="EA952" s="485"/>
      <c r="EB952" s="485"/>
      <c r="EC952" s="485"/>
      <c r="ED952" s="485"/>
      <c r="EE952" s="485"/>
      <c r="EF952" s="485"/>
      <c r="EG952" s="485"/>
      <c r="EH952" s="485"/>
      <c r="EI952" s="485"/>
      <c r="EJ952" s="485"/>
      <c r="EK952" s="485"/>
      <c r="EL952" s="485"/>
      <c r="EM952" s="485"/>
      <c r="EN952" s="485"/>
      <c r="EO952" s="485"/>
      <c r="EP952" s="485"/>
    </row>
    <row r="953" spans="1:146">
      <c r="A953" s="485"/>
      <c r="B953" s="485"/>
      <c r="C953" s="485"/>
      <c r="D953" s="485"/>
      <c r="E953" s="485"/>
      <c r="F953" s="485"/>
      <c r="G953" s="485"/>
      <c r="H953" s="485"/>
      <c r="I953" s="485"/>
      <c r="J953" s="485"/>
      <c r="K953" s="485"/>
      <c r="L953" s="485"/>
      <c r="M953" s="485"/>
      <c r="P953" s="485"/>
      <c r="Q953" s="485"/>
      <c r="R953" s="485"/>
      <c r="S953" s="485"/>
      <c r="T953" s="485"/>
      <c r="U953" s="485"/>
      <c r="V953" s="485"/>
      <c r="W953" s="485"/>
      <c r="X953" s="485"/>
      <c r="Y953" s="485"/>
      <c r="Z953" s="485"/>
      <c r="AA953" s="485"/>
      <c r="AB953" s="485"/>
      <c r="AC953" s="485"/>
      <c r="AD953" s="485"/>
      <c r="AE953" s="485"/>
      <c r="AF953" s="485"/>
      <c r="AG953" s="485"/>
      <c r="AH953" s="485"/>
      <c r="AI953" s="485"/>
      <c r="AJ953" s="485"/>
      <c r="AK953" s="485"/>
      <c r="AL953" s="485"/>
      <c r="AM953" s="485"/>
      <c r="AN953" s="485"/>
      <c r="AO953" s="485"/>
      <c r="AP953" s="485"/>
      <c r="AQ953" s="485"/>
      <c r="AR953" s="485"/>
      <c r="AS953" s="485"/>
      <c r="AT953" s="485"/>
      <c r="AU953" s="485"/>
      <c r="AV953" s="485"/>
      <c r="AW953" s="485"/>
      <c r="AX953" s="485"/>
      <c r="AY953" s="485"/>
      <c r="AZ953" s="485"/>
      <c r="BA953" s="485"/>
      <c r="BB953" s="485"/>
      <c r="BC953" s="485"/>
      <c r="BD953" s="485"/>
      <c r="BE953" s="485"/>
      <c r="BF953" s="485"/>
      <c r="BG953" s="485"/>
      <c r="BH953" s="485"/>
      <c r="BI953" s="485"/>
      <c r="BJ953" s="485"/>
      <c r="BK953" s="485"/>
      <c r="BL953" s="485"/>
      <c r="BM953" s="485"/>
      <c r="BN953" s="485"/>
      <c r="BO953" s="485"/>
      <c r="BP953" s="485"/>
      <c r="BQ953" s="485"/>
      <c r="BR953" s="485"/>
      <c r="BS953" s="485"/>
      <c r="BT953" s="485"/>
      <c r="BU953" s="485"/>
      <c r="BV953" s="485"/>
      <c r="BW953" s="485"/>
      <c r="BX953" s="485"/>
      <c r="BY953" s="485"/>
      <c r="BZ953" s="485"/>
      <c r="CA953" s="485"/>
      <c r="CB953" s="485"/>
      <c r="CC953" s="485"/>
      <c r="CD953" s="485"/>
      <c r="CE953" s="485"/>
      <c r="CF953" s="485"/>
      <c r="CG953" s="485"/>
      <c r="CH953" s="485"/>
      <c r="CI953" s="485"/>
      <c r="CJ953" s="485"/>
      <c r="CK953" s="485"/>
      <c r="CL953" s="485"/>
      <c r="CM953" s="485"/>
      <c r="CN953" s="485"/>
      <c r="CO953" s="485"/>
      <c r="CP953" s="485"/>
      <c r="CQ953" s="485"/>
      <c r="CR953" s="485"/>
      <c r="CS953" s="485"/>
      <c r="CT953" s="485"/>
      <c r="CU953" s="485"/>
      <c r="CV953" s="485"/>
      <c r="CW953" s="485"/>
      <c r="CX953" s="485"/>
      <c r="CY953" s="485"/>
      <c r="CZ953" s="485"/>
      <c r="DA953" s="485"/>
      <c r="DB953" s="485"/>
      <c r="DC953" s="485"/>
      <c r="DD953" s="485"/>
      <c r="DE953" s="485"/>
      <c r="DF953" s="485"/>
      <c r="DG953" s="485"/>
      <c r="DH953" s="485"/>
      <c r="DI953" s="485"/>
      <c r="DJ953" s="485"/>
      <c r="DK953" s="485"/>
      <c r="DL953" s="485"/>
      <c r="DM953" s="485"/>
      <c r="DN953" s="485"/>
      <c r="DO953" s="485"/>
      <c r="DP953" s="485"/>
      <c r="DQ953" s="485"/>
      <c r="DR953" s="485"/>
      <c r="DS953" s="485"/>
      <c r="DT953" s="485"/>
      <c r="DU953" s="485"/>
      <c r="DV953" s="485"/>
      <c r="DW953" s="485"/>
      <c r="DX953" s="485"/>
      <c r="DY953" s="485"/>
      <c r="DZ953" s="485"/>
      <c r="EA953" s="485"/>
      <c r="EB953" s="485"/>
      <c r="EC953" s="485"/>
      <c r="ED953" s="485"/>
      <c r="EE953" s="485"/>
      <c r="EF953" s="485"/>
      <c r="EG953" s="485"/>
      <c r="EH953" s="485"/>
      <c r="EI953" s="485"/>
      <c r="EJ953" s="485"/>
      <c r="EK953" s="485"/>
      <c r="EL953" s="485"/>
      <c r="EM953" s="485"/>
      <c r="EN953" s="485"/>
      <c r="EO953" s="485"/>
      <c r="EP953" s="485"/>
    </row>
    <row r="954" spans="1:146">
      <c r="A954" s="485"/>
      <c r="B954" s="485"/>
      <c r="C954" s="485"/>
      <c r="D954" s="485"/>
      <c r="E954" s="485"/>
      <c r="F954" s="485"/>
      <c r="G954" s="485"/>
      <c r="H954" s="485"/>
      <c r="I954" s="485"/>
      <c r="J954" s="485"/>
      <c r="K954" s="485"/>
      <c r="L954" s="485"/>
      <c r="M954" s="485"/>
      <c r="P954" s="485"/>
      <c r="Q954" s="485"/>
      <c r="R954" s="485"/>
      <c r="S954" s="485"/>
      <c r="T954" s="485"/>
      <c r="U954" s="485"/>
      <c r="V954" s="485"/>
      <c r="W954" s="485"/>
      <c r="X954" s="485"/>
      <c r="Y954" s="485"/>
      <c r="Z954" s="485"/>
      <c r="AA954" s="485"/>
      <c r="AB954" s="485"/>
      <c r="AC954" s="485"/>
      <c r="AD954" s="485"/>
      <c r="AE954" s="485"/>
      <c r="AF954" s="485"/>
      <c r="AG954" s="485"/>
      <c r="AH954" s="485"/>
      <c r="AI954" s="485"/>
      <c r="AJ954" s="485"/>
      <c r="AK954" s="485"/>
      <c r="AL954" s="485"/>
      <c r="AM954" s="485"/>
      <c r="AN954" s="485"/>
      <c r="AO954" s="485"/>
      <c r="AP954" s="485"/>
      <c r="AQ954" s="485"/>
      <c r="AR954" s="485"/>
      <c r="AS954" s="485"/>
      <c r="AT954" s="485"/>
      <c r="AU954" s="485"/>
      <c r="AV954" s="485"/>
      <c r="AW954" s="485"/>
      <c r="AX954" s="485"/>
      <c r="AY954" s="485"/>
      <c r="AZ954" s="485"/>
      <c r="BA954" s="485"/>
      <c r="BB954" s="485"/>
      <c r="BC954" s="485"/>
      <c r="BD954" s="485"/>
      <c r="BE954" s="485"/>
      <c r="BF954" s="485"/>
      <c r="BG954" s="485"/>
      <c r="BH954" s="485"/>
      <c r="BI954" s="485"/>
      <c r="BJ954" s="485"/>
      <c r="BK954" s="485"/>
      <c r="BL954" s="485"/>
      <c r="BM954" s="485"/>
      <c r="BN954" s="485"/>
      <c r="BO954" s="485"/>
      <c r="BP954" s="485"/>
      <c r="BQ954" s="485"/>
      <c r="BR954" s="485"/>
      <c r="BS954" s="485"/>
      <c r="BT954" s="485"/>
      <c r="BU954" s="485"/>
      <c r="BV954" s="485"/>
      <c r="BW954" s="485"/>
      <c r="BX954" s="485"/>
      <c r="BY954" s="485"/>
      <c r="BZ954" s="485"/>
      <c r="CA954" s="485"/>
      <c r="CB954" s="485"/>
      <c r="CC954" s="485"/>
      <c r="CD954" s="485"/>
      <c r="CE954" s="485"/>
      <c r="CF954" s="485"/>
      <c r="CG954" s="485"/>
      <c r="CH954" s="485"/>
      <c r="CI954" s="485"/>
      <c r="CJ954" s="485"/>
      <c r="CK954" s="485"/>
      <c r="CL954" s="485"/>
      <c r="CM954" s="485"/>
      <c r="CN954" s="485"/>
      <c r="CO954" s="485"/>
      <c r="CP954" s="485"/>
      <c r="CQ954" s="485"/>
      <c r="CR954" s="485"/>
      <c r="CS954" s="485"/>
      <c r="CT954" s="485"/>
      <c r="CU954" s="485"/>
      <c r="CV954" s="485"/>
      <c r="CW954" s="485"/>
      <c r="CX954" s="485"/>
      <c r="CY954" s="485"/>
      <c r="CZ954" s="485"/>
      <c r="DA954" s="485"/>
      <c r="DB954" s="485"/>
      <c r="DC954" s="485"/>
      <c r="DD954" s="485"/>
      <c r="DE954" s="485"/>
      <c r="DF954" s="485"/>
      <c r="DG954" s="485"/>
      <c r="DH954" s="485"/>
      <c r="DI954" s="485"/>
      <c r="DJ954" s="485"/>
      <c r="DK954" s="485"/>
      <c r="DL954" s="485"/>
      <c r="DM954" s="485"/>
      <c r="DN954" s="485"/>
      <c r="DO954" s="485"/>
      <c r="DP954" s="485"/>
      <c r="DQ954" s="485"/>
      <c r="DR954" s="485"/>
      <c r="DS954" s="485"/>
      <c r="DT954" s="485"/>
      <c r="DU954" s="485"/>
      <c r="DV954" s="485"/>
      <c r="DW954" s="485"/>
      <c r="DX954" s="485"/>
      <c r="DY954" s="485"/>
      <c r="DZ954" s="485"/>
      <c r="EA954" s="485"/>
      <c r="EB954" s="485"/>
      <c r="EC954" s="485"/>
      <c r="ED954" s="485"/>
      <c r="EE954" s="485"/>
      <c r="EF954" s="485"/>
      <c r="EG954" s="485"/>
      <c r="EH954" s="485"/>
      <c r="EI954" s="485"/>
      <c r="EJ954" s="485"/>
      <c r="EK954" s="485"/>
      <c r="EL954" s="485"/>
      <c r="EM954" s="485"/>
      <c r="EN954" s="485"/>
      <c r="EO954" s="485"/>
      <c r="EP954" s="485"/>
    </row>
    <row r="955" spans="1:146">
      <c r="A955" s="485"/>
      <c r="B955" s="485"/>
      <c r="C955" s="485"/>
      <c r="D955" s="485"/>
      <c r="E955" s="485"/>
      <c r="F955" s="485"/>
      <c r="G955" s="485"/>
      <c r="H955" s="485"/>
      <c r="I955" s="485"/>
      <c r="J955" s="485"/>
      <c r="K955" s="485"/>
      <c r="L955" s="485"/>
      <c r="M955" s="485"/>
      <c r="P955" s="485"/>
      <c r="Q955" s="485"/>
      <c r="R955" s="485"/>
      <c r="S955" s="485"/>
      <c r="T955" s="485"/>
      <c r="U955" s="485"/>
      <c r="V955" s="485"/>
      <c r="W955" s="485"/>
      <c r="X955" s="485"/>
      <c r="Y955" s="485"/>
      <c r="Z955" s="485"/>
      <c r="AA955" s="485"/>
      <c r="AB955" s="485"/>
      <c r="AC955" s="485"/>
      <c r="AD955" s="485"/>
      <c r="AE955" s="485"/>
      <c r="AF955" s="485"/>
      <c r="AG955" s="485"/>
      <c r="AH955" s="485"/>
      <c r="AI955" s="485"/>
      <c r="AJ955" s="485"/>
      <c r="AK955" s="485"/>
      <c r="AL955" s="485"/>
      <c r="AM955" s="485"/>
      <c r="AN955" s="485"/>
      <c r="AO955" s="485"/>
      <c r="AP955" s="485"/>
      <c r="AQ955" s="485"/>
      <c r="AR955" s="485"/>
      <c r="AS955" s="485"/>
      <c r="AT955" s="485"/>
      <c r="AU955" s="485"/>
      <c r="AV955" s="485"/>
      <c r="AW955" s="485"/>
      <c r="AX955" s="485"/>
      <c r="AY955" s="485"/>
      <c r="AZ955" s="485"/>
      <c r="BA955" s="485"/>
      <c r="BB955" s="485"/>
      <c r="BC955" s="485"/>
      <c r="BD955" s="485"/>
      <c r="BE955" s="485"/>
      <c r="BF955" s="485"/>
      <c r="BG955" s="485"/>
      <c r="BH955" s="485"/>
      <c r="BI955" s="485"/>
      <c r="BJ955" s="485"/>
      <c r="BK955" s="485"/>
      <c r="BL955" s="485"/>
      <c r="BM955" s="485"/>
      <c r="BN955" s="485"/>
      <c r="BO955" s="485"/>
      <c r="BP955" s="485"/>
      <c r="BQ955" s="485"/>
      <c r="BR955" s="485"/>
      <c r="BS955" s="485"/>
      <c r="BT955" s="485"/>
      <c r="BU955" s="485"/>
      <c r="BV955" s="485"/>
      <c r="BW955" s="485"/>
      <c r="BX955" s="485"/>
      <c r="BY955" s="485"/>
      <c r="BZ955" s="485"/>
      <c r="CA955" s="485"/>
      <c r="CB955" s="485"/>
      <c r="CC955" s="485"/>
      <c r="CD955" s="485"/>
      <c r="CE955" s="485"/>
      <c r="CF955" s="485"/>
      <c r="CG955" s="485"/>
      <c r="CH955" s="485"/>
      <c r="CI955" s="485"/>
      <c r="CJ955" s="485"/>
      <c r="CK955" s="485"/>
      <c r="CL955" s="485"/>
      <c r="CM955" s="485"/>
      <c r="CN955" s="485"/>
      <c r="CO955" s="485"/>
      <c r="CP955" s="485"/>
      <c r="CQ955" s="485"/>
      <c r="CR955" s="485"/>
      <c r="CS955" s="485"/>
      <c r="CT955" s="485"/>
      <c r="CU955" s="485"/>
      <c r="CV955" s="485"/>
      <c r="CW955" s="485"/>
      <c r="CX955" s="485"/>
      <c r="CY955" s="485"/>
      <c r="CZ955" s="485"/>
      <c r="DA955" s="485"/>
      <c r="DB955" s="485"/>
      <c r="DC955" s="485"/>
      <c r="DD955" s="485"/>
      <c r="DE955" s="485"/>
      <c r="DF955" s="485"/>
      <c r="DG955" s="485"/>
      <c r="DH955" s="485"/>
      <c r="DI955" s="485"/>
      <c r="DJ955" s="485"/>
      <c r="DK955" s="485"/>
      <c r="DL955" s="485"/>
      <c r="DM955" s="485"/>
      <c r="DN955" s="485"/>
      <c r="DO955" s="485"/>
      <c r="DP955" s="485"/>
      <c r="DQ955" s="485"/>
      <c r="DR955" s="485"/>
      <c r="DS955" s="485"/>
      <c r="DT955" s="485"/>
      <c r="DU955" s="485"/>
      <c r="DV955" s="485"/>
      <c r="DW955" s="485"/>
      <c r="DX955" s="485"/>
      <c r="DY955" s="485"/>
      <c r="DZ955" s="485"/>
      <c r="EA955" s="485"/>
      <c r="EB955" s="485"/>
      <c r="EC955" s="485"/>
      <c r="ED955" s="485"/>
      <c r="EE955" s="485"/>
      <c r="EF955" s="485"/>
      <c r="EG955" s="485"/>
      <c r="EH955" s="485"/>
      <c r="EI955" s="485"/>
      <c r="EJ955" s="485"/>
      <c r="EK955" s="485"/>
      <c r="EL955" s="485"/>
      <c r="EM955" s="485"/>
      <c r="EN955" s="485"/>
      <c r="EO955" s="485"/>
      <c r="EP955" s="485"/>
    </row>
    <row r="956" spans="1:146">
      <c r="A956" s="485"/>
      <c r="B956" s="485"/>
      <c r="C956" s="485"/>
      <c r="D956" s="485"/>
      <c r="E956" s="485"/>
      <c r="F956" s="485"/>
      <c r="G956" s="485"/>
      <c r="H956" s="485"/>
      <c r="I956" s="485"/>
      <c r="J956" s="485"/>
      <c r="K956" s="485"/>
      <c r="L956" s="485"/>
      <c r="M956" s="485"/>
      <c r="P956" s="485"/>
      <c r="Q956" s="485"/>
      <c r="R956" s="485"/>
      <c r="S956" s="485"/>
      <c r="T956" s="485"/>
      <c r="U956" s="485"/>
      <c r="V956" s="485"/>
      <c r="W956" s="485"/>
      <c r="X956" s="485"/>
      <c r="Y956" s="485"/>
      <c r="Z956" s="485"/>
      <c r="AA956" s="485"/>
      <c r="AB956" s="485"/>
      <c r="AC956" s="485"/>
      <c r="AD956" s="485"/>
      <c r="AE956" s="485"/>
      <c r="AF956" s="485"/>
      <c r="AG956" s="485"/>
      <c r="AH956" s="485"/>
      <c r="AI956" s="485"/>
      <c r="AJ956" s="485"/>
      <c r="AK956" s="485"/>
      <c r="AL956" s="485"/>
      <c r="AM956" s="485"/>
      <c r="AN956" s="485"/>
      <c r="AO956" s="485"/>
      <c r="AP956" s="485"/>
      <c r="AQ956" s="485"/>
      <c r="AR956" s="485"/>
      <c r="AS956" s="485"/>
      <c r="AT956" s="485"/>
      <c r="AU956" s="485"/>
      <c r="AV956" s="485"/>
      <c r="AW956" s="485"/>
      <c r="AX956" s="485"/>
      <c r="AY956" s="485"/>
      <c r="AZ956" s="485"/>
      <c r="BA956" s="485"/>
      <c r="BB956" s="485"/>
      <c r="BC956" s="485"/>
      <c r="BD956" s="485"/>
      <c r="BE956" s="485"/>
      <c r="BF956" s="485"/>
      <c r="BG956" s="485"/>
      <c r="BH956" s="485"/>
      <c r="BI956" s="485"/>
      <c r="BJ956" s="485"/>
      <c r="BK956" s="485"/>
      <c r="BL956" s="485"/>
      <c r="BM956" s="485"/>
      <c r="BN956" s="485"/>
      <c r="BO956" s="485"/>
      <c r="BP956" s="485"/>
      <c r="BQ956" s="485"/>
      <c r="BR956" s="485"/>
      <c r="BS956" s="485"/>
      <c r="BT956" s="485"/>
      <c r="BU956" s="485"/>
      <c r="BV956" s="485"/>
      <c r="BW956" s="485"/>
      <c r="BX956" s="485"/>
      <c r="BY956" s="485"/>
      <c r="BZ956" s="485"/>
      <c r="CA956" s="485"/>
      <c r="CB956" s="485"/>
      <c r="CC956" s="485"/>
      <c r="CD956" s="485"/>
      <c r="CE956" s="485"/>
      <c r="CF956" s="485"/>
      <c r="CG956" s="485"/>
      <c r="CH956" s="485"/>
      <c r="CI956" s="485"/>
      <c r="CJ956" s="485"/>
      <c r="CK956" s="485"/>
      <c r="CL956" s="485"/>
      <c r="CM956" s="485"/>
      <c r="CN956" s="485"/>
      <c r="CO956" s="485"/>
      <c r="CP956" s="485"/>
      <c r="CQ956" s="485"/>
      <c r="CR956" s="485"/>
      <c r="CS956" s="485"/>
      <c r="CT956" s="485"/>
      <c r="CU956" s="485"/>
      <c r="CV956" s="485"/>
      <c r="CW956" s="485"/>
      <c r="CX956" s="485"/>
      <c r="CY956" s="485"/>
      <c r="CZ956" s="485"/>
      <c r="DA956" s="485"/>
      <c r="DB956" s="485"/>
      <c r="DC956" s="485"/>
      <c r="DD956" s="485"/>
      <c r="DE956" s="485"/>
      <c r="DF956" s="485"/>
      <c r="DG956" s="485"/>
      <c r="DH956" s="485"/>
      <c r="DI956" s="485"/>
      <c r="DJ956" s="485"/>
      <c r="DK956" s="485"/>
      <c r="DL956" s="485"/>
      <c r="DM956" s="485"/>
      <c r="DN956" s="485"/>
      <c r="DO956" s="485"/>
      <c r="DP956" s="485"/>
      <c r="DQ956" s="485"/>
      <c r="DR956" s="485"/>
      <c r="DS956" s="485"/>
      <c r="DT956" s="485"/>
      <c r="DU956" s="485"/>
      <c r="DV956" s="485"/>
      <c r="DW956" s="485"/>
      <c r="DX956" s="485"/>
      <c r="DY956" s="485"/>
      <c r="DZ956" s="485"/>
      <c r="EA956" s="485"/>
      <c r="EB956" s="485"/>
      <c r="EC956" s="485"/>
      <c r="ED956" s="485"/>
      <c r="EE956" s="485"/>
      <c r="EF956" s="485"/>
      <c r="EG956" s="485"/>
      <c r="EH956" s="485"/>
      <c r="EI956" s="485"/>
      <c r="EJ956" s="485"/>
      <c r="EK956" s="485"/>
      <c r="EL956" s="485"/>
      <c r="EM956" s="485"/>
      <c r="EN956" s="485"/>
      <c r="EO956" s="485"/>
      <c r="EP956" s="485"/>
    </row>
    <row r="957" spans="1:146">
      <c r="A957" s="485"/>
      <c r="B957" s="485"/>
      <c r="C957" s="485"/>
      <c r="D957" s="485"/>
      <c r="E957" s="485"/>
      <c r="F957" s="485"/>
      <c r="G957" s="485"/>
      <c r="H957" s="485"/>
      <c r="I957" s="485"/>
      <c r="J957" s="485"/>
      <c r="K957" s="485"/>
      <c r="L957" s="485"/>
      <c r="M957" s="485"/>
      <c r="P957" s="485"/>
      <c r="Q957" s="485"/>
      <c r="R957" s="485"/>
      <c r="S957" s="485"/>
      <c r="T957" s="485"/>
      <c r="U957" s="485"/>
      <c r="V957" s="485"/>
      <c r="W957" s="485"/>
      <c r="X957" s="485"/>
      <c r="Y957" s="485"/>
      <c r="Z957" s="485"/>
      <c r="AA957" s="485"/>
      <c r="AB957" s="485"/>
      <c r="AC957" s="485"/>
      <c r="AD957" s="485"/>
      <c r="AE957" s="485"/>
      <c r="AF957" s="485"/>
      <c r="AG957" s="485"/>
      <c r="AH957" s="485"/>
      <c r="AI957" s="485"/>
      <c r="AJ957" s="485"/>
      <c r="AK957" s="485"/>
      <c r="AL957" s="485"/>
      <c r="AM957" s="485"/>
      <c r="AN957" s="485"/>
      <c r="AO957" s="485"/>
      <c r="AP957" s="485"/>
      <c r="AQ957" s="485"/>
      <c r="AR957" s="485"/>
      <c r="AS957" s="485"/>
      <c r="AT957" s="485"/>
      <c r="AU957" s="485"/>
      <c r="AV957" s="485"/>
      <c r="AW957" s="485"/>
      <c r="AX957" s="485"/>
      <c r="AY957" s="485"/>
      <c r="AZ957" s="485"/>
      <c r="BA957" s="485"/>
      <c r="BB957" s="485"/>
      <c r="BC957" s="485"/>
      <c r="BD957" s="485"/>
      <c r="BE957" s="485"/>
      <c r="BF957" s="485"/>
      <c r="BG957" s="485"/>
      <c r="BH957" s="485"/>
      <c r="BI957" s="485"/>
      <c r="BJ957" s="485"/>
      <c r="BK957" s="485"/>
      <c r="BL957" s="485"/>
      <c r="BM957" s="485"/>
      <c r="BN957" s="485"/>
      <c r="BO957" s="485"/>
      <c r="BP957" s="485"/>
      <c r="BQ957" s="485"/>
      <c r="BR957" s="485"/>
      <c r="BS957" s="485"/>
      <c r="BT957" s="485"/>
      <c r="BU957" s="485"/>
      <c r="BV957" s="485"/>
      <c r="BW957" s="485"/>
      <c r="BX957" s="485"/>
      <c r="BY957" s="485"/>
      <c r="BZ957" s="485"/>
      <c r="CA957" s="485"/>
      <c r="CB957" s="485"/>
      <c r="CC957" s="485"/>
      <c r="CD957" s="485"/>
      <c r="CE957" s="485"/>
      <c r="CF957" s="485"/>
      <c r="CG957" s="485"/>
      <c r="CH957" s="485"/>
      <c r="CI957" s="485"/>
      <c r="CJ957" s="485"/>
      <c r="CK957" s="485"/>
      <c r="CL957" s="485"/>
      <c r="CM957" s="485"/>
      <c r="CN957" s="485"/>
      <c r="CO957" s="485"/>
      <c r="CP957" s="485"/>
      <c r="CQ957" s="485"/>
      <c r="CR957" s="485"/>
      <c r="CS957" s="485"/>
      <c r="CT957" s="485"/>
      <c r="CU957" s="485"/>
      <c r="CV957" s="485"/>
      <c r="CW957" s="485"/>
      <c r="CX957" s="485"/>
      <c r="CY957" s="485"/>
      <c r="CZ957" s="485"/>
      <c r="DA957" s="485"/>
      <c r="DB957" s="485"/>
      <c r="DC957" s="485"/>
      <c r="DD957" s="485"/>
      <c r="DE957" s="485"/>
      <c r="DF957" s="485"/>
      <c r="DG957" s="485"/>
      <c r="DH957" s="485"/>
      <c r="DI957" s="485"/>
      <c r="DJ957" s="485"/>
      <c r="DK957" s="485"/>
      <c r="DL957" s="485"/>
      <c r="DM957" s="485"/>
      <c r="DN957" s="485"/>
      <c r="DO957" s="485"/>
      <c r="DP957" s="485"/>
      <c r="DQ957" s="485"/>
      <c r="DR957" s="485"/>
      <c r="DS957" s="485"/>
      <c r="DT957" s="485"/>
      <c r="DU957" s="485"/>
      <c r="DV957" s="485"/>
      <c r="DW957" s="485"/>
      <c r="DX957" s="485"/>
      <c r="DY957" s="485"/>
      <c r="DZ957" s="485"/>
      <c r="EA957" s="485"/>
      <c r="EB957" s="485"/>
      <c r="EC957" s="485"/>
      <c r="ED957" s="485"/>
      <c r="EE957" s="485"/>
      <c r="EF957" s="485"/>
      <c r="EG957" s="485"/>
      <c r="EH957" s="485"/>
      <c r="EI957" s="485"/>
      <c r="EJ957" s="485"/>
      <c r="EK957" s="485"/>
      <c r="EL957" s="485"/>
      <c r="EM957" s="485"/>
      <c r="EN957" s="485"/>
      <c r="EO957" s="485"/>
      <c r="EP957" s="485"/>
    </row>
    <row r="958" spans="1:146">
      <c r="A958" s="485"/>
      <c r="B958" s="485"/>
      <c r="C958" s="485"/>
      <c r="D958" s="485"/>
      <c r="E958" s="485"/>
      <c r="F958" s="485"/>
      <c r="G958" s="485"/>
      <c r="H958" s="485"/>
      <c r="I958" s="485"/>
      <c r="J958" s="485"/>
      <c r="K958" s="485"/>
      <c r="L958" s="485"/>
      <c r="M958" s="485"/>
      <c r="P958" s="485"/>
      <c r="Q958" s="485"/>
      <c r="R958" s="485"/>
      <c r="S958" s="485"/>
      <c r="T958" s="485"/>
      <c r="U958" s="485"/>
      <c r="V958" s="485"/>
      <c r="W958" s="485"/>
      <c r="X958" s="485"/>
      <c r="Y958" s="485"/>
      <c r="Z958" s="485"/>
      <c r="AA958" s="485"/>
      <c r="AB958" s="485"/>
      <c r="AC958" s="485"/>
      <c r="AD958" s="485"/>
      <c r="AE958" s="485"/>
      <c r="AF958" s="485"/>
      <c r="AG958" s="485"/>
      <c r="AH958" s="485"/>
      <c r="AI958" s="485"/>
      <c r="AJ958" s="485"/>
      <c r="AK958" s="485"/>
      <c r="AL958" s="485"/>
      <c r="AM958" s="485"/>
      <c r="AN958" s="485"/>
      <c r="AO958" s="485"/>
      <c r="AP958" s="485"/>
      <c r="AQ958" s="485"/>
      <c r="AR958" s="485"/>
      <c r="AS958" s="485"/>
      <c r="AT958" s="485"/>
      <c r="AU958" s="485"/>
      <c r="AV958" s="485"/>
      <c r="AW958" s="485"/>
      <c r="AX958" s="485"/>
      <c r="AY958" s="485"/>
      <c r="AZ958" s="485"/>
      <c r="BA958" s="485"/>
      <c r="BB958" s="485"/>
      <c r="BC958" s="485"/>
      <c r="BD958" s="485"/>
      <c r="BE958" s="485"/>
      <c r="BF958" s="485"/>
      <c r="BG958" s="485"/>
      <c r="BH958" s="485"/>
      <c r="BI958" s="485"/>
      <c r="BJ958" s="485"/>
      <c r="BK958" s="485"/>
      <c r="BL958" s="485"/>
      <c r="BM958" s="485"/>
      <c r="BN958" s="485"/>
      <c r="BO958" s="485"/>
      <c r="BP958" s="485"/>
      <c r="BQ958" s="485"/>
      <c r="BR958" s="485"/>
      <c r="BS958" s="485"/>
      <c r="BT958" s="485"/>
      <c r="BU958" s="485"/>
      <c r="BV958" s="485"/>
      <c r="BW958" s="485"/>
      <c r="BX958" s="485"/>
      <c r="BY958" s="485"/>
      <c r="BZ958" s="485"/>
      <c r="CA958" s="485"/>
      <c r="CB958" s="485"/>
      <c r="CC958" s="485"/>
      <c r="CD958" s="485"/>
      <c r="CE958" s="485"/>
      <c r="CF958" s="485"/>
      <c r="CG958" s="485"/>
      <c r="CH958" s="485"/>
      <c r="CI958" s="485"/>
      <c r="CJ958" s="485"/>
      <c r="CK958" s="485"/>
      <c r="CL958" s="485"/>
      <c r="CM958" s="485"/>
      <c r="CN958" s="485"/>
      <c r="CO958" s="485"/>
      <c r="CP958" s="485"/>
      <c r="CQ958" s="485"/>
      <c r="CR958" s="485"/>
      <c r="CS958" s="485"/>
      <c r="CT958" s="485"/>
      <c r="CU958" s="485"/>
      <c r="CV958" s="485"/>
      <c r="CW958" s="485"/>
      <c r="CX958" s="485"/>
      <c r="CY958" s="485"/>
      <c r="CZ958" s="485"/>
      <c r="DA958" s="485"/>
      <c r="DB958" s="485"/>
      <c r="DC958" s="485"/>
      <c r="DD958" s="485"/>
      <c r="DE958" s="485"/>
      <c r="DF958" s="485"/>
      <c r="DG958" s="485"/>
      <c r="DH958" s="485"/>
      <c r="DI958" s="485"/>
      <c r="DJ958" s="485"/>
      <c r="DK958" s="485"/>
      <c r="DL958" s="485"/>
      <c r="DM958" s="485"/>
      <c r="DN958" s="485"/>
      <c r="DO958" s="485"/>
      <c r="DP958" s="485"/>
      <c r="DQ958" s="485"/>
      <c r="DR958" s="485"/>
      <c r="DS958" s="485"/>
      <c r="DT958" s="485"/>
      <c r="DU958" s="485"/>
      <c r="DV958" s="485"/>
      <c r="DW958" s="485"/>
      <c r="DX958" s="485"/>
      <c r="DY958" s="485"/>
      <c r="DZ958" s="485"/>
      <c r="EA958" s="485"/>
      <c r="EB958" s="485"/>
      <c r="EC958" s="485"/>
      <c r="ED958" s="485"/>
      <c r="EE958" s="485"/>
      <c r="EF958" s="485"/>
      <c r="EG958" s="485"/>
      <c r="EH958" s="485"/>
      <c r="EI958" s="485"/>
      <c r="EJ958" s="485"/>
      <c r="EK958" s="485"/>
      <c r="EL958" s="485"/>
      <c r="EM958" s="485"/>
      <c r="EN958" s="485"/>
      <c r="EO958" s="485"/>
      <c r="EP958" s="485"/>
    </row>
    <row r="959" spans="1:146">
      <c r="A959" s="485"/>
      <c r="B959" s="485"/>
      <c r="C959" s="485"/>
      <c r="D959" s="485"/>
      <c r="E959" s="485"/>
      <c r="F959" s="485"/>
      <c r="G959" s="485"/>
      <c r="H959" s="485"/>
      <c r="I959" s="485"/>
      <c r="J959" s="485"/>
      <c r="K959" s="485"/>
      <c r="L959" s="485"/>
      <c r="M959" s="485"/>
      <c r="P959" s="485"/>
      <c r="Q959" s="485"/>
      <c r="R959" s="485"/>
      <c r="S959" s="485"/>
      <c r="T959" s="485"/>
      <c r="U959" s="485"/>
      <c r="V959" s="485"/>
      <c r="W959" s="485"/>
      <c r="X959" s="485"/>
      <c r="Y959" s="485"/>
      <c r="Z959" s="485"/>
      <c r="AA959" s="485"/>
      <c r="AB959" s="485"/>
      <c r="AC959" s="485"/>
      <c r="AD959" s="485"/>
      <c r="AE959" s="485"/>
      <c r="AF959" s="485"/>
      <c r="AG959" s="485"/>
      <c r="AH959" s="485"/>
      <c r="AI959" s="485"/>
      <c r="AJ959" s="485"/>
      <c r="AK959" s="485"/>
      <c r="AL959" s="485"/>
      <c r="AM959" s="485"/>
      <c r="AN959" s="485"/>
      <c r="AO959" s="485"/>
      <c r="AP959" s="485"/>
      <c r="AQ959" s="485"/>
      <c r="AR959" s="485"/>
      <c r="AS959" s="485"/>
      <c r="AT959" s="485"/>
      <c r="AU959" s="485"/>
      <c r="AV959" s="485"/>
      <c r="AW959" s="485"/>
      <c r="AX959" s="485"/>
      <c r="AY959" s="485"/>
      <c r="AZ959" s="485"/>
      <c r="BA959" s="485"/>
      <c r="BB959" s="485"/>
      <c r="BC959" s="485"/>
      <c r="BD959" s="485"/>
      <c r="BE959" s="485"/>
      <c r="BF959" s="485"/>
      <c r="BG959" s="485"/>
      <c r="BH959" s="485"/>
      <c r="BI959" s="485"/>
      <c r="BJ959" s="485"/>
      <c r="BK959" s="485"/>
      <c r="BL959" s="485"/>
      <c r="BM959" s="485"/>
      <c r="BN959" s="485"/>
      <c r="BO959" s="485"/>
      <c r="BP959" s="485"/>
      <c r="BQ959" s="485"/>
      <c r="BR959" s="485"/>
      <c r="BS959" s="485"/>
      <c r="BT959" s="485"/>
      <c r="BU959" s="485"/>
      <c r="BV959" s="485"/>
      <c r="BW959" s="485"/>
      <c r="BX959" s="485"/>
      <c r="BY959" s="485"/>
      <c r="BZ959" s="485"/>
      <c r="CA959" s="485"/>
      <c r="CB959" s="485"/>
      <c r="CC959" s="485"/>
      <c r="CD959" s="485"/>
      <c r="CE959" s="485"/>
      <c r="CF959" s="485"/>
      <c r="CG959" s="485"/>
      <c r="CH959" s="485"/>
      <c r="CI959" s="485"/>
      <c r="CJ959" s="485"/>
      <c r="CK959" s="485"/>
      <c r="CL959" s="485"/>
      <c r="CM959" s="485"/>
      <c r="CN959" s="485"/>
      <c r="CO959" s="485"/>
      <c r="CP959" s="485"/>
      <c r="CQ959" s="485"/>
      <c r="CR959" s="485"/>
      <c r="CS959" s="485"/>
      <c r="CT959" s="485"/>
      <c r="CU959" s="485"/>
      <c r="CV959" s="485"/>
      <c r="CW959" s="485"/>
      <c r="CX959" s="485"/>
      <c r="CY959" s="485"/>
      <c r="CZ959" s="485"/>
      <c r="DA959" s="485"/>
      <c r="DB959" s="485"/>
      <c r="DC959" s="485"/>
      <c r="DD959" s="485"/>
      <c r="DE959" s="485"/>
      <c r="DF959" s="485"/>
      <c r="DG959" s="485"/>
      <c r="DH959" s="485"/>
      <c r="DI959" s="485"/>
      <c r="DJ959" s="485"/>
      <c r="DK959" s="485"/>
      <c r="DL959" s="485"/>
      <c r="DM959" s="485"/>
      <c r="DN959" s="485"/>
      <c r="DO959" s="485"/>
      <c r="DP959" s="485"/>
      <c r="DQ959" s="485"/>
      <c r="DR959" s="485"/>
      <c r="DS959" s="485"/>
      <c r="DT959" s="485"/>
      <c r="DU959" s="485"/>
      <c r="DV959" s="485"/>
      <c r="DW959" s="485"/>
      <c r="DX959" s="485"/>
      <c r="DY959" s="485"/>
      <c r="DZ959" s="485"/>
      <c r="EA959" s="485"/>
      <c r="EB959" s="485"/>
      <c r="EC959" s="485"/>
      <c r="ED959" s="485"/>
      <c r="EE959" s="485"/>
      <c r="EF959" s="485"/>
      <c r="EG959" s="485"/>
      <c r="EH959" s="485"/>
      <c r="EI959" s="485"/>
      <c r="EJ959" s="485"/>
      <c r="EK959" s="485"/>
      <c r="EL959" s="485"/>
      <c r="EM959" s="485"/>
      <c r="EN959" s="485"/>
      <c r="EO959" s="485"/>
      <c r="EP959" s="485"/>
    </row>
    <row r="960" spans="1:146">
      <c r="A960" s="485"/>
      <c r="B960" s="485"/>
      <c r="C960" s="485"/>
      <c r="D960" s="485"/>
      <c r="E960" s="485"/>
      <c r="F960" s="485"/>
      <c r="G960" s="485"/>
      <c r="H960" s="485"/>
      <c r="I960" s="485"/>
      <c r="J960" s="485"/>
      <c r="K960" s="485"/>
      <c r="L960" s="485"/>
      <c r="M960" s="485"/>
      <c r="P960" s="485"/>
      <c r="Q960" s="485"/>
      <c r="R960" s="485"/>
      <c r="S960" s="485"/>
      <c r="T960" s="485"/>
      <c r="U960" s="485"/>
      <c r="V960" s="485"/>
      <c r="W960" s="485"/>
      <c r="X960" s="485"/>
      <c r="Y960" s="485"/>
      <c r="Z960" s="485"/>
      <c r="AA960" s="485"/>
      <c r="AB960" s="485"/>
      <c r="AC960" s="485"/>
      <c r="AD960" s="485"/>
      <c r="AE960" s="485"/>
      <c r="AF960" s="485"/>
      <c r="AG960" s="485"/>
      <c r="AH960" s="485"/>
      <c r="AI960" s="485"/>
      <c r="AJ960" s="485"/>
      <c r="AK960" s="485"/>
      <c r="AL960" s="485"/>
      <c r="AM960" s="485"/>
      <c r="AN960" s="485"/>
      <c r="AO960" s="485"/>
      <c r="AP960" s="485"/>
      <c r="AQ960" s="485"/>
      <c r="AR960" s="485"/>
      <c r="AS960" s="485"/>
      <c r="AT960" s="485"/>
      <c r="AU960" s="485"/>
      <c r="AV960" s="485"/>
      <c r="AW960" s="485"/>
      <c r="AX960" s="485"/>
      <c r="AY960" s="485"/>
      <c r="AZ960" s="485"/>
      <c r="BA960" s="485"/>
      <c r="BB960" s="485"/>
      <c r="BC960" s="485"/>
      <c r="BD960" s="485"/>
      <c r="BE960" s="485"/>
      <c r="BF960" s="485"/>
      <c r="BG960" s="485"/>
      <c r="BH960" s="485"/>
      <c r="BI960" s="485"/>
      <c r="BJ960" s="485"/>
      <c r="BK960" s="485"/>
      <c r="BL960" s="485"/>
      <c r="BM960" s="485"/>
      <c r="BN960" s="485"/>
      <c r="BO960" s="485"/>
      <c r="BP960" s="485"/>
      <c r="BQ960" s="485"/>
      <c r="BR960" s="485"/>
      <c r="BS960" s="485"/>
      <c r="BT960" s="485"/>
      <c r="BU960" s="485"/>
      <c r="BV960" s="485"/>
      <c r="BW960" s="485"/>
      <c r="BX960" s="485"/>
      <c r="BY960" s="485"/>
      <c r="BZ960" s="485"/>
      <c r="CA960" s="485"/>
      <c r="CB960" s="485"/>
      <c r="CC960" s="485"/>
      <c r="CD960" s="485"/>
      <c r="CE960" s="485"/>
      <c r="CF960" s="485"/>
      <c r="CG960" s="485"/>
      <c r="CH960" s="485"/>
      <c r="CI960" s="485"/>
      <c r="CJ960" s="485"/>
      <c r="CK960" s="485"/>
      <c r="CL960" s="485"/>
      <c r="CM960" s="485"/>
      <c r="CN960" s="485"/>
      <c r="CO960" s="485"/>
      <c r="CP960" s="485"/>
      <c r="CQ960" s="485"/>
      <c r="CR960" s="485"/>
      <c r="CS960" s="485"/>
      <c r="CT960" s="485"/>
      <c r="CU960" s="485"/>
      <c r="CV960" s="485"/>
      <c r="CW960" s="485"/>
      <c r="CX960" s="485"/>
      <c r="CY960" s="485"/>
      <c r="CZ960" s="485"/>
      <c r="DA960" s="485"/>
      <c r="DB960" s="485"/>
      <c r="DC960" s="485"/>
      <c r="DD960" s="485"/>
      <c r="DE960" s="485"/>
      <c r="DF960" s="485"/>
      <c r="DG960" s="485"/>
      <c r="DH960" s="485"/>
      <c r="DI960" s="485"/>
      <c r="DJ960" s="485"/>
      <c r="DK960" s="485"/>
      <c r="DL960" s="485"/>
      <c r="DM960" s="485"/>
      <c r="DN960" s="485"/>
      <c r="DO960" s="485"/>
      <c r="DP960" s="485"/>
      <c r="DQ960" s="485"/>
      <c r="DR960" s="485"/>
      <c r="DS960" s="485"/>
      <c r="DT960" s="485"/>
      <c r="DU960" s="485"/>
      <c r="DV960" s="485"/>
      <c r="DW960" s="485"/>
      <c r="DX960" s="485"/>
      <c r="DY960" s="485"/>
      <c r="DZ960" s="485"/>
      <c r="EA960" s="485"/>
      <c r="EB960" s="485"/>
      <c r="EC960" s="485"/>
      <c r="ED960" s="485"/>
      <c r="EE960" s="485"/>
      <c r="EF960" s="485"/>
      <c r="EG960" s="485"/>
      <c r="EH960" s="485"/>
      <c r="EI960" s="485"/>
      <c r="EJ960" s="485"/>
      <c r="EK960" s="485"/>
      <c r="EL960" s="485"/>
      <c r="EM960" s="485"/>
      <c r="EN960" s="485"/>
      <c r="EO960" s="485"/>
      <c r="EP960" s="485"/>
    </row>
    <row r="961" spans="1:146">
      <c r="A961" s="485"/>
      <c r="B961" s="485"/>
      <c r="C961" s="485"/>
      <c r="D961" s="485"/>
      <c r="E961" s="485"/>
      <c r="F961" s="485"/>
      <c r="G961" s="485"/>
      <c r="H961" s="485"/>
      <c r="I961" s="485"/>
      <c r="J961" s="485"/>
      <c r="K961" s="485"/>
      <c r="L961" s="485"/>
      <c r="M961" s="485"/>
      <c r="P961" s="485"/>
      <c r="Q961" s="485"/>
      <c r="R961" s="485"/>
      <c r="S961" s="485"/>
      <c r="T961" s="485"/>
      <c r="U961" s="485"/>
      <c r="V961" s="485"/>
      <c r="W961" s="485"/>
      <c r="X961" s="485"/>
      <c r="Y961" s="485"/>
      <c r="Z961" s="485"/>
      <c r="AA961" s="485"/>
      <c r="AB961" s="485"/>
      <c r="AC961" s="485"/>
      <c r="AD961" s="485"/>
      <c r="AE961" s="485"/>
      <c r="AF961" s="485"/>
      <c r="AG961" s="485"/>
      <c r="AH961" s="485"/>
      <c r="AI961" s="485"/>
      <c r="AJ961" s="485"/>
      <c r="AK961" s="485"/>
      <c r="AL961" s="485"/>
      <c r="AM961" s="485"/>
      <c r="AN961" s="485"/>
      <c r="AO961" s="485"/>
      <c r="AP961" s="485"/>
      <c r="AQ961" s="485"/>
      <c r="AR961" s="485"/>
      <c r="AS961" s="485"/>
      <c r="AT961" s="485"/>
      <c r="AU961" s="485"/>
      <c r="AV961" s="485"/>
      <c r="AW961" s="485"/>
      <c r="AX961" s="485"/>
      <c r="AY961" s="485"/>
      <c r="AZ961" s="485"/>
      <c r="BA961" s="485"/>
      <c r="BB961" s="485"/>
      <c r="BC961" s="485"/>
      <c r="BD961" s="485"/>
      <c r="BE961" s="485"/>
      <c r="BF961" s="485"/>
      <c r="BG961" s="485"/>
      <c r="BH961" s="485"/>
      <c r="BI961" s="485"/>
      <c r="BJ961" s="485"/>
      <c r="BK961" s="485"/>
      <c r="BL961" s="485"/>
      <c r="BM961" s="485"/>
      <c r="BN961" s="485"/>
      <c r="BO961" s="485"/>
      <c r="BP961" s="485"/>
      <c r="BQ961" s="485"/>
      <c r="BR961" s="485"/>
      <c r="BS961" s="485"/>
      <c r="BT961" s="485"/>
      <c r="BU961" s="485"/>
      <c r="BV961" s="485"/>
      <c r="BW961" s="485"/>
      <c r="BX961" s="485"/>
      <c r="BY961" s="485"/>
      <c r="BZ961" s="485"/>
      <c r="CA961" s="485"/>
      <c r="CB961" s="485"/>
      <c r="CC961" s="485"/>
      <c r="CD961" s="485"/>
      <c r="CE961" s="485"/>
      <c r="CF961" s="485"/>
      <c r="CG961" s="485"/>
      <c r="CH961" s="485"/>
      <c r="CI961" s="485"/>
      <c r="CJ961" s="485"/>
      <c r="CK961" s="485"/>
      <c r="CL961" s="485"/>
      <c r="CM961" s="485"/>
      <c r="CN961" s="485"/>
      <c r="CO961" s="485"/>
      <c r="CP961" s="485"/>
      <c r="CQ961" s="485"/>
      <c r="CR961" s="485"/>
      <c r="CS961" s="485"/>
      <c r="CT961" s="485"/>
      <c r="CU961" s="485"/>
      <c r="CV961" s="485"/>
      <c r="CW961" s="485"/>
      <c r="CX961" s="485"/>
      <c r="CY961" s="485"/>
      <c r="CZ961" s="485"/>
      <c r="DA961" s="485"/>
      <c r="DB961" s="485"/>
      <c r="DC961" s="485"/>
      <c r="DD961" s="485"/>
      <c r="DE961" s="485"/>
      <c r="DF961" s="485"/>
      <c r="DG961" s="485"/>
      <c r="DH961" s="485"/>
      <c r="DI961" s="485"/>
      <c r="DJ961" s="485"/>
      <c r="DK961" s="485"/>
      <c r="DL961" s="485"/>
      <c r="DM961" s="485"/>
      <c r="DN961" s="485"/>
      <c r="DO961" s="485"/>
      <c r="DP961" s="485"/>
      <c r="DQ961" s="485"/>
      <c r="DR961" s="485"/>
      <c r="DS961" s="485"/>
      <c r="DT961" s="485"/>
      <c r="DU961" s="485"/>
      <c r="DV961" s="485"/>
      <c r="DW961" s="485"/>
      <c r="DX961" s="485"/>
      <c r="DY961" s="485"/>
      <c r="DZ961" s="485"/>
      <c r="EA961" s="485"/>
      <c r="EB961" s="485"/>
      <c r="EC961" s="485"/>
      <c r="ED961" s="485"/>
      <c r="EE961" s="485"/>
      <c r="EF961" s="485"/>
      <c r="EG961" s="485"/>
      <c r="EH961" s="485"/>
      <c r="EI961" s="485"/>
      <c r="EJ961" s="485"/>
      <c r="EK961" s="485"/>
      <c r="EL961" s="485"/>
      <c r="EM961" s="485"/>
      <c r="EN961" s="485"/>
      <c r="EO961" s="485"/>
      <c r="EP961" s="485"/>
    </row>
    <row r="962" spans="1:146">
      <c r="A962" s="485"/>
      <c r="B962" s="485"/>
      <c r="C962" s="485"/>
      <c r="D962" s="485"/>
      <c r="E962" s="485"/>
      <c r="F962" s="485"/>
      <c r="G962" s="485"/>
      <c r="H962" s="485"/>
      <c r="I962" s="485"/>
      <c r="J962" s="485"/>
      <c r="K962" s="485"/>
      <c r="L962" s="485"/>
      <c r="M962" s="485"/>
      <c r="P962" s="485"/>
      <c r="Q962" s="485"/>
      <c r="R962" s="485"/>
      <c r="S962" s="485"/>
      <c r="T962" s="485"/>
      <c r="U962" s="485"/>
      <c r="V962" s="485"/>
      <c r="W962" s="485"/>
      <c r="X962" s="485"/>
      <c r="Y962" s="485"/>
      <c r="Z962" s="485"/>
      <c r="AA962" s="485"/>
      <c r="AB962" s="485"/>
      <c r="AC962" s="485"/>
      <c r="AD962" s="485"/>
      <c r="AE962" s="485"/>
      <c r="AF962" s="485"/>
      <c r="AG962" s="485"/>
      <c r="AH962" s="485"/>
      <c r="AI962" s="485"/>
      <c r="AJ962" s="485"/>
      <c r="AK962" s="485"/>
      <c r="AL962" s="485"/>
      <c r="AM962" s="485"/>
      <c r="AN962" s="485"/>
      <c r="AO962" s="485"/>
      <c r="AP962" s="485"/>
      <c r="AQ962" s="485"/>
      <c r="AR962" s="485"/>
      <c r="AS962" s="485"/>
      <c r="AT962" s="485"/>
      <c r="AU962" s="485"/>
      <c r="AV962" s="485"/>
      <c r="AW962" s="485"/>
      <c r="AX962" s="485"/>
      <c r="AY962" s="485"/>
      <c r="AZ962" s="485"/>
      <c r="BA962" s="485"/>
      <c r="BB962" s="485"/>
      <c r="BC962" s="485"/>
      <c r="BD962" s="485"/>
      <c r="BE962" s="485"/>
      <c r="BF962" s="485"/>
      <c r="BG962" s="485"/>
      <c r="BH962" s="485"/>
      <c r="BI962" s="485"/>
      <c r="BJ962" s="485"/>
      <c r="BK962" s="485"/>
      <c r="BL962" s="485"/>
      <c r="BM962" s="485"/>
      <c r="BN962" s="485"/>
      <c r="BO962" s="485"/>
      <c r="BP962" s="485"/>
      <c r="BQ962" s="485"/>
      <c r="BR962" s="485"/>
      <c r="BS962" s="485"/>
      <c r="BT962" s="485"/>
      <c r="BU962" s="485"/>
      <c r="BV962" s="485"/>
      <c r="BW962" s="485"/>
      <c r="BX962" s="485"/>
      <c r="BY962" s="485"/>
      <c r="BZ962" s="485"/>
      <c r="CA962" s="485"/>
      <c r="CB962" s="485"/>
      <c r="CC962" s="485"/>
      <c r="CD962" s="485"/>
      <c r="CE962" s="485"/>
      <c r="CF962" s="485"/>
      <c r="CG962" s="485"/>
      <c r="CH962" s="485"/>
      <c r="CI962" s="485"/>
      <c r="CJ962" s="485"/>
      <c r="CK962" s="485"/>
      <c r="CL962" s="485"/>
      <c r="CM962" s="485"/>
      <c r="CN962" s="485"/>
      <c r="CO962" s="485"/>
      <c r="CP962" s="485"/>
      <c r="CQ962" s="485"/>
      <c r="CR962" s="485"/>
      <c r="CS962" s="485"/>
      <c r="CT962" s="485"/>
      <c r="CU962" s="485"/>
      <c r="CV962" s="485"/>
      <c r="CW962" s="485"/>
      <c r="CX962" s="485"/>
      <c r="CY962" s="485"/>
      <c r="CZ962" s="485"/>
      <c r="DA962" s="485"/>
      <c r="DB962" s="485"/>
      <c r="DC962" s="485"/>
      <c r="DD962" s="485"/>
      <c r="DE962" s="485"/>
      <c r="DF962" s="485"/>
      <c r="DG962" s="485"/>
      <c r="DH962" s="485"/>
      <c r="DI962" s="485"/>
      <c r="DJ962" s="485"/>
      <c r="DK962" s="485"/>
      <c r="DL962" s="485"/>
      <c r="DM962" s="485"/>
      <c r="DN962" s="485"/>
      <c r="DO962" s="485"/>
      <c r="DP962" s="485"/>
      <c r="DQ962" s="485"/>
      <c r="DR962" s="485"/>
      <c r="DS962" s="485"/>
      <c r="DT962" s="485"/>
      <c r="DU962" s="485"/>
      <c r="DV962" s="485"/>
      <c r="DW962" s="485"/>
      <c r="DX962" s="485"/>
      <c r="DY962" s="485"/>
      <c r="DZ962" s="485"/>
      <c r="EA962" s="485"/>
      <c r="EB962" s="485"/>
      <c r="EC962" s="485"/>
      <c r="ED962" s="485"/>
      <c r="EE962" s="485"/>
      <c r="EF962" s="485"/>
      <c r="EG962" s="485"/>
      <c r="EH962" s="485"/>
      <c r="EI962" s="485"/>
      <c r="EJ962" s="485"/>
      <c r="EK962" s="485"/>
      <c r="EL962" s="485"/>
      <c r="EM962" s="485"/>
      <c r="EN962" s="485"/>
      <c r="EO962" s="485"/>
      <c r="EP962" s="485"/>
    </row>
    <row r="963" spans="1:146">
      <c r="A963" s="485"/>
      <c r="B963" s="485"/>
      <c r="C963" s="485"/>
      <c r="D963" s="485"/>
      <c r="E963" s="485"/>
      <c r="F963" s="485"/>
      <c r="G963" s="485"/>
      <c r="H963" s="485"/>
      <c r="I963" s="485"/>
      <c r="J963" s="485"/>
      <c r="K963" s="485"/>
      <c r="L963" s="485"/>
      <c r="M963" s="485"/>
      <c r="P963" s="485"/>
      <c r="Q963" s="485"/>
      <c r="R963" s="485"/>
      <c r="S963" s="485"/>
      <c r="T963" s="485"/>
      <c r="U963" s="485"/>
      <c r="V963" s="485"/>
      <c r="W963" s="485"/>
      <c r="X963" s="485"/>
      <c r="Y963" s="485"/>
      <c r="Z963" s="485"/>
      <c r="AA963" s="485"/>
      <c r="AB963" s="485"/>
      <c r="AC963" s="485"/>
      <c r="AD963" s="485"/>
      <c r="AE963" s="485"/>
      <c r="AF963" s="485"/>
      <c r="AG963" s="485"/>
      <c r="AH963" s="485"/>
      <c r="AI963" s="485"/>
      <c r="AJ963" s="485"/>
      <c r="AK963" s="485"/>
      <c r="AL963" s="485"/>
      <c r="AM963" s="485"/>
      <c r="AN963" s="485"/>
      <c r="AO963" s="485"/>
      <c r="AP963" s="485"/>
      <c r="AQ963" s="485"/>
      <c r="AR963" s="485"/>
      <c r="AS963" s="485"/>
      <c r="AT963" s="485"/>
      <c r="AU963" s="485"/>
      <c r="AV963" s="485"/>
      <c r="AW963" s="485"/>
      <c r="AX963" s="485"/>
      <c r="AY963" s="485"/>
      <c r="AZ963" s="485"/>
      <c r="BA963" s="485"/>
      <c r="BB963" s="485"/>
      <c r="BC963" s="485"/>
      <c r="BD963" s="485"/>
      <c r="BE963" s="485"/>
      <c r="BF963" s="485"/>
      <c r="BG963" s="485"/>
      <c r="BH963" s="485"/>
      <c r="BI963" s="485"/>
      <c r="BJ963" s="485"/>
      <c r="BK963" s="485"/>
      <c r="BL963" s="485"/>
      <c r="BM963" s="485"/>
      <c r="BN963" s="485"/>
      <c r="BO963" s="485"/>
      <c r="BP963" s="485"/>
      <c r="BQ963" s="485"/>
      <c r="BR963" s="485"/>
      <c r="BS963" s="485"/>
      <c r="BT963" s="485"/>
      <c r="BU963" s="485"/>
      <c r="BV963" s="485"/>
      <c r="BW963" s="485"/>
      <c r="BX963" s="485"/>
      <c r="BY963" s="485"/>
      <c r="BZ963" s="485"/>
      <c r="CA963" s="485"/>
      <c r="CB963" s="485"/>
      <c r="CC963" s="485"/>
      <c r="CD963" s="485"/>
      <c r="CE963" s="485"/>
      <c r="CF963" s="485"/>
      <c r="CG963" s="485"/>
      <c r="CH963" s="485"/>
      <c r="CI963" s="485"/>
      <c r="CJ963" s="485"/>
      <c r="CK963" s="485"/>
      <c r="CL963" s="485"/>
      <c r="CM963" s="485"/>
      <c r="CN963" s="485"/>
      <c r="CO963" s="485"/>
      <c r="CP963" s="485"/>
      <c r="CQ963" s="485"/>
      <c r="CR963" s="485"/>
      <c r="CS963" s="485"/>
      <c r="CT963" s="485"/>
      <c r="CU963" s="485"/>
      <c r="CV963" s="485"/>
      <c r="CW963" s="485"/>
      <c r="CX963" s="485"/>
      <c r="CY963" s="485"/>
      <c r="CZ963" s="485"/>
      <c r="DA963" s="485"/>
      <c r="DB963" s="485"/>
      <c r="DC963" s="485"/>
      <c r="DD963" s="485"/>
      <c r="DE963" s="485"/>
      <c r="DF963" s="485"/>
      <c r="DG963" s="485"/>
      <c r="DH963" s="485"/>
      <c r="DI963" s="485"/>
      <c r="DJ963" s="485"/>
      <c r="DK963" s="485"/>
      <c r="DL963" s="485"/>
      <c r="DM963" s="485"/>
      <c r="DN963" s="485"/>
      <c r="DO963" s="485"/>
      <c r="DP963" s="485"/>
      <c r="DQ963" s="485"/>
      <c r="DR963" s="485"/>
      <c r="DS963" s="485"/>
      <c r="DT963" s="485"/>
      <c r="DU963" s="485"/>
      <c r="DV963" s="485"/>
      <c r="DW963" s="485"/>
      <c r="DX963" s="485"/>
      <c r="DY963" s="485"/>
      <c r="DZ963" s="485"/>
      <c r="EA963" s="485"/>
      <c r="EB963" s="485"/>
      <c r="EC963" s="485"/>
      <c r="ED963" s="485"/>
      <c r="EE963" s="485"/>
      <c r="EF963" s="485"/>
      <c r="EG963" s="485"/>
      <c r="EH963" s="485"/>
      <c r="EI963" s="485"/>
      <c r="EJ963" s="485"/>
      <c r="EK963" s="485"/>
      <c r="EL963" s="485"/>
      <c r="EM963" s="485"/>
      <c r="EN963" s="485"/>
      <c r="EO963" s="485"/>
      <c r="EP963" s="485"/>
    </row>
    <row r="964" spans="1:146">
      <c r="A964" s="485"/>
      <c r="B964" s="485"/>
      <c r="C964" s="485"/>
      <c r="D964" s="485"/>
      <c r="E964" s="485"/>
      <c r="F964" s="485"/>
      <c r="G964" s="485"/>
      <c r="H964" s="485"/>
      <c r="I964" s="485"/>
      <c r="J964" s="485"/>
      <c r="K964" s="485"/>
      <c r="L964" s="485"/>
      <c r="M964" s="485"/>
      <c r="P964" s="485"/>
      <c r="Q964" s="485"/>
      <c r="R964" s="485"/>
      <c r="S964" s="485"/>
      <c r="T964" s="485"/>
      <c r="U964" s="485"/>
      <c r="V964" s="485"/>
      <c r="W964" s="485"/>
      <c r="X964" s="485"/>
      <c r="Y964" s="485"/>
      <c r="Z964" s="485"/>
      <c r="AA964" s="485"/>
      <c r="AB964" s="485"/>
      <c r="AC964" s="485"/>
      <c r="AD964" s="485"/>
      <c r="AE964" s="485"/>
      <c r="AF964" s="485"/>
      <c r="AG964" s="485"/>
      <c r="AH964" s="485"/>
      <c r="AI964" s="485"/>
      <c r="AJ964" s="485"/>
      <c r="AK964" s="485"/>
      <c r="AL964" s="485"/>
      <c r="AM964" s="485"/>
      <c r="AN964" s="485"/>
      <c r="AO964" s="485"/>
      <c r="AP964" s="485"/>
      <c r="AQ964" s="485"/>
      <c r="AR964" s="485"/>
      <c r="AS964" s="485"/>
      <c r="AT964" s="485"/>
      <c r="AU964" s="485"/>
      <c r="AV964" s="485"/>
      <c r="AW964" s="485"/>
      <c r="AX964" s="485"/>
      <c r="AY964" s="485"/>
      <c r="AZ964" s="485"/>
      <c r="BA964" s="485"/>
      <c r="BB964" s="485"/>
      <c r="BC964" s="485"/>
      <c r="BD964" s="485"/>
      <c r="BE964" s="485"/>
      <c r="BF964" s="485"/>
      <c r="BG964" s="485"/>
      <c r="BH964" s="485"/>
      <c r="BI964" s="485"/>
      <c r="BJ964" s="485"/>
      <c r="BK964" s="485"/>
      <c r="BL964" s="485"/>
      <c r="BM964" s="485"/>
      <c r="BN964" s="485"/>
      <c r="BO964" s="485"/>
      <c r="BP964" s="485"/>
      <c r="BQ964" s="485"/>
      <c r="BR964" s="485"/>
      <c r="BS964" s="485"/>
      <c r="BT964" s="485"/>
      <c r="BU964" s="485"/>
      <c r="BV964" s="485"/>
      <c r="BW964" s="485"/>
      <c r="BX964" s="485"/>
      <c r="BY964" s="485"/>
      <c r="BZ964" s="485"/>
      <c r="CA964" s="485"/>
      <c r="CB964" s="485"/>
      <c r="CC964" s="485"/>
      <c r="CD964" s="485"/>
      <c r="CE964" s="485"/>
      <c r="CF964" s="485"/>
      <c r="CG964" s="485"/>
      <c r="CH964" s="485"/>
      <c r="CI964" s="485"/>
      <c r="CJ964" s="485"/>
      <c r="CK964" s="485"/>
      <c r="CL964" s="485"/>
      <c r="CM964" s="485"/>
      <c r="CN964" s="485"/>
      <c r="CO964" s="485"/>
      <c r="CP964" s="485"/>
      <c r="CQ964" s="485"/>
      <c r="CR964" s="485"/>
      <c r="CS964" s="485"/>
      <c r="CT964" s="485"/>
      <c r="CU964" s="485"/>
      <c r="CV964" s="485"/>
      <c r="CW964" s="485"/>
      <c r="CX964" s="485"/>
      <c r="CY964" s="485"/>
      <c r="CZ964" s="485"/>
      <c r="DA964" s="485"/>
      <c r="DB964" s="485"/>
      <c r="DC964" s="485"/>
      <c r="DD964" s="485"/>
      <c r="DE964" s="485"/>
      <c r="DF964" s="485"/>
      <c r="DG964" s="485"/>
      <c r="DH964" s="485"/>
      <c r="DI964" s="485"/>
      <c r="DJ964" s="485"/>
      <c r="DK964" s="485"/>
      <c r="DL964" s="485"/>
      <c r="DM964" s="485"/>
      <c r="DN964" s="485"/>
      <c r="DO964" s="485"/>
      <c r="DP964" s="485"/>
      <c r="DQ964" s="485"/>
      <c r="DR964" s="485"/>
      <c r="DS964" s="485"/>
      <c r="DT964" s="485"/>
      <c r="DU964" s="485"/>
      <c r="DV964" s="485"/>
      <c r="DW964" s="485"/>
      <c r="DX964" s="485"/>
      <c r="DY964" s="485"/>
      <c r="DZ964" s="485"/>
      <c r="EA964" s="485"/>
      <c r="EB964" s="485"/>
      <c r="EC964" s="485"/>
      <c r="ED964" s="485"/>
      <c r="EE964" s="485"/>
      <c r="EF964" s="485"/>
      <c r="EG964" s="485"/>
      <c r="EH964" s="485"/>
      <c r="EI964" s="485"/>
      <c r="EJ964" s="485"/>
      <c r="EK964" s="485"/>
      <c r="EL964" s="485"/>
      <c r="EM964" s="485"/>
      <c r="EN964" s="485"/>
      <c r="EO964" s="485"/>
      <c r="EP964" s="485"/>
    </row>
    <row r="965" spans="1:146">
      <c r="A965" s="485"/>
      <c r="B965" s="485"/>
      <c r="C965" s="485"/>
      <c r="D965" s="485"/>
      <c r="E965" s="485"/>
      <c r="F965" s="485"/>
      <c r="G965" s="485"/>
      <c r="H965" s="485"/>
      <c r="I965" s="485"/>
      <c r="J965" s="485"/>
      <c r="K965" s="485"/>
      <c r="L965" s="485"/>
      <c r="M965" s="485"/>
      <c r="P965" s="485"/>
      <c r="Q965" s="485"/>
      <c r="R965" s="485"/>
      <c r="S965" s="485"/>
      <c r="T965" s="485"/>
      <c r="U965" s="485"/>
      <c r="V965" s="485"/>
      <c r="W965" s="485"/>
      <c r="X965" s="485"/>
      <c r="Y965" s="485"/>
      <c r="Z965" s="485"/>
      <c r="AA965" s="485"/>
      <c r="AB965" s="485"/>
      <c r="AC965" s="485"/>
      <c r="AD965" s="485"/>
      <c r="AE965" s="485"/>
      <c r="AF965" s="485"/>
      <c r="AG965" s="485"/>
      <c r="AH965" s="485"/>
      <c r="AI965" s="485"/>
      <c r="AJ965" s="485"/>
      <c r="AK965" s="485"/>
      <c r="AL965" s="485"/>
      <c r="AM965" s="485"/>
      <c r="AN965" s="485"/>
      <c r="AO965" s="485"/>
      <c r="AP965" s="485"/>
      <c r="AQ965" s="485"/>
      <c r="AR965" s="485"/>
      <c r="AS965" s="485"/>
      <c r="AT965" s="485"/>
      <c r="AU965" s="485"/>
      <c r="AV965" s="485"/>
      <c r="AW965" s="485"/>
      <c r="AX965" s="485"/>
      <c r="AY965" s="485"/>
      <c r="AZ965" s="485"/>
      <c r="BA965" s="485"/>
      <c r="BB965" s="485"/>
      <c r="BC965" s="485"/>
      <c r="BD965" s="485"/>
      <c r="BE965" s="485"/>
      <c r="BF965" s="485"/>
      <c r="BG965" s="485"/>
      <c r="BH965" s="485"/>
      <c r="BI965" s="485"/>
      <c r="BJ965" s="485"/>
      <c r="BK965" s="485"/>
      <c r="BL965" s="485"/>
      <c r="BM965" s="485"/>
      <c r="BN965" s="485"/>
      <c r="BO965" s="485"/>
      <c r="BP965" s="485"/>
      <c r="BQ965" s="485"/>
      <c r="BR965" s="485"/>
      <c r="BS965" s="485"/>
      <c r="BT965" s="485"/>
      <c r="BU965" s="485"/>
      <c r="BV965" s="485"/>
      <c r="BW965" s="485"/>
      <c r="BX965" s="485"/>
      <c r="BY965" s="485"/>
      <c r="BZ965" s="485"/>
      <c r="CA965" s="485"/>
      <c r="CB965" s="485"/>
      <c r="CC965" s="485"/>
      <c r="CD965" s="485"/>
      <c r="CE965" s="485"/>
      <c r="CF965" s="485"/>
      <c r="CG965" s="485"/>
      <c r="CH965" s="485"/>
      <c r="CI965" s="485"/>
      <c r="CJ965" s="485"/>
      <c r="CK965" s="485"/>
      <c r="CL965" s="485"/>
      <c r="CM965" s="485"/>
      <c r="CN965" s="485"/>
      <c r="CO965" s="485"/>
      <c r="CP965" s="485"/>
      <c r="CQ965" s="485"/>
      <c r="CR965" s="485"/>
      <c r="CS965" s="485"/>
      <c r="CT965" s="485"/>
      <c r="CU965" s="485"/>
      <c r="CV965" s="485"/>
      <c r="CW965" s="485"/>
      <c r="CX965" s="485"/>
      <c r="CY965" s="485"/>
      <c r="CZ965" s="485"/>
      <c r="DA965" s="485"/>
      <c r="DB965" s="485"/>
      <c r="DC965" s="485"/>
      <c r="DD965" s="485"/>
      <c r="DE965" s="485"/>
      <c r="DF965" s="485"/>
      <c r="DG965" s="485"/>
      <c r="DH965" s="485"/>
      <c r="DI965" s="485"/>
      <c r="DJ965" s="485"/>
      <c r="DK965" s="485"/>
      <c r="DL965" s="485"/>
      <c r="DM965" s="485"/>
      <c r="DN965" s="485"/>
      <c r="DO965" s="485"/>
      <c r="DP965" s="485"/>
      <c r="DQ965" s="485"/>
      <c r="DR965" s="485"/>
      <c r="DS965" s="485"/>
      <c r="DT965" s="485"/>
      <c r="DU965" s="485"/>
      <c r="DV965" s="485"/>
      <c r="DW965" s="485"/>
      <c r="DX965" s="485"/>
      <c r="DY965" s="485"/>
      <c r="DZ965" s="485"/>
      <c r="EA965" s="485"/>
      <c r="EB965" s="485"/>
      <c r="EC965" s="485"/>
      <c r="ED965" s="485"/>
      <c r="EE965" s="485"/>
      <c r="EF965" s="485"/>
      <c r="EG965" s="485"/>
      <c r="EH965" s="485"/>
      <c r="EI965" s="485"/>
      <c r="EJ965" s="485"/>
      <c r="EK965" s="485"/>
      <c r="EL965" s="485"/>
      <c r="EM965" s="485"/>
      <c r="EN965" s="485"/>
      <c r="EO965" s="485"/>
      <c r="EP965" s="485"/>
    </row>
    <row r="966" spans="1:146">
      <c r="A966" s="485"/>
      <c r="B966" s="485"/>
      <c r="C966" s="485"/>
      <c r="D966" s="485"/>
      <c r="E966" s="485"/>
      <c r="F966" s="485"/>
      <c r="G966" s="485"/>
      <c r="H966" s="485"/>
      <c r="I966" s="485"/>
      <c r="J966" s="485"/>
      <c r="K966" s="485"/>
      <c r="L966" s="485"/>
      <c r="M966" s="485"/>
      <c r="P966" s="485"/>
      <c r="Q966" s="485"/>
      <c r="R966" s="485"/>
      <c r="S966" s="485"/>
      <c r="T966" s="485"/>
      <c r="U966" s="485"/>
      <c r="V966" s="485"/>
      <c r="W966" s="485"/>
      <c r="X966" s="485"/>
      <c r="Y966" s="485"/>
      <c r="Z966" s="485"/>
      <c r="AA966" s="485"/>
      <c r="AB966" s="485"/>
      <c r="AC966" s="485"/>
      <c r="AD966" s="485"/>
      <c r="AE966" s="485"/>
      <c r="AF966" s="485"/>
      <c r="AG966" s="485"/>
      <c r="AH966" s="485"/>
      <c r="AI966" s="485"/>
      <c r="AJ966" s="485"/>
      <c r="AK966" s="485"/>
      <c r="AL966" s="485"/>
      <c r="AM966" s="485"/>
      <c r="AN966" s="485"/>
      <c r="AO966" s="485"/>
      <c r="AP966" s="485"/>
      <c r="AQ966" s="485"/>
      <c r="AR966" s="485"/>
      <c r="AS966" s="485"/>
      <c r="AT966" s="485"/>
      <c r="AU966" s="485"/>
      <c r="AV966" s="485"/>
      <c r="AW966" s="485"/>
      <c r="AX966" s="485"/>
      <c r="AY966" s="485"/>
      <c r="AZ966" s="485"/>
      <c r="BA966" s="485"/>
      <c r="BB966" s="485"/>
      <c r="BC966" s="485"/>
      <c r="BD966" s="485"/>
      <c r="BE966" s="485"/>
      <c r="BF966" s="485"/>
      <c r="BG966" s="485"/>
      <c r="BH966" s="485"/>
      <c r="BI966" s="485"/>
      <c r="BJ966" s="485"/>
      <c r="BK966" s="485"/>
      <c r="BL966" s="485"/>
      <c r="BM966" s="485"/>
      <c r="BN966" s="485"/>
      <c r="BO966" s="485"/>
      <c r="BP966" s="485"/>
      <c r="BQ966" s="485"/>
      <c r="BR966" s="485"/>
      <c r="BS966" s="485"/>
      <c r="BT966" s="485"/>
      <c r="BU966" s="485"/>
      <c r="BV966" s="485"/>
      <c r="BW966" s="485"/>
      <c r="BX966" s="485"/>
      <c r="BY966" s="485"/>
      <c r="BZ966" s="485"/>
      <c r="CA966" s="485"/>
      <c r="CB966" s="485"/>
      <c r="CC966" s="485"/>
      <c r="CD966" s="485"/>
      <c r="CE966" s="485"/>
      <c r="CF966" s="485"/>
      <c r="CG966" s="485"/>
      <c r="CH966" s="485"/>
      <c r="CI966" s="485"/>
      <c r="CJ966" s="485"/>
      <c r="CK966" s="485"/>
      <c r="CL966" s="485"/>
      <c r="CM966" s="485"/>
      <c r="CN966" s="485"/>
      <c r="CO966" s="485"/>
      <c r="CP966" s="485"/>
      <c r="CQ966" s="485"/>
      <c r="CR966" s="485"/>
      <c r="CS966" s="485"/>
      <c r="CT966" s="485"/>
      <c r="CU966" s="485"/>
      <c r="CV966" s="485"/>
      <c r="CW966" s="485"/>
      <c r="CX966" s="485"/>
      <c r="CY966" s="485"/>
      <c r="CZ966" s="485"/>
      <c r="DA966" s="485"/>
      <c r="DB966" s="485"/>
      <c r="DC966" s="485"/>
      <c r="DD966" s="485"/>
      <c r="DE966" s="485"/>
      <c r="DF966" s="485"/>
      <c r="DG966" s="485"/>
      <c r="DH966" s="485"/>
      <c r="DI966" s="485"/>
      <c r="DJ966" s="485"/>
      <c r="DK966" s="485"/>
      <c r="DL966" s="485"/>
      <c r="DM966" s="485"/>
      <c r="DN966" s="485"/>
      <c r="DO966" s="485"/>
      <c r="DP966" s="485"/>
      <c r="DQ966" s="485"/>
      <c r="DR966" s="485"/>
      <c r="DS966" s="485"/>
      <c r="DT966" s="485"/>
      <c r="DU966" s="485"/>
      <c r="DV966" s="485"/>
      <c r="DW966" s="485"/>
      <c r="DX966" s="485"/>
      <c r="DY966" s="485"/>
      <c r="DZ966" s="485"/>
      <c r="EA966" s="485"/>
      <c r="EB966" s="485"/>
      <c r="EC966" s="485"/>
      <c r="ED966" s="485"/>
      <c r="EE966" s="485"/>
      <c r="EF966" s="485"/>
      <c r="EG966" s="485"/>
      <c r="EH966" s="485"/>
      <c r="EI966" s="485"/>
      <c r="EJ966" s="485"/>
      <c r="EK966" s="485"/>
      <c r="EL966" s="485"/>
      <c r="EM966" s="485"/>
      <c r="EN966" s="485"/>
      <c r="EO966" s="485"/>
      <c r="EP966" s="485"/>
    </row>
    <row r="967" spans="1:146">
      <c r="A967" s="485"/>
      <c r="B967" s="485"/>
      <c r="C967" s="485"/>
      <c r="D967" s="485"/>
      <c r="E967" s="485"/>
      <c r="F967" s="485"/>
      <c r="G967" s="485"/>
      <c r="H967" s="485"/>
      <c r="I967" s="485"/>
      <c r="J967" s="485"/>
      <c r="K967" s="485"/>
      <c r="L967" s="485"/>
      <c r="M967" s="485"/>
      <c r="P967" s="485"/>
      <c r="Q967" s="485"/>
      <c r="R967" s="485"/>
      <c r="S967" s="485"/>
      <c r="T967" s="485"/>
      <c r="U967" s="485"/>
      <c r="V967" s="485"/>
      <c r="W967" s="485"/>
      <c r="X967" s="485"/>
      <c r="Y967" s="485"/>
      <c r="Z967" s="485"/>
      <c r="AA967" s="485"/>
      <c r="AB967" s="485"/>
      <c r="AC967" s="485"/>
      <c r="AD967" s="485"/>
      <c r="AE967" s="485"/>
      <c r="AF967" s="485"/>
      <c r="AG967" s="485"/>
      <c r="AH967" s="485"/>
      <c r="AI967" s="485"/>
      <c r="AJ967" s="485"/>
      <c r="AK967" s="485"/>
      <c r="AL967" s="485"/>
      <c r="AM967" s="485"/>
      <c r="AN967" s="485"/>
      <c r="AO967" s="485"/>
      <c r="AP967" s="485"/>
      <c r="AQ967" s="485"/>
      <c r="AR967" s="485"/>
      <c r="AS967" s="485"/>
      <c r="AT967" s="485"/>
      <c r="AU967" s="485"/>
      <c r="AV967" s="485"/>
      <c r="AW967" s="485"/>
      <c r="AX967" s="485"/>
      <c r="AY967" s="485"/>
      <c r="AZ967" s="485"/>
      <c r="BA967" s="485"/>
      <c r="BB967" s="485"/>
      <c r="BC967" s="485"/>
      <c r="BD967" s="485"/>
      <c r="BE967" s="485"/>
      <c r="BF967" s="485"/>
      <c r="BG967" s="485"/>
      <c r="BH967" s="485"/>
      <c r="BI967" s="485"/>
      <c r="BJ967" s="485"/>
      <c r="BK967" s="485"/>
      <c r="BL967" s="485"/>
      <c r="BM967" s="485"/>
      <c r="BN967" s="485"/>
      <c r="BO967" s="485"/>
      <c r="BP967" s="485"/>
      <c r="BQ967" s="485"/>
      <c r="BR967" s="485"/>
      <c r="BS967" s="485"/>
      <c r="BT967" s="485"/>
      <c r="BU967" s="485"/>
      <c r="BV967" s="485"/>
      <c r="BW967" s="485"/>
      <c r="BX967" s="485"/>
      <c r="BY967" s="485"/>
      <c r="BZ967" s="485"/>
      <c r="CA967" s="485"/>
      <c r="CB967" s="485"/>
      <c r="CC967" s="485"/>
      <c r="CD967" s="485"/>
      <c r="CE967" s="485"/>
      <c r="CF967" s="485"/>
      <c r="CG967" s="485"/>
      <c r="CH967" s="485"/>
      <c r="CI967" s="485"/>
      <c r="CJ967" s="485"/>
      <c r="CK967" s="485"/>
      <c r="CL967" s="485"/>
      <c r="CM967" s="485"/>
      <c r="CN967" s="485"/>
      <c r="CO967" s="485"/>
      <c r="CP967" s="485"/>
      <c r="CQ967" s="485"/>
      <c r="CR967" s="485"/>
      <c r="CS967" s="485"/>
      <c r="CT967" s="485"/>
      <c r="CU967" s="485"/>
      <c r="CV967" s="485"/>
      <c r="CW967" s="485"/>
      <c r="CX967" s="485"/>
      <c r="CY967" s="485"/>
      <c r="CZ967" s="485"/>
      <c r="DA967" s="485"/>
      <c r="DB967" s="485"/>
      <c r="DC967" s="485"/>
      <c r="DD967" s="485"/>
      <c r="DE967" s="485"/>
      <c r="DF967" s="485"/>
      <c r="DG967" s="485"/>
      <c r="DH967" s="485"/>
      <c r="DI967" s="485"/>
      <c r="DJ967" s="485"/>
      <c r="DK967" s="485"/>
      <c r="DL967" s="485"/>
      <c r="DM967" s="485"/>
      <c r="DN967" s="485"/>
      <c r="DO967" s="485"/>
      <c r="DP967" s="485"/>
      <c r="DQ967" s="485"/>
      <c r="DR967" s="485"/>
      <c r="DS967" s="485"/>
      <c r="DT967" s="485"/>
      <c r="DU967" s="485"/>
      <c r="DV967" s="485"/>
      <c r="DW967" s="485"/>
      <c r="DX967" s="485"/>
      <c r="DY967" s="485"/>
      <c r="DZ967" s="485"/>
      <c r="EA967" s="485"/>
      <c r="EB967" s="485"/>
      <c r="EC967" s="485"/>
      <c r="ED967" s="485"/>
      <c r="EE967" s="485"/>
      <c r="EF967" s="485"/>
      <c r="EG967" s="485"/>
      <c r="EH967" s="485"/>
      <c r="EI967" s="485"/>
      <c r="EJ967" s="485"/>
      <c r="EK967" s="485"/>
      <c r="EL967" s="485"/>
      <c r="EM967" s="485"/>
      <c r="EN967" s="485"/>
      <c r="EO967" s="485"/>
      <c r="EP967" s="485"/>
    </row>
    <row r="968" spans="1:146">
      <c r="A968" s="485"/>
      <c r="B968" s="485"/>
      <c r="C968" s="485"/>
      <c r="D968" s="485"/>
      <c r="E968" s="485"/>
      <c r="F968" s="485"/>
      <c r="G968" s="485"/>
      <c r="H968" s="485"/>
      <c r="I968" s="485"/>
      <c r="J968" s="485"/>
      <c r="K968" s="485"/>
      <c r="L968" s="485"/>
      <c r="M968" s="485"/>
      <c r="P968" s="485"/>
      <c r="Q968" s="485"/>
      <c r="R968" s="485"/>
      <c r="S968" s="485"/>
      <c r="T968" s="485"/>
      <c r="U968" s="485"/>
      <c r="V968" s="485"/>
      <c r="W968" s="485"/>
      <c r="X968" s="485"/>
      <c r="Y968" s="485"/>
      <c r="Z968" s="485"/>
      <c r="AA968" s="485"/>
      <c r="AB968" s="485"/>
      <c r="AC968" s="485"/>
      <c r="AD968" s="485"/>
      <c r="AE968" s="485"/>
      <c r="AF968" s="485"/>
      <c r="AG968" s="485"/>
      <c r="AH968" s="485"/>
      <c r="AI968" s="485"/>
      <c r="AJ968" s="485"/>
      <c r="AK968" s="485"/>
      <c r="AL968" s="485"/>
      <c r="AM968" s="485"/>
      <c r="AN968" s="485"/>
      <c r="AO968" s="485"/>
      <c r="AP968" s="485"/>
      <c r="AQ968" s="485"/>
      <c r="AR968" s="485"/>
      <c r="AS968" s="485"/>
      <c r="AT968" s="485"/>
      <c r="AU968" s="485"/>
      <c r="AV968" s="485"/>
      <c r="AW968" s="485"/>
      <c r="AX968" s="485"/>
      <c r="AY968" s="485"/>
      <c r="AZ968" s="485"/>
      <c r="BA968" s="485"/>
      <c r="BB968" s="485"/>
      <c r="BC968" s="485"/>
      <c r="BD968" s="485"/>
      <c r="BE968" s="485"/>
      <c r="BF968" s="485"/>
      <c r="BG968" s="485"/>
      <c r="BH968" s="485"/>
      <c r="BI968" s="485"/>
      <c r="BJ968" s="485"/>
      <c r="BK968" s="485"/>
      <c r="BL968" s="485"/>
      <c r="BM968" s="485"/>
      <c r="BN968" s="485"/>
      <c r="BO968" s="485"/>
      <c r="BP968" s="485"/>
      <c r="BQ968" s="485"/>
      <c r="BR968" s="485"/>
      <c r="BS968" s="485"/>
      <c r="BT968" s="485"/>
      <c r="BU968" s="485"/>
      <c r="BV968" s="485"/>
      <c r="BW968" s="485"/>
      <c r="BX968" s="485"/>
      <c r="BY968" s="485"/>
      <c r="BZ968" s="485"/>
      <c r="CA968" s="485"/>
      <c r="CB968" s="485"/>
      <c r="CC968" s="485"/>
      <c r="CD968" s="485"/>
      <c r="CE968" s="485"/>
      <c r="CF968" s="485"/>
      <c r="CG968" s="485"/>
      <c r="CH968" s="485"/>
      <c r="CI968" s="485"/>
      <c r="CJ968" s="485"/>
      <c r="CK968" s="485"/>
      <c r="CL968" s="485"/>
      <c r="CM968" s="485"/>
      <c r="CN968" s="485"/>
      <c r="CO968" s="485"/>
      <c r="CP968" s="485"/>
      <c r="CQ968" s="485"/>
      <c r="CR968" s="485"/>
      <c r="CS968" s="485"/>
      <c r="CT968" s="485"/>
      <c r="CU968" s="485"/>
      <c r="CV968" s="485"/>
      <c r="CW968" s="485"/>
      <c r="CX968" s="485"/>
      <c r="CY968" s="485"/>
      <c r="CZ968" s="485"/>
      <c r="DA968" s="485"/>
      <c r="DB968" s="485"/>
      <c r="DC968" s="485"/>
      <c r="DD968" s="485"/>
      <c r="DE968" s="485"/>
      <c r="DF968" s="485"/>
      <c r="DG968" s="485"/>
      <c r="DH968" s="485"/>
      <c r="DI968" s="485"/>
      <c r="DJ968" s="485"/>
      <c r="DK968" s="485"/>
      <c r="DL968" s="485"/>
      <c r="DM968" s="485"/>
      <c r="DN968" s="485"/>
      <c r="DO968" s="485"/>
      <c r="DP968" s="485"/>
      <c r="DQ968" s="485"/>
      <c r="DR968" s="485"/>
      <c r="DS968" s="485"/>
      <c r="DT968" s="485"/>
      <c r="DU968" s="485"/>
      <c r="DV968" s="485"/>
      <c r="DW968" s="485"/>
      <c r="DX968" s="485"/>
      <c r="DY968" s="485"/>
      <c r="DZ968" s="485"/>
      <c r="EA968" s="485"/>
      <c r="EB968" s="485"/>
      <c r="EC968" s="485"/>
      <c r="ED968" s="485"/>
      <c r="EE968" s="485"/>
      <c r="EF968" s="485"/>
      <c r="EG968" s="485"/>
      <c r="EH968" s="485"/>
      <c r="EI968" s="485"/>
      <c r="EJ968" s="485"/>
      <c r="EK968" s="485"/>
      <c r="EL968" s="485"/>
      <c r="EM968" s="485"/>
      <c r="EN968" s="485"/>
      <c r="EO968" s="485"/>
      <c r="EP968" s="485"/>
    </row>
    <row r="969" spans="1:146">
      <c r="A969" s="485"/>
      <c r="B969" s="485"/>
      <c r="C969" s="485"/>
      <c r="D969" s="485"/>
      <c r="E969" s="485"/>
      <c r="F969" s="485"/>
      <c r="G969" s="485"/>
      <c r="H969" s="485"/>
      <c r="I969" s="485"/>
      <c r="J969" s="485"/>
      <c r="K969" s="485"/>
      <c r="L969" s="485"/>
      <c r="M969" s="485"/>
      <c r="P969" s="485"/>
      <c r="Q969" s="485"/>
      <c r="R969" s="485"/>
      <c r="S969" s="485"/>
      <c r="T969" s="485"/>
      <c r="U969" s="485"/>
      <c r="V969" s="485"/>
      <c r="W969" s="485"/>
      <c r="X969" s="485"/>
      <c r="Y969" s="485"/>
      <c r="Z969" s="485"/>
      <c r="AA969" s="485"/>
      <c r="AB969" s="485"/>
      <c r="AC969" s="485"/>
      <c r="AD969" s="485"/>
      <c r="AE969" s="485"/>
      <c r="AF969" s="485"/>
      <c r="AG969" s="485"/>
      <c r="AH969" s="485"/>
      <c r="AI969" s="485"/>
      <c r="AJ969" s="485"/>
      <c r="AK969" s="485"/>
      <c r="AL969" s="485"/>
      <c r="AM969" s="485"/>
      <c r="AN969" s="485"/>
      <c r="AO969" s="485"/>
      <c r="AP969" s="485"/>
      <c r="AQ969" s="485"/>
      <c r="AR969" s="485"/>
      <c r="AS969" s="485"/>
      <c r="AT969" s="485"/>
      <c r="AU969" s="485"/>
      <c r="AV969" s="485"/>
      <c r="AW969" s="485"/>
      <c r="AX969" s="485"/>
      <c r="AY969" s="485"/>
      <c r="AZ969" s="485"/>
      <c r="BA969" s="485"/>
      <c r="BB969" s="485"/>
      <c r="BC969" s="485"/>
      <c r="BD969" s="485"/>
      <c r="BE969" s="485"/>
      <c r="BF969" s="485"/>
      <c r="BG969" s="485"/>
      <c r="BH969" s="485"/>
      <c r="BI969" s="485"/>
      <c r="BJ969" s="485"/>
      <c r="BK969" s="485"/>
      <c r="BL969" s="485"/>
      <c r="BM969" s="485"/>
      <c r="BN969" s="485"/>
      <c r="BO969" s="485"/>
      <c r="BP969" s="485"/>
      <c r="BQ969" s="485"/>
      <c r="BR969" s="485"/>
      <c r="BS969" s="485"/>
      <c r="BT969" s="485"/>
      <c r="BU969" s="485"/>
      <c r="BV969" s="485"/>
      <c r="BW969" s="485"/>
      <c r="BX969" s="485"/>
      <c r="BY969" s="485"/>
      <c r="BZ969" s="485"/>
      <c r="CA969" s="485"/>
      <c r="CB969" s="485"/>
      <c r="CC969" s="485"/>
      <c r="CD969" s="485"/>
      <c r="CE969" s="485"/>
      <c r="CF969" s="485"/>
      <c r="CG969" s="485"/>
      <c r="CH969" s="485"/>
      <c r="CI969" s="485"/>
      <c r="CJ969" s="485"/>
      <c r="CK969" s="485"/>
      <c r="CL969" s="485"/>
      <c r="CM969" s="485"/>
      <c r="CN969" s="485"/>
      <c r="CO969" s="485"/>
      <c r="CP969" s="485"/>
      <c r="CQ969" s="485"/>
      <c r="CR969" s="485"/>
      <c r="CS969" s="485"/>
      <c r="CT969" s="485"/>
      <c r="CU969" s="485"/>
      <c r="CV969" s="485"/>
      <c r="CW969" s="485"/>
      <c r="CX969" s="485"/>
      <c r="CY969" s="485"/>
      <c r="CZ969" s="485"/>
      <c r="DA969" s="485"/>
      <c r="DB969" s="485"/>
      <c r="DC969" s="485"/>
      <c r="DD969" s="485"/>
      <c r="DE969" s="485"/>
      <c r="DF969" s="485"/>
      <c r="DG969" s="485"/>
      <c r="DH969" s="485"/>
      <c r="DI969" s="485"/>
      <c r="DJ969" s="485"/>
      <c r="DK969" s="485"/>
      <c r="DL969" s="485"/>
      <c r="DM969" s="485"/>
      <c r="DN969" s="485"/>
      <c r="DO969" s="485"/>
      <c r="DP969" s="485"/>
      <c r="DQ969" s="485"/>
      <c r="DR969" s="485"/>
      <c r="DS969" s="485"/>
      <c r="DT969" s="485"/>
      <c r="DU969" s="485"/>
      <c r="DV969" s="485"/>
      <c r="DW969" s="485"/>
      <c r="DX969" s="485"/>
      <c r="DY969" s="485"/>
      <c r="DZ969" s="485"/>
      <c r="EA969" s="485"/>
      <c r="EB969" s="485"/>
      <c r="EC969" s="485"/>
      <c r="ED969" s="485"/>
      <c r="EE969" s="485"/>
      <c r="EF969" s="485"/>
      <c r="EG969" s="485"/>
      <c r="EH969" s="485"/>
      <c r="EI969" s="485"/>
      <c r="EJ969" s="485"/>
      <c r="EK969" s="485"/>
      <c r="EL969" s="485"/>
      <c r="EM969" s="485"/>
      <c r="EN969" s="485"/>
      <c r="EO969" s="485"/>
      <c r="EP969" s="485"/>
    </row>
    <row r="970" spans="1:146">
      <c r="A970" s="485"/>
      <c r="B970" s="485"/>
      <c r="C970" s="485"/>
      <c r="D970" s="485"/>
      <c r="E970" s="485"/>
      <c r="F970" s="485"/>
      <c r="G970" s="485"/>
      <c r="H970" s="485"/>
      <c r="I970" s="485"/>
      <c r="J970" s="485"/>
      <c r="K970" s="485"/>
      <c r="L970" s="485"/>
      <c r="M970" s="485"/>
      <c r="P970" s="485"/>
      <c r="Q970" s="485"/>
      <c r="R970" s="485"/>
      <c r="S970" s="485"/>
      <c r="T970" s="485"/>
      <c r="U970" s="485"/>
      <c r="V970" s="485"/>
      <c r="W970" s="485"/>
      <c r="X970" s="485"/>
      <c r="Y970" s="485"/>
      <c r="Z970" s="485"/>
      <c r="AA970" s="485"/>
      <c r="AB970" s="485"/>
      <c r="AC970" s="485"/>
      <c r="AD970" s="485"/>
      <c r="AE970" s="485"/>
      <c r="AF970" s="485"/>
      <c r="AG970" s="485"/>
      <c r="AH970" s="485"/>
      <c r="AI970" s="485"/>
      <c r="AJ970" s="485"/>
      <c r="AK970" s="485"/>
      <c r="AL970" s="485"/>
      <c r="AM970" s="485"/>
      <c r="AN970" s="485"/>
      <c r="AO970" s="485"/>
      <c r="AP970" s="485"/>
      <c r="AQ970" s="485"/>
      <c r="AR970" s="485"/>
      <c r="AS970" s="485"/>
      <c r="AT970" s="485"/>
      <c r="AU970" s="485"/>
      <c r="AV970" s="485"/>
      <c r="AW970" s="485"/>
      <c r="AX970" s="485"/>
      <c r="AY970" s="485"/>
      <c r="AZ970" s="485"/>
      <c r="BA970" s="485"/>
      <c r="BB970" s="485"/>
      <c r="BC970" s="485"/>
      <c r="BD970" s="485"/>
      <c r="BE970" s="485"/>
      <c r="BF970" s="485"/>
      <c r="BG970" s="485"/>
      <c r="BH970" s="485"/>
      <c r="BI970" s="485"/>
      <c r="BJ970" s="485"/>
      <c r="BK970" s="485"/>
      <c r="BL970" s="485"/>
      <c r="BM970" s="485"/>
      <c r="BN970" s="485"/>
      <c r="BO970" s="485"/>
      <c r="BP970" s="485"/>
      <c r="BQ970" s="485"/>
      <c r="BR970" s="485"/>
      <c r="BS970" s="485"/>
      <c r="BT970" s="485"/>
      <c r="BU970" s="485"/>
      <c r="BV970" s="485"/>
      <c r="BW970" s="485"/>
      <c r="BX970" s="485"/>
      <c r="BY970" s="485"/>
      <c r="BZ970" s="485"/>
      <c r="CA970" s="485"/>
      <c r="CB970" s="485"/>
      <c r="CC970" s="485"/>
      <c r="CD970" s="485"/>
      <c r="CE970" s="485"/>
      <c r="CF970" s="485"/>
      <c r="CG970" s="485"/>
      <c r="CH970" s="485"/>
      <c r="CI970" s="485"/>
      <c r="CJ970" s="485"/>
      <c r="CK970" s="485"/>
      <c r="CL970" s="485"/>
      <c r="CM970" s="485"/>
      <c r="CN970" s="485"/>
      <c r="CO970" s="485"/>
      <c r="CP970" s="485"/>
      <c r="CQ970" s="485"/>
      <c r="CR970" s="485"/>
      <c r="CS970" s="485"/>
      <c r="CT970" s="485"/>
      <c r="CU970" s="485"/>
      <c r="CV970" s="485"/>
      <c r="CW970" s="485"/>
      <c r="CX970" s="485"/>
      <c r="CY970" s="485"/>
      <c r="CZ970" s="485"/>
      <c r="DA970" s="485"/>
      <c r="DB970" s="485"/>
      <c r="DC970" s="485"/>
      <c r="DD970" s="485"/>
      <c r="DE970" s="485"/>
      <c r="DF970" s="485"/>
      <c r="DG970" s="485"/>
      <c r="DH970" s="485"/>
      <c r="DI970" s="485"/>
      <c r="DJ970" s="485"/>
      <c r="DK970" s="485"/>
      <c r="DL970" s="485"/>
      <c r="DM970" s="485"/>
      <c r="DN970" s="485"/>
      <c r="DO970" s="485"/>
      <c r="DP970" s="485"/>
      <c r="DQ970" s="485"/>
      <c r="DR970" s="485"/>
      <c r="DS970" s="485"/>
      <c r="DT970" s="485"/>
      <c r="DU970" s="485"/>
      <c r="DV970" s="485"/>
      <c r="DW970" s="485"/>
      <c r="DX970" s="485"/>
      <c r="DY970" s="485"/>
      <c r="DZ970" s="485"/>
      <c r="EA970" s="485"/>
      <c r="EB970" s="485"/>
      <c r="EC970" s="485"/>
      <c r="ED970" s="485"/>
      <c r="EE970" s="485"/>
      <c r="EF970" s="485"/>
      <c r="EG970" s="485"/>
      <c r="EH970" s="485"/>
      <c r="EI970" s="485"/>
      <c r="EJ970" s="485"/>
      <c r="EK970" s="485"/>
      <c r="EL970" s="485"/>
      <c r="EM970" s="485"/>
      <c r="EN970" s="485"/>
      <c r="EO970" s="485"/>
      <c r="EP970" s="485"/>
    </row>
    <row r="971" spans="1:146">
      <c r="A971" s="485"/>
      <c r="B971" s="485"/>
      <c r="C971" s="485"/>
      <c r="D971" s="485"/>
      <c r="E971" s="485"/>
      <c r="F971" s="485"/>
      <c r="G971" s="485"/>
      <c r="H971" s="485"/>
      <c r="I971" s="485"/>
      <c r="J971" s="485"/>
      <c r="K971" s="485"/>
      <c r="L971" s="485"/>
      <c r="M971" s="485"/>
      <c r="P971" s="485"/>
      <c r="Q971" s="485"/>
      <c r="R971" s="485"/>
      <c r="S971" s="485"/>
      <c r="T971" s="485"/>
      <c r="U971" s="485"/>
      <c r="V971" s="485"/>
      <c r="W971" s="485"/>
      <c r="X971" s="485"/>
      <c r="Y971" s="485"/>
      <c r="Z971" s="485"/>
      <c r="AA971" s="485"/>
      <c r="AB971" s="485"/>
      <c r="AC971" s="485"/>
      <c r="AD971" s="485"/>
      <c r="AE971" s="485"/>
      <c r="AF971" s="485"/>
      <c r="AG971" s="485"/>
      <c r="AH971" s="485"/>
      <c r="AI971" s="485"/>
      <c r="AJ971" s="485"/>
      <c r="AK971" s="485"/>
      <c r="AL971" s="485"/>
      <c r="AM971" s="485"/>
      <c r="AN971" s="485"/>
      <c r="AO971" s="485"/>
      <c r="AP971" s="485"/>
      <c r="AQ971" s="485"/>
      <c r="AR971" s="485"/>
      <c r="AS971" s="485"/>
      <c r="AT971" s="485"/>
      <c r="AU971" s="485"/>
      <c r="AV971" s="485"/>
      <c r="AW971" s="485"/>
      <c r="AX971" s="485"/>
      <c r="AY971" s="485"/>
      <c r="AZ971" s="485"/>
      <c r="BA971" s="485"/>
      <c r="BB971" s="485"/>
      <c r="BC971" s="485"/>
      <c r="BD971" s="485"/>
      <c r="BE971" s="485"/>
      <c r="BF971" s="485"/>
      <c r="BG971" s="485"/>
      <c r="BH971" s="485"/>
      <c r="BI971" s="485"/>
      <c r="BJ971" s="485"/>
      <c r="BK971" s="485"/>
      <c r="BL971" s="485"/>
      <c r="BM971" s="485"/>
      <c r="BN971" s="485"/>
      <c r="BO971" s="485"/>
      <c r="BP971" s="485"/>
      <c r="BQ971" s="485"/>
      <c r="BR971" s="485"/>
      <c r="BS971" s="485"/>
      <c r="BT971" s="485"/>
      <c r="BU971" s="485"/>
      <c r="BV971" s="485"/>
      <c r="BW971" s="485"/>
      <c r="BX971" s="485"/>
      <c r="BY971" s="485"/>
      <c r="BZ971" s="485"/>
      <c r="CA971" s="485"/>
      <c r="CB971" s="485"/>
      <c r="CC971" s="485"/>
      <c r="CD971" s="485"/>
      <c r="CE971" s="485"/>
      <c r="CF971" s="485"/>
      <c r="CG971" s="485"/>
      <c r="CH971" s="485"/>
      <c r="CI971" s="485"/>
      <c r="CJ971" s="485"/>
      <c r="CK971" s="485"/>
      <c r="CL971" s="485"/>
      <c r="CM971" s="485"/>
      <c r="CN971" s="485"/>
      <c r="CO971" s="485"/>
      <c r="CP971" s="485"/>
      <c r="CQ971" s="485"/>
      <c r="CR971" s="485"/>
      <c r="CS971" s="485"/>
      <c r="CT971" s="485"/>
      <c r="CU971" s="485"/>
      <c r="CV971" s="485"/>
      <c r="CW971" s="485"/>
      <c r="CX971" s="485"/>
      <c r="CY971" s="485"/>
      <c r="CZ971" s="485"/>
      <c r="DA971" s="485"/>
      <c r="DB971" s="485"/>
      <c r="DC971" s="485"/>
      <c r="DD971" s="485"/>
      <c r="DE971" s="485"/>
      <c r="DF971" s="485"/>
      <c r="DG971" s="485"/>
      <c r="DH971" s="485"/>
      <c r="DI971" s="485"/>
      <c r="DJ971" s="485"/>
      <c r="DK971" s="485"/>
      <c r="DL971" s="485"/>
      <c r="DM971" s="485"/>
      <c r="DN971" s="485"/>
      <c r="DO971" s="485"/>
      <c r="DP971" s="485"/>
      <c r="DQ971" s="485"/>
      <c r="DR971" s="485"/>
      <c r="DS971" s="485"/>
      <c r="DT971" s="485"/>
      <c r="DU971" s="485"/>
      <c r="DV971" s="485"/>
      <c r="DW971" s="485"/>
      <c r="DX971" s="485"/>
      <c r="DY971" s="485"/>
      <c r="DZ971" s="485"/>
      <c r="EA971" s="485"/>
      <c r="EB971" s="485"/>
      <c r="EC971" s="485"/>
      <c r="ED971" s="485"/>
      <c r="EE971" s="485"/>
      <c r="EF971" s="485"/>
      <c r="EG971" s="485"/>
      <c r="EH971" s="485"/>
      <c r="EI971" s="485"/>
      <c r="EJ971" s="485"/>
      <c r="EK971" s="485"/>
      <c r="EL971" s="485"/>
      <c r="EM971" s="485"/>
      <c r="EN971" s="485"/>
      <c r="EO971" s="485"/>
      <c r="EP971" s="485"/>
    </row>
    <row r="972" spans="1:146">
      <c r="A972" s="485"/>
      <c r="B972" s="485"/>
      <c r="C972" s="485"/>
      <c r="D972" s="485"/>
      <c r="E972" s="485"/>
      <c r="F972" s="485"/>
      <c r="G972" s="485"/>
      <c r="H972" s="485"/>
      <c r="I972" s="485"/>
      <c r="J972" s="485"/>
      <c r="K972" s="485"/>
      <c r="L972" s="485"/>
      <c r="M972" s="485"/>
      <c r="P972" s="485"/>
      <c r="Q972" s="485"/>
      <c r="R972" s="485"/>
      <c r="S972" s="485"/>
      <c r="T972" s="485"/>
      <c r="U972" s="485"/>
      <c r="V972" s="485"/>
      <c r="W972" s="485"/>
      <c r="X972" s="485"/>
      <c r="Y972" s="485"/>
      <c r="Z972" s="485"/>
      <c r="AA972" s="485"/>
      <c r="AB972" s="485"/>
      <c r="AC972" s="485"/>
      <c r="AD972" s="485"/>
      <c r="AE972" s="485"/>
      <c r="AF972" s="485"/>
      <c r="AG972" s="485"/>
      <c r="AH972" s="485"/>
      <c r="AI972" s="485"/>
      <c r="AJ972" s="485"/>
      <c r="AK972" s="485"/>
      <c r="AL972" s="485"/>
      <c r="AM972" s="485"/>
      <c r="AN972" s="485"/>
      <c r="AO972" s="485"/>
      <c r="AP972" s="485"/>
      <c r="AQ972" s="485"/>
      <c r="AR972" s="485"/>
      <c r="AS972" s="485"/>
      <c r="AT972" s="485"/>
      <c r="AU972" s="485"/>
      <c r="AV972" s="485"/>
      <c r="AW972" s="485"/>
      <c r="AX972" s="485"/>
      <c r="AY972" s="485"/>
      <c r="AZ972" s="485"/>
      <c r="BA972" s="485"/>
      <c r="BB972" s="485"/>
      <c r="BC972" s="485"/>
      <c r="BD972" s="485"/>
      <c r="BE972" s="485"/>
      <c r="BF972" s="485"/>
      <c r="BG972" s="485"/>
      <c r="BH972" s="485"/>
      <c r="BI972" s="485"/>
      <c r="BJ972" s="485"/>
      <c r="BK972" s="485"/>
      <c r="BL972" s="485"/>
      <c r="BM972" s="485"/>
      <c r="BN972" s="485"/>
      <c r="BO972" s="485"/>
      <c r="BP972" s="485"/>
      <c r="BQ972" s="485"/>
      <c r="BR972" s="485"/>
      <c r="BS972" s="485"/>
      <c r="BT972" s="485"/>
      <c r="BU972" s="485"/>
      <c r="BV972" s="485"/>
      <c r="BW972" s="485"/>
      <c r="BX972" s="485"/>
      <c r="BY972" s="485"/>
      <c r="BZ972" s="485"/>
      <c r="CA972" s="485"/>
      <c r="CB972" s="485"/>
      <c r="CC972" s="485"/>
      <c r="CD972" s="485"/>
      <c r="CE972" s="485"/>
      <c r="CF972" s="485"/>
      <c r="CG972" s="485"/>
      <c r="CH972" s="485"/>
      <c r="CI972" s="485"/>
      <c r="CJ972" s="485"/>
      <c r="CK972" s="485"/>
      <c r="CL972" s="485"/>
      <c r="CM972" s="485"/>
      <c r="CN972" s="485"/>
      <c r="CO972" s="485"/>
      <c r="CP972" s="485"/>
      <c r="CQ972" s="485"/>
      <c r="CR972" s="485"/>
      <c r="CS972" s="485"/>
      <c r="CT972" s="485"/>
      <c r="CU972" s="485"/>
      <c r="CV972" s="485"/>
      <c r="CW972" s="485"/>
      <c r="CX972" s="485"/>
      <c r="CY972" s="485"/>
      <c r="CZ972" s="485"/>
      <c r="DA972" s="485"/>
      <c r="DB972" s="485"/>
      <c r="DC972" s="485"/>
      <c r="DD972" s="485"/>
      <c r="DE972" s="485"/>
      <c r="DF972" s="485"/>
      <c r="DG972" s="485"/>
      <c r="DH972" s="485"/>
      <c r="DI972" s="485"/>
      <c r="DJ972" s="485"/>
      <c r="DK972" s="485"/>
      <c r="DL972" s="485"/>
      <c r="DM972" s="485"/>
      <c r="DN972" s="485"/>
      <c r="DO972" s="485"/>
      <c r="DP972" s="485"/>
      <c r="DQ972" s="485"/>
      <c r="DR972" s="485"/>
      <c r="DS972" s="485"/>
      <c r="DT972" s="485"/>
      <c r="DU972" s="485"/>
      <c r="DV972" s="485"/>
      <c r="DW972" s="485"/>
      <c r="DX972" s="485"/>
      <c r="DY972" s="485"/>
      <c r="DZ972" s="485"/>
      <c r="EA972" s="485"/>
      <c r="EB972" s="485"/>
      <c r="EC972" s="485"/>
      <c r="ED972" s="485"/>
      <c r="EE972" s="485"/>
      <c r="EF972" s="485"/>
      <c r="EG972" s="485"/>
      <c r="EH972" s="485"/>
      <c r="EI972" s="485"/>
      <c r="EJ972" s="485"/>
      <c r="EK972" s="485"/>
      <c r="EL972" s="485"/>
      <c r="EM972" s="485"/>
      <c r="EN972" s="485"/>
      <c r="EO972" s="485"/>
      <c r="EP972" s="485"/>
    </row>
    <row r="973" spans="1:146">
      <c r="A973" s="485"/>
      <c r="B973" s="485"/>
      <c r="C973" s="485"/>
      <c r="D973" s="485"/>
      <c r="E973" s="485"/>
      <c r="F973" s="485"/>
      <c r="G973" s="485"/>
      <c r="H973" s="485"/>
      <c r="I973" s="485"/>
      <c r="J973" s="485"/>
      <c r="K973" s="485"/>
      <c r="L973" s="485"/>
      <c r="M973" s="485"/>
      <c r="P973" s="485"/>
      <c r="Q973" s="485"/>
      <c r="R973" s="485"/>
      <c r="S973" s="485"/>
      <c r="T973" s="485"/>
      <c r="U973" s="485"/>
      <c r="V973" s="485"/>
      <c r="W973" s="485"/>
      <c r="X973" s="485"/>
      <c r="Y973" s="485"/>
      <c r="Z973" s="485"/>
      <c r="AA973" s="485"/>
      <c r="AB973" s="485"/>
      <c r="AC973" s="485"/>
      <c r="AD973" s="485"/>
      <c r="AE973" s="485"/>
      <c r="AF973" s="485"/>
      <c r="AG973" s="485"/>
      <c r="AH973" s="485"/>
      <c r="AI973" s="485"/>
      <c r="AJ973" s="485"/>
      <c r="AK973" s="485"/>
      <c r="AL973" s="485"/>
      <c r="AM973" s="485"/>
      <c r="AN973" s="485"/>
      <c r="AO973" s="485"/>
      <c r="AP973" s="485"/>
      <c r="AQ973" s="485"/>
      <c r="AR973" s="485"/>
      <c r="AS973" s="485"/>
      <c r="AT973" s="485"/>
      <c r="AU973" s="485"/>
      <c r="AV973" s="485"/>
      <c r="AW973" s="485"/>
      <c r="AX973" s="485"/>
      <c r="AY973" s="485"/>
      <c r="AZ973" s="485"/>
      <c r="BA973" s="485"/>
      <c r="BB973" s="485"/>
      <c r="BC973" s="485"/>
      <c r="BD973" s="485"/>
      <c r="BE973" s="485"/>
      <c r="BF973" s="485"/>
      <c r="BG973" s="485"/>
      <c r="BH973" s="485"/>
      <c r="BI973" s="485"/>
      <c r="BJ973" s="485"/>
      <c r="BK973" s="485"/>
      <c r="BL973" s="485"/>
      <c r="BM973" s="485"/>
      <c r="BN973" s="485"/>
      <c r="BO973" s="485"/>
      <c r="BP973" s="485"/>
      <c r="BQ973" s="485"/>
      <c r="BR973" s="485"/>
      <c r="BS973" s="485"/>
      <c r="BT973" s="485"/>
      <c r="BU973" s="485"/>
      <c r="BV973" s="485"/>
      <c r="BW973" s="485"/>
      <c r="BX973" s="485"/>
      <c r="BY973" s="485"/>
      <c r="BZ973" s="485"/>
      <c r="CA973" s="485"/>
      <c r="CB973" s="485"/>
      <c r="CC973" s="485"/>
      <c r="CD973" s="485"/>
      <c r="CE973" s="485"/>
      <c r="CF973" s="485"/>
      <c r="CG973" s="485"/>
      <c r="CH973" s="485"/>
      <c r="CI973" s="485"/>
      <c r="CJ973" s="485"/>
      <c r="CK973" s="485"/>
      <c r="CL973" s="485"/>
      <c r="CM973" s="485"/>
      <c r="CN973" s="485"/>
      <c r="CO973" s="485"/>
      <c r="CP973" s="485"/>
      <c r="CQ973" s="485"/>
      <c r="CR973" s="485"/>
      <c r="CS973" s="485"/>
      <c r="CT973" s="485"/>
      <c r="CU973" s="485"/>
      <c r="CV973" s="485"/>
      <c r="CW973" s="485"/>
      <c r="CX973" s="485"/>
      <c r="CY973" s="485"/>
      <c r="CZ973" s="485"/>
      <c r="DA973" s="485"/>
      <c r="DB973" s="485"/>
      <c r="DC973" s="485"/>
      <c r="DD973" s="485"/>
      <c r="DE973" s="485"/>
      <c r="DF973" s="485"/>
      <c r="DG973" s="485"/>
      <c r="DH973" s="485"/>
      <c r="DI973" s="485"/>
      <c r="DJ973" s="485"/>
      <c r="DK973" s="485"/>
      <c r="DL973" s="485"/>
      <c r="DM973" s="485"/>
      <c r="DN973" s="485"/>
      <c r="DO973" s="485"/>
      <c r="DP973" s="485"/>
      <c r="DQ973" s="485"/>
      <c r="DR973" s="485"/>
      <c r="DS973" s="485"/>
      <c r="DT973" s="485"/>
      <c r="DU973" s="485"/>
      <c r="DV973" s="485"/>
      <c r="DW973" s="485"/>
      <c r="DX973" s="485"/>
      <c r="DY973" s="485"/>
      <c r="DZ973" s="485"/>
      <c r="EA973" s="485"/>
      <c r="EB973" s="485"/>
      <c r="EC973" s="485"/>
      <c r="ED973" s="485"/>
      <c r="EE973" s="485"/>
      <c r="EF973" s="485"/>
      <c r="EG973" s="485"/>
      <c r="EH973" s="485"/>
      <c r="EI973" s="485"/>
      <c r="EJ973" s="485"/>
      <c r="EK973" s="485"/>
      <c r="EL973" s="485"/>
      <c r="EM973" s="485"/>
      <c r="EN973" s="485"/>
      <c r="EO973" s="485"/>
      <c r="EP973" s="485"/>
    </row>
    <row r="974" spans="1:146">
      <c r="A974" s="485"/>
      <c r="B974" s="485"/>
      <c r="C974" s="485"/>
      <c r="D974" s="485"/>
      <c r="E974" s="485"/>
      <c r="F974" s="485"/>
      <c r="G974" s="485"/>
      <c r="H974" s="485"/>
      <c r="I974" s="485"/>
      <c r="J974" s="485"/>
      <c r="K974" s="485"/>
      <c r="L974" s="485"/>
      <c r="M974" s="485"/>
      <c r="P974" s="485"/>
      <c r="Q974" s="485"/>
      <c r="R974" s="485"/>
      <c r="S974" s="485"/>
      <c r="T974" s="485"/>
      <c r="U974" s="485"/>
      <c r="V974" s="485"/>
      <c r="W974" s="485"/>
      <c r="X974" s="485"/>
      <c r="Y974" s="485"/>
      <c r="Z974" s="485"/>
      <c r="AA974" s="485"/>
      <c r="AB974" s="485"/>
      <c r="AC974" s="485"/>
      <c r="AD974" s="485"/>
      <c r="AE974" s="485"/>
      <c r="AF974" s="485"/>
      <c r="AG974" s="485"/>
      <c r="AH974" s="485"/>
      <c r="AI974" s="485"/>
      <c r="AJ974" s="485"/>
      <c r="AK974" s="485"/>
      <c r="AL974" s="485"/>
      <c r="AM974" s="485"/>
      <c r="AN974" s="485"/>
      <c r="AO974" s="485"/>
      <c r="AP974" s="485"/>
      <c r="AQ974" s="485"/>
      <c r="AR974" s="485"/>
      <c r="AS974" s="485"/>
      <c r="AT974" s="485"/>
      <c r="AU974" s="485"/>
      <c r="AV974" s="485"/>
      <c r="AW974" s="485"/>
      <c r="AX974" s="485"/>
      <c r="AY974" s="485"/>
      <c r="AZ974" s="485"/>
      <c r="BA974" s="485"/>
      <c r="BB974" s="485"/>
      <c r="BC974" s="485"/>
      <c r="BD974" s="485"/>
      <c r="BE974" s="485"/>
      <c r="BF974" s="485"/>
      <c r="BG974" s="485"/>
      <c r="BH974" s="485"/>
      <c r="BI974" s="485"/>
      <c r="BJ974" s="485"/>
      <c r="BK974" s="485"/>
      <c r="BL974" s="485"/>
      <c r="BM974" s="485"/>
      <c r="BN974" s="485"/>
      <c r="BO974" s="485"/>
      <c r="BP974" s="485"/>
      <c r="BQ974" s="485"/>
      <c r="BR974" s="485"/>
      <c r="BS974" s="485"/>
      <c r="BT974" s="485"/>
      <c r="BU974" s="485"/>
      <c r="BV974" s="485"/>
      <c r="BW974" s="485"/>
      <c r="BX974" s="485"/>
      <c r="BY974" s="485"/>
      <c r="BZ974" s="485"/>
      <c r="CA974" s="485"/>
      <c r="CB974" s="485"/>
      <c r="CC974" s="485"/>
      <c r="CD974" s="485"/>
      <c r="CE974" s="485"/>
      <c r="CF974" s="485"/>
      <c r="CG974" s="485"/>
      <c r="CH974" s="485"/>
      <c r="CI974" s="485"/>
      <c r="CJ974" s="485"/>
      <c r="CK974" s="485"/>
      <c r="CL974" s="485"/>
      <c r="CM974" s="485"/>
      <c r="CN974" s="485"/>
      <c r="CO974" s="485"/>
      <c r="CP974" s="485"/>
      <c r="CQ974" s="485"/>
      <c r="CR974" s="485"/>
      <c r="CS974" s="485"/>
      <c r="CT974" s="485"/>
      <c r="CU974" s="485"/>
      <c r="CV974" s="485"/>
      <c r="CW974" s="485"/>
      <c r="CX974" s="485"/>
      <c r="CY974" s="485"/>
      <c r="CZ974" s="485"/>
      <c r="DA974" s="485"/>
      <c r="DB974" s="485"/>
      <c r="DC974" s="485"/>
      <c r="DD974" s="485"/>
      <c r="DE974" s="485"/>
      <c r="DF974" s="485"/>
      <c r="DG974" s="485"/>
      <c r="DH974" s="485"/>
      <c r="DI974" s="485"/>
      <c r="DJ974" s="485"/>
      <c r="DK974" s="485"/>
      <c r="DL974" s="485"/>
      <c r="DM974" s="485"/>
      <c r="DN974" s="485"/>
      <c r="DO974" s="485"/>
      <c r="DP974" s="485"/>
      <c r="DQ974" s="485"/>
      <c r="DR974" s="485"/>
      <c r="DS974" s="485"/>
      <c r="DT974" s="485"/>
      <c r="DU974" s="485"/>
      <c r="DV974" s="485"/>
      <c r="DW974" s="485"/>
      <c r="DX974" s="485"/>
      <c r="DY974" s="485"/>
      <c r="DZ974" s="485"/>
      <c r="EA974" s="485"/>
      <c r="EB974" s="485"/>
      <c r="EC974" s="485"/>
      <c r="ED974" s="485"/>
      <c r="EE974" s="485"/>
      <c r="EF974" s="485"/>
      <c r="EG974" s="485"/>
      <c r="EH974" s="485"/>
      <c r="EI974" s="485"/>
      <c r="EJ974" s="485"/>
      <c r="EK974" s="485"/>
      <c r="EL974" s="485"/>
      <c r="EM974" s="485"/>
      <c r="EN974" s="485"/>
      <c r="EO974" s="485"/>
      <c r="EP974" s="485"/>
    </row>
    <row r="975" spans="1:146">
      <c r="A975" s="485"/>
      <c r="B975" s="485"/>
      <c r="C975" s="485"/>
      <c r="D975" s="485"/>
      <c r="E975" s="485"/>
      <c r="F975" s="485"/>
      <c r="G975" s="485"/>
      <c r="H975" s="485"/>
      <c r="I975" s="485"/>
      <c r="J975" s="485"/>
      <c r="K975" s="485"/>
      <c r="L975" s="485"/>
      <c r="M975" s="485"/>
      <c r="P975" s="485"/>
      <c r="Q975" s="485"/>
      <c r="R975" s="485"/>
      <c r="S975" s="485"/>
      <c r="T975" s="485"/>
      <c r="U975" s="485"/>
      <c r="V975" s="485"/>
      <c r="W975" s="485"/>
      <c r="X975" s="485"/>
      <c r="Y975" s="485"/>
      <c r="Z975" s="485"/>
      <c r="AA975" s="485"/>
      <c r="AB975" s="485"/>
      <c r="AC975" s="485"/>
      <c r="AD975" s="485"/>
      <c r="AE975" s="485"/>
      <c r="AF975" s="485"/>
      <c r="AG975" s="485"/>
      <c r="AH975" s="485"/>
      <c r="AI975" s="485"/>
      <c r="AJ975" s="485"/>
      <c r="AK975" s="485"/>
      <c r="AL975" s="485"/>
      <c r="AM975" s="485"/>
      <c r="AN975" s="485"/>
      <c r="AO975" s="485"/>
      <c r="AP975" s="485"/>
      <c r="AQ975" s="485"/>
      <c r="AR975" s="485"/>
      <c r="AS975" s="485"/>
      <c r="AT975" s="485"/>
      <c r="AU975" s="485"/>
      <c r="AV975" s="485"/>
      <c r="AW975" s="485"/>
      <c r="AX975" s="485"/>
      <c r="AY975" s="485"/>
      <c r="AZ975" s="485"/>
      <c r="BA975" s="485"/>
      <c r="BB975" s="485"/>
      <c r="BC975" s="485"/>
      <c r="BD975" s="485"/>
      <c r="BE975" s="485"/>
      <c r="BF975" s="485"/>
      <c r="BG975" s="485"/>
      <c r="BH975" s="485"/>
      <c r="BI975" s="485"/>
      <c r="BJ975" s="485"/>
      <c r="BK975" s="485"/>
      <c r="BL975" s="485"/>
      <c r="BM975" s="485"/>
      <c r="BN975" s="485"/>
      <c r="BO975" s="485"/>
      <c r="BP975" s="485"/>
      <c r="BQ975" s="485"/>
      <c r="BR975" s="485"/>
      <c r="BS975" s="485"/>
      <c r="BT975" s="485"/>
      <c r="BU975" s="485"/>
      <c r="BV975" s="485"/>
      <c r="BW975" s="485"/>
      <c r="BX975" s="485"/>
      <c r="BY975" s="485"/>
      <c r="BZ975" s="485"/>
      <c r="CA975" s="485"/>
      <c r="CB975" s="485"/>
      <c r="CC975" s="485"/>
      <c r="CD975" s="485"/>
      <c r="CE975" s="485"/>
      <c r="CF975" s="485"/>
      <c r="CG975" s="485"/>
      <c r="CH975" s="485"/>
      <c r="CI975" s="485"/>
      <c r="CJ975" s="485"/>
      <c r="CK975" s="485"/>
      <c r="CL975" s="485"/>
      <c r="CM975" s="485"/>
      <c r="CN975" s="485"/>
      <c r="CO975" s="485"/>
      <c r="CP975" s="485"/>
      <c r="CQ975" s="485"/>
      <c r="CR975" s="485"/>
      <c r="CS975" s="485"/>
      <c r="CT975" s="485"/>
      <c r="CU975" s="485"/>
      <c r="CV975" s="485"/>
      <c r="CW975" s="485"/>
      <c r="CX975" s="485"/>
      <c r="CY975" s="485"/>
      <c r="CZ975" s="485"/>
      <c r="DA975" s="485"/>
      <c r="DB975" s="485"/>
      <c r="DC975" s="485"/>
      <c r="DD975" s="485"/>
      <c r="DE975" s="485"/>
      <c r="DF975" s="485"/>
      <c r="DG975" s="485"/>
      <c r="DH975" s="485"/>
      <c r="DI975" s="485"/>
      <c r="DJ975" s="485"/>
      <c r="DK975" s="485"/>
      <c r="DL975" s="485"/>
      <c r="DM975" s="485"/>
      <c r="DN975" s="485"/>
      <c r="DO975" s="485"/>
      <c r="DP975" s="485"/>
      <c r="DQ975" s="485"/>
      <c r="DR975" s="485"/>
      <c r="DS975" s="485"/>
      <c r="DT975" s="485"/>
      <c r="DU975" s="485"/>
      <c r="DV975" s="485"/>
      <c r="DW975" s="485"/>
      <c r="DX975" s="485"/>
      <c r="DY975" s="485"/>
      <c r="DZ975" s="485"/>
      <c r="EA975" s="485"/>
      <c r="EB975" s="485"/>
      <c r="EC975" s="485"/>
      <c r="ED975" s="485"/>
      <c r="EE975" s="485"/>
      <c r="EF975" s="485"/>
      <c r="EG975" s="485"/>
      <c r="EH975" s="485"/>
      <c r="EI975" s="485"/>
      <c r="EJ975" s="485"/>
      <c r="EK975" s="485"/>
      <c r="EL975" s="485"/>
      <c r="EM975" s="485"/>
      <c r="EN975" s="485"/>
      <c r="EO975" s="485"/>
      <c r="EP975" s="485"/>
    </row>
    <row r="976" spans="1:146">
      <c r="A976" s="485"/>
      <c r="B976" s="485"/>
      <c r="C976" s="485"/>
      <c r="D976" s="485"/>
      <c r="E976" s="485"/>
      <c r="F976" s="485"/>
      <c r="G976" s="485"/>
      <c r="H976" s="485"/>
      <c r="I976" s="485"/>
      <c r="J976" s="485"/>
      <c r="K976" s="485"/>
      <c r="L976" s="485"/>
      <c r="M976" s="485"/>
      <c r="P976" s="485"/>
      <c r="Q976" s="485"/>
      <c r="R976" s="485"/>
      <c r="S976" s="485"/>
      <c r="T976" s="485"/>
      <c r="U976" s="485"/>
      <c r="V976" s="485"/>
      <c r="W976" s="485"/>
      <c r="X976" s="485"/>
      <c r="Y976" s="485"/>
      <c r="Z976" s="485"/>
      <c r="AA976" s="485"/>
      <c r="AB976" s="485"/>
      <c r="AC976" s="485"/>
      <c r="AD976" s="485"/>
      <c r="AE976" s="485"/>
      <c r="AF976" s="485"/>
      <c r="AG976" s="485"/>
      <c r="AH976" s="485"/>
      <c r="AI976" s="485"/>
      <c r="AJ976" s="485"/>
      <c r="AK976" s="485"/>
      <c r="AL976" s="485"/>
      <c r="AM976" s="485"/>
      <c r="AN976" s="485"/>
      <c r="AO976" s="485"/>
      <c r="AP976" s="485"/>
      <c r="AQ976" s="485"/>
      <c r="AR976" s="485"/>
      <c r="AS976" s="485"/>
      <c r="AT976" s="485"/>
      <c r="AU976" s="485"/>
      <c r="AV976" s="485"/>
      <c r="AW976" s="485"/>
      <c r="AX976" s="485"/>
      <c r="AY976" s="485"/>
      <c r="AZ976" s="485"/>
      <c r="BA976" s="485"/>
      <c r="BB976" s="485"/>
      <c r="BC976" s="485"/>
      <c r="BD976" s="485"/>
      <c r="BE976" s="485"/>
      <c r="BF976" s="485"/>
      <c r="BG976" s="485"/>
      <c r="BH976" s="485"/>
      <c r="BI976" s="485"/>
      <c r="BJ976" s="485"/>
      <c r="BK976" s="485"/>
      <c r="BL976" s="485"/>
      <c r="BM976" s="485"/>
      <c r="BN976" s="485"/>
      <c r="BO976" s="485"/>
      <c r="BP976" s="485"/>
      <c r="BQ976" s="485"/>
      <c r="BR976" s="485"/>
      <c r="BS976" s="485"/>
      <c r="BT976" s="485"/>
      <c r="BU976" s="485"/>
      <c r="BV976" s="485"/>
      <c r="BW976" s="485"/>
      <c r="BX976" s="485"/>
      <c r="BY976" s="485"/>
      <c r="BZ976" s="485"/>
      <c r="CA976" s="485"/>
      <c r="CB976" s="485"/>
      <c r="CC976" s="485"/>
      <c r="CD976" s="485"/>
      <c r="CE976" s="485"/>
      <c r="CF976" s="485"/>
      <c r="CG976" s="485"/>
      <c r="CH976" s="485"/>
      <c r="CI976" s="485"/>
      <c r="CJ976" s="485"/>
      <c r="CK976" s="485"/>
      <c r="CL976" s="485"/>
      <c r="CM976" s="485"/>
      <c r="CN976" s="485"/>
      <c r="CO976" s="485"/>
      <c r="CP976" s="485"/>
      <c r="CQ976" s="485"/>
      <c r="CR976" s="485"/>
      <c r="CS976" s="485"/>
      <c r="CT976" s="485"/>
      <c r="CU976" s="485"/>
      <c r="CV976" s="485"/>
      <c r="CW976" s="485"/>
      <c r="CX976" s="485"/>
      <c r="CY976" s="485"/>
      <c r="CZ976" s="485"/>
      <c r="DA976" s="485"/>
      <c r="DB976" s="485"/>
      <c r="DC976" s="485"/>
      <c r="DD976" s="485"/>
      <c r="DE976" s="485"/>
      <c r="DF976" s="485"/>
      <c r="DG976" s="485"/>
      <c r="DH976" s="485"/>
      <c r="DI976" s="485"/>
      <c r="DJ976" s="485"/>
      <c r="DK976" s="485"/>
      <c r="DL976" s="485"/>
      <c r="DM976" s="485"/>
      <c r="DN976" s="485"/>
      <c r="DO976" s="485"/>
      <c r="DP976" s="485"/>
      <c r="DQ976" s="485"/>
      <c r="DR976" s="485"/>
      <c r="DS976" s="485"/>
      <c r="DT976" s="485"/>
      <c r="DU976" s="485"/>
      <c r="DV976" s="485"/>
      <c r="DW976" s="485"/>
      <c r="DX976" s="485"/>
      <c r="DY976" s="485"/>
      <c r="DZ976" s="485"/>
      <c r="EA976" s="485"/>
      <c r="EB976" s="485"/>
      <c r="EC976" s="485"/>
      <c r="ED976" s="485"/>
      <c r="EE976" s="485"/>
      <c r="EF976" s="485"/>
      <c r="EG976" s="485"/>
      <c r="EH976" s="485"/>
      <c r="EI976" s="485"/>
      <c r="EJ976" s="485"/>
      <c r="EK976" s="485"/>
      <c r="EL976" s="485"/>
      <c r="EM976" s="485"/>
      <c r="EN976" s="485"/>
      <c r="EO976" s="485"/>
      <c r="EP976" s="485"/>
    </row>
    <row r="977" spans="1:146">
      <c r="A977" s="485"/>
      <c r="B977" s="485"/>
      <c r="C977" s="485"/>
      <c r="D977" s="485"/>
      <c r="E977" s="485"/>
      <c r="F977" s="485"/>
      <c r="G977" s="485"/>
      <c r="H977" s="485"/>
      <c r="I977" s="485"/>
      <c r="J977" s="485"/>
      <c r="K977" s="485"/>
      <c r="L977" s="485"/>
      <c r="M977" s="485"/>
      <c r="P977" s="485"/>
      <c r="Q977" s="485"/>
      <c r="R977" s="485"/>
      <c r="S977" s="485"/>
      <c r="T977" s="485"/>
      <c r="U977" s="485"/>
      <c r="V977" s="485"/>
      <c r="W977" s="485"/>
      <c r="X977" s="485"/>
      <c r="Y977" s="485"/>
      <c r="Z977" s="485"/>
      <c r="AA977" s="485"/>
      <c r="AB977" s="485"/>
      <c r="AC977" s="485"/>
      <c r="AD977" s="485"/>
      <c r="AE977" s="485"/>
      <c r="AF977" s="485"/>
      <c r="AG977" s="485"/>
      <c r="AH977" s="485"/>
      <c r="AI977" s="485"/>
      <c r="AJ977" s="485"/>
      <c r="AK977" s="485"/>
      <c r="AL977" s="485"/>
      <c r="AM977" s="485"/>
      <c r="AN977" s="485"/>
      <c r="AO977" s="485"/>
      <c r="AP977" s="485"/>
      <c r="AQ977" s="485"/>
      <c r="AR977" s="485"/>
      <c r="AS977" s="485"/>
      <c r="AT977" s="485"/>
      <c r="AU977" s="485"/>
      <c r="AV977" s="485"/>
      <c r="AW977" s="485"/>
      <c r="AX977" s="485"/>
      <c r="AY977" s="485"/>
      <c r="AZ977" s="485"/>
      <c r="BA977" s="485"/>
      <c r="BB977" s="485"/>
      <c r="BC977" s="485"/>
      <c r="BD977" s="485"/>
      <c r="BE977" s="485"/>
      <c r="BF977" s="485"/>
      <c r="BG977" s="485"/>
      <c r="BH977" s="485"/>
      <c r="BI977" s="485"/>
      <c r="BJ977" s="485"/>
      <c r="BK977" s="485"/>
      <c r="BL977" s="485"/>
      <c r="BM977" s="485"/>
      <c r="BN977" s="485"/>
      <c r="BO977" s="485"/>
      <c r="BP977" s="485"/>
      <c r="BQ977" s="485"/>
      <c r="BR977" s="485"/>
      <c r="BS977" s="485"/>
      <c r="BT977" s="485"/>
      <c r="BU977" s="485"/>
      <c r="BV977" s="485"/>
      <c r="BW977" s="485"/>
      <c r="BX977" s="485"/>
      <c r="BY977" s="485"/>
      <c r="BZ977" s="485"/>
      <c r="CA977" s="485"/>
      <c r="CB977" s="485"/>
      <c r="CC977" s="485"/>
      <c r="CD977" s="485"/>
      <c r="CE977" s="485"/>
      <c r="CF977" s="485"/>
      <c r="CG977" s="485"/>
      <c r="CH977" s="485"/>
      <c r="CI977" s="485"/>
      <c r="CJ977" s="485"/>
      <c r="CK977" s="485"/>
      <c r="CL977" s="485"/>
      <c r="CM977" s="485"/>
      <c r="CN977" s="485"/>
      <c r="CO977" s="485"/>
      <c r="CP977" s="485"/>
      <c r="CQ977" s="485"/>
      <c r="CR977" s="485"/>
      <c r="CS977" s="485"/>
      <c r="CT977" s="485"/>
      <c r="CU977" s="485"/>
      <c r="CV977" s="485"/>
      <c r="CW977" s="485"/>
      <c r="CX977" s="485"/>
      <c r="CY977" s="485"/>
      <c r="CZ977" s="485"/>
      <c r="DA977" s="485"/>
      <c r="DB977" s="485"/>
      <c r="DC977" s="485"/>
      <c r="DD977" s="485"/>
      <c r="DE977" s="485"/>
      <c r="DF977" s="485"/>
      <c r="DG977" s="485"/>
      <c r="DH977" s="485"/>
      <c r="DI977" s="485"/>
      <c r="DJ977" s="485"/>
      <c r="DK977" s="485"/>
      <c r="DL977" s="485"/>
      <c r="DM977" s="485"/>
      <c r="DN977" s="485"/>
      <c r="DO977" s="485"/>
      <c r="DP977" s="485"/>
      <c r="DQ977" s="485"/>
      <c r="DR977" s="485"/>
      <c r="DS977" s="485"/>
      <c r="DT977" s="485"/>
      <c r="DU977" s="485"/>
      <c r="DV977" s="485"/>
      <c r="DW977" s="485"/>
      <c r="DX977" s="485"/>
      <c r="DY977" s="485"/>
      <c r="DZ977" s="485"/>
      <c r="EA977" s="485"/>
      <c r="EB977" s="485"/>
      <c r="EC977" s="485"/>
      <c r="ED977" s="485"/>
      <c r="EE977" s="485"/>
      <c r="EF977" s="485"/>
      <c r="EG977" s="485"/>
      <c r="EH977" s="485"/>
      <c r="EI977" s="485"/>
      <c r="EJ977" s="485"/>
      <c r="EK977" s="485"/>
      <c r="EL977" s="485"/>
      <c r="EM977" s="485"/>
      <c r="EN977" s="485"/>
      <c r="EO977" s="485"/>
      <c r="EP977" s="485"/>
    </row>
    <row r="978" spans="1:146">
      <c r="A978" s="485"/>
      <c r="B978" s="485"/>
      <c r="C978" s="485"/>
      <c r="D978" s="485"/>
      <c r="E978" s="485"/>
      <c r="F978" s="485"/>
      <c r="G978" s="485"/>
      <c r="H978" s="485"/>
      <c r="I978" s="485"/>
      <c r="J978" s="485"/>
      <c r="K978" s="485"/>
      <c r="L978" s="485"/>
      <c r="M978" s="485"/>
      <c r="P978" s="485"/>
      <c r="Q978" s="485"/>
      <c r="R978" s="485"/>
      <c r="S978" s="485"/>
      <c r="T978" s="485"/>
      <c r="U978" s="485"/>
      <c r="V978" s="485"/>
      <c r="W978" s="485"/>
      <c r="X978" s="485"/>
      <c r="Y978" s="485"/>
      <c r="Z978" s="485"/>
      <c r="AA978" s="485"/>
      <c r="AB978" s="485"/>
      <c r="AC978" s="485"/>
      <c r="AD978" s="485"/>
      <c r="AE978" s="485"/>
      <c r="AF978" s="485"/>
      <c r="AG978" s="485"/>
      <c r="AH978" s="485"/>
      <c r="AI978" s="485"/>
      <c r="AJ978" s="485"/>
      <c r="AK978" s="485"/>
      <c r="AL978" s="485"/>
      <c r="AM978" s="485"/>
      <c r="AN978" s="485"/>
      <c r="AO978" s="485"/>
      <c r="AP978" s="485"/>
      <c r="AQ978" s="485"/>
      <c r="AR978" s="485"/>
      <c r="AS978" s="485"/>
      <c r="AT978" s="485"/>
      <c r="AU978" s="485"/>
      <c r="AV978" s="485"/>
      <c r="AW978" s="485"/>
      <c r="AX978" s="485"/>
      <c r="AY978" s="485"/>
      <c r="AZ978" s="485"/>
      <c r="BA978" s="485"/>
      <c r="BB978" s="485"/>
      <c r="BC978" s="485"/>
      <c r="BD978" s="485"/>
      <c r="BE978" s="485"/>
      <c r="BF978" s="485"/>
      <c r="BG978" s="485"/>
      <c r="BH978" s="485"/>
      <c r="BI978" s="485"/>
      <c r="BJ978" s="485"/>
      <c r="BK978" s="485"/>
      <c r="BL978" s="485"/>
      <c r="BM978" s="485"/>
      <c r="BN978" s="485"/>
      <c r="BO978" s="485"/>
      <c r="BP978" s="485"/>
      <c r="BQ978" s="485"/>
      <c r="BR978" s="485"/>
      <c r="BS978" s="485"/>
      <c r="BT978" s="485"/>
      <c r="BU978" s="485"/>
      <c r="BV978" s="485"/>
      <c r="BW978" s="485"/>
      <c r="BX978" s="485"/>
      <c r="BY978" s="485"/>
      <c r="BZ978" s="485"/>
      <c r="CA978" s="485"/>
      <c r="CB978" s="485"/>
      <c r="CC978" s="485"/>
      <c r="CD978" s="485"/>
      <c r="CE978" s="485"/>
      <c r="CF978" s="485"/>
      <c r="CG978" s="485"/>
      <c r="CH978" s="485"/>
      <c r="CI978" s="485"/>
      <c r="CJ978" s="485"/>
      <c r="CK978" s="485"/>
      <c r="CL978" s="485"/>
      <c r="CM978" s="485"/>
      <c r="CN978" s="485"/>
      <c r="CO978" s="485"/>
      <c r="CP978" s="485"/>
      <c r="CQ978" s="485"/>
      <c r="CR978" s="485"/>
      <c r="CS978" s="485"/>
      <c r="CT978" s="485"/>
      <c r="CU978" s="485"/>
      <c r="CV978" s="485"/>
      <c r="CW978" s="485"/>
      <c r="CX978" s="485"/>
      <c r="CY978" s="485"/>
      <c r="CZ978" s="485"/>
      <c r="DA978" s="485"/>
      <c r="DB978" s="485"/>
      <c r="DC978" s="485"/>
      <c r="DD978" s="485"/>
      <c r="DE978" s="485"/>
      <c r="DF978" s="485"/>
      <c r="DG978" s="485"/>
      <c r="DH978" s="485"/>
      <c r="DI978" s="485"/>
      <c r="DJ978" s="485"/>
      <c r="DK978" s="485"/>
      <c r="DL978" s="485"/>
      <c r="DM978" s="485"/>
      <c r="DN978" s="485"/>
      <c r="DO978" s="485"/>
      <c r="DP978" s="485"/>
      <c r="DQ978" s="485"/>
      <c r="DR978" s="485"/>
      <c r="DS978" s="485"/>
      <c r="DT978" s="485"/>
      <c r="DU978" s="485"/>
      <c r="DV978" s="485"/>
      <c r="DW978" s="485"/>
      <c r="DX978" s="485"/>
      <c r="DY978" s="485"/>
      <c r="DZ978" s="485"/>
      <c r="EA978" s="485"/>
      <c r="EB978" s="485"/>
      <c r="EC978" s="485"/>
      <c r="ED978" s="485"/>
      <c r="EE978" s="485"/>
      <c r="EF978" s="485"/>
      <c r="EG978" s="485"/>
      <c r="EH978" s="485"/>
      <c r="EI978" s="485"/>
      <c r="EJ978" s="485"/>
      <c r="EK978" s="485"/>
      <c r="EL978" s="485"/>
      <c r="EM978" s="485"/>
      <c r="EN978" s="485"/>
      <c r="EO978" s="485"/>
      <c r="EP978" s="485"/>
    </row>
    <row r="979" spans="1:146">
      <c r="A979" s="485"/>
      <c r="B979" s="485"/>
      <c r="C979" s="485"/>
      <c r="D979" s="485"/>
      <c r="E979" s="485"/>
      <c r="F979" s="485"/>
      <c r="G979" s="485"/>
      <c r="H979" s="485"/>
      <c r="I979" s="485"/>
      <c r="J979" s="485"/>
      <c r="K979" s="485"/>
      <c r="L979" s="485"/>
      <c r="M979" s="485"/>
      <c r="P979" s="485"/>
      <c r="Q979" s="485"/>
      <c r="R979" s="485"/>
      <c r="S979" s="485"/>
      <c r="T979" s="485"/>
      <c r="U979" s="485"/>
      <c r="V979" s="485"/>
      <c r="W979" s="485"/>
      <c r="X979" s="485"/>
      <c r="Y979" s="485"/>
      <c r="Z979" s="485"/>
      <c r="AA979" s="485"/>
      <c r="AB979" s="485"/>
      <c r="AC979" s="485"/>
      <c r="AD979" s="485"/>
      <c r="AE979" s="485"/>
      <c r="AF979" s="485"/>
      <c r="AG979" s="485"/>
      <c r="AH979" s="485"/>
      <c r="AI979" s="485"/>
      <c r="AJ979" s="485"/>
      <c r="AK979" s="485"/>
      <c r="AL979" s="485"/>
      <c r="AM979" s="485"/>
      <c r="AN979" s="485"/>
      <c r="AO979" s="485"/>
      <c r="AP979" s="485"/>
      <c r="AQ979" s="485"/>
      <c r="AR979" s="485"/>
      <c r="AS979" s="485"/>
      <c r="AT979" s="485"/>
      <c r="AU979" s="485"/>
      <c r="AV979" s="485"/>
      <c r="AW979" s="485"/>
      <c r="AX979" s="485"/>
      <c r="AY979" s="485"/>
      <c r="AZ979" s="485"/>
      <c r="BA979" s="485"/>
      <c r="BB979" s="485"/>
      <c r="BC979" s="485"/>
      <c r="BD979" s="485"/>
      <c r="BE979" s="485"/>
      <c r="BF979" s="485"/>
      <c r="BG979" s="485"/>
      <c r="BH979" s="485"/>
      <c r="BI979" s="485"/>
      <c r="BJ979" s="485"/>
      <c r="BK979" s="485"/>
      <c r="BL979" s="485"/>
      <c r="BM979" s="485"/>
      <c r="BN979" s="485"/>
      <c r="BO979" s="485"/>
      <c r="BP979" s="485"/>
      <c r="BQ979" s="485"/>
      <c r="BR979" s="485"/>
      <c r="BS979" s="485"/>
      <c r="BT979" s="485"/>
      <c r="BU979" s="485"/>
      <c r="BV979" s="485"/>
      <c r="BW979" s="485"/>
      <c r="BX979" s="485"/>
      <c r="BY979" s="485"/>
      <c r="BZ979" s="485"/>
      <c r="CA979" s="485"/>
      <c r="CB979" s="485"/>
      <c r="CC979" s="485"/>
      <c r="CD979" s="485"/>
      <c r="CE979" s="485"/>
      <c r="CF979" s="485"/>
      <c r="CG979" s="485"/>
      <c r="CH979" s="485"/>
      <c r="CI979" s="485"/>
      <c r="CJ979" s="485"/>
      <c r="CK979" s="485"/>
      <c r="CL979" s="485"/>
      <c r="CM979" s="485"/>
      <c r="CN979" s="485"/>
      <c r="CO979" s="485"/>
      <c r="CP979" s="485"/>
      <c r="CQ979" s="485"/>
      <c r="CR979" s="485"/>
      <c r="CS979" s="485"/>
      <c r="CT979" s="485"/>
      <c r="CU979" s="485"/>
      <c r="CV979" s="485"/>
      <c r="CW979" s="485"/>
      <c r="CX979" s="485"/>
      <c r="CY979" s="485"/>
      <c r="CZ979" s="485"/>
      <c r="DA979" s="485"/>
      <c r="DB979" s="485"/>
      <c r="DC979" s="485"/>
      <c r="DD979" s="485"/>
      <c r="DE979" s="485"/>
      <c r="DF979" s="485"/>
      <c r="DG979" s="485"/>
      <c r="DH979" s="485"/>
      <c r="DI979" s="485"/>
      <c r="DJ979" s="485"/>
      <c r="DK979" s="485"/>
      <c r="DL979" s="485"/>
      <c r="DM979" s="485"/>
      <c r="DN979" s="485"/>
      <c r="DO979" s="485"/>
      <c r="DP979" s="485"/>
      <c r="DQ979" s="485"/>
      <c r="DR979" s="485"/>
      <c r="DS979" s="485"/>
      <c r="DT979" s="485"/>
      <c r="DU979" s="485"/>
      <c r="DV979" s="485"/>
      <c r="DW979" s="485"/>
      <c r="DX979" s="485"/>
      <c r="DY979" s="485"/>
      <c r="DZ979" s="485"/>
      <c r="EA979" s="485"/>
      <c r="EB979" s="485"/>
      <c r="EC979" s="485"/>
      <c r="ED979" s="485"/>
      <c r="EE979" s="485"/>
      <c r="EF979" s="485"/>
      <c r="EG979" s="485"/>
      <c r="EH979" s="485"/>
      <c r="EI979" s="485"/>
      <c r="EJ979" s="485"/>
      <c r="EK979" s="485"/>
      <c r="EL979" s="485"/>
      <c r="EM979" s="485"/>
      <c r="EN979" s="485"/>
      <c r="EO979" s="485"/>
      <c r="EP979" s="485"/>
    </row>
    <row r="980" spans="1:146">
      <c r="A980" s="485"/>
      <c r="B980" s="485"/>
      <c r="C980" s="485"/>
      <c r="D980" s="485"/>
      <c r="E980" s="485"/>
      <c r="F980" s="485"/>
      <c r="G980" s="485"/>
      <c r="H980" s="485"/>
      <c r="I980" s="485"/>
      <c r="J980" s="485"/>
      <c r="K980" s="485"/>
      <c r="L980" s="485"/>
      <c r="M980" s="485"/>
      <c r="P980" s="485"/>
      <c r="Q980" s="485"/>
      <c r="R980" s="485"/>
      <c r="S980" s="485"/>
      <c r="T980" s="485"/>
      <c r="U980" s="485"/>
      <c r="V980" s="485"/>
      <c r="W980" s="485"/>
      <c r="X980" s="485"/>
      <c r="Y980" s="485"/>
      <c r="Z980" s="485"/>
      <c r="AA980" s="485"/>
      <c r="AB980" s="485"/>
      <c r="AC980" s="485"/>
      <c r="AD980" s="485"/>
      <c r="AE980" s="485"/>
      <c r="AF980" s="485"/>
      <c r="AG980" s="485"/>
      <c r="AH980" s="485"/>
      <c r="AI980" s="485"/>
      <c r="AJ980" s="485"/>
      <c r="AK980" s="485"/>
      <c r="AL980" s="485"/>
      <c r="AM980" s="485"/>
      <c r="AN980" s="485"/>
      <c r="AO980" s="485"/>
      <c r="AP980" s="485"/>
      <c r="AQ980" s="485"/>
      <c r="AR980" s="485"/>
      <c r="AS980" s="485"/>
      <c r="AT980" s="485"/>
      <c r="AU980" s="485"/>
      <c r="AV980" s="485"/>
      <c r="AW980" s="485"/>
      <c r="AX980" s="485"/>
      <c r="AY980" s="485"/>
      <c r="AZ980" s="485"/>
      <c r="BA980" s="485"/>
      <c r="BB980" s="485"/>
      <c r="BC980" s="485"/>
      <c r="BD980" s="485"/>
      <c r="BE980" s="485"/>
      <c r="BF980" s="485"/>
      <c r="BG980" s="485"/>
      <c r="BH980" s="485"/>
      <c r="BI980" s="485"/>
      <c r="BJ980" s="485"/>
      <c r="BK980" s="485"/>
      <c r="BL980" s="485"/>
      <c r="BM980" s="485"/>
      <c r="BN980" s="485"/>
      <c r="BO980" s="485"/>
      <c r="BP980" s="485"/>
      <c r="BQ980" s="485"/>
      <c r="BR980" s="485"/>
      <c r="BS980" s="485"/>
      <c r="BT980" s="485"/>
      <c r="BU980" s="485"/>
      <c r="BV980" s="485"/>
      <c r="BW980" s="485"/>
      <c r="BX980" s="485"/>
      <c r="BY980" s="485"/>
      <c r="BZ980" s="485"/>
      <c r="CA980" s="485"/>
      <c r="CB980" s="485"/>
      <c r="CC980" s="485"/>
      <c r="CD980" s="485"/>
      <c r="CE980" s="485"/>
      <c r="CF980" s="485"/>
      <c r="CG980" s="485"/>
      <c r="CH980" s="485"/>
      <c r="CI980" s="485"/>
      <c r="CJ980" s="485"/>
      <c r="CK980" s="485"/>
      <c r="CL980" s="485"/>
      <c r="CM980" s="485"/>
      <c r="CN980" s="485"/>
      <c r="CO980" s="485"/>
      <c r="CP980" s="485"/>
      <c r="CQ980" s="485"/>
      <c r="CR980" s="485"/>
      <c r="CS980" s="485"/>
      <c r="CT980" s="485"/>
      <c r="CU980" s="485"/>
      <c r="CV980" s="485"/>
      <c r="CW980" s="485"/>
      <c r="CX980" s="485"/>
      <c r="CY980" s="485"/>
      <c r="CZ980" s="485"/>
      <c r="DA980" s="485"/>
      <c r="DB980" s="485"/>
      <c r="DC980" s="485"/>
      <c r="DD980" s="485"/>
      <c r="DE980" s="485"/>
      <c r="DF980" s="485"/>
      <c r="DG980" s="485"/>
      <c r="DH980" s="485"/>
      <c r="DI980" s="485"/>
      <c r="DJ980" s="485"/>
      <c r="DK980" s="485"/>
      <c r="DL980" s="485"/>
      <c r="DM980" s="485"/>
      <c r="DN980" s="485"/>
      <c r="DO980" s="485"/>
      <c r="DP980" s="485"/>
      <c r="DQ980" s="485"/>
      <c r="DR980" s="485"/>
      <c r="DS980" s="485"/>
      <c r="DT980" s="485"/>
      <c r="DU980" s="485"/>
      <c r="DV980" s="485"/>
      <c r="DW980" s="485"/>
      <c r="DX980" s="485"/>
      <c r="DY980" s="485"/>
      <c r="DZ980" s="485"/>
      <c r="EA980" s="485"/>
      <c r="EB980" s="485"/>
      <c r="EC980" s="485"/>
      <c r="ED980" s="485"/>
      <c r="EE980" s="485"/>
      <c r="EF980" s="485"/>
      <c r="EG980" s="485"/>
      <c r="EH980" s="485"/>
      <c r="EI980" s="485"/>
      <c r="EJ980" s="485"/>
      <c r="EK980" s="485"/>
      <c r="EL980" s="485"/>
      <c r="EM980" s="485"/>
      <c r="EN980" s="485"/>
      <c r="EO980" s="485"/>
      <c r="EP980" s="485"/>
    </row>
    <row r="981" spans="1:146">
      <c r="A981" s="485"/>
      <c r="B981" s="485"/>
      <c r="C981" s="485"/>
      <c r="D981" s="485"/>
      <c r="E981" s="485"/>
      <c r="F981" s="485"/>
      <c r="G981" s="485"/>
      <c r="H981" s="485"/>
      <c r="I981" s="485"/>
      <c r="J981" s="485"/>
      <c r="K981" s="485"/>
      <c r="L981" s="485"/>
      <c r="M981" s="485"/>
      <c r="P981" s="485"/>
      <c r="Q981" s="485"/>
      <c r="R981" s="485"/>
      <c r="S981" s="485"/>
      <c r="T981" s="485"/>
      <c r="U981" s="485"/>
      <c r="V981" s="485"/>
      <c r="W981" s="485"/>
      <c r="X981" s="485"/>
      <c r="Y981" s="485"/>
      <c r="Z981" s="485"/>
      <c r="AA981" s="485"/>
      <c r="AB981" s="485"/>
      <c r="AC981" s="485"/>
      <c r="AD981" s="485"/>
      <c r="AE981" s="485"/>
      <c r="AF981" s="485"/>
      <c r="AG981" s="485"/>
      <c r="AH981" s="485"/>
      <c r="AI981" s="485"/>
      <c r="AJ981" s="485"/>
      <c r="AK981" s="485"/>
      <c r="AL981" s="485"/>
      <c r="AM981" s="485"/>
      <c r="AN981" s="485"/>
      <c r="AO981" s="485"/>
      <c r="AP981" s="485"/>
      <c r="AQ981" s="485"/>
      <c r="AR981" s="485"/>
      <c r="AS981" s="485"/>
      <c r="AT981" s="485"/>
      <c r="AU981" s="485"/>
      <c r="AV981" s="485"/>
      <c r="AW981" s="485"/>
      <c r="AX981" s="485"/>
      <c r="AY981" s="485"/>
      <c r="AZ981" s="485"/>
      <c r="BA981" s="485"/>
      <c r="BB981" s="485"/>
      <c r="BC981" s="485"/>
      <c r="BD981" s="485"/>
      <c r="BE981" s="485"/>
      <c r="BF981" s="485"/>
      <c r="BG981" s="485"/>
      <c r="BH981" s="485"/>
      <c r="BI981" s="485"/>
      <c r="BJ981" s="485"/>
      <c r="BK981" s="485"/>
      <c r="BL981" s="485"/>
      <c r="BM981" s="485"/>
      <c r="BN981" s="485"/>
      <c r="BO981" s="485"/>
      <c r="BP981" s="485"/>
      <c r="BQ981" s="485"/>
      <c r="BR981" s="485"/>
      <c r="BS981" s="485"/>
      <c r="BT981" s="485"/>
      <c r="BU981" s="485"/>
      <c r="BV981" s="485"/>
      <c r="BW981" s="485"/>
      <c r="BX981" s="485"/>
      <c r="BY981" s="485"/>
      <c r="BZ981" s="485"/>
      <c r="CA981" s="485"/>
      <c r="CB981" s="485"/>
      <c r="CC981" s="485"/>
      <c r="CD981" s="485"/>
      <c r="CE981" s="485"/>
      <c r="CF981" s="485"/>
      <c r="CG981" s="485"/>
      <c r="CH981" s="485"/>
      <c r="CI981" s="485"/>
      <c r="CJ981" s="485"/>
      <c r="CK981" s="485"/>
      <c r="CL981" s="485"/>
      <c r="CM981" s="485"/>
      <c r="CN981" s="485"/>
      <c r="CO981" s="485"/>
      <c r="CP981" s="485"/>
      <c r="CQ981" s="485"/>
      <c r="CR981" s="485"/>
      <c r="CS981" s="485"/>
      <c r="CT981" s="485"/>
      <c r="CU981" s="485"/>
      <c r="CV981" s="485"/>
      <c r="CW981" s="485"/>
      <c r="CX981" s="485"/>
      <c r="CY981" s="485"/>
      <c r="CZ981" s="485"/>
      <c r="DA981" s="485"/>
      <c r="DB981" s="485"/>
      <c r="DC981" s="485"/>
      <c r="DD981" s="485"/>
      <c r="DE981" s="485"/>
      <c r="DF981" s="485"/>
      <c r="DG981" s="485"/>
      <c r="DH981" s="485"/>
      <c r="DI981" s="485"/>
      <c r="DJ981" s="485"/>
      <c r="DK981" s="485"/>
      <c r="DL981" s="485"/>
      <c r="DM981" s="485"/>
      <c r="DN981" s="485"/>
      <c r="DO981" s="485"/>
      <c r="DP981" s="485"/>
      <c r="DQ981" s="485"/>
      <c r="DR981" s="485"/>
      <c r="DS981" s="485"/>
      <c r="DT981" s="485"/>
      <c r="DU981" s="485"/>
      <c r="DV981" s="485"/>
      <c r="DW981" s="485"/>
      <c r="DX981" s="485"/>
      <c r="DY981" s="485"/>
      <c r="DZ981" s="485"/>
      <c r="EA981" s="485"/>
      <c r="EB981" s="485"/>
      <c r="EC981" s="485"/>
      <c r="ED981" s="485"/>
      <c r="EE981" s="485"/>
      <c r="EF981" s="485"/>
      <c r="EG981" s="485"/>
      <c r="EH981" s="485"/>
      <c r="EI981" s="485"/>
      <c r="EJ981" s="485"/>
      <c r="EK981" s="485"/>
      <c r="EL981" s="485"/>
      <c r="EM981" s="485"/>
      <c r="EN981" s="485"/>
      <c r="EO981" s="485"/>
      <c r="EP981" s="485"/>
    </row>
    <row r="982" spans="1:146">
      <c r="A982" s="485"/>
      <c r="B982" s="485"/>
      <c r="C982" s="485"/>
      <c r="D982" s="485"/>
      <c r="E982" s="485"/>
      <c r="F982" s="485"/>
      <c r="G982" s="485"/>
      <c r="H982" s="485"/>
      <c r="I982" s="485"/>
      <c r="J982" s="485"/>
      <c r="K982" s="485"/>
      <c r="L982" s="485"/>
      <c r="M982" s="485"/>
      <c r="P982" s="485"/>
      <c r="Q982" s="485"/>
      <c r="R982" s="485"/>
      <c r="S982" s="485"/>
      <c r="T982" s="485"/>
      <c r="U982" s="485"/>
      <c r="V982" s="485"/>
      <c r="W982" s="485"/>
      <c r="X982" s="485"/>
      <c r="Y982" s="485"/>
      <c r="Z982" s="485"/>
      <c r="AA982" s="485"/>
      <c r="AB982" s="485"/>
      <c r="AC982" s="485"/>
      <c r="AD982" s="485"/>
      <c r="AE982" s="485"/>
      <c r="AF982" s="485"/>
      <c r="AG982" s="485"/>
      <c r="AH982" s="485"/>
      <c r="AI982" s="485"/>
      <c r="AJ982" s="485"/>
      <c r="AK982" s="485"/>
      <c r="AL982" s="485"/>
      <c r="AM982" s="485"/>
      <c r="AN982" s="485"/>
      <c r="AO982" s="485"/>
      <c r="AP982" s="485"/>
      <c r="AQ982" s="485"/>
      <c r="AR982" s="485"/>
      <c r="AS982" s="485"/>
      <c r="AT982" s="485"/>
      <c r="AU982" s="485"/>
      <c r="AV982" s="485"/>
      <c r="AW982" s="485"/>
      <c r="AX982" s="485"/>
      <c r="AY982" s="485"/>
      <c r="AZ982" s="485"/>
      <c r="BA982" s="485"/>
      <c r="BB982" s="485"/>
      <c r="BC982" s="485"/>
      <c r="BD982" s="485"/>
      <c r="BE982" s="485"/>
      <c r="BF982" s="485"/>
      <c r="BG982" s="485"/>
      <c r="BH982" s="485"/>
      <c r="BI982" s="485"/>
      <c r="BJ982" s="485"/>
      <c r="BK982" s="485"/>
      <c r="BL982" s="485"/>
      <c r="BM982" s="485"/>
      <c r="BN982" s="485"/>
      <c r="BO982" s="485"/>
      <c r="BP982" s="485"/>
      <c r="BQ982" s="485"/>
      <c r="BR982" s="485"/>
      <c r="BS982" s="485"/>
      <c r="BT982" s="485"/>
      <c r="BU982" s="485"/>
      <c r="BV982" s="485"/>
      <c r="BW982" s="485"/>
      <c r="BX982" s="485"/>
      <c r="BY982" s="485"/>
      <c r="BZ982" s="485"/>
      <c r="CA982" s="485"/>
      <c r="CB982" s="485"/>
      <c r="CC982" s="485"/>
      <c r="CD982" s="485"/>
      <c r="CE982" s="485"/>
      <c r="CF982" s="485"/>
      <c r="CG982" s="485"/>
      <c r="CH982" s="485"/>
      <c r="CI982" s="485"/>
      <c r="CJ982" s="485"/>
      <c r="CK982" s="485"/>
      <c r="CL982" s="485"/>
      <c r="CM982" s="485"/>
      <c r="CN982" s="485"/>
      <c r="CO982" s="485"/>
      <c r="CP982" s="485"/>
      <c r="CQ982" s="485"/>
      <c r="CR982" s="485"/>
      <c r="CS982" s="485"/>
      <c r="CT982" s="485"/>
      <c r="CU982" s="485"/>
      <c r="CV982" s="485"/>
      <c r="CW982" s="485"/>
      <c r="CX982" s="485"/>
      <c r="CY982" s="485"/>
      <c r="CZ982" s="485"/>
      <c r="DA982" s="485"/>
      <c r="DB982" s="485"/>
      <c r="DC982" s="485"/>
      <c r="DD982" s="485"/>
      <c r="DE982" s="485"/>
      <c r="DF982" s="485"/>
      <c r="DG982" s="485"/>
      <c r="DH982" s="485"/>
      <c r="DI982" s="485"/>
      <c r="DJ982" s="485"/>
      <c r="DK982" s="485"/>
      <c r="DL982" s="485"/>
      <c r="DM982" s="485"/>
      <c r="DN982" s="485"/>
      <c r="DO982" s="485"/>
      <c r="DP982" s="485"/>
      <c r="DQ982" s="485"/>
      <c r="DR982" s="485"/>
      <c r="DS982" s="485"/>
      <c r="DT982" s="485"/>
      <c r="DU982" s="485"/>
      <c r="DV982" s="485"/>
      <c r="DW982" s="485"/>
      <c r="DX982" s="485"/>
      <c r="DY982" s="485"/>
      <c r="DZ982" s="485"/>
      <c r="EA982" s="485"/>
      <c r="EB982" s="485"/>
      <c r="EC982" s="485"/>
      <c r="ED982" s="485"/>
      <c r="EE982" s="485"/>
      <c r="EF982" s="485"/>
      <c r="EG982" s="485"/>
      <c r="EH982" s="485"/>
      <c r="EI982" s="485"/>
      <c r="EJ982" s="485"/>
      <c r="EK982" s="485"/>
      <c r="EL982" s="485"/>
      <c r="EM982" s="485"/>
      <c r="EN982" s="485"/>
      <c r="EO982" s="485"/>
      <c r="EP982" s="485"/>
    </row>
    <row r="983" spans="1:146">
      <c r="A983" s="485"/>
      <c r="B983" s="485"/>
      <c r="C983" s="485"/>
      <c r="D983" s="485"/>
      <c r="E983" s="485"/>
      <c r="F983" s="485"/>
      <c r="G983" s="485"/>
      <c r="H983" s="485"/>
      <c r="I983" s="485"/>
      <c r="J983" s="485"/>
      <c r="K983" s="485"/>
      <c r="L983" s="485"/>
      <c r="M983" s="485"/>
      <c r="P983" s="485"/>
      <c r="Q983" s="485"/>
      <c r="R983" s="485"/>
      <c r="S983" s="485"/>
      <c r="T983" s="485"/>
      <c r="U983" s="485"/>
      <c r="V983" s="485"/>
      <c r="W983" s="485"/>
      <c r="X983" s="485"/>
      <c r="Y983" s="485"/>
      <c r="Z983" s="485"/>
      <c r="AA983" s="485"/>
      <c r="AB983" s="485"/>
      <c r="AC983" s="485"/>
      <c r="AD983" s="485"/>
      <c r="AE983" s="485"/>
      <c r="AF983" s="485"/>
      <c r="AG983" s="485"/>
      <c r="AH983" s="485"/>
      <c r="AI983" s="485"/>
      <c r="AJ983" s="485"/>
      <c r="AK983" s="485"/>
      <c r="AL983" s="485"/>
      <c r="AM983" s="485"/>
      <c r="AN983" s="485"/>
      <c r="AO983" s="485"/>
      <c r="AP983" s="485"/>
      <c r="AQ983" s="485"/>
      <c r="AR983" s="485"/>
      <c r="AS983" s="485"/>
      <c r="AT983" s="485"/>
      <c r="AU983" s="485"/>
      <c r="AV983" s="485"/>
      <c r="AW983" s="485"/>
      <c r="AX983" s="485"/>
      <c r="AY983" s="485"/>
      <c r="AZ983" s="485"/>
      <c r="BA983" s="485"/>
      <c r="BB983" s="485"/>
      <c r="BC983" s="485"/>
      <c r="BD983" s="485"/>
      <c r="BE983" s="485"/>
      <c r="BF983" s="485"/>
      <c r="BG983" s="485"/>
      <c r="BH983" s="485"/>
      <c r="BI983" s="485"/>
      <c r="BJ983" s="485"/>
      <c r="BK983" s="485"/>
      <c r="BL983" s="485"/>
      <c r="BM983" s="485"/>
      <c r="BN983" s="485"/>
      <c r="BO983" s="485"/>
      <c r="BP983" s="485"/>
      <c r="BQ983" s="485"/>
      <c r="BR983" s="485"/>
      <c r="BS983" s="485"/>
      <c r="BT983" s="485"/>
      <c r="BU983" s="485"/>
      <c r="BV983" s="485"/>
      <c r="BW983" s="485"/>
      <c r="BX983" s="485"/>
      <c r="BY983" s="485"/>
      <c r="BZ983" s="485"/>
      <c r="CA983" s="485"/>
      <c r="CB983" s="485"/>
      <c r="CC983" s="485"/>
      <c r="CD983" s="485"/>
      <c r="CE983" s="485"/>
      <c r="CF983" s="485"/>
      <c r="CG983" s="485"/>
      <c r="CH983" s="485"/>
      <c r="CI983" s="485"/>
      <c r="CJ983" s="485"/>
      <c r="CK983" s="485"/>
      <c r="CL983" s="485"/>
      <c r="CM983" s="485"/>
      <c r="CN983" s="485"/>
      <c r="CO983" s="485"/>
      <c r="CP983" s="485"/>
      <c r="CQ983" s="485"/>
      <c r="CR983" s="485"/>
      <c r="CS983" s="485"/>
      <c r="CT983" s="485"/>
      <c r="CU983" s="485"/>
      <c r="CV983" s="485"/>
      <c r="CW983" s="485"/>
      <c r="CX983" s="485"/>
      <c r="CY983" s="485"/>
      <c r="CZ983" s="485"/>
      <c r="DA983" s="485"/>
      <c r="DB983" s="485"/>
      <c r="DC983" s="485"/>
      <c r="DD983" s="485"/>
      <c r="DE983" s="485"/>
      <c r="DF983" s="485"/>
      <c r="DG983" s="485"/>
      <c r="DH983" s="485"/>
      <c r="DI983" s="485"/>
      <c r="DJ983" s="485"/>
      <c r="DK983" s="485"/>
      <c r="DL983" s="485"/>
      <c r="DM983" s="485"/>
      <c r="DN983" s="485"/>
      <c r="DO983" s="485"/>
      <c r="DP983" s="485"/>
      <c r="DQ983" s="485"/>
      <c r="DR983" s="485"/>
      <c r="DS983" s="485"/>
      <c r="DT983" s="485"/>
      <c r="DU983" s="485"/>
      <c r="DV983" s="485"/>
      <c r="DW983" s="485"/>
      <c r="DX983" s="485"/>
      <c r="DY983" s="485"/>
      <c r="DZ983" s="485"/>
      <c r="EA983" s="485"/>
      <c r="EB983" s="485"/>
      <c r="EC983" s="485"/>
      <c r="ED983" s="485"/>
      <c r="EE983" s="485"/>
      <c r="EF983" s="485"/>
      <c r="EG983" s="485"/>
      <c r="EH983" s="485"/>
      <c r="EI983" s="485"/>
      <c r="EJ983" s="485"/>
      <c r="EK983" s="485"/>
      <c r="EL983" s="485"/>
      <c r="EM983" s="485"/>
      <c r="EN983" s="485"/>
      <c r="EO983" s="485"/>
      <c r="EP983" s="485"/>
    </row>
    <row r="984" spans="1:146">
      <c r="A984" s="485"/>
      <c r="B984" s="485"/>
      <c r="C984" s="485"/>
      <c r="D984" s="485"/>
      <c r="E984" s="485"/>
      <c r="F984" s="485"/>
      <c r="G984" s="485"/>
      <c r="H984" s="485"/>
      <c r="I984" s="485"/>
      <c r="J984" s="485"/>
      <c r="K984" s="485"/>
      <c r="L984" s="485"/>
      <c r="M984" s="485"/>
      <c r="P984" s="485"/>
      <c r="Q984" s="485"/>
      <c r="R984" s="485"/>
      <c r="S984" s="485"/>
      <c r="T984" s="485"/>
      <c r="U984" s="485"/>
      <c r="V984" s="485"/>
      <c r="W984" s="485"/>
      <c r="X984" s="485"/>
      <c r="Y984" s="485"/>
      <c r="Z984" s="485"/>
      <c r="AA984" s="485"/>
      <c r="AB984" s="485"/>
      <c r="AC984" s="485"/>
      <c r="AD984" s="485"/>
      <c r="AE984" s="485"/>
      <c r="AF984" s="485"/>
      <c r="AG984" s="485"/>
      <c r="AH984" s="485"/>
      <c r="AI984" s="485"/>
      <c r="AJ984" s="485"/>
      <c r="AK984" s="485"/>
      <c r="AL984" s="485"/>
      <c r="AM984" s="485"/>
      <c r="AN984" s="485"/>
      <c r="AO984" s="485"/>
      <c r="AP984" s="485"/>
      <c r="AQ984" s="485"/>
      <c r="AR984" s="485"/>
      <c r="AS984" s="485"/>
      <c r="AT984" s="485"/>
      <c r="AU984" s="485"/>
      <c r="AV984" s="485"/>
      <c r="AW984" s="485"/>
      <c r="AX984" s="485"/>
      <c r="AY984" s="485"/>
      <c r="AZ984" s="485"/>
      <c r="BA984" s="485"/>
      <c r="BB984" s="485"/>
      <c r="BC984" s="485"/>
      <c r="BD984" s="485"/>
      <c r="BE984" s="485"/>
      <c r="BF984" s="485"/>
      <c r="BG984" s="485"/>
      <c r="BH984" s="485"/>
      <c r="BI984" s="485"/>
      <c r="BJ984" s="485"/>
      <c r="BK984" s="485"/>
      <c r="BL984" s="485"/>
      <c r="BM984" s="485"/>
      <c r="BN984" s="485"/>
      <c r="BO984" s="485"/>
      <c r="BP984" s="485"/>
      <c r="BQ984" s="485"/>
      <c r="BR984" s="485"/>
      <c r="BS984" s="485"/>
      <c r="BT984" s="485"/>
      <c r="BU984" s="485"/>
      <c r="BV984" s="485"/>
      <c r="BW984" s="485"/>
      <c r="BX984" s="485"/>
      <c r="BY984" s="485"/>
      <c r="BZ984" s="485"/>
      <c r="CA984" s="485"/>
      <c r="CB984" s="485"/>
      <c r="CC984" s="485"/>
      <c r="CD984" s="485"/>
      <c r="CE984" s="485"/>
      <c r="CF984" s="485"/>
      <c r="CG984" s="485"/>
      <c r="CH984" s="485"/>
      <c r="CI984" s="485"/>
      <c r="CJ984" s="485"/>
      <c r="CK984" s="485"/>
      <c r="CL984" s="485"/>
      <c r="CM984" s="485"/>
      <c r="CN984" s="485"/>
      <c r="CO984" s="485"/>
      <c r="CP984" s="485"/>
      <c r="CQ984" s="485"/>
      <c r="CR984" s="485"/>
      <c r="CS984" s="485"/>
      <c r="CT984" s="485"/>
      <c r="CU984" s="485"/>
      <c r="CV984" s="485"/>
      <c r="CW984" s="485"/>
      <c r="CX984" s="485"/>
      <c r="CY984" s="485"/>
      <c r="CZ984" s="485"/>
      <c r="DA984" s="485"/>
      <c r="DB984" s="485"/>
      <c r="DC984" s="485"/>
      <c r="DD984" s="485"/>
      <c r="DE984" s="485"/>
      <c r="DF984" s="485"/>
      <c r="DG984" s="485"/>
      <c r="DH984" s="485"/>
      <c r="DI984" s="485"/>
      <c r="DJ984" s="485"/>
      <c r="DK984" s="485"/>
      <c r="DL984" s="485"/>
      <c r="DM984" s="485"/>
      <c r="DN984" s="485"/>
      <c r="DO984" s="485"/>
      <c r="DP984" s="485"/>
      <c r="DQ984" s="485"/>
      <c r="DR984" s="485"/>
      <c r="DS984" s="485"/>
      <c r="DT984" s="485"/>
      <c r="DU984" s="485"/>
      <c r="DV984" s="485"/>
      <c r="DW984" s="485"/>
      <c r="DX984" s="485"/>
      <c r="DY984" s="485"/>
      <c r="DZ984" s="485"/>
      <c r="EA984" s="485"/>
      <c r="EB984" s="485"/>
      <c r="EC984" s="485"/>
      <c r="ED984" s="485"/>
      <c r="EE984" s="485"/>
      <c r="EF984" s="485"/>
      <c r="EG984" s="485"/>
      <c r="EH984" s="485"/>
      <c r="EI984" s="485"/>
      <c r="EJ984" s="485"/>
      <c r="EK984" s="485"/>
      <c r="EL984" s="485"/>
      <c r="EM984" s="485"/>
      <c r="EN984" s="485"/>
      <c r="EO984" s="485"/>
      <c r="EP984" s="485"/>
    </row>
    <row r="985" spans="1:146">
      <c r="A985" s="485"/>
      <c r="B985" s="485"/>
      <c r="C985" s="485"/>
      <c r="D985" s="485"/>
      <c r="E985" s="485"/>
      <c r="F985" s="485"/>
      <c r="G985" s="485"/>
      <c r="H985" s="485"/>
      <c r="I985" s="485"/>
      <c r="J985" s="485"/>
      <c r="K985" s="485"/>
      <c r="L985" s="485"/>
      <c r="M985" s="485"/>
      <c r="P985" s="485"/>
      <c r="Q985" s="485"/>
      <c r="R985" s="485"/>
      <c r="S985" s="485"/>
      <c r="T985" s="485"/>
      <c r="U985" s="485"/>
      <c r="V985" s="485"/>
      <c r="W985" s="485"/>
      <c r="X985" s="485"/>
      <c r="Y985" s="485"/>
      <c r="Z985" s="485"/>
      <c r="AA985" s="485"/>
      <c r="AB985" s="485"/>
      <c r="AC985" s="485"/>
      <c r="AD985" s="485"/>
      <c r="AE985" s="485"/>
      <c r="AF985" s="485"/>
      <c r="AG985" s="485"/>
      <c r="AH985" s="485"/>
      <c r="AI985" s="485"/>
      <c r="AJ985" s="485"/>
      <c r="AK985" s="485"/>
      <c r="AL985" s="485"/>
      <c r="AM985" s="485"/>
      <c r="AN985" s="485"/>
      <c r="AO985" s="485"/>
      <c r="AP985" s="485"/>
      <c r="AQ985" s="485"/>
      <c r="AR985" s="485"/>
      <c r="AS985" s="485"/>
      <c r="AT985" s="485"/>
      <c r="AU985" s="485"/>
      <c r="AV985" s="485"/>
      <c r="AW985" s="485"/>
      <c r="AX985" s="485"/>
      <c r="AY985" s="485"/>
      <c r="AZ985" s="485"/>
      <c r="BA985" s="485"/>
      <c r="BB985" s="485"/>
      <c r="BC985" s="485"/>
      <c r="BD985" s="485"/>
      <c r="BE985" s="485"/>
      <c r="BF985" s="485"/>
      <c r="BG985" s="485"/>
      <c r="BH985" s="485"/>
      <c r="BI985" s="485"/>
      <c r="BJ985" s="485"/>
      <c r="BK985" s="485"/>
      <c r="BL985" s="485"/>
      <c r="BM985" s="485"/>
      <c r="BN985" s="485"/>
      <c r="BO985" s="485"/>
      <c r="BP985" s="485"/>
      <c r="BQ985" s="485"/>
      <c r="BR985" s="485"/>
      <c r="BS985" s="485"/>
      <c r="BT985" s="485"/>
      <c r="BU985" s="485"/>
      <c r="BV985" s="485"/>
      <c r="BW985" s="485"/>
      <c r="BX985" s="485"/>
      <c r="BY985" s="485"/>
      <c r="BZ985" s="485"/>
      <c r="CA985" s="485"/>
      <c r="CB985" s="485"/>
      <c r="CC985" s="485"/>
      <c r="CD985" s="485"/>
      <c r="CE985" s="485"/>
      <c r="CF985" s="485"/>
      <c r="CG985" s="485"/>
      <c r="CH985" s="485"/>
      <c r="CI985" s="485"/>
      <c r="CJ985" s="485"/>
      <c r="CK985" s="485"/>
      <c r="CL985" s="485"/>
      <c r="CM985" s="485"/>
      <c r="CN985" s="485"/>
      <c r="CO985" s="485"/>
      <c r="CP985" s="485"/>
      <c r="CQ985" s="485"/>
      <c r="CR985" s="485"/>
      <c r="CS985" s="485"/>
      <c r="CT985" s="485"/>
      <c r="CU985" s="485"/>
      <c r="CV985" s="485"/>
      <c r="CW985" s="485"/>
      <c r="CX985" s="485"/>
      <c r="CY985" s="485"/>
      <c r="CZ985" s="485"/>
      <c r="DA985" s="485"/>
      <c r="DB985" s="485"/>
      <c r="DC985" s="485"/>
      <c r="DD985" s="485"/>
      <c r="DE985" s="485"/>
      <c r="DF985" s="485"/>
      <c r="DG985" s="485"/>
      <c r="DH985" s="485"/>
      <c r="DI985" s="485"/>
      <c r="DJ985" s="485"/>
      <c r="DK985" s="485"/>
      <c r="DL985" s="485"/>
      <c r="DM985" s="485"/>
      <c r="DN985" s="485"/>
      <c r="DO985" s="485"/>
      <c r="DP985" s="485"/>
      <c r="DQ985" s="485"/>
      <c r="DR985" s="485"/>
      <c r="DS985" s="485"/>
      <c r="DT985" s="485"/>
      <c r="DU985" s="485"/>
      <c r="DV985" s="485"/>
      <c r="DW985" s="485"/>
      <c r="DX985" s="485"/>
      <c r="DY985" s="485"/>
      <c r="DZ985" s="485"/>
      <c r="EA985" s="485"/>
      <c r="EB985" s="485"/>
      <c r="EC985" s="485"/>
      <c r="ED985" s="485"/>
      <c r="EE985" s="485"/>
      <c r="EF985" s="485"/>
      <c r="EG985" s="485"/>
      <c r="EH985" s="485"/>
      <c r="EI985" s="485"/>
      <c r="EJ985" s="485"/>
      <c r="EK985" s="485"/>
      <c r="EL985" s="485"/>
      <c r="EM985" s="485"/>
      <c r="EN985" s="485"/>
      <c r="EO985" s="485"/>
      <c r="EP985" s="485"/>
    </row>
    <row r="986" spans="1:146">
      <c r="A986" s="485"/>
      <c r="B986" s="485"/>
      <c r="C986" s="485"/>
      <c r="D986" s="485"/>
      <c r="E986" s="485"/>
      <c r="F986" s="485"/>
      <c r="G986" s="485"/>
      <c r="H986" s="485"/>
      <c r="I986" s="485"/>
      <c r="J986" s="485"/>
      <c r="K986" s="485"/>
      <c r="L986" s="485"/>
      <c r="M986" s="485"/>
      <c r="P986" s="485"/>
      <c r="Q986" s="485"/>
      <c r="R986" s="485"/>
      <c r="S986" s="485"/>
      <c r="T986" s="485"/>
      <c r="U986" s="485"/>
      <c r="V986" s="485"/>
      <c r="W986" s="485"/>
      <c r="X986" s="485"/>
      <c r="Y986" s="485"/>
      <c r="Z986" s="485"/>
      <c r="AA986" s="485"/>
      <c r="AB986" s="485"/>
      <c r="AC986" s="485"/>
      <c r="AD986" s="485"/>
      <c r="AE986" s="485"/>
      <c r="AF986" s="485"/>
      <c r="AG986" s="485"/>
      <c r="AH986" s="485"/>
      <c r="AI986" s="485"/>
      <c r="AJ986" s="485"/>
      <c r="AK986" s="485"/>
      <c r="AL986" s="485"/>
      <c r="AM986" s="485"/>
      <c r="AN986" s="485"/>
      <c r="AO986" s="485"/>
      <c r="AP986" s="485"/>
      <c r="AQ986" s="485"/>
      <c r="AR986" s="485"/>
      <c r="AS986" s="485"/>
      <c r="AT986" s="485"/>
      <c r="AU986" s="485"/>
      <c r="AV986" s="485"/>
      <c r="AW986" s="485"/>
      <c r="AX986" s="485"/>
      <c r="AY986" s="485"/>
      <c r="AZ986" s="485"/>
      <c r="BA986" s="485"/>
      <c r="BB986" s="485"/>
      <c r="BC986" s="485"/>
      <c r="BD986" s="485"/>
      <c r="BE986" s="485"/>
      <c r="BF986" s="485"/>
      <c r="BG986" s="485"/>
      <c r="BH986" s="485"/>
      <c r="BI986" s="485"/>
      <c r="BJ986" s="485"/>
      <c r="BK986" s="485"/>
      <c r="BL986" s="485"/>
      <c r="BM986" s="485"/>
      <c r="BN986" s="485"/>
      <c r="BO986" s="485"/>
      <c r="BP986" s="485"/>
      <c r="BQ986" s="485"/>
      <c r="BR986" s="485"/>
      <c r="BS986" s="485"/>
      <c r="BT986" s="485"/>
      <c r="BU986" s="485"/>
      <c r="BV986" s="485"/>
      <c r="BW986" s="485"/>
      <c r="BX986" s="485"/>
      <c r="BY986" s="485"/>
      <c r="BZ986" s="485"/>
      <c r="CA986" s="485"/>
      <c r="CB986" s="485"/>
      <c r="CC986" s="485"/>
      <c r="CD986" s="485"/>
      <c r="CE986" s="485"/>
      <c r="CF986" s="485"/>
      <c r="CG986" s="485"/>
      <c r="CH986" s="485"/>
      <c r="CI986" s="485"/>
      <c r="CJ986" s="485"/>
      <c r="CK986" s="485"/>
      <c r="CL986" s="485"/>
      <c r="CM986" s="485"/>
      <c r="CN986" s="485"/>
      <c r="CO986" s="485"/>
      <c r="CP986" s="485"/>
      <c r="CQ986" s="485"/>
      <c r="CR986" s="485"/>
      <c r="CS986" s="485"/>
      <c r="CT986" s="485"/>
      <c r="CU986" s="485"/>
      <c r="CV986" s="485"/>
      <c r="CW986" s="485"/>
      <c r="CX986" s="485"/>
      <c r="CY986" s="485"/>
      <c r="CZ986" s="485"/>
      <c r="DA986" s="485"/>
      <c r="DB986" s="485"/>
      <c r="DC986" s="485"/>
      <c r="DD986" s="485"/>
      <c r="DE986" s="485"/>
      <c r="DF986" s="485"/>
      <c r="DG986" s="485"/>
      <c r="DH986" s="485"/>
      <c r="DI986" s="485"/>
      <c r="DJ986" s="485"/>
      <c r="DK986" s="485"/>
      <c r="DL986" s="485"/>
      <c r="DM986" s="485"/>
      <c r="DN986" s="485"/>
      <c r="DO986" s="485"/>
      <c r="DP986" s="485"/>
      <c r="DQ986" s="485"/>
      <c r="DR986" s="485"/>
      <c r="DS986" s="485"/>
      <c r="DT986" s="485"/>
      <c r="DU986" s="485"/>
      <c r="DV986" s="485"/>
      <c r="DW986" s="485"/>
      <c r="DX986" s="485"/>
      <c r="DY986" s="485"/>
      <c r="DZ986" s="485"/>
      <c r="EA986" s="485"/>
      <c r="EB986" s="485"/>
      <c r="EC986" s="485"/>
      <c r="ED986" s="485"/>
      <c r="EE986" s="485"/>
      <c r="EF986" s="485"/>
      <c r="EG986" s="485"/>
      <c r="EH986" s="485"/>
      <c r="EI986" s="485"/>
      <c r="EJ986" s="485"/>
      <c r="EK986" s="485"/>
      <c r="EL986" s="485"/>
      <c r="EM986" s="485"/>
      <c r="EN986" s="485"/>
      <c r="EO986" s="485"/>
      <c r="EP986" s="485"/>
    </row>
    <row r="987" spans="1:146">
      <c r="A987" s="485"/>
      <c r="B987" s="485"/>
      <c r="C987" s="485"/>
      <c r="D987" s="485"/>
      <c r="E987" s="485"/>
      <c r="F987" s="485"/>
      <c r="G987" s="485"/>
      <c r="H987" s="485"/>
      <c r="I987" s="485"/>
      <c r="J987" s="485"/>
      <c r="K987" s="485"/>
      <c r="L987" s="485"/>
      <c r="M987" s="485"/>
      <c r="P987" s="485"/>
      <c r="Q987" s="485"/>
      <c r="R987" s="485"/>
      <c r="S987" s="485"/>
      <c r="T987" s="485"/>
      <c r="U987" s="485"/>
      <c r="V987" s="485"/>
      <c r="W987" s="485"/>
      <c r="X987" s="485"/>
      <c r="Y987" s="485"/>
      <c r="Z987" s="485"/>
      <c r="AA987" s="485"/>
      <c r="AB987" s="485"/>
      <c r="AC987" s="485"/>
      <c r="AD987" s="485"/>
      <c r="AE987" s="485"/>
      <c r="AF987" s="485"/>
      <c r="AG987" s="485"/>
      <c r="AH987" s="485"/>
      <c r="AI987" s="485"/>
      <c r="AJ987" s="485"/>
      <c r="AK987" s="485"/>
      <c r="AL987" s="485"/>
      <c r="AM987" s="485"/>
      <c r="AN987" s="485"/>
      <c r="AO987" s="485"/>
      <c r="AP987" s="485"/>
      <c r="AQ987" s="485"/>
      <c r="AR987" s="485"/>
      <c r="AS987" s="485"/>
      <c r="AT987" s="485"/>
      <c r="AU987" s="485"/>
      <c r="AV987" s="485"/>
      <c r="AW987" s="485"/>
      <c r="AX987" s="485"/>
      <c r="AY987" s="485"/>
      <c r="AZ987" s="485"/>
      <c r="BA987" s="485"/>
      <c r="BB987" s="485"/>
      <c r="BC987" s="485"/>
      <c r="BD987" s="485"/>
      <c r="BE987" s="485"/>
      <c r="BF987" s="485"/>
      <c r="BG987" s="485"/>
      <c r="BH987" s="485"/>
      <c r="BI987" s="485"/>
      <c r="BJ987" s="485"/>
      <c r="BK987" s="485"/>
      <c r="BL987" s="485"/>
      <c r="BM987" s="485"/>
      <c r="BN987" s="485"/>
      <c r="BO987" s="485"/>
      <c r="BP987" s="485"/>
      <c r="BQ987" s="485"/>
      <c r="BR987" s="485"/>
      <c r="BS987" s="485"/>
      <c r="BT987" s="485"/>
      <c r="BU987" s="485"/>
      <c r="BV987" s="485"/>
      <c r="BW987" s="485"/>
      <c r="BX987" s="485"/>
      <c r="BY987" s="485"/>
      <c r="BZ987" s="485"/>
      <c r="CA987" s="485"/>
      <c r="CB987" s="485"/>
      <c r="CC987" s="485"/>
      <c r="CD987" s="485"/>
      <c r="CE987" s="485"/>
      <c r="CF987" s="485"/>
      <c r="CG987" s="485"/>
      <c r="CH987" s="485"/>
      <c r="CI987" s="485"/>
      <c r="CJ987" s="485"/>
      <c r="CK987" s="485"/>
      <c r="CL987" s="485"/>
      <c r="CM987" s="485"/>
      <c r="CN987" s="485"/>
      <c r="CO987" s="485"/>
      <c r="CP987" s="485"/>
      <c r="CQ987" s="485"/>
      <c r="CR987" s="485"/>
      <c r="CS987" s="485"/>
      <c r="CT987" s="485"/>
      <c r="CU987" s="485"/>
      <c r="CV987" s="485"/>
      <c r="CW987" s="485"/>
      <c r="CX987" s="485"/>
      <c r="CY987" s="485"/>
      <c r="CZ987" s="485"/>
      <c r="DA987" s="485"/>
      <c r="DB987" s="485"/>
      <c r="DC987" s="485"/>
      <c r="DD987" s="485"/>
      <c r="DE987" s="485"/>
      <c r="DF987" s="485"/>
      <c r="DG987" s="485"/>
      <c r="DH987" s="485"/>
      <c r="DI987" s="485"/>
      <c r="DJ987" s="485"/>
      <c r="DK987" s="485"/>
      <c r="DL987" s="485"/>
      <c r="DM987" s="485"/>
      <c r="DN987" s="485"/>
      <c r="DO987" s="485"/>
      <c r="DP987" s="485"/>
      <c r="DQ987" s="485"/>
      <c r="DR987" s="485"/>
      <c r="DS987" s="485"/>
      <c r="DT987" s="485"/>
      <c r="DU987" s="485"/>
      <c r="DV987" s="485"/>
      <c r="DW987" s="485"/>
      <c r="DX987" s="485"/>
      <c r="DY987" s="485"/>
      <c r="DZ987" s="485"/>
      <c r="EA987" s="485"/>
      <c r="EB987" s="485"/>
      <c r="EC987" s="485"/>
      <c r="ED987" s="485"/>
      <c r="EE987" s="485"/>
      <c r="EF987" s="485"/>
      <c r="EG987" s="485"/>
      <c r="EH987" s="485"/>
      <c r="EI987" s="485"/>
      <c r="EJ987" s="485"/>
      <c r="EK987" s="485"/>
      <c r="EL987" s="485"/>
      <c r="EM987" s="485"/>
      <c r="EN987" s="485"/>
      <c r="EO987" s="485"/>
      <c r="EP987" s="485"/>
    </row>
    <row r="988" spans="1:146">
      <c r="A988" s="485"/>
      <c r="B988" s="485"/>
      <c r="C988" s="485"/>
      <c r="D988" s="485"/>
      <c r="E988" s="485"/>
      <c r="F988" s="485"/>
      <c r="G988" s="485"/>
      <c r="H988" s="485"/>
      <c r="I988" s="485"/>
      <c r="J988" s="485"/>
      <c r="K988" s="485"/>
      <c r="L988" s="485"/>
      <c r="M988" s="485"/>
      <c r="P988" s="485"/>
      <c r="Q988" s="485"/>
      <c r="R988" s="485"/>
      <c r="S988" s="485"/>
      <c r="T988" s="485"/>
      <c r="U988" s="485"/>
      <c r="V988" s="485"/>
      <c r="W988" s="485"/>
      <c r="X988" s="485"/>
      <c r="Y988" s="485"/>
      <c r="Z988" s="485"/>
      <c r="AA988" s="485"/>
      <c r="AB988" s="485"/>
      <c r="AC988" s="485"/>
      <c r="AD988" s="485"/>
      <c r="AE988" s="485"/>
      <c r="AF988" s="485"/>
      <c r="AG988" s="485"/>
      <c r="AH988" s="485"/>
      <c r="AI988" s="485"/>
      <c r="AJ988" s="485"/>
      <c r="AK988" s="485"/>
      <c r="AL988" s="485"/>
      <c r="AM988" s="485"/>
      <c r="AN988" s="485"/>
      <c r="AO988" s="485"/>
      <c r="AP988" s="485"/>
      <c r="AQ988" s="485"/>
      <c r="AR988" s="485"/>
      <c r="AS988" s="485"/>
      <c r="AT988" s="485"/>
      <c r="AU988" s="485"/>
      <c r="AV988" s="485"/>
      <c r="AW988" s="485"/>
      <c r="AX988" s="485"/>
      <c r="AY988" s="485"/>
      <c r="AZ988" s="485"/>
      <c r="BA988" s="485"/>
      <c r="BB988" s="485"/>
      <c r="BC988" s="485"/>
      <c r="BD988" s="485"/>
      <c r="BE988" s="485"/>
      <c r="BF988" s="485"/>
      <c r="BG988" s="485"/>
      <c r="BH988" s="485"/>
      <c r="BI988" s="485"/>
      <c r="BJ988" s="485"/>
      <c r="BK988" s="485"/>
      <c r="BL988" s="485"/>
      <c r="BM988" s="485"/>
      <c r="BN988" s="485"/>
      <c r="BO988" s="485"/>
      <c r="BP988" s="485"/>
      <c r="BQ988" s="485"/>
      <c r="BR988" s="485"/>
      <c r="BS988" s="485"/>
      <c r="BT988" s="485"/>
      <c r="BU988" s="485"/>
      <c r="BV988" s="485"/>
      <c r="BW988" s="485"/>
      <c r="BX988" s="485"/>
      <c r="BY988" s="485"/>
      <c r="BZ988" s="485"/>
      <c r="CA988" s="485"/>
      <c r="CB988" s="485"/>
      <c r="CC988" s="485"/>
      <c r="CD988" s="485"/>
      <c r="CE988" s="485"/>
      <c r="CF988" s="485"/>
      <c r="CG988" s="485"/>
      <c r="CH988" s="485"/>
      <c r="CI988" s="485"/>
      <c r="CJ988" s="485"/>
      <c r="CK988" s="485"/>
      <c r="CL988" s="485"/>
      <c r="CM988" s="485"/>
      <c r="CN988" s="485"/>
      <c r="CO988" s="485"/>
      <c r="CP988" s="485"/>
      <c r="CQ988" s="485"/>
      <c r="CR988" s="485"/>
      <c r="CS988" s="485"/>
      <c r="CT988" s="485"/>
      <c r="CU988" s="485"/>
      <c r="CV988" s="485"/>
      <c r="CW988" s="485"/>
      <c r="CX988" s="485"/>
      <c r="CY988" s="485"/>
      <c r="CZ988" s="485"/>
      <c r="DA988" s="485"/>
      <c r="DB988" s="485"/>
      <c r="DC988" s="485"/>
      <c r="DD988" s="485"/>
      <c r="DE988" s="485"/>
      <c r="DF988" s="485"/>
      <c r="DG988" s="485"/>
      <c r="DH988" s="485"/>
      <c r="DI988" s="485"/>
      <c r="DJ988" s="485"/>
      <c r="DK988" s="485"/>
      <c r="DL988" s="485"/>
      <c r="DM988" s="485"/>
      <c r="DN988" s="485"/>
      <c r="DO988" s="485"/>
      <c r="DP988" s="485"/>
      <c r="DQ988" s="485"/>
      <c r="DR988" s="485"/>
      <c r="DS988" s="485"/>
      <c r="DT988" s="485"/>
      <c r="DU988" s="485"/>
      <c r="DV988" s="485"/>
      <c r="DW988" s="485"/>
      <c r="DX988" s="485"/>
      <c r="DY988" s="485"/>
      <c r="DZ988" s="485"/>
      <c r="EA988" s="485"/>
      <c r="EB988" s="485"/>
      <c r="EC988" s="485"/>
      <c r="ED988" s="485"/>
      <c r="EE988" s="485"/>
      <c r="EF988" s="485"/>
      <c r="EG988" s="485"/>
      <c r="EH988" s="485"/>
      <c r="EI988" s="485"/>
      <c r="EJ988" s="485"/>
      <c r="EK988" s="485"/>
      <c r="EL988" s="485"/>
      <c r="EM988" s="485"/>
      <c r="EN988" s="485"/>
      <c r="EO988" s="485"/>
      <c r="EP988" s="485"/>
    </row>
    <row r="989" spans="1:146">
      <c r="A989" s="485"/>
      <c r="B989" s="485"/>
      <c r="C989" s="485"/>
      <c r="D989" s="485"/>
      <c r="E989" s="485"/>
      <c r="F989" s="485"/>
      <c r="G989" s="485"/>
      <c r="H989" s="485"/>
      <c r="I989" s="485"/>
      <c r="J989" s="485"/>
      <c r="K989" s="485"/>
      <c r="L989" s="485"/>
      <c r="M989" s="485"/>
      <c r="P989" s="485"/>
      <c r="Q989" s="485"/>
      <c r="R989" s="485"/>
      <c r="S989" s="485"/>
      <c r="T989" s="485"/>
      <c r="U989" s="485"/>
      <c r="V989" s="485"/>
      <c r="W989" s="485"/>
      <c r="X989" s="485"/>
      <c r="Y989" s="485"/>
      <c r="Z989" s="485"/>
      <c r="AA989" s="485"/>
      <c r="AB989" s="485"/>
      <c r="AC989" s="485"/>
      <c r="AD989" s="485"/>
      <c r="AE989" s="485"/>
      <c r="AF989" s="485"/>
      <c r="AG989" s="485"/>
      <c r="AH989" s="485"/>
      <c r="AI989" s="485"/>
      <c r="AJ989" s="485"/>
      <c r="AK989" s="485"/>
      <c r="AL989" s="485"/>
      <c r="AM989" s="485"/>
      <c r="AN989" s="485"/>
      <c r="AO989" s="485"/>
      <c r="AP989" s="485"/>
      <c r="AQ989" s="485"/>
      <c r="AR989" s="485"/>
      <c r="AS989" s="485"/>
      <c r="AT989" s="485"/>
      <c r="AU989" s="485"/>
      <c r="AV989" s="485"/>
      <c r="AW989" s="485"/>
      <c r="AX989" s="485"/>
      <c r="AY989" s="485"/>
      <c r="AZ989" s="485"/>
      <c r="BA989" s="485"/>
      <c r="BB989" s="485"/>
      <c r="BC989" s="485"/>
      <c r="BD989" s="485"/>
      <c r="BE989" s="485"/>
      <c r="BF989" s="485"/>
      <c r="BG989" s="485"/>
      <c r="BH989" s="485"/>
      <c r="BI989" s="485"/>
      <c r="BJ989" s="485"/>
      <c r="BK989" s="485"/>
      <c r="BL989" s="485"/>
      <c r="BM989" s="485"/>
      <c r="BN989" s="485"/>
      <c r="BO989" s="485"/>
      <c r="BP989" s="485"/>
      <c r="BQ989" s="485"/>
      <c r="BR989" s="485"/>
      <c r="BS989" s="485"/>
      <c r="BT989" s="485"/>
      <c r="BU989" s="485"/>
      <c r="BV989" s="485"/>
      <c r="BW989" s="485"/>
      <c r="BX989" s="485"/>
      <c r="BY989" s="485"/>
      <c r="BZ989" s="485"/>
      <c r="CA989" s="485"/>
      <c r="CB989" s="485"/>
      <c r="CC989" s="485"/>
      <c r="CD989" s="485"/>
      <c r="CE989" s="485"/>
      <c r="CF989" s="485"/>
      <c r="CG989" s="485"/>
      <c r="CH989" s="485"/>
      <c r="CI989" s="485"/>
      <c r="CJ989" s="485"/>
      <c r="CK989" s="485"/>
      <c r="CL989" s="485"/>
      <c r="CM989" s="485"/>
      <c r="CN989" s="485"/>
      <c r="CO989" s="485"/>
      <c r="CP989" s="485"/>
      <c r="CQ989" s="485"/>
      <c r="CR989" s="485"/>
      <c r="CS989" s="485"/>
      <c r="CT989" s="485"/>
      <c r="CU989" s="485"/>
      <c r="CV989" s="485"/>
      <c r="CW989" s="485"/>
      <c r="CX989" s="485"/>
      <c r="CY989" s="485"/>
      <c r="CZ989" s="485"/>
      <c r="DA989" s="485"/>
      <c r="DB989" s="485"/>
      <c r="DC989" s="485"/>
      <c r="DD989" s="485"/>
      <c r="DE989" s="485"/>
      <c r="DF989" s="485"/>
      <c r="DG989" s="485"/>
      <c r="DH989" s="485"/>
      <c r="DI989" s="485"/>
      <c r="DJ989" s="485"/>
      <c r="DK989" s="485"/>
      <c r="DL989" s="485"/>
      <c r="DM989" s="485"/>
      <c r="DN989" s="485"/>
      <c r="DO989" s="485"/>
      <c r="DP989" s="485"/>
      <c r="DQ989" s="485"/>
      <c r="DR989" s="485"/>
      <c r="DS989" s="485"/>
      <c r="DT989" s="485"/>
      <c r="DU989" s="485"/>
      <c r="DV989" s="485"/>
      <c r="DW989" s="485"/>
      <c r="DX989" s="485"/>
      <c r="DY989" s="485"/>
      <c r="DZ989" s="485"/>
      <c r="EA989" s="485"/>
      <c r="EB989" s="485"/>
      <c r="EC989" s="485"/>
      <c r="ED989" s="485"/>
      <c r="EE989" s="485"/>
      <c r="EF989" s="485"/>
      <c r="EG989" s="485"/>
      <c r="EH989" s="485"/>
      <c r="EI989" s="485"/>
      <c r="EJ989" s="485"/>
      <c r="EK989" s="485"/>
      <c r="EL989" s="485"/>
      <c r="EM989" s="485"/>
      <c r="EN989" s="485"/>
      <c r="EO989" s="485"/>
      <c r="EP989" s="485"/>
    </row>
    <row r="990" spans="1:146">
      <c r="A990" s="485"/>
      <c r="B990" s="485"/>
      <c r="C990" s="485"/>
      <c r="D990" s="485"/>
      <c r="E990" s="485"/>
      <c r="F990" s="485"/>
      <c r="G990" s="485"/>
      <c r="H990" s="485"/>
      <c r="I990" s="485"/>
      <c r="J990" s="485"/>
      <c r="K990" s="485"/>
      <c r="L990" s="485"/>
      <c r="M990" s="485"/>
      <c r="P990" s="485"/>
      <c r="Q990" s="485"/>
      <c r="R990" s="485"/>
      <c r="S990" s="485"/>
      <c r="T990" s="485"/>
      <c r="U990" s="485"/>
      <c r="V990" s="485"/>
      <c r="W990" s="485"/>
      <c r="X990" s="485"/>
      <c r="Y990" s="485"/>
      <c r="Z990" s="485"/>
      <c r="AA990" s="485"/>
      <c r="AB990" s="485"/>
      <c r="AC990" s="485"/>
      <c r="AD990" s="485"/>
      <c r="AE990" s="485"/>
      <c r="AF990" s="485"/>
      <c r="AG990" s="485"/>
      <c r="AH990" s="485"/>
      <c r="AI990" s="485"/>
      <c r="AJ990" s="485"/>
      <c r="AK990" s="485"/>
      <c r="AL990" s="485"/>
      <c r="AM990" s="485"/>
      <c r="AN990" s="485"/>
      <c r="AO990" s="485"/>
      <c r="AP990" s="485"/>
      <c r="AQ990" s="485"/>
      <c r="AR990" s="485"/>
      <c r="AS990" s="485"/>
      <c r="AT990" s="485"/>
      <c r="AU990" s="485"/>
      <c r="AV990" s="485"/>
      <c r="AW990" s="485"/>
      <c r="AX990" s="485"/>
      <c r="AY990" s="485"/>
      <c r="AZ990" s="485"/>
      <c r="BA990" s="485"/>
      <c r="BB990" s="485"/>
      <c r="BC990" s="485"/>
      <c r="BD990" s="485"/>
      <c r="BE990" s="485"/>
      <c r="BF990" s="485"/>
      <c r="BG990" s="485"/>
      <c r="BH990" s="485"/>
      <c r="BI990" s="485"/>
      <c r="BJ990" s="485"/>
      <c r="BK990" s="485"/>
      <c r="BL990" s="485"/>
      <c r="BM990" s="485"/>
      <c r="BN990" s="485"/>
      <c r="BO990" s="485"/>
      <c r="BP990" s="485"/>
      <c r="BQ990" s="485"/>
      <c r="BR990" s="485"/>
      <c r="BS990" s="485"/>
      <c r="BT990" s="485"/>
      <c r="BU990" s="485"/>
      <c r="BV990" s="485"/>
      <c r="BW990" s="485"/>
      <c r="BX990" s="485"/>
      <c r="BY990" s="485"/>
      <c r="BZ990" s="485"/>
      <c r="CA990" s="485"/>
      <c r="CB990" s="485"/>
      <c r="CC990" s="485"/>
      <c r="CD990" s="485"/>
      <c r="CE990" s="485"/>
      <c r="CF990" s="485"/>
      <c r="CG990" s="485"/>
      <c r="CH990" s="485"/>
      <c r="CI990" s="485"/>
      <c r="CJ990" s="485"/>
      <c r="CK990" s="485"/>
      <c r="CL990" s="485"/>
      <c r="CM990" s="485"/>
      <c r="CN990" s="485"/>
      <c r="CO990" s="485"/>
      <c r="CP990" s="485"/>
      <c r="CQ990" s="485"/>
      <c r="CR990" s="485"/>
      <c r="CS990" s="485"/>
      <c r="CT990" s="485"/>
      <c r="CU990" s="485"/>
      <c r="CV990" s="485"/>
      <c r="CW990" s="485"/>
      <c r="CX990" s="485"/>
      <c r="CY990" s="485"/>
      <c r="CZ990" s="485"/>
      <c r="DA990" s="485"/>
      <c r="DB990" s="485"/>
      <c r="DC990" s="485"/>
      <c r="DD990" s="485"/>
      <c r="DE990" s="485"/>
      <c r="DF990" s="485"/>
      <c r="DG990" s="485"/>
      <c r="DH990" s="485"/>
      <c r="DI990" s="485"/>
      <c r="DJ990" s="485"/>
      <c r="DK990" s="485"/>
      <c r="DL990" s="485"/>
      <c r="DM990" s="485"/>
      <c r="DN990" s="485"/>
      <c r="DO990" s="485"/>
      <c r="DP990" s="485"/>
      <c r="DQ990" s="485"/>
      <c r="DR990" s="485"/>
      <c r="DS990" s="485"/>
      <c r="DT990" s="485"/>
      <c r="DU990" s="485"/>
      <c r="DV990" s="485"/>
      <c r="DW990" s="485"/>
      <c r="DX990" s="485"/>
      <c r="DY990" s="485"/>
      <c r="DZ990" s="485"/>
      <c r="EA990" s="485"/>
      <c r="EB990" s="485"/>
      <c r="EC990" s="485"/>
      <c r="ED990" s="485"/>
      <c r="EE990" s="485"/>
      <c r="EF990" s="485"/>
      <c r="EG990" s="485"/>
      <c r="EH990" s="485"/>
      <c r="EI990" s="485"/>
      <c r="EJ990" s="485"/>
      <c r="EK990" s="485"/>
      <c r="EL990" s="485"/>
      <c r="EM990" s="485"/>
      <c r="EN990" s="485"/>
      <c r="EO990" s="485"/>
      <c r="EP990" s="485"/>
    </row>
    <row r="991" spans="1:146">
      <c r="A991" s="485"/>
      <c r="B991" s="485"/>
      <c r="C991" s="485"/>
      <c r="D991" s="485"/>
      <c r="E991" s="485"/>
      <c r="F991" s="485"/>
      <c r="G991" s="485"/>
      <c r="H991" s="485"/>
      <c r="I991" s="485"/>
      <c r="J991" s="485"/>
      <c r="K991" s="485"/>
      <c r="L991" s="485"/>
      <c r="M991" s="485"/>
      <c r="P991" s="485"/>
      <c r="Q991" s="485"/>
      <c r="R991" s="485"/>
      <c r="S991" s="485"/>
      <c r="T991" s="485"/>
      <c r="U991" s="485"/>
      <c r="V991" s="485"/>
      <c r="W991" s="485"/>
      <c r="X991" s="485"/>
      <c r="Y991" s="485"/>
      <c r="Z991" s="485"/>
      <c r="AA991" s="485"/>
      <c r="AB991" s="485"/>
      <c r="AC991" s="485"/>
      <c r="AD991" s="485"/>
      <c r="AE991" s="485"/>
      <c r="AF991" s="485"/>
      <c r="AG991" s="485"/>
      <c r="AH991" s="485"/>
      <c r="AI991" s="485"/>
      <c r="AJ991" s="485"/>
      <c r="AK991" s="485"/>
      <c r="AL991" s="485"/>
      <c r="AM991" s="485"/>
      <c r="AN991" s="485"/>
      <c r="AO991" s="485"/>
      <c r="AP991" s="485"/>
      <c r="AQ991" s="485"/>
      <c r="AR991" s="485"/>
      <c r="AS991" s="485"/>
      <c r="AT991" s="485"/>
      <c r="AU991" s="485"/>
      <c r="AV991" s="485"/>
      <c r="AW991" s="485"/>
      <c r="AX991" s="485"/>
      <c r="AY991" s="485"/>
      <c r="AZ991" s="485"/>
      <c r="BA991" s="485"/>
      <c r="BB991" s="485"/>
      <c r="BC991" s="485"/>
      <c r="BD991" s="485"/>
      <c r="BE991" s="485"/>
      <c r="BF991" s="485"/>
      <c r="BG991" s="485"/>
      <c r="BH991" s="485"/>
      <c r="BI991" s="485"/>
      <c r="BJ991" s="485"/>
      <c r="BK991" s="485"/>
      <c r="BL991" s="485"/>
      <c r="BM991" s="485"/>
      <c r="BN991" s="485"/>
      <c r="BO991" s="485"/>
      <c r="BP991" s="485"/>
      <c r="BQ991" s="485"/>
      <c r="BR991" s="485"/>
      <c r="BS991" s="485"/>
      <c r="BT991" s="485"/>
      <c r="BU991" s="485"/>
      <c r="BV991" s="485"/>
      <c r="BW991" s="485"/>
      <c r="BX991" s="485"/>
      <c r="BY991" s="485"/>
      <c r="BZ991" s="485"/>
      <c r="CA991" s="485"/>
      <c r="CB991" s="485"/>
      <c r="CC991" s="485"/>
      <c r="CD991" s="485"/>
      <c r="CE991" s="485"/>
      <c r="CF991" s="485"/>
      <c r="CG991" s="485"/>
      <c r="CH991" s="485"/>
      <c r="CI991" s="485"/>
      <c r="CJ991" s="485"/>
      <c r="CK991" s="485"/>
      <c r="CL991" s="485"/>
      <c r="CM991" s="485"/>
      <c r="CN991" s="485"/>
      <c r="CO991" s="485"/>
      <c r="CP991" s="485"/>
      <c r="CQ991" s="485"/>
      <c r="CR991" s="485"/>
      <c r="CS991" s="485"/>
      <c r="CT991" s="485"/>
      <c r="CU991" s="485"/>
      <c r="CV991" s="485"/>
      <c r="CW991" s="485"/>
      <c r="CX991" s="485"/>
      <c r="CY991" s="485"/>
      <c r="CZ991" s="485"/>
      <c r="DA991" s="485"/>
      <c r="DB991" s="485"/>
      <c r="DC991" s="485"/>
      <c r="DD991" s="485"/>
      <c r="DE991" s="485"/>
      <c r="DF991" s="485"/>
      <c r="DG991" s="485"/>
      <c r="DH991" s="485"/>
      <c r="DI991" s="485"/>
      <c r="DJ991" s="485"/>
      <c r="DK991" s="485"/>
      <c r="DL991" s="485"/>
      <c r="DM991" s="485"/>
      <c r="DN991" s="485"/>
      <c r="DO991" s="485"/>
      <c r="DP991" s="485"/>
      <c r="DQ991" s="485"/>
      <c r="DR991" s="485"/>
      <c r="DS991" s="485"/>
      <c r="DT991" s="485"/>
      <c r="DU991" s="485"/>
      <c r="DV991" s="485"/>
      <c r="DW991" s="485"/>
      <c r="DX991" s="485"/>
      <c r="DY991" s="485"/>
      <c r="DZ991" s="485"/>
      <c r="EA991" s="485"/>
      <c r="EB991" s="485"/>
      <c r="EC991" s="485"/>
      <c r="ED991" s="485"/>
      <c r="EE991" s="485"/>
      <c r="EF991" s="485"/>
      <c r="EG991" s="485"/>
      <c r="EH991" s="485"/>
      <c r="EI991" s="485"/>
      <c r="EJ991" s="485"/>
      <c r="EK991" s="485"/>
      <c r="EL991" s="485"/>
      <c r="EM991" s="485"/>
      <c r="EN991" s="485"/>
      <c r="EO991" s="485"/>
      <c r="EP991" s="485"/>
    </row>
    <row r="992" spans="1:146">
      <c r="A992" s="485"/>
      <c r="B992" s="485"/>
      <c r="C992" s="485"/>
      <c r="D992" s="485"/>
      <c r="E992" s="485"/>
      <c r="F992" s="485"/>
      <c r="G992" s="485"/>
      <c r="H992" s="485"/>
      <c r="I992" s="485"/>
      <c r="J992" s="485"/>
      <c r="K992" s="485"/>
      <c r="L992" s="485"/>
      <c r="M992" s="485"/>
      <c r="P992" s="485"/>
      <c r="Q992" s="485"/>
      <c r="R992" s="485"/>
      <c r="S992" s="485"/>
      <c r="T992" s="485"/>
      <c r="U992" s="485"/>
      <c r="V992" s="485"/>
      <c r="W992" s="485"/>
      <c r="X992" s="485"/>
      <c r="Y992" s="485"/>
      <c r="Z992" s="485"/>
      <c r="AA992" s="485"/>
      <c r="AB992" s="485"/>
      <c r="AC992" s="485"/>
      <c r="AD992" s="485"/>
      <c r="AE992" s="485"/>
      <c r="AF992" s="485"/>
      <c r="AG992" s="485"/>
      <c r="AH992" s="485"/>
      <c r="AI992" s="485"/>
      <c r="AJ992" s="485"/>
      <c r="AK992" s="485"/>
      <c r="AL992" s="485"/>
      <c r="AM992" s="485"/>
      <c r="AN992" s="485"/>
      <c r="AO992" s="485"/>
      <c r="AP992" s="485"/>
      <c r="AQ992" s="485"/>
      <c r="AR992" s="485"/>
      <c r="AS992" s="485"/>
      <c r="AT992" s="485"/>
      <c r="AU992" s="485"/>
      <c r="AV992" s="485"/>
      <c r="AW992" s="485"/>
      <c r="AX992" s="485"/>
      <c r="AY992" s="485"/>
      <c r="AZ992" s="485"/>
      <c r="BA992" s="485"/>
      <c r="BB992" s="485"/>
      <c r="BC992" s="485"/>
      <c r="BD992" s="485"/>
      <c r="BE992" s="485"/>
      <c r="BF992" s="485"/>
      <c r="BG992" s="485"/>
      <c r="BH992" s="485"/>
      <c r="BI992" s="485"/>
      <c r="BJ992" s="485"/>
      <c r="BK992" s="485"/>
      <c r="BL992" s="485"/>
      <c r="BM992" s="485"/>
      <c r="BN992" s="485"/>
      <c r="BO992" s="485"/>
      <c r="BP992" s="485"/>
      <c r="BQ992" s="485"/>
      <c r="BR992" s="485"/>
      <c r="BS992" s="485"/>
      <c r="BT992" s="485"/>
      <c r="BU992" s="485"/>
      <c r="BV992" s="485"/>
      <c r="BW992" s="485"/>
      <c r="BX992" s="485"/>
      <c r="BY992" s="485"/>
      <c r="BZ992" s="485"/>
      <c r="CA992" s="485"/>
      <c r="CB992" s="485"/>
      <c r="CC992" s="485"/>
      <c r="CD992" s="485"/>
      <c r="CE992" s="485"/>
      <c r="CF992" s="485"/>
      <c r="CG992" s="485"/>
      <c r="CH992" s="485"/>
      <c r="CI992" s="485"/>
      <c r="CJ992" s="485"/>
      <c r="CK992" s="485"/>
      <c r="CL992" s="485"/>
      <c r="CM992" s="485"/>
      <c r="CN992" s="485"/>
      <c r="CO992" s="485"/>
      <c r="CP992" s="485"/>
      <c r="CQ992" s="485"/>
      <c r="CR992" s="485"/>
      <c r="CS992" s="485"/>
      <c r="CT992" s="485"/>
      <c r="CU992" s="485"/>
      <c r="CV992" s="485"/>
      <c r="CW992" s="485"/>
      <c r="CX992" s="485"/>
      <c r="CY992" s="485"/>
      <c r="CZ992" s="485"/>
      <c r="DA992" s="485"/>
      <c r="DB992" s="485"/>
      <c r="DC992" s="485"/>
      <c r="DD992" s="485"/>
      <c r="DE992" s="485"/>
      <c r="DF992" s="485"/>
      <c r="DG992" s="485"/>
      <c r="DH992" s="485"/>
      <c r="DI992" s="485"/>
      <c r="DJ992" s="485"/>
      <c r="DK992" s="485"/>
      <c r="DL992" s="485"/>
      <c r="DM992" s="485"/>
      <c r="DN992" s="485"/>
      <c r="DO992" s="485"/>
      <c r="DP992" s="485"/>
      <c r="DQ992" s="485"/>
      <c r="DR992" s="485"/>
      <c r="DS992" s="485"/>
      <c r="DT992" s="485"/>
      <c r="DU992" s="485"/>
      <c r="DV992" s="485"/>
      <c r="DW992" s="485"/>
      <c r="DX992" s="485"/>
      <c r="DY992" s="485"/>
      <c r="DZ992" s="485"/>
      <c r="EA992" s="485"/>
      <c r="EB992" s="485"/>
      <c r="EC992" s="485"/>
      <c r="ED992" s="485"/>
      <c r="EE992" s="485"/>
      <c r="EF992" s="485"/>
      <c r="EG992" s="485"/>
      <c r="EH992" s="485"/>
      <c r="EI992" s="485"/>
      <c r="EJ992" s="485"/>
      <c r="EK992" s="485"/>
      <c r="EL992" s="485"/>
      <c r="EM992" s="485"/>
      <c r="EN992" s="485"/>
      <c r="EO992" s="485"/>
      <c r="EP992" s="485"/>
    </row>
    <row r="993" spans="1:146">
      <c r="A993" s="485"/>
      <c r="B993" s="485"/>
      <c r="C993" s="485"/>
      <c r="D993" s="485"/>
      <c r="E993" s="485"/>
      <c r="F993" s="485"/>
      <c r="G993" s="485"/>
      <c r="H993" s="485"/>
      <c r="I993" s="485"/>
      <c r="J993" s="485"/>
      <c r="K993" s="485"/>
      <c r="L993" s="485"/>
      <c r="M993" s="485"/>
      <c r="P993" s="485"/>
      <c r="Q993" s="485"/>
      <c r="R993" s="485"/>
      <c r="S993" s="485"/>
      <c r="T993" s="485"/>
      <c r="U993" s="485"/>
      <c r="V993" s="485"/>
      <c r="W993" s="485"/>
      <c r="X993" s="485"/>
      <c r="Y993" s="485"/>
      <c r="Z993" s="485"/>
      <c r="AA993" s="485"/>
      <c r="AB993" s="485"/>
      <c r="AC993" s="485"/>
      <c r="AD993" s="485"/>
      <c r="AE993" s="485"/>
      <c r="AF993" s="485"/>
      <c r="AG993" s="485"/>
      <c r="AH993" s="485"/>
      <c r="AI993" s="485"/>
      <c r="AJ993" s="485"/>
      <c r="AK993" s="485"/>
      <c r="AL993" s="485"/>
      <c r="AM993" s="485"/>
      <c r="AN993" s="485"/>
      <c r="AO993" s="485"/>
      <c r="AP993" s="485"/>
      <c r="AQ993" s="485"/>
      <c r="AR993" s="485"/>
      <c r="AS993" s="485"/>
      <c r="AT993" s="485"/>
      <c r="AU993" s="485"/>
      <c r="AV993" s="485"/>
      <c r="AW993" s="485"/>
      <c r="AX993" s="485"/>
      <c r="AY993" s="485"/>
      <c r="AZ993" s="485"/>
      <c r="BA993" s="485"/>
      <c r="BB993" s="485"/>
      <c r="BC993" s="485"/>
      <c r="BD993" s="485"/>
      <c r="BE993" s="485"/>
      <c r="BF993" s="485"/>
      <c r="BG993" s="485"/>
      <c r="BH993" s="485"/>
      <c r="BI993" s="485"/>
      <c r="BJ993" s="485"/>
      <c r="BK993" s="485"/>
      <c r="BL993" s="485"/>
      <c r="BM993" s="485"/>
      <c r="BN993" s="485"/>
      <c r="BO993" s="485"/>
      <c r="BP993" s="485"/>
      <c r="BQ993" s="485"/>
      <c r="BR993" s="485"/>
      <c r="BS993" s="485"/>
      <c r="BT993" s="485"/>
      <c r="BU993" s="485"/>
      <c r="BV993" s="485"/>
      <c r="BW993" s="485"/>
      <c r="BX993" s="485"/>
      <c r="BY993" s="485"/>
      <c r="BZ993" s="485"/>
      <c r="CA993" s="485"/>
      <c r="CB993" s="485"/>
      <c r="CC993" s="485"/>
      <c r="CD993" s="485"/>
      <c r="CE993" s="485"/>
      <c r="CF993" s="485"/>
      <c r="CG993" s="485"/>
      <c r="CH993" s="485"/>
      <c r="CI993" s="485"/>
      <c r="CJ993" s="485"/>
      <c r="CK993" s="485"/>
      <c r="CL993" s="485"/>
      <c r="CM993" s="485"/>
      <c r="CN993" s="485"/>
      <c r="CO993" s="485"/>
      <c r="CP993" s="485"/>
      <c r="CQ993" s="485"/>
      <c r="CR993" s="485"/>
      <c r="CS993" s="485"/>
      <c r="CT993" s="485"/>
      <c r="CU993" s="485"/>
      <c r="CV993" s="485"/>
      <c r="CW993" s="485"/>
      <c r="CX993" s="485"/>
      <c r="CY993" s="485"/>
      <c r="CZ993" s="485"/>
      <c r="DA993" s="485"/>
      <c r="DB993" s="485"/>
      <c r="DC993" s="485"/>
      <c r="DD993" s="485"/>
      <c r="DE993" s="485"/>
      <c r="DF993" s="485"/>
      <c r="DG993" s="485"/>
      <c r="DH993" s="485"/>
      <c r="DI993" s="485"/>
      <c r="DJ993" s="485"/>
      <c r="DK993" s="485"/>
      <c r="DL993" s="485"/>
      <c r="DM993" s="485"/>
      <c r="DN993" s="485"/>
      <c r="DO993" s="485"/>
      <c r="DP993" s="485"/>
      <c r="DQ993" s="485"/>
      <c r="DR993" s="485"/>
      <c r="DS993" s="485"/>
      <c r="DT993" s="485"/>
      <c r="DU993" s="485"/>
      <c r="DV993" s="485"/>
      <c r="DW993" s="485"/>
      <c r="DX993" s="485"/>
      <c r="DY993" s="485"/>
      <c r="DZ993" s="485"/>
      <c r="EA993" s="485"/>
      <c r="EB993" s="485"/>
      <c r="EC993" s="485"/>
      <c r="ED993" s="485"/>
      <c r="EE993" s="485"/>
      <c r="EF993" s="485"/>
      <c r="EG993" s="485"/>
      <c r="EH993" s="485"/>
      <c r="EI993" s="485"/>
      <c r="EJ993" s="485"/>
      <c r="EK993" s="485"/>
      <c r="EL993" s="485"/>
      <c r="EM993" s="485"/>
      <c r="EN993" s="485"/>
      <c r="EO993" s="485"/>
      <c r="EP993" s="485"/>
    </row>
    <row r="994" spans="1:146">
      <c r="A994" s="485"/>
      <c r="B994" s="485"/>
      <c r="C994" s="485"/>
      <c r="D994" s="485"/>
      <c r="E994" s="485"/>
      <c r="F994" s="485"/>
      <c r="G994" s="485"/>
      <c r="H994" s="485"/>
      <c r="I994" s="485"/>
      <c r="J994" s="485"/>
      <c r="K994" s="485"/>
      <c r="L994" s="485"/>
      <c r="M994" s="485"/>
      <c r="P994" s="485"/>
      <c r="Q994" s="485"/>
      <c r="R994" s="485"/>
      <c r="S994" s="485"/>
      <c r="T994" s="485"/>
      <c r="U994" s="485"/>
      <c r="V994" s="485"/>
      <c r="W994" s="485"/>
      <c r="X994" s="485"/>
      <c r="Y994" s="485"/>
      <c r="Z994" s="485"/>
      <c r="AA994" s="485"/>
      <c r="AB994" s="485"/>
      <c r="AC994" s="485"/>
      <c r="AD994" s="485"/>
      <c r="AE994" s="485"/>
      <c r="AF994" s="485"/>
      <c r="AG994" s="485"/>
      <c r="AH994" s="485"/>
      <c r="AI994" s="485"/>
      <c r="AJ994" s="485"/>
      <c r="AK994" s="485"/>
      <c r="AL994" s="485"/>
      <c r="AM994" s="485"/>
      <c r="AN994" s="485"/>
      <c r="AO994" s="485"/>
      <c r="AP994" s="485"/>
      <c r="AQ994" s="485"/>
      <c r="AR994" s="485"/>
      <c r="AS994" s="485"/>
      <c r="AT994" s="485"/>
      <c r="AU994" s="485"/>
      <c r="AV994" s="485"/>
      <c r="AW994" s="485"/>
      <c r="AX994" s="485"/>
      <c r="AY994" s="485"/>
      <c r="AZ994" s="485"/>
      <c r="BA994" s="485"/>
      <c r="BB994" s="485"/>
      <c r="BC994" s="485"/>
      <c r="BD994" s="485"/>
      <c r="BE994" s="485"/>
      <c r="BF994" s="485"/>
      <c r="BG994" s="485"/>
      <c r="BH994" s="485"/>
      <c r="BI994" s="485"/>
      <c r="BJ994" s="485"/>
      <c r="BK994" s="485"/>
      <c r="BL994" s="485"/>
      <c r="BM994" s="485"/>
      <c r="BN994" s="485"/>
      <c r="BO994" s="485"/>
      <c r="BP994" s="485"/>
      <c r="BQ994" s="485"/>
      <c r="BR994" s="485"/>
      <c r="BS994" s="485"/>
      <c r="BT994" s="485"/>
      <c r="BU994" s="485"/>
      <c r="BV994" s="485"/>
      <c r="BW994" s="485"/>
      <c r="BX994" s="485"/>
      <c r="BY994" s="485"/>
      <c r="BZ994" s="485"/>
      <c r="CA994" s="485"/>
      <c r="CB994" s="485"/>
      <c r="CC994" s="485"/>
      <c r="CD994" s="485"/>
      <c r="CE994" s="485"/>
      <c r="CF994" s="485"/>
      <c r="CG994" s="485"/>
      <c r="CH994" s="485"/>
      <c r="CI994" s="485"/>
      <c r="CJ994" s="485"/>
      <c r="CK994" s="485"/>
      <c r="CL994" s="485"/>
      <c r="CM994" s="485"/>
      <c r="CN994" s="485"/>
      <c r="CO994" s="485"/>
      <c r="CP994" s="485"/>
      <c r="CQ994" s="485"/>
      <c r="CR994" s="485"/>
      <c r="CS994" s="485"/>
      <c r="CT994" s="485"/>
      <c r="CU994" s="485"/>
      <c r="CV994" s="485"/>
      <c r="CW994" s="485"/>
      <c r="CX994" s="485"/>
      <c r="CY994" s="485"/>
      <c r="CZ994" s="485"/>
      <c r="DA994" s="485"/>
      <c r="DB994" s="485"/>
      <c r="DC994" s="485"/>
      <c r="DD994" s="485"/>
      <c r="DE994" s="485"/>
      <c r="DF994" s="485"/>
      <c r="DG994" s="485"/>
      <c r="DH994" s="485"/>
      <c r="DI994" s="485"/>
      <c r="DJ994" s="485"/>
      <c r="DK994" s="485"/>
      <c r="DL994" s="485"/>
      <c r="DM994" s="485"/>
      <c r="DN994" s="485"/>
      <c r="DO994" s="485"/>
      <c r="DP994" s="485"/>
      <c r="DQ994" s="485"/>
      <c r="DR994" s="485"/>
      <c r="DS994" s="485"/>
      <c r="DT994" s="485"/>
      <c r="DU994" s="485"/>
      <c r="DV994" s="485"/>
      <c r="DW994" s="485"/>
      <c r="DX994" s="485"/>
      <c r="DY994" s="485"/>
      <c r="DZ994" s="485"/>
      <c r="EA994" s="485"/>
      <c r="EB994" s="485"/>
      <c r="EC994" s="485"/>
      <c r="ED994" s="485"/>
      <c r="EE994" s="485"/>
      <c r="EF994" s="485"/>
      <c r="EG994" s="485"/>
      <c r="EH994" s="485"/>
      <c r="EI994" s="485"/>
      <c r="EJ994" s="485"/>
      <c r="EK994" s="485"/>
      <c r="EL994" s="485"/>
      <c r="EM994" s="485"/>
      <c r="EN994" s="485"/>
      <c r="EO994" s="485"/>
      <c r="EP994" s="485"/>
    </row>
    <row r="995" spans="1:146">
      <c r="A995" s="485"/>
      <c r="B995" s="485"/>
      <c r="C995" s="485"/>
      <c r="D995" s="485"/>
      <c r="E995" s="485"/>
      <c r="F995" s="485"/>
      <c r="G995" s="485"/>
      <c r="H995" s="485"/>
      <c r="I995" s="485"/>
      <c r="J995" s="485"/>
      <c r="K995" s="485"/>
      <c r="L995" s="485"/>
      <c r="M995" s="485"/>
      <c r="P995" s="485"/>
      <c r="Q995" s="485"/>
      <c r="R995" s="485"/>
      <c r="S995" s="485"/>
      <c r="T995" s="485"/>
      <c r="U995" s="485"/>
      <c r="V995" s="485"/>
      <c r="W995" s="485"/>
      <c r="X995" s="485"/>
      <c r="Y995" s="485"/>
      <c r="Z995" s="485"/>
      <c r="AA995" s="485"/>
      <c r="AB995" s="485"/>
      <c r="AC995" s="485"/>
      <c r="AD995" s="485"/>
      <c r="AE995" s="485"/>
      <c r="AF995" s="485"/>
      <c r="AG995" s="485"/>
      <c r="AH995" s="485"/>
      <c r="AI995" s="485"/>
      <c r="AJ995" s="485"/>
      <c r="AK995" s="485"/>
      <c r="AL995" s="485"/>
      <c r="AM995" s="485"/>
      <c r="AN995" s="485"/>
      <c r="AO995" s="485"/>
      <c r="AP995" s="485"/>
      <c r="AQ995" s="485"/>
      <c r="AR995" s="485"/>
      <c r="AS995" s="485"/>
      <c r="AT995" s="485"/>
      <c r="AU995" s="485"/>
      <c r="AV995" s="485"/>
      <c r="AW995" s="485"/>
      <c r="AX995" s="485"/>
      <c r="AY995" s="485"/>
      <c r="AZ995" s="485"/>
      <c r="BA995" s="485"/>
      <c r="BB995" s="485"/>
      <c r="BC995" s="485"/>
      <c r="BD995" s="485"/>
      <c r="BE995" s="485"/>
      <c r="BF995" s="485"/>
      <c r="BG995" s="485"/>
      <c r="BH995" s="485"/>
      <c r="BI995" s="485"/>
      <c r="BJ995" s="485"/>
      <c r="BK995" s="485"/>
      <c r="BL995" s="485"/>
      <c r="BM995" s="485"/>
      <c r="BN995" s="485"/>
      <c r="BO995" s="485"/>
      <c r="BP995" s="485"/>
      <c r="BQ995" s="485"/>
      <c r="BR995" s="485"/>
      <c r="BS995" s="485"/>
      <c r="BT995" s="485"/>
      <c r="BU995" s="485"/>
      <c r="BV995" s="485"/>
      <c r="BW995" s="485"/>
      <c r="BX995" s="485"/>
      <c r="BY995" s="485"/>
      <c r="BZ995" s="485"/>
      <c r="CA995" s="485"/>
      <c r="CB995" s="485"/>
      <c r="CC995" s="485"/>
      <c r="CD995" s="485"/>
      <c r="CE995" s="485"/>
      <c r="CF995" s="485"/>
      <c r="CG995" s="485"/>
      <c r="CH995" s="485"/>
      <c r="CI995" s="485"/>
      <c r="CJ995" s="485"/>
      <c r="CK995" s="485"/>
      <c r="CL995" s="485"/>
      <c r="CM995" s="485"/>
      <c r="CN995" s="485"/>
      <c r="CO995" s="485"/>
      <c r="CP995" s="485"/>
      <c r="CQ995" s="485"/>
      <c r="CR995" s="485"/>
      <c r="CS995" s="485"/>
      <c r="CT995" s="485"/>
      <c r="CU995" s="485"/>
      <c r="CV995" s="485"/>
      <c r="CW995" s="485"/>
      <c r="CX995" s="485"/>
      <c r="CY995" s="485"/>
      <c r="CZ995" s="485"/>
      <c r="DA995" s="485"/>
      <c r="DB995" s="485"/>
      <c r="DC995" s="485"/>
      <c r="DD995" s="485"/>
      <c r="DE995" s="485"/>
      <c r="DF995" s="485"/>
      <c r="DG995" s="485"/>
      <c r="DH995" s="485"/>
      <c r="DI995" s="485"/>
      <c r="DJ995" s="485"/>
      <c r="DK995" s="485"/>
      <c r="DL995" s="485"/>
      <c r="DM995" s="485"/>
      <c r="DN995" s="485"/>
      <c r="DO995" s="485"/>
      <c r="DP995" s="485"/>
      <c r="DQ995" s="485"/>
      <c r="DR995" s="485"/>
      <c r="DS995" s="485"/>
      <c r="DT995" s="485"/>
      <c r="DU995" s="485"/>
      <c r="DV995" s="485"/>
      <c r="DW995" s="485"/>
      <c r="DX995" s="485"/>
      <c r="DY995" s="485"/>
      <c r="DZ995" s="485"/>
      <c r="EA995" s="485"/>
      <c r="EB995" s="485"/>
      <c r="EC995" s="485"/>
      <c r="ED995" s="485"/>
      <c r="EE995" s="485"/>
      <c r="EF995" s="485"/>
      <c r="EG995" s="485"/>
      <c r="EH995" s="485"/>
      <c r="EI995" s="485"/>
      <c r="EJ995" s="485"/>
      <c r="EK995" s="485"/>
      <c r="EL995" s="485"/>
      <c r="EM995" s="485"/>
      <c r="EN995" s="485"/>
      <c r="EO995" s="485"/>
      <c r="EP995" s="485"/>
    </row>
    <row r="996" spans="1:146">
      <c r="A996" s="485"/>
      <c r="B996" s="485"/>
      <c r="C996" s="485"/>
      <c r="D996" s="485"/>
      <c r="E996" s="485"/>
      <c r="F996" s="485"/>
      <c r="G996" s="485"/>
      <c r="H996" s="485"/>
      <c r="I996" s="485"/>
      <c r="J996" s="485"/>
      <c r="K996" s="485"/>
      <c r="L996" s="485"/>
      <c r="M996" s="485"/>
      <c r="P996" s="485"/>
      <c r="Q996" s="485"/>
      <c r="R996" s="485"/>
      <c r="S996" s="485"/>
      <c r="T996" s="485"/>
      <c r="U996" s="485"/>
      <c r="V996" s="485"/>
      <c r="W996" s="485"/>
      <c r="X996" s="485"/>
      <c r="Y996" s="485"/>
      <c r="Z996" s="485"/>
      <c r="AA996" s="485"/>
      <c r="AB996" s="485"/>
      <c r="AC996" s="485"/>
      <c r="AD996" s="485"/>
      <c r="AE996" s="485"/>
      <c r="AF996" s="485"/>
      <c r="AG996" s="485"/>
      <c r="AH996" s="485"/>
      <c r="AI996" s="485"/>
      <c r="AJ996" s="485"/>
      <c r="AK996" s="485"/>
      <c r="AL996" s="485"/>
      <c r="AM996" s="485"/>
      <c r="AN996" s="485"/>
      <c r="AO996" s="485"/>
      <c r="AP996" s="485"/>
      <c r="AQ996" s="485"/>
      <c r="AR996" s="485"/>
      <c r="AS996" s="485"/>
      <c r="AT996" s="485"/>
      <c r="AU996" s="485"/>
      <c r="AV996" s="485"/>
      <c r="AW996" s="485"/>
      <c r="AX996" s="485"/>
      <c r="AY996" s="485"/>
      <c r="AZ996" s="485"/>
      <c r="BA996" s="485"/>
      <c r="BB996" s="485"/>
      <c r="BC996" s="485"/>
      <c r="BD996" s="485"/>
      <c r="BE996" s="485"/>
      <c r="BF996" s="485"/>
      <c r="BG996" s="485"/>
      <c r="BH996" s="485"/>
      <c r="BI996" s="485"/>
      <c r="BJ996" s="485"/>
      <c r="BK996" s="485"/>
      <c r="BL996" s="485"/>
      <c r="BM996" s="485"/>
      <c r="BN996" s="485"/>
      <c r="BO996" s="485"/>
      <c r="BP996" s="485"/>
      <c r="BQ996" s="485"/>
      <c r="BR996" s="485"/>
      <c r="BS996" s="485"/>
      <c r="BT996" s="485"/>
      <c r="BU996" s="485"/>
      <c r="BV996" s="485"/>
      <c r="BW996" s="485"/>
      <c r="BX996" s="485"/>
      <c r="BY996" s="485"/>
      <c r="BZ996" s="485"/>
      <c r="CA996" s="485"/>
      <c r="CB996" s="485"/>
      <c r="CC996" s="485"/>
      <c r="CD996" s="485"/>
      <c r="CE996" s="485"/>
      <c r="CF996" s="485"/>
      <c r="CG996" s="485"/>
      <c r="CH996" s="485"/>
      <c r="CI996" s="485"/>
      <c r="CJ996" s="485"/>
      <c r="CK996" s="485"/>
      <c r="CL996" s="485"/>
      <c r="CM996" s="485"/>
      <c r="CN996" s="485"/>
      <c r="CO996" s="485"/>
      <c r="CP996" s="485"/>
      <c r="CQ996" s="485"/>
      <c r="CR996" s="485"/>
      <c r="CS996" s="485"/>
      <c r="CT996" s="485"/>
      <c r="CU996" s="485"/>
      <c r="CV996" s="485"/>
      <c r="CW996" s="485"/>
      <c r="CX996" s="485"/>
      <c r="CY996" s="485"/>
      <c r="CZ996" s="485"/>
      <c r="DA996" s="485"/>
      <c r="DB996" s="485"/>
      <c r="DC996" s="485"/>
      <c r="DD996" s="485"/>
      <c r="DE996" s="485"/>
      <c r="DF996" s="485"/>
      <c r="DG996" s="485"/>
      <c r="DH996" s="485"/>
      <c r="DI996" s="485"/>
      <c r="DJ996" s="485"/>
      <c r="DK996" s="485"/>
      <c r="DL996" s="485"/>
      <c r="DM996" s="485"/>
      <c r="DN996" s="485"/>
      <c r="DO996" s="485"/>
      <c r="DP996" s="485"/>
      <c r="DQ996" s="485"/>
      <c r="DR996" s="485"/>
      <c r="DS996" s="485"/>
      <c r="DT996" s="485"/>
      <c r="DU996" s="485"/>
      <c r="DV996" s="485"/>
      <c r="DW996" s="485"/>
      <c r="DX996" s="485"/>
      <c r="DY996" s="485"/>
      <c r="DZ996" s="485"/>
      <c r="EA996" s="485"/>
      <c r="EB996" s="485"/>
      <c r="EC996" s="485"/>
      <c r="ED996" s="485"/>
      <c r="EE996" s="485"/>
      <c r="EF996" s="485"/>
      <c r="EG996" s="485"/>
      <c r="EH996" s="485"/>
      <c r="EI996" s="485"/>
      <c r="EJ996" s="485"/>
      <c r="EK996" s="485"/>
      <c r="EL996" s="485"/>
      <c r="EM996" s="485"/>
      <c r="EN996" s="485"/>
      <c r="EO996" s="485"/>
      <c r="EP996" s="485"/>
    </row>
    <row r="997" spans="1:146">
      <c r="A997" s="485"/>
      <c r="B997" s="485"/>
      <c r="C997" s="485"/>
      <c r="D997" s="485"/>
      <c r="E997" s="485"/>
      <c r="F997" s="485"/>
      <c r="G997" s="485"/>
      <c r="H997" s="485"/>
      <c r="I997" s="485"/>
      <c r="J997" s="485"/>
      <c r="K997" s="485"/>
      <c r="L997" s="485"/>
      <c r="M997" s="485"/>
      <c r="P997" s="485"/>
      <c r="Q997" s="485"/>
      <c r="R997" s="485"/>
      <c r="S997" s="485"/>
      <c r="T997" s="485"/>
      <c r="U997" s="485"/>
      <c r="V997" s="485"/>
      <c r="W997" s="485"/>
      <c r="X997" s="485"/>
      <c r="Y997" s="485"/>
      <c r="Z997" s="485"/>
      <c r="AA997" s="485"/>
      <c r="AB997" s="485"/>
      <c r="AC997" s="485"/>
      <c r="AD997" s="485"/>
      <c r="AE997" s="485"/>
      <c r="AF997" s="485"/>
      <c r="AG997" s="485"/>
      <c r="AH997" s="485"/>
      <c r="AI997" s="485"/>
      <c r="AJ997" s="485"/>
      <c r="AK997" s="485"/>
      <c r="AL997" s="485"/>
      <c r="AM997" s="485"/>
      <c r="AN997" s="485"/>
      <c r="AO997" s="485"/>
      <c r="AP997" s="485"/>
      <c r="AQ997" s="485"/>
      <c r="AR997" s="485"/>
      <c r="AS997" s="485"/>
      <c r="AT997" s="485"/>
      <c r="AU997" s="485"/>
      <c r="AV997" s="485"/>
      <c r="AW997" s="485"/>
      <c r="AX997" s="485"/>
      <c r="AY997" s="485"/>
      <c r="AZ997" s="485"/>
      <c r="BA997" s="485"/>
      <c r="BB997" s="485"/>
      <c r="BC997" s="485"/>
      <c r="BD997" s="485"/>
      <c r="BE997" s="485"/>
      <c r="BF997" s="485"/>
      <c r="BG997" s="485"/>
      <c r="BH997" s="485"/>
      <c r="BI997" s="485"/>
      <c r="BJ997" s="485"/>
      <c r="BK997" s="485"/>
      <c r="BL997" s="485"/>
      <c r="BM997" s="485"/>
      <c r="BN997" s="485"/>
      <c r="BO997" s="485"/>
      <c r="BP997" s="485"/>
      <c r="BQ997" s="485"/>
      <c r="BR997" s="485"/>
      <c r="BS997" s="485"/>
      <c r="BT997" s="485"/>
      <c r="BU997" s="485"/>
      <c r="BV997" s="485"/>
      <c r="BW997" s="485"/>
      <c r="BX997" s="485"/>
      <c r="BY997" s="485"/>
      <c r="BZ997" s="485"/>
      <c r="CA997" s="485"/>
      <c r="CB997" s="485"/>
      <c r="CC997" s="485"/>
      <c r="CD997" s="485"/>
      <c r="CE997" s="485"/>
      <c r="CF997" s="485"/>
      <c r="CG997" s="485"/>
      <c r="CH997" s="485"/>
      <c r="CI997" s="485"/>
      <c r="CJ997" s="485"/>
      <c r="CK997" s="485"/>
      <c r="CL997" s="485"/>
      <c r="CM997" s="485"/>
      <c r="CN997" s="485"/>
      <c r="CO997" s="485"/>
      <c r="CP997" s="485"/>
      <c r="CQ997" s="485"/>
      <c r="CR997" s="485"/>
      <c r="CS997" s="485"/>
      <c r="CT997" s="485"/>
      <c r="CU997" s="485"/>
      <c r="CV997" s="485"/>
      <c r="CW997" s="485"/>
      <c r="CX997" s="485"/>
      <c r="CY997" s="485"/>
      <c r="CZ997" s="485"/>
      <c r="DA997" s="485"/>
      <c r="DB997" s="485"/>
      <c r="DC997" s="485"/>
      <c r="DD997" s="485"/>
      <c r="DE997" s="485"/>
      <c r="DF997" s="485"/>
      <c r="DG997" s="485"/>
      <c r="DH997" s="485"/>
      <c r="DI997" s="485"/>
      <c r="DJ997" s="485"/>
      <c r="DK997" s="485"/>
      <c r="DL997" s="485"/>
      <c r="DM997" s="485"/>
      <c r="DN997" s="485"/>
      <c r="DO997" s="485"/>
      <c r="DP997" s="485"/>
      <c r="DQ997" s="485"/>
      <c r="DR997" s="485"/>
      <c r="DS997" s="485"/>
      <c r="DT997" s="485"/>
      <c r="DU997" s="485"/>
      <c r="DV997" s="485"/>
      <c r="DW997" s="485"/>
      <c r="DX997" s="485"/>
      <c r="DY997" s="485"/>
      <c r="DZ997" s="485"/>
      <c r="EA997" s="485"/>
      <c r="EB997" s="485"/>
      <c r="EC997" s="485"/>
      <c r="ED997" s="485"/>
      <c r="EE997" s="485"/>
      <c r="EF997" s="485"/>
      <c r="EG997" s="485"/>
      <c r="EH997" s="485"/>
      <c r="EI997" s="485"/>
      <c r="EJ997" s="485"/>
      <c r="EK997" s="485"/>
      <c r="EL997" s="485"/>
      <c r="EM997" s="485"/>
      <c r="EN997" s="485"/>
      <c r="EO997" s="485"/>
      <c r="EP997" s="485"/>
    </row>
    <row r="998" spans="1:146">
      <c r="A998" s="485"/>
      <c r="B998" s="485"/>
      <c r="C998" s="485"/>
      <c r="D998" s="485"/>
      <c r="E998" s="485"/>
      <c r="F998" s="485"/>
      <c r="G998" s="485"/>
      <c r="H998" s="485"/>
      <c r="I998" s="485"/>
      <c r="J998" s="485"/>
      <c r="K998" s="485"/>
      <c r="L998" s="485"/>
      <c r="M998" s="485"/>
      <c r="P998" s="485"/>
      <c r="Q998" s="485"/>
      <c r="R998" s="485"/>
      <c r="S998" s="485"/>
      <c r="T998" s="485"/>
      <c r="U998" s="485"/>
      <c r="V998" s="485"/>
      <c r="W998" s="485"/>
      <c r="X998" s="485"/>
      <c r="Y998" s="485"/>
      <c r="Z998" s="485"/>
      <c r="AA998" s="485"/>
      <c r="AB998" s="485"/>
      <c r="AC998" s="485"/>
      <c r="AD998" s="485"/>
      <c r="AE998" s="485"/>
      <c r="AF998" s="485"/>
      <c r="AG998" s="485"/>
      <c r="AH998" s="485"/>
      <c r="AI998" s="485"/>
      <c r="AJ998" s="485"/>
      <c r="AK998" s="485"/>
      <c r="AL998" s="485"/>
      <c r="AM998" s="485"/>
      <c r="AN998" s="485"/>
      <c r="AO998" s="485"/>
      <c r="AP998" s="485"/>
      <c r="AQ998" s="485"/>
      <c r="AR998" s="485"/>
      <c r="AS998" s="485"/>
      <c r="AT998" s="485"/>
      <c r="AU998" s="485"/>
      <c r="AV998" s="485"/>
      <c r="AW998" s="485"/>
      <c r="AX998" s="485"/>
      <c r="AY998" s="485"/>
      <c r="AZ998" s="485"/>
      <c r="BA998" s="485"/>
      <c r="BB998" s="485"/>
      <c r="BC998" s="485"/>
      <c r="BD998" s="485"/>
      <c r="BE998" s="485"/>
      <c r="BF998" s="485"/>
      <c r="BG998" s="485"/>
      <c r="BH998" s="485"/>
      <c r="BI998" s="485"/>
      <c r="BJ998" s="485"/>
      <c r="BK998" s="485"/>
      <c r="BL998" s="485"/>
      <c r="BM998" s="485"/>
      <c r="BN998" s="485"/>
      <c r="BO998" s="485"/>
      <c r="BP998" s="485"/>
      <c r="BQ998" s="485"/>
      <c r="BR998" s="485"/>
      <c r="BS998" s="485"/>
      <c r="BT998" s="485"/>
      <c r="BU998" s="485"/>
      <c r="BV998" s="485"/>
      <c r="BW998" s="485"/>
      <c r="BX998" s="485"/>
      <c r="BY998" s="485"/>
      <c r="BZ998" s="485"/>
      <c r="CA998" s="485"/>
      <c r="CB998" s="485"/>
      <c r="CC998" s="485"/>
      <c r="CD998" s="485"/>
      <c r="CE998" s="485"/>
      <c r="CF998" s="485"/>
      <c r="CG998" s="485"/>
      <c r="CH998" s="485"/>
      <c r="CI998" s="485"/>
      <c r="CJ998" s="485"/>
      <c r="CK998" s="485"/>
      <c r="CL998" s="485"/>
      <c r="CM998" s="485"/>
      <c r="CN998" s="485"/>
      <c r="CO998" s="485"/>
      <c r="CP998" s="485"/>
      <c r="CQ998" s="485"/>
      <c r="CR998" s="485"/>
      <c r="CS998" s="485"/>
      <c r="CT998" s="485"/>
      <c r="CU998" s="485"/>
      <c r="CV998" s="485"/>
      <c r="CW998" s="485"/>
      <c r="CX998" s="485"/>
      <c r="CY998" s="485"/>
      <c r="CZ998" s="485"/>
      <c r="DA998" s="485"/>
      <c r="DB998" s="485"/>
      <c r="DC998" s="485"/>
      <c r="DD998" s="485"/>
      <c r="DE998" s="485"/>
      <c r="DF998" s="485"/>
      <c r="DG998" s="485"/>
      <c r="DH998" s="485"/>
      <c r="DI998" s="485"/>
      <c r="DJ998" s="485"/>
      <c r="DK998" s="485"/>
      <c r="DL998" s="485"/>
      <c r="DM998" s="485"/>
      <c r="DN998" s="485"/>
      <c r="DO998" s="485"/>
      <c r="DP998" s="485"/>
      <c r="DQ998" s="485"/>
      <c r="DR998" s="485"/>
      <c r="DS998" s="485"/>
      <c r="DT998" s="485"/>
      <c r="DU998" s="485"/>
      <c r="DV998" s="485"/>
      <c r="DW998" s="485"/>
      <c r="DX998" s="485"/>
      <c r="DY998" s="485"/>
      <c r="DZ998" s="485"/>
      <c r="EA998" s="485"/>
      <c r="EB998" s="485"/>
      <c r="EC998" s="485"/>
      <c r="ED998" s="485"/>
      <c r="EE998" s="485"/>
      <c r="EF998" s="485"/>
      <c r="EG998" s="485"/>
      <c r="EH998" s="485"/>
      <c r="EI998" s="485"/>
      <c r="EJ998" s="485"/>
      <c r="EK998" s="485"/>
      <c r="EL998" s="485"/>
      <c r="EM998" s="485"/>
      <c r="EN998" s="485"/>
      <c r="EO998" s="485"/>
      <c r="EP998" s="485"/>
    </row>
    <row r="999" spans="1:146">
      <c r="A999" s="485"/>
      <c r="B999" s="485"/>
      <c r="C999" s="485"/>
      <c r="D999" s="485"/>
      <c r="E999" s="485"/>
      <c r="F999" s="485"/>
      <c r="G999" s="485"/>
      <c r="H999" s="485"/>
      <c r="I999" s="485"/>
      <c r="J999" s="485"/>
      <c r="K999" s="485"/>
      <c r="L999" s="485"/>
      <c r="M999" s="485"/>
      <c r="P999" s="485"/>
      <c r="Q999" s="485"/>
      <c r="R999" s="485"/>
      <c r="S999" s="485"/>
      <c r="T999" s="485"/>
      <c r="U999" s="485"/>
      <c r="V999" s="485"/>
      <c r="W999" s="485"/>
      <c r="X999" s="485"/>
      <c r="Y999" s="485"/>
      <c r="Z999" s="485"/>
      <c r="AA999" s="485"/>
      <c r="AB999" s="485"/>
      <c r="AC999" s="485"/>
      <c r="AD999" s="485"/>
      <c r="AE999" s="485"/>
      <c r="AF999" s="485"/>
      <c r="AG999" s="485"/>
      <c r="AH999" s="485"/>
      <c r="AI999" s="485"/>
      <c r="AJ999" s="485"/>
      <c r="AK999" s="485"/>
      <c r="AL999" s="485"/>
      <c r="AM999" s="485"/>
      <c r="AN999" s="485"/>
      <c r="AO999" s="485"/>
      <c r="AP999" s="485"/>
      <c r="AQ999" s="485"/>
      <c r="AR999" s="485"/>
      <c r="AS999" s="485"/>
      <c r="AT999" s="485"/>
      <c r="AU999" s="485"/>
      <c r="AV999" s="485"/>
      <c r="AW999" s="485"/>
      <c r="AX999" s="485"/>
      <c r="AY999" s="485"/>
      <c r="AZ999" s="485"/>
      <c r="BA999" s="485"/>
      <c r="BB999" s="485"/>
      <c r="BC999" s="485"/>
      <c r="BD999" s="485"/>
      <c r="BE999" s="485"/>
      <c r="BF999" s="485"/>
      <c r="BG999" s="485"/>
      <c r="BH999" s="485"/>
      <c r="BI999" s="485"/>
      <c r="BJ999" s="485"/>
      <c r="BK999" s="485"/>
      <c r="BL999" s="485"/>
      <c r="BM999" s="485"/>
      <c r="BN999" s="485"/>
      <c r="BO999" s="485"/>
      <c r="BP999" s="485"/>
      <c r="BQ999" s="485"/>
      <c r="BR999" s="485"/>
      <c r="BS999" s="485"/>
      <c r="BT999" s="485"/>
      <c r="BU999" s="485"/>
      <c r="BV999" s="485"/>
      <c r="BW999" s="485"/>
      <c r="BX999" s="485"/>
      <c r="BY999" s="485"/>
      <c r="BZ999" s="485"/>
      <c r="CA999" s="485"/>
      <c r="CB999" s="485"/>
      <c r="CC999" s="485"/>
      <c r="CD999" s="485"/>
      <c r="CE999" s="485"/>
      <c r="CF999" s="485"/>
      <c r="CG999" s="485"/>
      <c r="CH999" s="485"/>
      <c r="CI999" s="485"/>
      <c r="CJ999" s="485"/>
      <c r="CK999" s="485"/>
      <c r="CL999" s="485"/>
      <c r="CM999" s="485"/>
      <c r="CN999" s="485"/>
      <c r="CO999" s="485"/>
      <c r="CP999" s="485"/>
      <c r="CQ999" s="485"/>
      <c r="CR999" s="485"/>
      <c r="CS999" s="485"/>
      <c r="CT999" s="485"/>
      <c r="CU999" s="485"/>
      <c r="CV999" s="485"/>
      <c r="CW999" s="485"/>
      <c r="CX999" s="485"/>
      <c r="CY999" s="485"/>
      <c r="CZ999" s="485"/>
      <c r="DA999" s="485"/>
      <c r="DB999" s="485"/>
      <c r="DC999" s="485"/>
      <c r="DD999" s="485"/>
      <c r="DE999" s="485"/>
      <c r="DF999" s="485"/>
      <c r="DG999" s="485"/>
      <c r="DH999" s="485"/>
      <c r="DI999" s="485"/>
      <c r="DJ999" s="485"/>
      <c r="DK999" s="485"/>
      <c r="DL999" s="485"/>
      <c r="DM999" s="485"/>
      <c r="DN999" s="485"/>
      <c r="DO999" s="485"/>
      <c r="DP999" s="485"/>
      <c r="DQ999" s="485"/>
      <c r="DR999" s="485"/>
      <c r="DS999" s="485"/>
      <c r="DT999" s="485"/>
      <c r="DU999" s="485"/>
      <c r="DV999" s="485"/>
      <c r="DW999" s="485"/>
      <c r="DX999" s="485"/>
      <c r="DY999" s="485"/>
      <c r="DZ999" s="485"/>
      <c r="EA999" s="485"/>
      <c r="EB999" s="485"/>
      <c r="EC999" s="485"/>
      <c r="ED999" s="485"/>
      <c r="EE999" s="485"/>
      <c r="EF999" s="485"/>
      <c r="EG999" s="485"/>
      <c r="EH999" s="485"/>
      <c r="EI999" s="485"/>
      <c r="EJ999" s="485"/>
      <c r="EK999" s="485"/>
      <c r="EL999" s="485"/>
      <c r="EM999" s="485"/>
      <c r="EN999" s="485"/>
      <c r="EO999" s="485"/>
      <c r="EP999" s="485"/>
    </row>
    <row r="1000" spans="1:146">
      <c r="A1000" s="485"/>
      <c r="B1000" s="485"/>
      <c r="C1000" s="485"/>
      <c r="D1000" s="485"/>
      <c r="E1000" s="485"/>
      <c r="F1000" s="485"/>
      <c r="G1000" s="485"/>
      <c r="H1000" s="485"/>
      <c r="I1000" s="485"/>
      <c r="J1000" s="485"/>
      <c r="K1000" s="485"/>
      <c r="L1000" s="485"/>
      <c r="M1000" s="485"/>
      <c r="P1000" s="485"/>
      <c r="Q1000" s="485"/>
      <c r="R1000" s="485"/>
      <c r="S1000" s="485"/>
      <c r="T1000" s="485"/>
      <c r="U1000" s="485"/>
      <c r="V1000" s="485"/>
      <c r="W1000" s="485"/>
      <c r="X1000" s="485"/>
      <c r="Y1000" s="485"/>
      <c r="Z1000" s="485"/>
      <c r="AA1000" s="485"/>
      <c r="AB1000" s="485"/>
      <c r="AC1000" s="485"/>
      <c r="AD1000" s="485"/>
      <c r="AE1000" s="485"/>
      <c r="AF1000" s="485"/>
      <c r="AG1000" s="485"/>
      <c r="AH1000" s="485"/>
      <c r="AI1000" s="485"/>
      <c r="AJ1000" s="485"/>
      <c r="AK1000" s="485"/>
      <c r="AL1000" s="485"/>
      <c r="AM1000" s="485"/>
      <c r="AN1000" s="485"/>
      <c r="AO1000" s="485"/>
      <c r="AP1000" s="485"/>
      <c r="AQ1000" s="485"/>
      <c r="AR1000" s="485"/>
      <c r="AS1000" s="485"/>
      <c r="AT1000" s="485"/>
      <c r="AU1000" s="485"/>
      <c r="AV1000" s="485"/>
      <c r="AW1000" s="485"/>
      <c r="AX1000" s="485"/>
      <c r="AY1000" s="485"/>
      <c r="AZ1000" s="485"/>
      <c r="BA1000" s="485"/>
      <c r="BB1000" s="485"/>
      <c r="BC1000" s="485"/>
      <c r="BD1000" s="485"/>
      <c r="BE1000" s="485"/>
      <c r="BF1000" s="485"/>
      <c r="BG1000" s="485"/>
      <c r="BH1000" s="485"/>
      <c r="BI1000" s="485"/>
      <c r="BJ1000" s="485"/>
      <c r="BK1000" s="485"/>
      <c r="BL1000" s="485"/>
      <c r="BM1000" s="485"/>
      <c r="BN1000" s="485"/>
      <c r="BO1000" s="485"/>
      <c r="BP1000" s="485"/>
      <c r="BQ1000" s="485"/>
      <c r="BR1000" s="485"/>
      <c r="BS1000" s="485"/>
      <c r="BT1000" s="485"/>
      <c r="BU1000" s="485"/>
      <c r="BV1000" s="485"/>
      <c r="BW1000" s="485"/>
      <c r="BX1000" s="485"/>
      <c r="BY1000" s="485"/>
      <c r="BZ1000" s="485"/>
      <c r="CA1000" s="485"/>
      <c r="CB1000" s="485"/>
      <c r="CC1000" s="485"/>
      <c r="CD1000" s="485"/>
      <c r="CE1000" s="485"/>
      <c r="CF1000" s="485"/>
      <c r="CG1000" s="485"/>
      <c r="CH1000" s="485"/>
      <c r="CI1000" s="485"/>
      <c r="CJ1000" s="485"/>
      <c r="CK1000" s="485"/>
      <c r="CL1000" s="485"/>
      <c r="CM1000" s="485"/>
      <c r="CN1000" s="485"/>
      <c r="CO1000" s="485"/>
      <c r="CP1000" s="485"/>
      <c r="CQ1000" s="485"/>
      <c r="CR1000" s="485"/>
      <c r="CS1000" s="485"/>
      <c r="CT1000" s="485"/>
      <c r="CU1000" s="485"/>
      <c r="CV1000" s="485"/>
      <c r="CW1000" s="485"/>
      <c r="CX1000" s="485"/>
      <c r="CY1000" s="485"/>
      <c r="CZ1000" s="485"/>
      <c r="DA1000" s="485"/>
      <c r="DB1000" s="485"/>
      <c r="DC1000" s="485"/>
      <c r="DD1000" s="485"/>
      <c r="DE1000" s="485"/>
      <c r="DF1000" s="485"/>
      <c r="DG1000" s="485"/>
      <c r="DH1000" s="485"/>
      <c r="DI1000" s="485"/>
      <c r="DJ1000" s="485"/>
      <c r="DK1000" s="485"/>
      <c r="DL1000" s="485"/>
      <c r="DM1000" s="485"/>
      <c r="DN1000" s="485"/>
      <c r="DO1000" s="485"/>
      <c r="DP1000" s="485"/>
      <c r="DQ1000" s="485"/>
      <c r="DR1000" s="485"/>
      <c r="DS1000" s="485"/>
      <c r="DT1000" s="485"/>
      <c r="DU1000" s="485"/>
      <c r="DV1000" s="485"/>
      <c r="DW1000" s="485"/>
      <c r="DX1000" s="485"/>
      <c r="DY1000" s="485"/>
      <c r="DZ1000" s="485"/>
      <c r="EA1000" s="485"/>
      <c r="EB1000" s="485"/>
      <c r="EC1000" s="485"/>
      <c r="ED1000" s="485"/>
      <c r="EE1000" s="485"/>
      <c r="EF1000" s="485"/>
      <c r="EG1000" s="485"/>
      <c r="EH1000" s="485"/>
      <c r="EI1000" s="485"/>
      <c r="EJ1000" s="485"/>
      <c r="EK1000" s="485"/>
      <c r="EL1000" s="485"/>
      <c r="EM1000" s="485"/>
      <c r="EN1000" s="485"/>
      <c r="EO1000" s="485"/>
      <c r="EP1000" s="485"/>
    </row>
    <row r="1001" spans="1:146">
      <c r="A1001" s="485"/>
      <c r="B1001" s="485"/>
      <c r="C1001" s="485"/>
      <c r="D1001" s="485"/>
      <c r="E1001" s="485"/>
      <c r="F1001" s="485"/>
      <c r="G1001" s="485"/>
      <c r="H1001" s="485"/>
      <c r="I1001" s="485"/>
      <c r="J1001" s="485"/>
      <c r="K1001" s="485"/>
      <c r="L1001" s="485"/>
      <c r="M1001" s="485"/>
      <c r="P1001" s="485"/>
      <c r="Q1001" s="485"/>
      <c r="R1001" s="485"/>
      <c r="S1001" s="485"/>
      <c r="T1001" s="485"/>
      <c r="U1001" s="485"/>
      <c r="V1001" s="485"/>
      <c r="W1001" s="485"/>
      <c r="X1001" s="485"/>
      <c r="Y1001" s="485"/>
      <c r="Z1001" s="485"/>
      <c r="AA1001" s="485"/>
      <c r="AB1001" s="485"/>
      <c r="AC1001" s="485"/>
      <c r="AD1001" s="485"/>
      <c r="AE1001" s="485"/>
      <c r="AF1001" s="485"/>
      <c r="AG1001" s="485"/>
      <c r="AH1001" s="485"/>
      <c r="AI1001" s="485"/>
      <c r="AJ1001" s="485"/>
      <c r="AK1001" s="485"/>
      <c r="AL1001" s="485"/>
      <c r="AM1001" s="485"/>
      <c r="AN1001" s="485"/>
      <c r="AO1001" s="485"/>
      <c r="AP1001" s="485"/>
      <c r="AQ1001" s="485"/>
      <c r="AR1001" s="485"/>
      <c r="AS1001" s="485"/>
      <c r="AT1001" s="485"/>
      <c r="AU1001" s="485"/>
      <c r="AV1001" s="485"/>
      <c r="AW1001" s="485"/>
      <c r="AX1001" s="485"/>
      <c r="AY1001" s="485"/>
      <c r="AZ1001" s="485"/>
      <c r="BA1001" s="485"/>
      <c r="BB1001" s="485"/>
      <c r="BC1001" s="485"/>
      <c r="BD1001" s="485"/>
      <c r="BE1001" s="485"/>
      <c r="BF1001" s="485"/>
      <c r="BG1001" s="485"/>
      <c r="BH1001" s="485"/>
      <c r="BI1001" s="485"/>
      <c r="BJ1001" s="485"/>
      <c r="BK1001" s="485"/>
      <c r="BL1001" s="485"/>
      <c r="BM1001" s="485"/>
      <c r="BN1001" s="485"/>
      <c r="BO1001" s="485"/>
      <c r="BP1001" s="485"/>
      <c r="BQ1001" s="485"/>
      <c r="BR1001" s="485"/>
      <c r="BS1001" s="485"/>
      <c r="BT1001" s="485"/>
      <c r="BU1001" s="485"/>
      <c r="BV1001" s="485"/>
      <c r="BW1001" s="485"/>
      <c r="BX1001" s="485"/>
      <c r="BY1001" s="485"/>
      <c r="BZ1001" s="485"/>
      <c r="CA1001" s="485"/>
      <c r="CB1001" s="485"/>
      <c r="CC1001" s="485"/>
      <c r="CD1001" s="485"/>
      <c r="CE1001" s="485"/>
      <c r="CF1001" s="485"/>
      <c r="CG1001" s="485"/>
      <c r="CH1001" s="485"/>
      <c r="CI1001" s="485"/>
      <c r="CJ1001" s="485"/>
      <c r="CK1001" s="485"/>
      <c r="CL1001" s="485"/>
      <c r="CM1001" s="485"/>
      <c r="CN1001" s="485"/>
      <c r="CO1001" s="485"/>
      <c r="CP1001" s="485"/>
      <c r="CQ1001" s="485"/>
      <c r="CR1001" s="485"/>
      <c r="CS1001" s="485"/>
      <c r="CT1001" s="485"/>
      <c r="CU1001" s="485"/>
      <c r="CV1001" s="485"/>
      <c r="CW1001" s="485"/>
      <c r="CX1001" s="485"/>
      <c r="CY1001" s="485"/>
      <c r="CZ1001" s="485"/>
      <c r="DA1001" s="485"/>
      <c r="DB1001" s="485"/>
      <c r="DC1001" s="485"/>
      <c r="DD1001" s="485"/>
      <c r="DE1001" s="485"/>
      <c r="DF1001" s="485"/>
      <c r="DG1001" s="485"/>
      <c r="DH1001" s="485"/>
      <c r="DI1001" s="485"/>
      <c r="DJ1001" s="485"/>
      <c r="DK1001" s="485"/>
      <c r="DL1001" s="485"/>
      <c r="DM1001" s="485"/>
      <c r="DN1001" s="485"/>
      <c r="DO1001" s="485"/>
      <c r="DP1001" s="485"/>
      <c r="DQ1001" s="485"/>
      <c r="DR1001" s="485"/>
      <c r="DS1001" s="485"/>
      <c r="DT1001" s="485"/>
      <c r="DU1001" s="485"/>
      <c r="DV1001" s="485"/>
      <c r="DW1001" s="485"/>
      <c r="DX1001" s="485"/>
      <c r="DY1001" s="485"/>
      <c r="DZ1001" s="485"/>
      <c r="EA1001" s="485"/>
      <c r="EB1001" s="485"/>
      <c r="EC1001" s="485"/>
      <c r="ED1001" s="485"/>
      <c r="EE1001" s="485"/>
      <c r="EF1001" s="485"/>
      <c r="EG1001" s="485"/>
      <c r="EH1001" s="485"/>
      <c r="EI1001" s="485"/>
      <c r="EJ1001" s="485"/>
      <c r="EK1001" s="485"/>
      <c r="EL1001" s="485"/>
      <c r="EM1001" s="485"/>
      <c r="EN1001" s="485"/>
      <c r="EO1001" s="485"/>
      <c r="EP1001" s="485"/>
    </row>
    <row r="1002" spans="1:146">
      <c r="A1002" s="485"/>
      <c r="B1002" s="485"/>
      <c r="C1002" s="485"/>
      <c r="D1002" s="485"/>
      <c r="E1002" s="485"/>
      <c r="F1002" s="485"/>
      <c r="G1002" s="485"/>
      <c r="H1002" s="485"/>
      <c r="I1002" s="485"/>
      <c r="J1002" s="485"/>
      <c r="K1002" s="485"/>
      <c r="L1002" s="485"/>
      <c r="M1002" s="485"/>
      <c r="P1002" s="485"/>
      <c r="Q1002" s="485"/>
      <c r="R1002" s="485"/>
      <c r="S1002" s="485"/>
      <c r="T1002" s="485"/>
      <c r="U1002" s="485"/>
      <c r="V1002" s="485"/>
      <c r="W1002" s="485"/>
      <c r="X1002" s="485"/>
      <c r="Y1002" s="485"/>
      <c r="Z1002" s="485"/>
      <c r="AA1002" s="485"/>
      <c r="AB1002" s="485"/>
      <c r="AC1002" s="485"/>
      <c r="AD1002" s="485"/>
      <c r="AE1002" s="485"/>
      <c r="AF1002" s="485"/>
      <c r="AG1002" s="485"/>
      <c r="AH1002" s="485"/>
      <c r="AI1002" s="485"/>
      <c r="AJ1002" s="485"/>
      <c r="AK1002" s="485"/>
      <c r="AL1002" s="485"/>
      <c r="AM1002" s="485"/>
      <c r="AN1002" s="485"/>
      <c r="AO1002" s="485"/>
      <c r="AP1002" s="485"/>
      <c r="AQ1002" s="485"/>
      <c r="AR1002" s="485"/>
      <c r="AS1002" s="485"/>
      <c r="AT1002" s="485"/>
      <c r="AU1002" s="485"/>
      <c r="AV1002" s="485"/>
      <c r="AW1002" s="485"/>
      <c r="AX1002" s="485"/>
      <c r="AY1002" s="485"/>
      <c r="AZ1002" s="485"/>
      <c r="BA1002" s="485"/>
      <c r="BB1002" s="485"/>
      <c r="BC1002" s="485"/>
      <c r="BD1002" s="485"/>
      <c r="BE1002" s="485"/>
      <c r="BF1002" s="485"/>
      <c r="BG1002" s="485"/>
      <c r="BH1002" s="485"/>
      <c r="BI1002" s="485"/>
      <c r="BJ1002" s="485"/>
      <c r="BK1002" s="485"/>
      <c r="BL1002" s="485"/>
      <c r="BM1002" s="485"/>
      <c r="BN1002" s="485"/>
      <c r="BO1002" s="485"/>
      <c r="BP1002" s="485"/>
      <c r="BQ1002" s="485"/>
      <c r="BR1002" s="485"/>
      <c r="BS1002" s="485"/>
      <c r="BT1002" s="485"/>
      <c r="BU1002" s="485"/>
      <c r="BV1002" s="485"/>
      <c r="BW1002" s="485"/>
      <c r="BX1002" s="485"/>
      <c r="BY1002" s="485"/>
      <c r="BZ1002" s="485"/>
      <c r="CA1002" s="485"/>
      <c r="CB1002" s="485"/>
      <c r="CC1002" s="485"/>
      <c r="CD1002" s="485"/>
      <c r="CE1002" s="485"/>
      <c r="CF1002" s="485"/>
      <c r="CG1002" s="485"/>
      <c r="CH1002" s="485"/>
      <c r="CI1002" s="485"/>
      <c r="CJ1002" s="485"/>
      <c r="CK1002" s="485"/>
      <c r="CL1002" s="485"/>
      <c r="CM1002" s="485"/>
      <c r="CN1002" s="485"/>
      <c r="CO1002" s="485"/>
      <c r="CP1002" s="485"/>
      <c r="CQ1002" s="485"/>
      <c r="CR1002" s="485"/>
      <c r="CS1002" s="485"/>
      <c r="CT1002" s="485"/>
      <c r="CU1002" s="485"/>
      <c r="CV1002" s="485"/>
      <c r="CW1002" s="485"/>
      <c r="CX1002" s="485"/>
      <c r="CY1002" s="485"/>
      <c r="CZ1002" s="485"/>
      <c r="DA1002" s="485"/>
      <c r="DB1002" s="485"/>
      <c r="DC1002" s="485"/>
      <c r="DD1002" s="485"/>
      <c r="DE1002" s="485"/>
      <c r="DF1002" s="485"/>
      <c r="DG1002" s="485"/>
      <c r="DH1002" s="485"/>
      <c r="DI1002" s="485"/>
      <c r="DJ1002" s="485"/>
      <c r="DK1002" s="485"/>
      <c r="DL1002" s="485"/>
      <c r="DM1002" s="485"/>
      <c r="DN1002" s="485"/>
      <c r="DO1002" s="485"/>
      <c r="DP1002" s="485"/>
      <c r="DQ1002" s="485"/>
      <c r="DR1002" s="485"/>
      <c r="DS1002" s="485"/>
      <c r="DT1002" s="485"/>
      <c r="DU1002" s="485"/>
      <c r="DV1002" s="485"/>
      <c r="DW1002" s="485"/>
      <c r="DX1002" s="485"/>
      <c r="DY1002" s="485"/>
      <c r="DZ1002" s="485"/>
      <c r="EA1002" s="485"/>
      <c r="EB1002" s="485"/>
      <c r="EC1002" s="485"/>
      <c r="ED1002" s="485"/>
      <c r="EE1002" s="485"/>
      <c r="EF1002" s="485"/>
      <c r="EG1002" s="485"/>
      <c r="EH1002" s="485"/>
      <c r="EI1002" s="485"/>
      <c r="EJ1002" s="485"/>
      <c r="EK1002" s="485"/>
      <c r="EL1002" s="485"/>
      <c r="EM1002" s="485"/>
      <c r="EN1002" s="485"/>
      <c r="EO1002" s="485"/>
      <c r="EP1002" s="485"/>
    </row>
    <row r="1003" spans="1:146">
      <c r="A1003" s="485"/>
      <c r="B1003" s="485"/>
      <c r="C1003" s="485"/>
      <c r="D1003" s="485"/>
      <c r="E1003" s="485"/>
      <c r="F1003" s="485"/>
      <c r="G1003" s="485"/>
      <c r="H1003" s="485"/>
      <c r="I1003" s="485"/>
      <c r="J1003" s="485"/>
      <c r="K1003" s="485"/>
      <c r="L1003" s="485"/>
      <c r="M1003" s="485"/>
      <c r="P1003" s="485"/>
      <c r="Q1003" s="485"/>
      <c r="R1003" s="485"/>
      <c r="S1003" s="485"/>
      <c r="T1003" s="485"/>
      <c r="U1003" s="485"/>
      <c r="V1003" s="485"/>
      <c r="W1003" s="485"/>
      <c r="X1003" s="485"/>
      <c r="Y1003" s="485"/>
      <c r="Z1003" s="485"/>
      <c r="AA1003" s="485"/>
      <c r="AB1003" s="485"/>
      <c r="AC1003" s="485"/>
      <c r="AD1003" s="485"/>
      <c r="AE1003" s="485"/>
      <c r="AF1003" s="485"/>
      <c r="AG1003" s="485"/>
      <c r="AH1003" s="485"/>
      <c r="AI1003" s="485"/>
      <c r="AJ1003" s="485"/>
      <c r="AK1003" s="485"/>
      <c r="AL1003" s="485"/>
      <c r="AM1003" s="485"/>
      <c r="AN1003" s="485"/>
      <c r="AO1003" s="485"/>
      <c r="AP1003" s="485"/>
      <c r="AQ1003" s="485"/>
      <c r="AR1003" s="485"/>
      <c r="AS1003" s="485"/>
      <c r="AT1003" s="485"/>
      <c r="AU1003" s="485"/>
      <c r="AV1003" s="485"/>
      <c r="AW1003" s="485"/>
      <c r="AX1003" s="485"/>
      <c r="AY1003" s="485"/>
      <c r="AZ1003" s="485"/>
      <c r="BA1003" s="485"/>
      <c r="BB1003" s="485"/>
      <c r="BC1003" s="485"/>
      <c r="BD1003" s="485"/>
      <c r="BE1003" s="485"/>
      <c r="BF1003" s="485"/>
      <c r="BG1003" s="485"/>
      <c r="BH1003" s="485"/>
      <c r="BI1003" s="485"/>
      <c r="BJ1003" s="485"/>
      <c r="BK1003" s="485"/>
      <c r="BL1003" s="485"/>
      <c r="BM1003" s="485"/>
      <c r="BN1003" s="485"/>
      <c r="BO1003" s="485"/>
      <c r="BP1003" s="485"/>
      <c r="BQ1003" s="485"/>
      <c r="BR1003" s="485"/>
      <c r="BS1003" s="485"/>
      <c r="BT1003" s="485"/>
      <c r="BU1003" s="485"/>
      <c r="BV1003" s="485"/>
      <c r="BW1003" s="485"/>
      <c r="BX1003" s="485"/>
      <c r="BY1003" s="485"/>
      <c r="BZ1003" s="485"/>
      <c r="CA1003" s="485"/>
      <c r="CB1003" s="485"/>
      <c r="CC1003" s="485"/>
      <c r="CD1003" s="485"/>
      <c r="CE1003" s="485"/>
      <c r="CF1003" s="485"/>
      <c r="CG1003" s="485"/>
      <c r="CH1003" s="485"/>
      <c r="CI1003" s="485"/>
      <c r="CJ1003" s="485"/>
      <c r="CK1003" s="485"/>
      <c r="CL1003" s="485"/>
      <c r="CM1003" s="485"/>
      <c r="CN1003" s="485"/>
      <c r="CO1003" s="485"/>
      <c r="CP1003" s="485"/>
      <c r="CQ1003" s="485"/>
      <c r="CR1003" s="485"/>
      <c r="CS1003" s="485"/>
      <c r="CT1003" s="485"/>
      <c r="CU1003" s="485"/>
      <c r="CV1003" s="485"/>
      <c r="CW1003" s="485"/>
      <c r="CX1003" s="485"/>
      <c r="CY1003" s="485"/>
      <c r="CZ1003" s="485"/>
      <c r="DA1003" s="485"/>
      <c r="DB1003" s="485"/>
      <c r="DC1003" s="485"/>
      <c r="DD1003" s="485"/>
      <c r="DE1003" s="485"/>
      <c r="DF1003" s="485"/>
      <c r="DG1003" s="485"/>
      <c r="DH1003" s="485"/>
      <c r="DI1003" s="485"/>
      <c r="DJ1003" s="485"/>
      <c r="DK1003" s="485"/>
      <c r="DL1003" s="485"/>
      <c r="DM1003" s="485"/>
      <c r="DN1003" s="485"/>
      <c r="DO1003" s="485"/>
      <c r="DP1003" s="485"/>
      <c r="DQ1003" s="485"/>
      <c r="DR1003" s="485"/>
      <c r="DS1003" s="485"/>
      <c r="DT1003" s="485"/>
      <c r="DU1003" s="485"/>
      <c r="DV1003" s="485"/>
      <c r="DW1003" s="485"/>
      <c r="DX1003" s="485"/>
      <c r="DY1003" s="485"/>
      <c r="DZ1003" s="485"/>
      <c r="EA1003" s="485"/>
      <c r="EB1003" s="485"/>
      <c r="EC1003" s="485"/>
      <c r="ED1003" s="485"/>
      <c r="EE1003" s="485"/>
      <c r="EF1003" s="485"/>
      <c r="EG1003" s="485"/>
      <c r="EH1003" s="485"/>
      <c r="EI1003" s="485"/>
      <c r="EJ1003" s="485"/>
      <c r="EK1003" s="485"/>
      <c r="EL1003" s="485"/>
      <c r="EM1003" s="485"/>
      <c r="EN1003" s="485"/>
      <c r="EO1003" s="485"/>
      <c r="EP1003" s="485"/>
    </row>
    <row r="1004" spans="1:146">
      <c r="A1004" s="485"/>
      <c r="B1004" s="485"/>
      <c r="C1004" s="485"/>
      <c r="D1004" s="485"/>
      <c r="E1004" s="485"/>
      <c r="F1004" s="485"/>
      <c r="G1004" s="485"/>
      <c r="H1004" s="485"/>
      <c r="I1004" s="485"/>
      <c r="J1004" s="485"/>
      <c r="K1004" s="485"/>
      <c r="L1004" s="485"/>
      <c r="M1004" s="485"/>
      <c r="P1004" s="485"/>
      <c r="Q1004" s="485"/>
      <c r="R1004" s="485"/>
      <c r="S1004" s="485"/>
      <c r="T1004" s="485"/>
      <c r="U1004" s="485"/>
      <c r="V1004" s="485"/>
      <c r="W1004" s="485"/>
      <c r="X1004" s="485"/>
      <c r="Y1004" s="485"/>
      <c r="Z1004" s="485"/>
      <c r="AA1004" s="485"/>
      <c r="AB1004" s="485"/>
      <c r="AC1004" s="485"/>
      <c r="AD1004" s="485"/>
      <c r="AE1004" s="485"/>
      <c r="AF1004" s="485"/>
      <c r="AG1004" s="485"/>
      <c r="AH1004" s="485"/>
      <c r="AI1004" s="485"/>
      <c r="AJ1004" s="485"/>
      <c r="AK1004" s="485"/>
      <c r="AL1004" s="485"/>
      <c r="AM1004" s="485"/>
      <c r="AN1004" s="485"/>
      <c r="AO1004" s="485"/>
      <c r="AP1004" s="485"/>
      <c r="AQ1004" s="485"/>
      <c r="AR1004" s="485"/>
      <c r="AS1004" s="485"/>
      <c r="AT1004" s="485"/>
      <c r="AU1004" s="485"/>
      <c r="AV1004" s="485"/>
      <c r="AW1004" s="485"/>
      <c r="AX1004" s="485"/>
      <c r="AY1004" s="485"/>
      <c r="AZ1004" s="485"/>
      <c r="BA1004" s="485"/>
      <c r="BB1004" s="485"/>
      <c r="BC1004" s="485"/>
      <c r="BD1004" s="485"/>
      <c r="BE1004" s="485"/>
      <c r="BF1004" s="485"/>
      <c r="BG1004" s="485"/>
      <c r="BH1004" s="485"/>
      <c r="BI1004" s="485"/>
      <c r="BJ1004" s="485"/>
      <c r="BK1004" s="485"/>
      <c r="BL1004" s="485"/>
      <c r="BM1004" s="485"/>
      <c r="BN1004" s="485"/>
      <c r="BO1004" s="485"/>
      <c r="BP1004" s="485"/>
      <c r="BQ1004" s="485"/>
      <c r="BR1004" s="485"/>
      <c r="BS1004" s="485"/>
      <c r="BT1004" s="485"/>
      <c r="BU1004" s="485"/>
      <c r="BV1004" s="485"/>
      <c r="BW1004" s="485"/>
      <c r="BX1004" s="485"/>
      <c r="BY1004" s="485"/>
      <c r="BZ1004" s="485"/>
      <c r="CA1004" s="485"/>
      <c r="CB1004" s="485"/>
      <c r="CC1004" s="485"/>
      <c r="CD1004" s="485"/>
      <c r="CE1004" s="485"/>
      <c r="CF1004" s="485"/>
      <c r="CG1004" s="485"/>
      <c r="CH1004" s="485"/>
      <c r="CI1004" s="485"/>
      <c r="CJ1004" s="485"/>
      <c r="CK1004" s="485"/>
      <c r="CL1004" s="485"/>
      <c r="CM1004" s="485"/>
      <c r="CN1004" s="485"/>
      <c r="CO1004" s="485"/>
      <c r="CP1004" s="485"/>
      <c r="CQ1004" s="485"/>
      <c r="CR1004" s="485"/>
      <c r="CS1004" s="485"/>
      <c r="CT1004" s="485"/>
      <c r="CU1004" s="485"/>
      <c r="CV1004" s="485"/>
      <c r="CW1004" s="485"/>
      <c r="CX1004" s="485"/>
      <c r="CY1004" s="485"/>
      <c r="CZ1004" s="485"/>
      <c r="DA1004" s="485"/>
      <c r="DB1004" s="485"/>
      <c r="DC1004" s="485"/>
      <c r="DD1004" s="485"/>
      <c r="DE1004" s="485"/>
      <c r="DF1004" s="485"/>
      <c r="DG1004" s="485"/>
      <c r="DH1004" s="485"/>
      <c r="DI1004" s="485"/>
      <c r="DJ1004" s="485"/>
      <c r="DK1004" s="485"/>
      <c r="DL1004" s="485"/>
      <c r="DM1004" s="485"/>
      <c r="DN1004" s="485"/>
      <c r="DO1004" s="485"/>
      <c r="DP1004" s="485"/>
      <c r="DQ1004" s="485"/>
      <c r="DR1004" s="485"/>
      <c r="DS1004" s="485"/>
      <c r="DT1004" s="485"/>
      <c r="DU1004" s="485"/>
      <c r="DV1004" s="485"/>
      <c r="DW1004" s="485"/>
      <c r="DX1004" s="485"/>
      <c r="DY1004" s="485"/>
      <c r="DZ1004" s="485"/>
      <c r="EA1004" s="485"/>
      <c r="EB1004" s="485"/>
      <c r="EC1004" s="485"/>
      <c r="ED1004" s="485"/>
      <c r="EE1004" s="485"/>
      <c r="EF1004" s="485"/>
      <c r="EG1004" s="485"/>
      <c r="EH1004" s="485"/>
      <c r="EI1004" s="485"/>
      <c r="EJ1004" s="485"/>
      <c r="EK1004" s="485"/>
      <c r="EL1004" s="485"/>
      <c r="EM1004" s="485"/>
      <c r="EN1004" s="485"/>
      <c r="EO1004" s="485"/>
      <c r="EP1004" s="485"/>
    </row>
    <row r="1005" spans="1:146">
      <c r="A1005" s="485"/>
      <c r="B1005" s="485"/>
      <c r="C1005" s="485"/>
      <c r="D1005" s="485"/>
      <c r="E1005" s="485"/>
      <c r="F1005" s="485"/>
      <c r="G1005" s="485"/>
      <c r="H1005" s="485"/>
      <c r="I1005" s="485"/>
      <c r="J1005" s="485"/>
      <c r="K1005" s="485"/>
      <c r="L1005" s="485"/>
      <c r="M1005" s="485"/>
      <c r="P1005" s="485"/>
      <c r="Q1005" s="485"/>
      <c r="R1005" s="485"/>
      <c r="S1005" s="485"/>
      <c r="T1005" s="485"/>
      <c r="U1005" s="485"/>
      <c r="V1005" s="485"/>
      <c r="W1005" s="485"/>
      <c r="X1005" s="485"/>
      <c r="Y1005" s="485"/>
      <c r="Z1005" s="485"/>
      <c r="AA1005" s="485"/>
      <c r="AB1005" s="485"/>
      <c r="AC1005" s="485"/>
      <c r="AD1005" s="485"/>
      <c r="AE1005" s="485"/>
      <c r="AF1005" s="485"/>
      <c r="AG1005" s="485"/>
      <c r="AH1005" s="485"/>
      <c r="AI1005" s="485"/>
      <c r="AJ1005" s="485"/>
      <c r="AK1005" s="485"/>
      <c r="AL1005" s="485"/>
      <c r="AM1005" s="485"/>
      <c r="AN1005" s="485"/>
      <c r="AO1005" s="485"/>
      <c r="AP1005" s="485"/>
      <c r="AQ1005" s="485"/>
      <c r="AR1005" s="485"/>
      <c r="AS1005" s="485"/>
      <c r="AT1005" s="485"/>
      <c r="AU1005" s="485"/>
      <c r="AV1005" s="485"/>
      <c r="AW1005" s="485"/>
      <c r="AX1005" s="485"/>
      <c r="AY1005" s="485"/>
      <c r="AZ1005" s="485"/>
      <c r="BA1005" s="485"/>
      <c r="BB1005" s="485"/>
      <c r="BC1005" s="485"/>
      <c r="BD1005" s="485"/>
      <c r="BE1005" s="485"/>
      <c r="BF1005" s="485"/>
      <c r="BG1005" s="485"/>
      <c r="BH1005" s="485"/>
      <c r="BI1005" s="485"/>
      <c r="BJ1005" s="485"/>
      <c r="BK1005" s="485"/>
      <c r="BL1005" s="485"/>
      <c r="BM1005" s="485"/>
      <c r="BN1005" s="485"/>
      <c r="BO1005" s="485"/>
      <c r="BP1005" s="485"/>
      <c r="BQ1005" s="485"/>
      <c r="BR1005" s="485"/>
      <c r="BS1005" s="485"/>
      <c r="BT1005" s="485"/>
      <c r="BU1005" s="485"/>
      <c r="BV1005" s="485"/>
      <c r="BW1005" s="485"/>
      <c r="BX1005" s="485"/>
      <c r="BY1005" s="485"/>
      <c r="BZ1005" s="485"/>
      <c r="CA1005" s="485"/>
      <c r="CB1005" s="485"/>
      <c r="CC1005" s="485"/>
      <c r="CD1005" s="485"/>
      <c r="CE1005" s="485"/>
      <c r="CF1005" s="485"/>
      <c r="CG1005" s="485"/>
      <c r="CH1005" s="485"/>
      <c r="CI1005" s="485"/>
      <c r="CJ1005" s="485"/>
      <c r="CK1005" s="485"/>
      <c r="CL1005" s="485"/>
      <c r="CM1005" s="485"/>
      <c r="CN1005" s="485"/>
      <c r="CO1005" s="485"/>
      <c r="CP1005" s="485"/>
      <c r="CQ1005" s="485"/>
      <c r="CR1005" s="485"/>
      <c r="CS1005" s="485"/>
      <c r="CT1005" s="485"/>
      <c r="CU1005" s="485"/>
      <c r="CV1005" s="485"/>
      <c r="CW1005" s="485"/>
      <c r="CX1005" s="485"/>
      <c r="CY1005" s="485"/>
      <c r="CZ1005" s="485"/>
      <c r="DA1005" s="485"/>
      <c r="DB1005" s="485"/>
      <c r="DC1005" s="485"/>
      <c r="DD1005" s="485"/>
      <c r="DE1005" s="485"/>
      <c r="DF1005" s="485"/>
      <c r="DG1005" s="485"/>
      <c r="DH1005" s="485"/>
      <c r="DI1005" s="485"/>
      <c r="DJ1005" s="485"/>
      <c r="DK1005" s="485"/>
      <c r="DL1005" s="485"/>
      <c r="DM1005" s="485"/>
      <c r="DN1005" s="485"/>
      <c r="DO1005" s="485"/>
      <c r="DP1005" s="485"/>
      <c r="DQ1005" s="485"/>
      <c r="DR1005" s="485"/>
      <c r="DS1005" s="485"/>
      <c r="DT1005" s="485"/>
      <c r="DU1005" s="485"/>
      <c r="DV1005" s="485"/>
      <c r="DW1005" s="485"/>
      <c r="DX1005" s="485"/>
      <c r="DY1005" s="485"/>
      <c r="DZ1005" s="485"/>
      <c r="EA1005" s="485"/>
      <c r="EB1005" s="485"/>
      <c r="EC1005" s="485"/>
      <c r="ED1005" s="485"/>
      <c r="EE1005" s="485"/>
      <c r="EF1005" s="485"/>
      <c r="EG1005" s="485"/>
      <c r="EH1005" s="485"/>
      <c r="EI1005" s="485"/>
      <c r="EJ1005" s="485"/>
      <c r="EK1005" s="485"/>
      <c r="EL1005" s="485"/>
      <c r="EM1005" s="485"/>
      <c r="EN1005" s="485"/>
      <c r="EO1005" s="485"/>
      <c r="EP1005" s="485"/>
    </row>
    <row r="1006" spans="1:146">
      <c r="A1006" s="485"/>
      <c r="B1006" s="485"/>
      <c r="C1006" s="485"/>
      <c r="D1006" s="485"/>
      <c r="E1006" s="485"/>
      <c r="F1006" s="485"/>
      <c r="G1006" s="485"/>
      <c r="H1006" s="485"/>
      <c r="I1006" s="485"/>
      <c r="J1006" s="485"/>
      <c r="K1006" s="485"/>
      <c r="L1006" s="485"/>
      <c r="M1006" s="485"/>
      <c r="P1006" s="485"/>
      <c r="Q1006" s="485"/>
      <c r="R1006" s="485"/>
      <c r="S1006" s="485"/>
      <c r="T1006" s="485"/>
      <c r="U1006" s="485"/>
      <c r="V1006" s="485"/>
      <c r="W1006" s="485"/>
      <c r="X1006" s="485"/>
      <c r="Y1006" s="485"/>
      <c r="Z1006" s="485"/>
      <c r="AA1006" s="485"/>
      <c r="AB1006" s="485"/>
      <c r="AC1006" s="485"/>
      <c r="AD1006" s="485"/>
      <c r="AE1006" s="485"/>
      <c r="AF1006" s="485"/>
      <c r="AG1006" s="485"/>
      <c r="AH1006" s="485"/>
      <c r="AI1006" s="485"/>
      <c r="AJ1006" s="485"/>
      <c r="AK1006" s="485"/>
      <c r="AL1006" s="485"/>
      <c r="AM1006" s="485"/>
      <c r="AN1006" s="485"/>
      <c r="AO1006" s="485"/>
      <c r="AP1006" s="485"/>
      <c r="AQ1006" s="485"/>
      <c r="AR1006" s="485"/>
      <c r="AS1006" s="485"/>
      <c r="AT1006" s="485"/>
      <c r="AU1006" s="485"/>
      <c r="AV1006" s="485"/>
      <c r="AW1006" s="485"/>
      <c r="AX1006" s="485"/>
      <c r="AY1006" s="485"/>
      <c r="AZ1006" s="485"/>
      <c r="BA1006" s="485"/>
      <c r="BB1006" s="485"/>
      <c r="BC1006" s="485"/>
      <c r="BD1006" s="485"/>
      <c r="BE1006" s="485"/>
      <c r="BF1006" s="485"/>
      <c r="BG1006" s="485"/>
      <c r="BH1006" s="485"/>
      <c r="BI1006" s="485"/>
      <c r="BJ1006" s="485"/>
      <c r="BK1006" s="485"/>
      <c r="BL1006" s="485"/>
      <c r="BM1006" s="485"/>
      <c r="BN1006" s="485"/>
      <c r="BO1006" s="485"/>
      <c r="BP1006" s="485"/>
      <c r="BQ1006" s="485"/>
      <c r="BR1006" s="485"/>
      <c r="BS1006" s="485"/>
      <c r="BT1006" s="485"/>
      <c r="BU1006" s="485"/>
      <c r="BV1006" s="485"/>
      <c r="BW1006" s="485"/>
      <c r="BX1006" s="485"/>
      <c r="BY1006" s="485"/>
      <c r="BZ1006" s="485"/>
      <c r="CA1006" s="485"/>
      <c r="CB1006" s="485"/>
      <c r="CC1006" s="485"/>
      <c r="CD1006" s="485"/>
      <c r="CE1006" s="485"/>
      <c r="CF1006" s="485"/>
      <c r="CG1006" s="485"/>
      <c r="CH1006" s="485"/>
      <c r="CI1006" s="485"/>
      <c r="CJ1006" s="485"/>
      <c r="CK1006" s="485"/>
      <c r="CL1006" s="485"/>
      <c r="CM1006" s="485"/>
      <c r="CN1006" s="485"/>
      <c r="CO1006" s="485"/>
      <c r="CP1006" s="485"/>
      <c r="CQ1006" s="485"/>
      <c r="CR1006" s="485"/>
      <c r="CS1006" s="485"/>
      <c r="CT1006" s="485"/>
      <c r="CU1006" s="485"/>
      <c r="CV1006" s="485"/>
      <c r="CW1006" s="485"/>
      <c r="CX1006" s="485"/>
      <c r="CY1006" s="485"/>
      <c r="CZ1006" s="485"/>
      <c r="DA1006" s="485"/>
      <c r="DB1006" s="485"/>
      <c r="DC1006" s="485"/>
      <c r="DD1006" s="485"/>
      <c r="DE1006" s="485"/>
      <c r="DF1006" s="485"/>
      <c r="DG1006" s="485"/>
      <c r="DH1006" s="485"/>
      <c r="DI1006" s="485"/>
      <c r="DJ1006" s="485"/>
      <c r="DK1006" s="485"/>
      <c r="DL1006" s="485"/>
      <c r="DM1006" s="485"/>
      <c r="DN1006" s="485"/>
      <c r="DO1006" s="485"/>
      <c r="DP1006" s="485"/>
      <c r="DQ1006" s="485"/>
      <c r="DR1006" s="485"/>
      <c r="DS1006" s="485"/>
      <c r="DT1006" s="485"/>
      <c r="DU1006" s="485"/>
      <c r="DV1006" s="485"/>
      <c r="DW1006" s="485"/>
      <c r="DX1006" s="485"/>
      <c r="DY1006" s="485"/>
      <c r="DZ1006" s="485"/>
      <c r="EA1006" s="485"/>
      <c r="EB1006" s="485"/>
      <c r="EC1006" s="485"/>
      <c r="ED1006" s="485"/>
      <c r="EE1006" s="485"/>
      <c r="EF1006" s="485"/>
      <c r="EG1006" s="485"/>
      <c r="EH1006" s="485"/>
      <c r="EI1006" s="485"/>
      <c r="EJ1006" s="485"/>
      <c r="EK1006" s="485"/>
      <c r="EL1006" s="485"/>
      <c r="EM1006" s="485"/>
      <c r="EN1006" s="485"/>
      <c r="EO1006" s="485"/>
      <c r="EP1006" s="485"/>
    </row>
    <row r="1007" spans="1:146">
      <c r="A1007" s="485"/>
      <c r="B1007" s="485"/>
      <c r="C1007" s="485"/>
      <c r="D1007" s="485"/>
      <c r="E1007" s="485"/>
      <c r="F1007" s="485"/>
      <c r="G1007" s="485"/>
      <c r="H1007" s="485"/>
      <c r="I1007" s="485"/>
      <c r="J1007" s="485"/>
      <c r="K1007" s="485"/>
      <c r="L1007" s="485"/>
      <c r="M1007" s="485"/>
      <c r="P1007" s="485"/>
      <c r="Q1007" s="485"/>
      <c r="R1007" s="485"/>
      <c r="S1007" s="485"/>
      <c r="T1007" s="485"/>
      <c r="U1007" s="485"/>
      <c r="V1007" s="485"/>
      <c r="W1007" s="485"/>
      <c r="X1007" s="485"/>
      <c r="Y1007" s="485"/>
      <c r="Z1007" s="485"/>
      <c r="AA1007" s="485"/>
      <c r="AB1007" s="485"/>
      <c r="AC1007" s="485"/>
      <c r="AD1007" s="485"/>
      <c r="AE1007" s="485"/>
      <c r="AF1007" s="485"/>
      <c r="AG1007" s="485"/>
      <c r="AH1007" s="485"/>
      <c r="AI1007" s="485"/>
      <c r="AJ1007" s="485"/>
      <c r="AK1007" s="485"/>
      <c r="AL1007" s="485"/>
      <c r="AM1007" s="485"/>
      <c r="AN1007" s="485"/>
      <c r="AO1007" s="485"/>
      <c r="AP1007" s="485"/>
      <c r="AQ1007" s="485"/>
      <c r="AR1007" s="485"/>
      <c r="AS1007" s="485"/>
      <c r="AT1007" s="485"/>
      <c r="AU1007" s="485"/>
      <c r="AV1007" s="485"/>
      <c r="AW1007" s="485"/>
      <c r="AX1007" s="485"/>
      <c r="AY1007" s="485"/>
      <c r="AZ1007" s="485"/>
      <c r="BA1007" s="485"/>
      <c r="BB1007" s="485"/>
      <c r="BC1007" s="485"/>
      <c r="BD1007" s="485"/>
      <c r="BE1007" s="485"/>
      <c r="BF1007" s="485"/>
      <c r="BG1007" s="485"/>
      <c r="BH1007" s="485"/>
      <c r="BI1007" s="485"/>
      <c r="BJ1007" s="485"/>
      <c r="BK1007" s="485"/>
      <c r="BL1007" s="485"/>
      <c r="BM1007" s="485"/>
      <c r="BN1007" s="485"/>
      <c r="BO1007" s="485"/>
      <c r="BP1007" s="485"/>
      <c r="BQ1007" s="485"/>
      <c r="BR1007" s="485"/>
      <c r="BS1007" s="485"/>
      <c r="BT1007" s="485"/>
      <c r="BU1007" s="485"/>
      <c r="BV1007" s="485"/>
      <c r="BW1007" s="485"/>
      <c r="BX1007" s="485"/>
      <c r="BY1007" s="485"/>
      <c r="BZ1007" s="485"/>
      <c r="CA1007" s="485"/>
      <c r="CB1007" s="485"/>
      <c r="CC1007" s="485"/>
      <c r="CD1007" s="485"/>
      <c r="CE1007" s="485"/>
      <c r="CF1007" s="485"/>
      <c r="CG1007" s="485"/>
      <c r="CH1007" s="485"/>
      <c r="CI1007" s="485"/>
      <c r="CJ1007" s="485"/>
      <c r="CK1007" s="485"/>
      <c r="CL1007" s="485"/>
      <c r="CM1007" s="485"/>
      <c r="CN1007" s="485"/>
      <c r="CO1007" s="485"/>
      <c r="CP1007" s="485"/>
      <c r="CQ1007" s="485"/>
      <c r="CR1007" s="485"/>
      <c r="CS1007" s="485"/>
      <c r="CT1007" s="485"/>
      <c r="CU1007" s="485"/>
      <c r="CV1007" s="485"/>
      <c r="CW1007" s="485"/>
      <c r="CX1007" s="485"/>
      <c r="CY1007" s="485"/>
      <c r="CZ1007" s="485"/>
      <c r="DA1007" s="485"/>
      <c r="DB1007" s="485"/>
      <c r="DC1007" s="485"/>
      <c r="DD1007" s="485"/>
      <c r="DE1007" s="485"/>
      <c r="DF1007" s="485"/>
      <c r="DG1007" s="485"/>
      <c r="DH1007" s="485"/>
      <c r="DI1007" s="485"/>
      <c r="DJ1007" s="485"/>
      <c r="DK1007" s="485"/>
      <c r="DL1007" s="485"/>
      <c r="DM1007" s="485"/>
      <c r="DN1007" s="485"/>
      <c r="DO1007" s="485"/>
      <c r="DP1007" s="485"/>
      <c r="DQ1007" s="485"/>
      <c r="DR1007" s="485"/>
      <c r="DS1007" s="485"/>
      <c r="DT1007" s="485"/>
      <c r="DU1007" s="485"/>
      <c r="DV1007" s="485"/>
      <c r="DW1007" s="485"/>
      <c r="DX1007" s="485"/>
      <c r="DY1007" s="485"/>
      <c r="DZ1007" s="485"/>
      <c r="EA1007" s="485"/>
      <c r="EB1007" s="485"/>
      <c r="EC1007" s="485"/>
      <c r="ED1007" s="485"/>
      <c r="EE1007" s="485"/>
      <c r="EF1007" s="485"/>
      <c r="EG1007" s="485"/>
      <c r="EH1007" s="485"/>
      <c r="EI1007" s="485"/>
      <c r="EJ1007" s="485"/>
      <c r="EK1007" s="485"/>
      <c r="EL1007" s="485"/>
      <c r="EM1007" s="485"/>
      <c r="EN1007" s="485"/>
      <c r="EO1007" s="485"/>
      <c r="EP1007" s="485"/>
    </row>
    <row r="1008" spans="1:146">
      <c r="A1008" s="485"/>
      <c r="B1008" s="485"/>
      <c r="C1008" s="485"/>
      <c r="D1008" s="485"/>
      <c r="E1008" s="485"/>
      <c r="F1008" s="485"/>
      <c r="G1008" s="485"/>
      <c r="H1008" s="485"/>
      <c r="I1008" s="485"/>
      <c r="J1008" s="485"/>
      <c r="K1008" s="485"/>
      <c r="L1008" s="485"/>
      <c r="M1008" s="485"/>
      <c r="P1008" s="485"/>
      <c r="Q1008" s="485"/>
      <c r="R1008" s="485"/>
      <c r="S1008" s="485"/>
      <c r="T1008" s="485"/>
      <c r="U1008" s="485"/>
      <c r="V1008" s="485"/>
      <c r="W1008" s="485"/>
      <c r="X1008" s="485"/>
      <c r="Y1008" s="485"/>
      <c r="Z1008" s="485"/>
      <c r="AA1008" s="485"/>
      <c r="AB1008" s="485"/>
      <c r="AC1008" s="485"/>
      <c r="AD1008" s="485"/>
      <c r="AE1008" s="485"/>
      <c r="AF1008" s="485"/>
      <c r="AG1008" s="485"/>
      <c r="AH1008" s="485"/>
      <c r="AI1008" s="485"/>
      <c r="AJ1008" s="485"/>
      <c r="AK1008" s="485"/>
      <c r="AL1008" s="485"/>
      <c r="AM1008" s="485"/>
      <c r="AN1008" s="485"/>
      <c r="AO1008" s="485"/>
      <c r="AP1008" s="485"/>
      <c r="AQ1008" s="485"/>
      <c r="AR1008" s="485"/>
      <c r="AS1008" s="485"/>
      <c r="AT1008" s="485"/>
      <c r="AU1008" s="485"/>
      <c r="AV1008" s="485"/>
      <c r="AW1008" s="485"/>
      <c r="AX1008" s="485"/>
      <c r="AY1008" s="485"/>
      <c r="AZ1008" s="485"/>
      <c r="BA1008" s="485"/>
      <c r="BB1008" s="485"/>
      <c r="BC1008" s="485"/>
      <c r="BD1008" s="485"/>
      <c r="BE1008" s="485"/>
      <c r="BF1008" s="485"/>
      <c r="BG1008" s="485"/>
      <c r="BH1008" s="485"/>
      <c r="BI1008" s="485"/>
      <c r="BJ1008" s="485"/>
      <c r="BK1008" s="485"/>
      <c r="BL1008" s="485"/>
      <c r="BM1008" s="485"/>
      <c r="BN1008" s="485"/>
      <c r="BO1008" s="485"/>
      <c r="BP1008" s="485"/>
      <c r="BQ1008" s="485"/>
      <c r="BR1008" s="485"/>
      <c r="BS1008" s="485"/>
      <c r="BT1008" s="485"/>
      <c r="BU1008" s="485"/>
      <c r="BV1008" s="485"/>
      <c r="BW1008" s="485"/>
      <c r="BX1008" s="485"/>
      <c r="BY1008" s="485"/>
      <c r="BZ1008" s="485"/>
      <c r="CA1008" s="485"/>
      <c r="CB1008" s="485"/>
      <c r="CC1008" s="485"/>
      <c r="CD1008" s="485"/>
      <c r="CE1008" s="485"/>
      <c r="CF1008" s="485"/>
      <c r="CG1008" s="485"/>
      <c r="CH1008" s="485"/>
      <c r="CI1008" s="485"/>
      <c r="CJ1008" s="485"/>
      <c r="CK1008" s="485"/>
      <c r="CL1008" s="485"/>
      <c r="CM1008" s="485"/>
      <c r="CN1008" s="485"/>
      <c r="CO1008" s="485"/>
      <c r="CP1008" s="485"/>
      <c r="CQ1008" s="485"/>
      <c r="CR1008" s="485"/>
      <c r="CS1008" s="485"/>
      <c r="CT1008" s="485"/>
      <c r="CU1008" s="485"/>
      <c r="CV1008" s="485"/>
      <c r="CW1008" s="485"/>
      <c r="CX1008" s="485"/>
      <c r="CY1008" s="485"/>
      <c r="CZ1008" s="485"/>
      <c r="DA1008" s="485"/>
      <c r="DB1008" s="485"/>
      <c r="DC1008" s="485"/>
      <c r="DD1008" s="485"/>
      <c r="DE1008" s="485"/>
      <c r="DF1008" s="485"/>
      <c r="DG1008" s="485"/>
      <c r="DH1008" s="485"/>
      <c r="DI1008" s="485"/>
      <c r="DJ1008" s="485"/>
      <c r="DK1008" s="485"/>
      <c r="DL1008" s="485"/>
      <c r="DM1008" s="485"/>
      <c r="DN1008" s="485"/>
      <c r="DO1008" s="485"/>
      <c r="DP1008" s="485"/>
      <c r="DQ1008" s="485"/>
      <c r="DR1008" s="485"/>
      <c r="DS1008" s="485"/>
      <c r="DT1008" s="485"/>
      <c r="DU1008" s="485"/>
      <c r="DV1008" s="485"/>
      <c r="DW1008" s="485"/>
      <c r="DX1008" s="485"/>
      <c r="DY1008" s="485"/>
      <c r="DZ1008" s="485"/>
      <c r="EA1008" s="485"/>
      <c r="EB1008" s="485"/>
      <c r="EC1008" s="485"/>
      <c r="ED1008" s="485"/>
      <c r="EE1008" s="485"/>
      <c r="EF1008" s="485"/>
      <c r="EG1008" s="485"/>
      <c r="EH1008" s="485"/>
      <c r="EI1008" s="485"/>
      <c r="EJ1008" s="485"/>
      <c r="EK1008" s="485"/>
      <c r="EL1008" s="485"/>
      <c r="EM1008" s="485"/>
      <c r="EN1008" s="485"/>
      <c r="EO1008" s="485"/>
      <c r="EP1008" s="485"/>
    </row>
    <row r="1009" spans="1:146">
      <c r="A1009" s="485"/>
      <c r="B1009" s="485"/>
      <c r="C1009" s="485"/>
      <c r="D1009" s="485"/>
      <c r="E1009" s="485"/>
      <c r="F1009" s="485"/>
      <c r="G1009" s="485"/>
      <c r="H1009" s="485"/>
      <c r="I1009" s="485"/>
      <c r="J1009" s="485"/>
      <c r="K1009" s="485"/>
      <c r="L1009" s="485"/>
      <c r="M1009" s="485"/>
      <c r="P1009" s="485"/>
      <c r="Q1009" s="485"/>
      <c r="R1009" s="485"/>
      <c r="S1009" s="485"/>
      <c r="T1009" s="485"/>
      <c r="U1009" s="485"/>
      <c r="V1009" s="485"/>
      <c r="W1009" s="485"/>
      <c r="X1009" s="485"/>
      <c r="Y1009" s="485"/>
      <c r="Z1009" s="485"/>
      <c r="AA1009" s="485"/>
      <c r="AB1009" s="485"/>
      <c r="AC1009" s="485"/>
      <c r="AD1009" s="485"/>
      <c r="AE1009" s="485"/>
      <c r="AF1009" s="485"/>
      <c r="AG1009" s="485"/>
      <c r="AH1009" s="485"/>
      <c r="AI1009" s="485"/>
      <c r="AJ1009" s="485"/>
      <c r="AK1009" s="485"/>
      <c r="AL1009" s="485"/>
      <c r="AM1009" s="485"/>
      <c r="AN1009" s="485"/>
      <c r="AO1009" s="485"/>
      <c r="AP1009" s="485"/>
      <c r="AQ1009" s="485"/>
      <c r="AR1009" s="485"/>
      <c r="AS1009" s="485"/>
      <c r="AT1009" s="485"/>
      <c r="AU1009" s="485"/>
      <c r="AV1009" s="485"/>
      <c r="AW1009" s="485"/>
      <c r="AX1009" s="485"/>
      <c r="AY1009" s="485"/>
      <c r="AZ1009" s="485"/>
      <c r="BA1009" s="485"/>
      <c r="BB1009" s="485"/>
      <c r="BC1009" s="485"/>
      <c r="BD1009" s="485"/>
      <c r="BE1009" s="485"/>
      <c r="BF1009" s="485"/>
      <c r="BG1009" s="485"/>
      <c r="BH1009" s="485"/>
      <c r="BI1009" s="485"/>
      <c r="BJ1009" s="485"/>
      <c r="BK1009" s="485"/>
      <c r="BL1009" s="485"/>
      <c r="BM1009" s="485"/>
      <c r="BN1009" s="485"/>
      <c r="BO1009" s="485"/>
      <c r="BP1009" s="485"/>
      <c r="BQ1009" s="485"/>
      <c r="BR1009" s="485"/>
      <c r="BS1009" s="485"/>
      <c r="BT1009" s="485"/>
      <c r="BU1009" s="485"/>
      <c r="BV1009" s="485"/>
      <c r="BW1009" s="485"/>
      <c r="BX1009" s="485"/>
      <c r="BY1009" s="485"/>
      <c r="BZ1009" s="485"/>
      <c r="CA1009" s="485"/>
      <c r="CB1009" s="485"/>
      <c r="CC1009" s="485"/>
      <c r="CD1009" s="485"/>
      <c r="CE1009" s="485"/>
      <c r="CF1009" s="485"/>
      <c r="CG1009" s="485"/>
      <c r="CH1009" s="485"/>
      <c r="CI1009" s="485"/>
      <c r="CJ1009" s="485"/>
      <c r="CK1009" s="485"/>
      <c r="CL1009" s="485"/>
      <c r="CM1009" s="485"/>
      <c r="CN1009" s="485"/>
      <c r="CO1009" s="485"/>
      <c r="CP1009" s="485"/>
      <c r="CQ1009" s="485"/>
      <c r="CR1009" s="485"/>
      <c r="CS1009" s="485"/>
      <c r="CT1009" s="485"/>
      <c r="CU1009" s="485"/>
      <c r="CV1009" s="485"/>
      <c r="CW1009" s="485"/>
      <c r="CX1009" s="485"/>
      <c r="CY1009" s="485"/>
      <c r="CZ1009" s="485"/>
      <c r="DA1009" s="485"/>
      <c r="DB1009" s="485"/>
      <c r="DC1009" s="485"/>
      <c r="DD1009" s="485"/>
      <c r="DE1009" s="485"/>
      <c r="DF1009" s="485"/>
      <c r="DG1009" s="485"/>
      <c r="DH1009" s="485"/>
      <c r="DI1009" s="485"/>
      <c r="DJ1009" s="485"/>
      <c r="DK1009" s="485"/>
      <c r="DL1009" s="485"/>
      <c r="DM1009" s="485"/>
      <c r="DN1009" s="485"/>
      <c r="DO1009" s="485"/>
      <c r="DP1009" s="485"/>
      <c r="DQ1009" s="485"/>
      <c r="DR1009" s="485"/>
      <c r="DS1009" s="485"/>
      <c r="DT1009" s="485"/>
      <c r="DU1009" s="485"/>
      <c r="DV1009" s="485"/>
      <c r="DW1009" s="485"/>
      <c r="DX1009" s="485"/>
      <c r="DY1009" s="485"/>
      <c r="DZ1009" s="485"/>
      <c r="EA1009" s="485"/>
      <c r="EB1009" s="485"/>
      <c r="EC1009" s="485"/>
      <c r="ED1009" s="485"/>
      <c r="EE1009" s="485"/>
      <c r="EF1009" s="485"/>
      <c r="EG1009" s="485"/>
      <c r="EH1009" s="485"/>
      <c r="EI1009" s="485"/>
      <c r="EJ1009" s="485"/>
      <c r="EK1009" s="485"/>
      <c r="EL1009" s="485"/>
      <c r="EM1009" s="485"/>
      <c r="EN1009" s="485"/>
      <c r="EO1009" s="485"/>
      <c r="EP1009" s="485"/>
    </row>
    <row r="1010" spans="1:146">
      <c r="A1010" s="485"/>
      <c r="B1010" s="485"/>
      <c r="C1010" s="485"/>
      <c r="D1010" s="485"/>
      <c r="E1010" s="485"/>
      <c r="F1010" s="485"/>
      <c r="G1010" s="485"/>
      <c r="H1010" s="485"/>
      <c r="I1010" s="485"/>
      <c r="J1010" s="485"/>
      <c r="K1010" s="485"/>
      <c r="L1010" s="485"/>
      <c r="M1010" s="485"/>
      <c r="P1010" s="485"/>
      <c r="Q1010" s="485"/>
      <c r="R1010" s="485"/>
      <c r="S1010" s="485"/>
      <c r="T1010" s="485"/>
      <c r="U1010" s="485"/>
      <c r="V1010" s="485"/>
      <c r="W1010" s="485"/>
      <c r="X1010" s="485"/>
      <c r="Y1010" s="485"/>
      <c r="Z1010" s="485"/>
      <c r="AA1010" s="485"/>
      <c r="AB1010" s="485"/>
      <c r="AC1010" s="485"/>
      <c r="AD1010" s="485"/>
      <c r="AE1010" s="485"/>
      <c r="AF1010" s="485"/>
      <c r="AG1010" s="485"/>
      <c r="AH1010" s="485"/>
      <c r="AI1010" s="485"/>
      <c r="AJ1010" s="485"/>
      <c r="AK1010" s="485"/>
      <c r="AL1010" s="485"/>
      <c r="AM1010" s="485"/>
      <c r="AN1010" s="485"/>
      <c r="AO1010" s="485"/>
      <c r="AP1010" s="485"/>
      <c r="AQ1010" s="485"/>
      <c r="AR1010" s="485"/>
      <c r="AS1010" s="485"/>
      <c r="AT1010" s="485"/>
      <c r="AU1010" s="485"/>
      <c r="AV1010" s="485"/>
      <c r="AW1010" s="485"/>
      <c r="AX1010" s="485"/>
      <c r="AY1010" s="485"/>
      <c r="AZ1010" s="485"/>
      <c r="BA1010" s="485"/>
      <c r="BB1010" s="485"/>
      <c r="BC1010" s="485"/>
      <c r="BD1010" s="485"/>
      <c r="BE1010" s="485"/>
      <c r="BF1010" s="485"/>
      <c r="BG1010" s="485"/>
      <c r="BH1010" s="485"/>
      <c r="BI1010" s="485"/>
      <c r="BJ1010" s="485"/>
      <c r="BK1010" s="485"/>
      <c r="BL1010" s="485"/>
      <c r="BM1010" s="485"/>
      <c r="BN1010" s="485"/>
      <c r="BO1010" s="485"/>
      <c r="BP1010" s="485"/>
      <c r="BQ1010" s="485"/>
      <c r="BR1010" s="485"/>
      <c r="BS1010" s="485"/>
      <c r="BT1010" s="485"/>
      <c r="BU1010" s="485"/>
      <c r="BV1010" s="485"/>
      <c r="BW1010" s="485"/>
      <c r="BX1010" s="485"/>
      <c r="BY1010" s="485"/>
      <c r="BZ1010" s="485"/>
      <c r="CA1010" s="485"/>
      <c r="CB1010" s="485"/>
      <c r="CC1010" s="485"/>
      <c r="CD1010" s="485"/>
      <c r="CE1010" s="485"/>
      <c r="CF1010" s="485"/>
      <c r="CG1010" s="485"/>
      <c r="CH1010" s="485"/>
      <c r="CI1010" s="485"/>
      <c r="CJ1010" s="485"/>
      <c r="CK1010" s="485"/>
      <c r="CL1010" s="485"/>
      <c r="CM1010" s="485"/>
      <c r="CN1010" s="485"/>
      <c r="CO1010" s="485"/>
      <c r="CP1010" s="485"/>
      <c r="CQ1010" s="485"/>
      <c r="CR1010" s="485"/>
      <c r="CS1010" s="485"/>
      <c r="CT1010" s="485"/>
      <c r="CU1010" s="485"/>
      <c r="CV1010" s="485"/>
      <c r="CW1010" s="485"/>
      <c r="CX1010" s="485"/>
      <c r="CY1010" s="485"/>
      <c r="CZ1010" s="485"/>
      <c r="DA1010" s="485"/>
      <c r="DB1010" s="485"/>
      <c r="DC1010" s="485"/>
      <c r="DD1010" s="485"/>
      <c r="DE1010" s="485"/>
      <c r="DF1010" s="485"/>
      <c r="DG1010" s="485"/>
      <c r="DH1010" s="485"/>
      <c r="DI1010" s="485"/>
      <c r="DJ1010" s="485"/>
      <c r="DK1010" s="485"/>
      <c r="DL1010" s="485"/>
      <c r="DM1010" s="485"/>
      <c r="DN1010" s="485"/>
      <c r="DO1010" s="485"/>
      <c r="DP1010" s="485"/>
      <c r="DQ1010" s="485"/>
      <c r="DR1010" s="485"/>
      <c r="DS1010" s="485"/>
      <c r="DT1010" s="485"/>
      <c r="DU1010" s="485"/>
      <c r="DV1010" s="485"/>
      <c r="DW1010" s="485"/>
      <c r="DX1010" s="485"/>
      <c r="DY1010" s="485"/>
      <c r="DZ1010" s="485"/>
      <c r="EA1010" s="485"/>
      <c r="EB1010" s="485"/>
      <c r="EC1010" s="485"/>
      <c r="ED1010" s="485"/>
      <c r="EE1010" s="485"/>
      <c r="EF1010" s="485"/>
      <c r="EG1010" s="485"/>
      <c r="EH1010" s="485"/>
      <c r="EI1010" s="485"/>
      <c r="EJ1010" s="485"/>
      <c r="EK1010" s="485"/>
      <c r="EL1010" s="485"/>
      <c r="EM1010" s="485"/>
      <c r="EN1010" s="485"/>
      <c r="EO1010" s="485"/>
      <c r="EP1010" s="485"/>
    </row>
    <row r="1011" spans="1:146">
      <c r="A1011" s="485"/>
      <c r="B1011" s="485"/>
      <c r="C1011" s="485"/>
      <c r="D1011" s="485"/>
      <c r="E1011" s="485"/>
      <c r="F1011" s="485"/>
      <c r="G1011" s="485"/>
      <c r="H1011" s="485"/>
      <c r="I1011" s="485"/>
      <c r="J1011" s="485"/>
      <c r="K1011" s="485"/>
      <c r="L1011" s="485"/>
      <c r="M1011" s="485"/>
      <c r="P1011" s="485"/>
      <c r="Q1011" s="485"/>
      <c r="R1011" s="485"/>
      <c r="S1011" s="485"/>
      <c r="T1011" s="485"/>
      <c r="U1011" s="485"/>
      <c r="V1011" s="485"/>
      <c r="W1011" s="485"/>
      <c r="X1011" s="485"/>
      <c r="Y1011" s="485"/>
      <c r="Z1011" s="485"/>
      <c r="AA1011" s="485"/>
      <c r="AB1011" s="485"/>
      <c r="AC1011" s="485"/>
      <c r="AD1011" s="485"/>
      <c r="AE1011" s="485"/>
      <c r="AF1011" s="485"/>
      <c r="AG1011" s="485"/>
      <c r="AH1011" s="485"/>
      <c r="AI1011" s="485"/>
      <c r="AJ1011" s="485"/>
      <c r="AK1011" s="485"/>
      <c r="AL1011" s="485"/>
      <c r="AM1011" s="485"/>
      <c r="AN1011" s="485"/>
      <c r="AO1011" s="485"/>
      <c r="AP1011" s="485"/>
      <c r="AQ1011" s="485"/>
      <c r="AR1011" s="485"/>
      <c r="AS1011" s="485"/>
      <c r="AT1011" s="485"/>
      <c r="AU1011" s="485"/>
      <c r="AV1011" s="485"/>
      <c r="AW1011" s="485"/>
      <c r="AX1011" s="485"/>
      <c r="AY1011" s="485"/>
      <c r="AZ1011" s="485"/>
      <c r="BA1011" s="485"/>
      <c r="BB1011" s="485"/>
      <c r="BC1011" s="485"/>
      <c r="BD1011" s="485"/>
      <c r="BE1011" s="485"/>
      <c r="BF1011" s="485"/>
      <c r="BG1011" s="485"/>
      <c r="BH1011" s="485"/>
      <c r="BI1011" s="485"/>
      <c r="BJ1011" s="485"/>
      <c r="BK1011" s="485"/>
      <c r="BL1011" s="485"/>
      <c r="BM1011" s="485"/>
      <c r="BN1011" s="485"/>
      <c r="BO1011" s="485"/>
      <c r="BP1011" s="485"/>
      <c r="BQ1011" s="485"/>
      <c r="BR1011" s="485"/>
      <c r="BS1011" s="485"/>
      <c r="BT1011" s="485"/>
      <c r="BU1011" s="485"/>
      <c r="BV1011" s="485"/>
      <c r="BW1011" s="485"/>
      <c r="BX1011" s="485"/>
      <c r="BY1011" s="485"/>
      <c r="BZ1011" s="485"/>
      <c r="CA1011" s="485"/>
      <c r="CB1011" s="485"/>
      <c r="CC1011" s="485"/>
      <c r="CD1011" s="485"/>
      <c r="CE1011" s="485"/>
      <c r="CF1011" s="485"/>
      <c r="CG1011" s="485"/>
      <c r="CH1011" s="485"/>
      <c r="CI1011" s="485"/>
      <c r="CJ1011" s="485"/>
      <c r="CK1011" s="485"/>
      <c r="CL1011" s="485"/>
      <c r="CM1011" s="485"/>
      <c r="CN1011" s="485"/>
      <c r="CO1011" s="485"/>
      <c r="CP1011" s="485"/>
      <c r="CQ1011" s="485"/>
      <c r="CR1011" s="485"/>
      <c r="CS1011" s="485"/>
      <c r="CT1011" s="485"/>
      <c r="CU1011" s="485"/>
      <c r="CV1011" s="485"/>
      <c r="CW1011" s="485"/>
      <c r="CX1011" s="485"/>
      <c r="CY1011" s="485"/>
      <c r="CZ1011" s="485"/>
      <c r="DA1011" s="485"/>
      <c r="DB1011" s="485"/>
      <c r="DC1011" s="485"/>
      <c r="DD1011" s="485"/>
      <c r="DE1011" s="485"/>
      <c r="DF1011" s="485"/>
      <c r="DG1011" s="485"/>
      <c r="DH1011" s="485"/>
      <c r="DI1011" s="485"/>
      <c r="DJ1011" s="485"/>
      <c r="DK1011" s="485"/>
      <c r="DL1011" s="485"/>
      <c r="DM1011" s="485"/>
      <c r="DN1011" s="485"/>
      <c r="DO1011" s="485"/>
      <c r="DP1011" s="485"/>
      <c r="DQ1011" s="485"/>
      <c r="DR1011" s="485"/>
      <c r="DS1011" s="485"/>
      <c r="DT1011" s="485"/>
      <c r="DU1011" s="485"/>
      <c r="DV1011" s="485"/>
      <c r="DW1011" s="485"/>
      <c r="DX1011" s="485"/>
      <c r="DY1011" s="485"/>
      <c r="DZ1011" s="485"/>
      <c r="EA1011" s="485"/>
      <c r="EB1011" s="485"/>
      <c r="EC1011" s="485"/>
      <c r="ED1011" s="485"/>
      <c r="EE1011" s="485"/>
      <c r="EF1011" s="485"/>
      <c r="EG1011" s="485"/>
      <c r="EH1011" s="485"/>
      <c r="EI1011" s="485"/>
      <c r="EJ1011" s="485"/>
      <c r="EK1011" s="485"/>
      <c r="EL1011" s="485"/>
      <c r="EM1011" s="485"/>
      <c r="EN1011" s="485"/>
      <c r="EO1011" s="485"/>
      <c r="EP1011" s="485"/>
    </row>
    <row r="1012" spans="1:146">
      <c r="A1012" s="485"/>
      <c r="B1012" s="485"/>
      <c r="C1012" s="485"/>
      <c r="D1012" s="485"/>
      <c r="E1012" s="485"/>
      <c r="F1012" s="485"/>
      <c r="G1012" s="485"/>
      <c r="H1012" s="485"/>
      <c r="I1012" s="485"/>
      <c r="J1012" s="485"/>
      <c r="K1012" s="485"/>
      <c r="L1012" s="485"/>
      <c r="M1012" s="485"/>
      <c r="P1012" s="485"/>
      <c r="Q1012" s="485"/>
      <c r="R1012" s="485"/>
      <c r="S1012" s="485"/>
      <c r="T1012" s="485"/>
      <c r="U1012" s="485"/>
      <c r="V1012" s="485"/>
      <c r="W1012" s="485"/>
      <c r="X1012" s="485"/>
      <c r="Y1012" s="485"/>
      <c r="Z1012" s="485"/>
      <c r="AA1012" s="485"/>
      <c r="AB1012" s="485"/>
      <c r="AC1012" s="485"/>
      <c r="AD1012" s="485"/>
      <c r="AE1012" s="485"/>
      <c r="AF1012" s="485"/>
      <c r="AG1012" s="485"/>
      <c r="AH1012" s="485"/>
      <c r="AI1012" s="485"/>
      <c r="AJ1012" s="485"/>
      <c r="AK1012" s="485"/>
      <c r="AL1012" s="485"/>
      <c r="AM1012" s="485"/>
      <c r="AN1012" s="485"/>
      <c r="AO1012" s="485"/>
      <c r="AP1012" s="485"/>
      <c r="AQ1012" s="485"/>
      <c r="AR1012" s="485"/>
      <c r="AS1012" s="485"/>
      <c r="AT1012" s="485"/>
      <c r="AU1012" s="485"/>
      <c r="AV1012" s="485"/>
      <c r="AW1012" s="485"/>
      <c r="AX1012" s="485"/>
      <c r="AY1012" s="485"/>
      <c r="AZ1012" s="485"/>
      <c r="BA1012" s="485"/>
      <c r="BB1012" s="485"/>
      <c r="BC1012" s="485"/>
      <c r="BD1012" s="485"/>
      <c r="BE1012" s="485"/>
      <c r="BF1012" s="485"/>
      <c r="BG1012" s="485"/>
      <c r="BH1012" s="485"/>
      <c r="BI1012" s="485"/>
      <c r="BJ1012" s="485"/>
      <c r="BK1012" s="485"/>
      <c r="BL1012" s="485"/>
      <c r="BM1012" s="485"/>
      <c r="BN1012" s="485"/>
      <c r="BO1012" s="485"/>
      <c r="BP1012" s="485"/>
      <c r="BQ1012" s="485"/>
      <c r="BR1012" s="485"/>
      <c r="BS1012" s="485"/>
      <c r="BT1012" s="485"/>
      <c r="BU1012" s="485"/>
      <c r="BV1012" s="485"/>
      <c r="BW1012" s="485"/>
      <c r="BX1012" s="485"/>
      <c r="BY1012" s="485"/>
      <c r="BZ1012" s="485"/>
      <c r="CA1012" s="485"/>
      <c r="CB1012" s="485"/>
      <c r="CC1012" s="485"/>
      <c r="CD1012" s="485"/>
      <c r="CE1012" s="485"/>
      <c r="CF1012" s="485"/>
      <c r="CG1012" s="485"/>
      <c r="CH1012" s="485"/>
      <c r="CI1012" s="485"/>
      <c r="CJ1012" s="485"/>
      <c r="CK1012" s="485"/>
      <c r="CL1012" s="485"/>
      <c r="CM1012" s="485"/>
      <c r="CN1012" s="485"/>
      <c r="CO1012" s="485"/>
      <c r="CP1012" s="485"/>
      <c r="CQ1012" s="485"/>
      <c r="CR1012" s="485"/>
      <c r="CS1012" s="485"/>
      <c r="CT1012" s="485"/>
      <c r="CU1012" s="485"/>
      <c r="CV1012" s="485"/>
      <c r="CW1012" s="485"/>
      <c r="CX1012" s="485"/>
      <c r="CY1012" s="485"/>
      <c r="CZ1012" s="485"/>
      <c r="DA1012" s="485"/>
      <c r="DB1012" s="485"/>
      <c r="DC1012" s="485"/>
      <c r="DD1012" s="485"/>
      <c r="DE1012" s="485"/>
      <c r="DF1012" s="485"/>
      <c r="DG1012" s="485"/>
      <c r="DH1012" s="485"/>
      <c r="DI1012" s="485"/>
      <c r="DJ1012" s="485"/>
      <c r="DK1012" s="485"/>
      <c r="DL1012" s="485"/>
      <c r="DM1012" s="485"/>
      <c r="DN1012" s="485"/>
      <c r="DO1012" s="485"/>
      <c r="DP1012" s="485"/>
      <c r="DQ1012" s="485"/>
      <c r="DR1012" s="485"/>
      <c r="DS1012" s="485"/>
      <c r="DT1012" s="485"/>
      <c r="DU1012" s="485"/>
      <c r="DV1012" s="485"/>
      <c r="DW1012" s="485"/>
      <c r="DX1012" s="485"/>
      <c r="DY1012" s="485"/>
      <c r="DZ1012" s="485"/>
      <c r="EA1012" s="485"/>
      <c r="EB1012" s="485"/>
      <c r="EC1012" s="485"/>
      <c r="ED1012" s="485"/>
      <c r="EE1012" s="485"/>
      <c r="EF1012" s="485"/>
      <c r="EG1012" s="485"/>
      <c r="EH1012" s="485"/>
      <c r="EI1012" s="485"/>
      <c r="EJ1012" s="485"/>
      <c r="EK1012" s="485"/>
      <c r="EL1012" s="485"/>
      <c r="EM1012" s="485"/>
      <c r="EN1012" s="485"/>
      <c r="EO1012" s="485"/>
      <c r="EP1012" s="485"/>
    </row>
    <row r="1013" spans="1:146">
      <c r="A1013" s="485"/>
      <c r="B1013" s="485"/>
      <c r="C1013" s="485"/>
      <c r="D1013" s="485"/>
      <c r="E1013" s="485"/>
      <c r="F1013" s="485"/>
      <c r="G1013" s="485"/>
      <c r="H1013" s="485"/>
      <c r="I1013" s="485"/>
      <c r="J1013" s="485"/>
      <c r="K1013" s="485"/>
      <c r="L1013" s="485"/>
      <c r="M1013" s="485"/>
      <c r="P1013" s="485"/>
      <c r="Q1013" s="485"/>
      <c r="R1013" s="485"/>
      <c r="S1013" s="485"/>
      <c r="T1013" s="485"/>
      <c r="U1013" s="485"/>
      <c r="V1013" s="485"/>
      <c r="W1013" s="485"/>
      <c r="X1013" s="485"/>
      <c r="Y1013" s="485"/>
      <c r="Z1013" s="485"/>
      <c r="AA1013" s="485"/>
      <c r="AB1013" s="485"/>
      <c r="AC1013" s="485"/>
      <c r="AD1013" s="485"/>
      <c r="AE1013" s="485"/>
      <c r="AF1013" s="485"/>
      <c r="AG1013" s="485"/>
      <c r="AH1013" s="485"/>
      <c r="AI1013" s="485"/>
      <c r="AJ1013" s="485"/>
      <c r="AK1013" s="485"/>
      <c r="AL1013" s="485"/>
      <c r="AM1013" s="485"/>
      <c r="AN1013" s="485"/>
      <c r="AO1013" s="485"/>
      <c r="AP1013" s="485"/>
      <c r="AQ1013" s="485"/>
      <c r="AR1013" s="485"/>
      <c r="AS1013" s="485"/>
      <c r="AT1013" s="485"/>
      <c r="AU1013" s="485"/>
      <c r="AV1013" s="485"/>
      <c r="AW1013" s="485"/>
      <c r="AX1013" s="485"/>
      <c r="AY1013" s="485"/>
      <c r="AZ1013" s="485"/>
      <c r="BA1013" s="485"/>
      <c r="BB1013" s="485"/>
      <c r="BC1013" s="485"/>
      <c r="BD1013" s="485"/>
      <c r="BE1013" s="485"/>
      <c r="BF1013" s="485"/>
      <c r="BG1013" s="485"/>
      <c r="BH1013" s="485"/>
      <c r="BI1013" s="485"/>
      <c r="BJ1013" s="485"/>
      <c r="BK1013" s="485"/>
      <c r="BL1013" s="485"/>
      <c r="BM1013" s="485"/>
      <c r="BN1013" s="485"/>
      <c r="BO1013" s="485"/>
      <c r="BP1013" s="485"/>
      <c r="BQ1013" s="485"/>
      <c r="BR1013" s="485"/>
      <c r="BS1013" s="485"/>
      <c r="BT1013" s="485"/>
      <c r="BU1013" s="485"/>
      <c r="BV1013" s="485"/>
      <c r="BW1013" s="485"/>
      <c r="BX1013" s="485"/>
      <c r="BY1013" s="485"/>
      <c r="BZ1013" s="485"/>
      <c r="CA1013" s="485"/>
      <c r="CB1013" s="485"/>
      <c r="CC1013" s="485"/>
      <c r="CD1013" s="485"/>
      <c r="CE1013" s="485"/>
      <c r="CF1013" s="485"/>
      <c r="CG1013" s="485"/>
      <c r="CH1013" s="485"/>
      <c r="CI1013" s="485"/>
      <c r="CJ1013" s="485"/>
      <c r="CK1013" s="485"/>
      <c r="CL1013" s="485"/>
      <c r="CM1013" s="485"/>
      <c r="CN1013" s="485"/>
      <c r="CO1013" s="485"/>
      <c r="CP1013" s="485"/>
      <c r="CQ1013" s="485"/>
      <c r="CR1013" s="485"/>
      <c r="CS1013" s="485"/>
      <c r="CT1013" s="485"/>
      <c r="CU1013" s="485"/>
      <c r="CV1013" s="485"/>
      <c r="CW1013" s="485"/>
      <c r="CX1013" s="485"/>
      <c r="CY1013" s="485"/>
      <c r="CZ1013" s="485"/>
      <c r="DA1013" s="485"/>
      <c r="DB1013" s="485"/>
      <c r="DC1013" s="485"/>
      <c r="DD1013" s="485"/>
      <c r="DE1013" s="485"/>
      <c r="DF1013" s="485"/>
      <c r="DG1013" s="485"/>
      <c r="DH1013" s="485"/>
      <c r="DI1013" s="485"/>
      <c r="DJ1013" s="485"/>
      <c r="DK1013" s="485"/>
      <c r="DL1013" s="485"/>
      <c r="DM1013" s="485"/>
      <c r="DN1013" s="485"/>
      <c r="DO1013" s="485"/>
      <c r="DP1013" s="485"/>
      <c r="DQ1013" s="485"/>
      <c r="DR1013" s="485"/>
      <c r="DS1013" s="485"/>
      <c r="DT1013" s="485"/>
      <c r="DU1013" s="485"/>
      <c r="DV1013" s="485"/>
      <c r="DW1013" s="485"/>
      <c r="DX1013" s="485"/>
      <c r="DY1013" s="485"/>
      <c r="DZ1013" s="485"/>
      <c r="EA1013" s="485"/>
      <c r="EB1013" s="485"/>
      <c r="EC1013" s="485"/>
      <c r="ED1013" s="485"/>
      <c r="EE1013" s="485"/>
      <c r="EF1013" s="485"/>
      <c r="EG1013" s="485"/>
      <c r="EH1013" s="485"/>
      <c r="EI1013" s="485"/>
      <c r="EJ1013" s="485"/>
      <c r="EK1013" s="485"/>
      <c r="EL1013" s="485"/>
      <c r="EM1013" s="485"/>
      <c r="EN1013" s="485"/>
      <c r="EO1013" s="485"/>
      <c r="EP1013" s="485"/>
    </row>
    <row r="1014" spans="1:146">
      <c r="A1014" s="485"/>
      <c r="B1014" s="485"/>
      <c r="C1014" s="485"/>
      <c r="D1014" s="485"/>
      <c r="E1014" s="485"/>
      <c r="F1014" s="485"/>
      <c r="G1014" s="485"/>
      <c r="H1014" s="485"/>
      <c r="I1014" s="485"/>
      <c r="J1014" s="485"/>
      <c r="K1014" s="485"/>
      <c r="L1014" s="485"/>
      <c r="M1014" s="485"/>
      <c r="P1014" s="485"/>
      <c r="Q1014" s="485"/>
      <c r="R1014" s="485"/>
      <c r="S1014" s="485"/>
      <c r="T1014" s="485"/>
      <c r="U1014" s="485"/>
      <c r="V1014" s="485"/>
      <c r="W1014" s="485"/>
      <c r="X1014" s="485"/>
      <c r="Y1014" s="485"/>
      <c r="Z1014" s="485"/>
      <c r="AA1014" s="485"/>
      <c r="AB1014" s="485"/>
      <c r="AC1014" s="485"/>
      <c r="AD1014" s="485"/>
      <c r="AE1014" s="485"/>
      <c r="AF1014" s="485"/>
      <c r="AG1014" s="485"/>
      <c r="AH1014" s="485"/>
      <c r="AI1014" s="485"/>
      <c r="AJ1014" s="485"/>
      <c r="AK1014" s="485"/>
      <c r="AL1014" s="485"/>
      <c r="AM1014" s="485"/>
      <c r="AN1014" s="485"/>
      <c r="AO1014" s="485"/>
      <c r="AP1014" s="485"/>
      <c r="AQ1014" s="485"/>
      <c r="AR1014" s="485"/>
      <c r="AS1014" s="485"/>
      <c r="AT1014" s="485"/>
      <c r="AU1014" s="485"/>
      <c r="AV1014" s="485"/>
      <c r="AW1014" s="485"/>
      <c r="AX1014" s="485"/>
      <c r="AY1014" s="485"/>
      <c r="AZ1014" s="485"/>
      <c r="BA1014" s="485"/>
      <c r="BB1014" s="485"/>
      <c r="BC1014" s="485"/>
      <c r="BD1014" s="485"/>
      <c r="BE1014" s="485"/>
      <c r="BF1014" s="485"/>
      <c r="BG1014" s="485"/>
      <c r="BH1014" s="485"/>
      <c r="BI1014" s="485"/>
      <c r="BJ1014" s="485"/>
      <c r="BK1014" s="485"/>
      <c r="BL1014" s="485"/>
      <c r="BM1014" s="485"/>
      <c r="BN1014" s="485"/>
      <c r="BO1014" s="485"/>
      <c r="BP1014" s="485"/>
      <c r="BQ1014" s="485"/>
      <c r="BR1014" s="485"/>
      <c r="BS1014" s="485"/>
      <c r="BT1014" s="485"/>
      <c r="BU1014" s="485"/>
      <c r="BV1014" s="485"/>
      <c r="BW1014" s="485"/>
      <c r="BX1014" s="485"/>
      <c r="BY1014" s="485"/>
      <c r="BZ1014" s="485"/>
      <c r="CA1014" s="485"/>
      <c r="CB1014" s="485"/>
      <c r="CC1014" s="485"/>
      <c r="CD1014" s="485"/>
      <c r="CE1014" s="485"/>
      <c r="CF1014" s="485"/>
      <c r="CG1014" s="485"/>
      <c r="CH1014" s="485"/>
      <c r="CI1014" s="485"/>
      <c r="CJ1014" s="485"/>
      <c r="CK1014" s="485"/>
      <c r="CL1014" s="485"/>
      <c r="CM1014" s="485"/>
      <c r="CN1014" s="485"/>
      <c r="CO1014" s="485"/>
      <c r="CP1014" s="485"/>
      <c r="CQ1014" s="485"/>
      <c r="CR1014" s="485"/>
      <c r="CS1014" s="485"/>
      <c r="CT1014" s="485"/>
      <c r="CU1014" s="485"/>
      <c r="CV1014" s="485"/>
      <c r="CW1014" s="485"/>
      <c r="CX1014" s="485"/>
      <c r="CY1014" s="485"/>
      <c r="CZ1014" s="485"/>
      <c r="DA1014" s="485"/>
      <c r="DB1014" s="485"/>
      <c r="DC1014" s="485"/>
      <c r="DD1014" s="485"/>
      <c r="DE1014" s="485"/>
      <c r="DF1014" s="485"/>
      <c r="DG1014" s="485"/>
      <c r="DH1014" s="485"/>
      <c r="DI1014" s="485"/>
      <c r="DJ1014" s="485"/>
      <c r="DK1014" s="485"/>
      <c r="DL1014" s="485"/>
      <c r="DM1014" s="485"/>
      <c r="DN1014" s="485"/>
      <c r="DO1014" s="485"/>
      <c r="DP1014" s="485"/>
      <c r="DQ1014" s="485"/>
      <c r="DR1014" s="485"/>
      <c r="DS1014" s="485"/>
      <c r="DT1014" s="485"/>
      <c r="DU1014" s="485"/>
      <c r="DV1014" s="485"/>
      <c r="DW1014" s="485"/>
      <c r="DX1014" s="485"/>
      <c r="DY1014" s="485"/>
      <c r="DZ1014" s="485"/>
      <c r="EA1014" s="485"/>
      <c r="EB1014" s="485"/>
      <c r="EC1014" s="485"/>
      <c r="ED1014" s="485"/>
      <c r="EE1014" s="485"/>
      <c r="EF1014" s="485"/>
      <c r="EG1014" s="485"/>
      <c r="EH1014" s="485"/>
      <c r="EI1014" s="485"/>
      <c r="EJ1014" s="485"/>
      <c r="EK1014" s="485"/>
      <c r="EL1014" s="485"/>
      <c r="EM1014" s="485"/>
      <c r="EN1014" s="485"/>
      <c r="EO1014" s="485"/>
      <c r="EP1014" s="485"/>
    </row>
    <row r="1015" spans="1:146">
      <c r="A1015" s="485"/>
      <c r="B1015" s="485"/>
      <c r="C1015" s="485"/>
      <c r="D1015" s="485"/>
      <c r="E1015" s="485"/>
      <c r="F1015" s="485"/>
      <c r="G1015" s="485"/>
      <c r="H1015" s="485"/>
      <c r="I1015" s="485"/>
      <c r="J1015" s="485"/>
      <c r="K1015" s="485"/>
      <c r="L1015" s="485"/>
      <c r="M1015" s="485"/>
      <c r="P1015" s="485"/>
      <c r="Q1015" s="485"/>
      <c r="R1015" s="485"/>
      <c r="S1015" s="485"/>
      <c r="T1015" s="485"/>
      <c r="U1015" s="485"/>
      <c r="V1015" s="485"/>
      <c r="W1015" s="485"/>
      <c r="X1015" s="485"/>
      <c r="Y1015" s="485"/>
      <c r="Z1015" s="485"/>
      <c r="AA1015" s="485"/>
      <c r="AB1015" s="485"/>
      <c r="AC1015" s="485"/>
      <c r="AD1015" s="485"/>
      <c r="AE1015" s="485"/>
      <c r="AF1015" s="485"/>
      <c r="AG1015" s="485"/>
      <c r="AH1015" s="485"/>
      <c r="AI1015" s="485"/>
      <c r="AJ1015" s="485"/>
      <c r="AK1015" s="485"/>
      <c r="AL1015" s="485"/>
      <c r="AM1015" s="485"/>
      <c r="AN1015" s="485"/>
      <c r="AO1015" s="485"/>
      <c r="AP1015" s="485"/>
      <c r="AQ1015" s="485"/>
      <c r="AR1015" s="485"/>
      <c r="AS1015" s="485"/>
      <c r="AT1015" s="485"/>
      <c r="AU1015" s="485"/>
      <c r="AV1015" s="485"/>
      <c r="AW1015" s="485"/>
      <c r="AX1015" s="485"/>
      <c r="AY1015" s="485"/>
      <c r="AZ1015" s="485"/>
      <c r="BA1015" s="485"/>
      <c r="BB1015" s="485"/>
      <c r="BC1015" s="485"/>
      <c r="BD1015" s="485"/>
      <c r="BE1015" s="485"/>
      <c r="BF1015" s="485"/>
      <c r="BG1015" s="485"/>
      <c r="BH1015" s="485"/>
      <c r="BI1015" s="485"/>
      <c r="BJ1015" s="485"/>
      <c r="BK1015" s="485"/>
      <c r="BL1015" s="485"/>
      <c r="BM1015" s="485"/>
      <c r="BN1015" s="485"/>
      <c r="BO1015" s="485"/>
      <c r="BP1015" s="485"/>
      <c r="BQ1015" s="485"/>
      <c r="BR1015" s="485"/>
      <c r="BS1015" s="485"/>
      <c r="BT1015" s="485"/>
      <c r="BU1015" s="485"/>
      <c r="BV1015" s="485"/>
      <c r="BW1015" s="485"/>
      <c r="BX1015" s="485"/>
      <c r="BY1015" s="485"/>
      <c r="BZ1015" s="485"/>
      <c r="CA1015" s="485"/>
      <c r="CB1015" s="485"/>
      <c r="CC1015" s="485"/>
      <c r="CD1015" s="485"/>
      <c r="CE1015" s="485"/>
      <c r="CF1015" s="485"/>
      <c r="CG1015" s="485"/>
      <c r="CH1015" s="485"/>
      <c r="CI1015" s="485"/>
      <c r="CJ1015" s="485"/>
      <c r="CK1015" s="485"/>
      <c r="CL1015" s="485"/>
      <c r="CM1015" s="485"/>
      <c r="CN1015" s="485"/>
      <c r="CO1015" s="485"/>
      <c r="CP1015" s="485"/>
      <c r="CQ1015" s="485"/>
      <c r="CR1015" s="485"/>
      <c r="CS1015" s="485"/>
      <c r="CT1015" s="485"/>
      <c r="CU1015" s="485"/>
      <c r="CV1015" s="485"/>
      <c r="CW1015" s="485"/>
      <c r="CX1015" s="485"/>
      <c r="CY1015" s="485"/>
      <c r="CZ1015" s="485"/>
      <c r="DA1015" s="485"/>
      <c r="DB1015" s="485"/>
      <c r="DC1015" s="485"/>
      <c r="DD1015" s="485"/>
      <c r="DE1015" s="485"/>
      <c r="DF1015" s="485"/>
      <c r="DG1015" s="485"/>
      <c r="DH1015" s="485"/>
      <c r="DI1015" s="485"/>
      <c r="DJ1015" s="485"/>
      <c r="DK1015" s="485"/>
      <c r="DL1015" s="485"/>
      <c r="DM1015" s="485"/>
      <c r="DN1015" s="485"/>
      <c r="DO1015" s="485"/>
      <c r="DP1015" s="485"/>
      <c r="DQ1015" s="485"/>
      <c r="DR1015" s="485"/>
      <c r="DS1015" s="485"/>
      <c r="DT1015" s="485"/>
      <c r="DU1015" s="485"/>
      <c r="DV1015" s="485"/>
      <c r="DW1015" s="485"/>
      <c r="DX1015" s="485"/>
      <c r="DY1015" s="485"/>
      <c r="DZ1015" s="485"/>
      <c r="EA1015" s="485"/>
      <c r="EB1015" s="485"/>
      <c r="EC1015" s="485"/>
      <c r="ED1015" s="485"/>
      <c r="EE1015" s="485"/>
      <c r="EF1015" s="485"/>
      <c r="EG1015" s="485"/>
      <c r="EH1015" s="485"/>
      <c r="EI1015" s="485"/>
      <c r="EJ1015" s="485"/>
      <c r="EK1015" s="485"/>
      <c r="EL1015" s="485"/>
      <c r="EM1015" s="485"/>
      <c r="EN1015" s="485"/>
      <c r="EO1015" s="485"/>
      <c r="EP1015" s="485"/>
    </row>
    <row r="1016" spans="1:146">
      <c r="A1016" s="485"/>
      <c r="B1016" s="485"/>
      <c r="C1016" s="485"/>
      <c r="D1016" s="485"/>
      <c r="E1016" s="485"/>
      <c r="F1016" s="485"/>
      <c r="G1016" s="485"/>
      <c r="H1016" s="485"/>
      <c r="I1016" s="485"/>
      <c r="J1016" s="485"/>
      <c r="K1016" s="485"/>
      <c r="L1016" s="485"/>
      <c r="M1016" s="485"/>
      <c r="P1016" s="485"/>
      <c r="Q1016" s="485"/>
      <c r="R1016" s="485"/>
      <c r="S1016" s="485"/>
      <c r="T1016" s="485"/>
      <c r="U1016" s="485"/>
      <c r="V1016" s="485"/>
      <c r="W1016" s="485"/>
      <c r="X1016" s="485"/>
      <c r="Y1016" s="485"/>
      <c r="Z1016" s="485"/>
      <c r="AA1016" s="485"/>
      <c r="AB1016" s="485"/>
      <c r="AC1016" s="485"/>
      <c r="AD1016" s="485"/>
      <c r="AE1016" s="485"/>
      <c r="AF1016" s="485"/>
      <c r="AG1016" s="485"/>
      <c r="AH1016" s="485"/>
      <c r="AI1016" s="485"/>
      <c r="AJ1016" s="485"/>
      <c r="AK1016" s="485"/>
      <c r="AL1016" s="485"/>
      <c r="AM1016" s="485"/>
      <c r="AN1016" s="485"/>
      <c r="AO1016" s="485"/>
      <c r="AP1016" s="485"/>
      <c r="AQ1016" s="485"/>
      <c r="AR1016" s="485"/>
      <c r="AS1016" s="485"/>
      <c r="AT1016" s="485"/>
      <c r="AU1016" s="485"/>
      <c r="AV1016" s="485"/>
      <c r="AW1016" s="485"/>
      <c r="AX1016" s="485"/>
      <c r="AY1016" s="485"/>
      <c r="AZ1016" s="485"/>
      <c r="BA1016" s="485"/>
      <c r="BB1016" s="485"/>
      <c r="BC1016" s="485"/>
      <c r="BD1016" s="485"/>
      <c r="BE1016" s="485"/>
      <c r="BF1016" s="485"/>
      <c r="BG1016" s="485"/>
      <c r="BH1016" s="485"/>
      <c r="BI1016" s="485"/>
      <c r="BJ1016" s="485"/>
      <c r="BK1016" s="485"/>
      <c r="BL1016" s="485"/>
      <c r="BM1016" s="485"/>
      <c r="BN1016" s="485"/>
      <c r="BO1016" s="485"/>
      <c r="BP1016" s="485"/>
      <c r="BQ1016" s="485"/>
      <c r="BR1016" s="485"/>
      <c r="BS1016" s="485"/>
      <c r="BT1016" s="485"/>
      <c r="BU1016" s="485"/>
      <c r="BV1016" s="485"/>
      <c r="BW1016" s="485"/>
      <c r="BX1016" s="485"/>
      <c r="BY1016" s="485"/>
      <c r="BZ1016" s="485"/>
      <c r="CA1016" s="485"/>
      <c r="CB1016" s="485"/>
      <c r="CC1016" s="485"/>
      <c r="CD1016" s="485"/>
      <c r="CE1016" s="485"/>
      <c r="CF1016" s="485"/>
      <c r="CG1016" s="485"/>
      <c r="CH1016" s="485"/>
      <c r="CI1016" s="485"/>
      <c r="CJ1016" s="485"/>
      <c r="CK1016" s="485"/>
      <c r="CL1016" s="485"/>
      <c r="CM1016" s="485"/>
      <c r="CN1016" s="485"/>
      <c r="CO1016" s="485"/>
      <c r="CP1016" s="485"/>
      <c r="CQ1016" s="485"/>
      <c r="CR1016" s="485"/>
      <c r="CS1016" s="485"/>
      <c r="CT1016" s="485"/>
      <c r="CU1016" s="485"/>
      <c r="CV1016" s="485"/>
      <c r="CW1016" s="485"/>
      <c r="CX1016" s="485"/>
      <c r="CY1016" s="485"/>
      <c r="CZ1016" s="485"/>
      <c r="DA1016" s="485"/>
      <c r="DB1016" s="485"/>
      <c r="DC1016" s="485"/>
      <c r="DD1016" s="485"/>
      <c r="DE1016" s="485"/>
      <c r="DF1016" s="485"/>
      <c r="DG1016" s="485"/>
      <c r="DH1016" s="485"/>
      <c r="DI1016" s="485"/>
      <c r="DJ1016" s="485"/>
      <c r="DK1016" s="485"/>
      <c r="DL1016" s="485"/>
      <c r="DM1016" s="485"/>
      <c r="DN1016" s="485"/>
      <c r="DO1016" s="485"/>
      <c r="DP1016" s="485"/>
      <c r="DQ1016" s="485"/>
      <c r="DR1016" s="485"/>
      <c r="DS1016" s="485"/>
      <c r="DT1016" s="485"/>
      <c r="DU1016" s="485"/>
      <c r="DV1016" s="485"/>
      <c r="DW1016" s="485"/>
      <c r="DX1016" s="485"/>
      <c r="DY1016" s="485"/>
      <c r="DZ1016" s="485"/>
      <c r="EA1016" s="485"/>
      <c r="EB1016" s="485"/>
      <c r="EC1016" s="485"/>
      <c r="ED1016" s="485"/>
      <c r="EE1016" s="485"/>
      <c r="EF1016" s="485"/>
      <c r="EG1016" s="485"/>
      <c r="EH1016" s="485"/>
      <c r="EI1016" s="485"/>
      <c r="EJ1016" s="485"/>
      <c r="EK1016" s="485"/>
      <c r="EL1016" s="485"/>
      <c r="EM1016" s="485"/>
      <c r="EN1016" s="485"/>
      <c r="EO1016" s="485"/>
      <c r="EP1016" s="485"/>
    </row>
    <row r="1017" spans="1:146">
      <c r="A1017" s="485"/>
      <c r="B1017" s="485"/>
      <c r="C1017" s="485"/>
      <c r="D1017" s="485"/>
      <c r="E1017" s="485"/>
      <c r="F1017" s="485"/>
      <c r="G1017" s="485"/>
      <c r="H1017" s="485"/>
      <c r="I1017" s="485"/>
      <c r="J1017" s="485"/>
      <c r="K1017" s="485"/>
      <c r="L1017" s="485"/>
      <c r="M1017" s="485"/>
      <c r="P1017" s="485"/>
      <c r="Q1017" s="485"/>
      <c r="R1017" s="485"/>
      <c r="S1017" s="485"/>
      <c r="T1017" s="485"/>
      <c r="U1017" s="485"/>
      <c r="V1017" s="485"/>
      <c r="W1017" s="485"/>
      <c r="X1017" s="485"/>
      <c r="Y1017" s="485"/>
      <c r="Z1017" s="485"/>
      <c r="AA1017" s="485"/>
      <c r="AB1017" s="485"/>
      <c r="AC1017" s="485"/>
      <c r="AD1017" s="485"/>
      <c r="AE1017" s="485"/>
      <c r="AF1017" s="485"/>
      <c r="AG1017" s="485"/>
      <c r="AH1017" s="485"/>
      <c r="AI1017" s="485"/>
      <c r="AJ1017" s="485"/>
      <c r="AK1017" s="485"/>
      <c r="AL1017" s="485"/>
      <c r="AM1017" s="485"/>
      <c r="AN1017" s="485"/>
      <c r="AO1017" s="485"/>
      <c r="AP1017" s="485"/>
      <c r="AQ1017" s="485"/>
      <c r="AR1017" s="485"/>
      <c r="AS1017" s="485"/>
      <c r="AT1017" s="485"/>
      <c r="AU1017" s="485"/>
      <c r="AV1017" s="485"/>
      <c r="AW1017" s="485"/>
      <c r="AX1017" s="485"/>
      <c r="AY1017" s="485"/>
      <c r="AZ1017" s="485"/>
      <c r="BA1017" s="485"/>
      <c r="BB1017" s="485"/>
      <c r="BC1017" s="485"/>
      <c r="BD1017" s="485"/>
      <c r="BE1017" s="485"/>
      <c r="BF1017" s="485"/>
      <c r="BG1017" s="485"/>
      <c r="BH1017" s="485"/>
      <c r="BI1017" s="485"/>
      <c r="BJ1017" s="485"/>
      <c r="BK1017" s="485"/>
      <c r="BL1017" s="485"/>
      <c r="BM1017" s="485"/>
      <c r="BN1017" s="485"/>
      <c r="BO1017" s="485"/>
      <c r="BP1017" s="485"/>
      <c r="BQ1017" s="485"/>
      <c r="BR1017" s="485"/>
      <c r="BS1017" s="485"/>
      <c r="BT1017" s="485"/>
      <c r="BU1017" s="485"/>
      <c r="BV1017" s="485"/>
      <c r="BW1017" s="485"/>
      <c r="BX1017" s="485"/>
      <c r="BY1017" s="485"/>
      <c r="BZ1017" s="485"/>
      <c r="CA1017" s="485"/>
      <c r="CB1017" s="485"/>
      <c r="CC1017" s="485"/>
      <c r="CD1017" s="485"/>
      <c r="CE1017" s="485"/>
      <c r="CF1017" s="485"/>
      <c r="CG1017" s="485"/>
      <c r="CH1017" s="485"/>
      <c r="CI1017" s="485"/>
      <c r="CJ1017" s="485"/>
      <c r="CK1017" s="485"/>
      <c r="CL1017" s="485"/>
      <c r="CM1017" s="485"/>
      <c r="CN1017" s="485"/>
      <c r="CO1017" s="485"/>
      <c r="CP1017" s="485"/>
      <c r="CQ1017" s="485"/>
      <c r="CR1017" s="485"/>
      <c r="CS1017" s="485"/>
      <c r="CT1017" s="485"/>
      <c r="CU1017" s="485"/>
      <c r="CV1017" s="485"/>
      <c r="CW1017" s="485"/>
      <c r="CX1017" s="485"/>
      <c r="CY1017" s="485"/>
      <c r="CZ1017" s="485"/>
      <c r="DA1017" s="485"/>
      <c r="DB1017" s="485"/>
      <c r="DC1017" s="485"/>
      <c r="DD1017" s="485"/>
      <c r="DE1017" s="485"/>
      <c r="DF1017" s="485"/>
      <c r="DG1017" s="485"/>
      <c r="DH1017" s="485"/>
      <c r="DI1017" s="485"/>
      <c r="DJ1017" s="485"/>
      <c r="DK1017" s="485"/>
      <c r="DL1017" s="485"/>
      <c r="DM1017" s="485"/>
      <c r="DN1017" s="485"/>
      <c r="DO1017" s="485"/>
      <c r="DP1017" s="485"/>
      <c r="DQ1017" s="485"/>
      <c r="DR1017" s="485"/>
      <c r="DS1017" s="485"/>
      <c r="DT1017" s="485"/>
      <c r="DU1017" s="485"/>
      <c r="DV1017" s="485"/>
      <c r="DW1017" s="485"/>
      <c r="DX1017" s="485"/>
      <c r="DY1017" s="485"/>
      <c r="DZ1017" s="485"/>
      <c r="EA1017" s="485"/>
      <c r="EB1017" s="485"/>
      <c r="EC1017" s="485"/>
      <c r="ED1017" s="485"/>
      <c r="EE1017" s="485"/>
      <c r="EF1017" s="485"/>
      <c r="EG1017" s="485"/>
      <c r="EH1017" s="485"/>
      <c r="EI1017" s="485"/>
      <c r="EJ1017" s="485"/>
      <c r="EK1017" s="485"/>
      <c r="EL1017" s="485"/>
      <c r="EM1017" s="485"/>
      <c r="EN1017" s="485"/>
      <c r="EO1017" s="485"/>
      <c r="EP1017" s="485"/>
    </row>
    <row r="1018" spans="1:146">
      <c r="A1018" s="485"/>
      <c r="B1018" s="485"/>
      <c r="C1018" s="485"/>
      <c r="D1018" s="485"/>
      <c r="E1018" s="485"/>
      <c r="F1018" s="485"/>
      <c r="G1018" s="485"/>
      <c r="H1018" s="485"/>
      <c r="I1018" s="485"/>
      <c r="J1018" s="485"/>
      <c r="K1018" s="485"/>
      <c r="L1018" s="485"/>
      <c r="M1018" s="485"/>
      <c r="P1018" s="485"/>
      <c r="Q1018" s="485"/>
      <c r="R1018" s="485"/>
      <c r="S1018" s="485"/>
      <c r="T1018" s="485"/>
      <c r="U1018" s="485"/>
      <c r="V1018" s="485"/>
      <c r="W1018" s="485"/>
      <c r="X1018" s="485"/>
      <c r="Y1018" s="485"/>
      <c r="Z1018" s="485"/>
      <c r="AA1018" s="485"/>
      <c r="AB1018" s="485"/>
      <c r="AC1018" s="485"/>
      <c r="AD1018" s="485"/>
      <c r="AE1018" s="485"/>
      <c r="AF1018" s="485"/>
      <c r="AG1018" s="485"/>
      <c r="AH1018" s="485"/>
      <c r="AI1018" s="485"/>
      <c r="AJ1018" s="485"/>
      <c r="AK1018" s="485"/>
      <c r="AL1018" s="485"/>
      <c r="AM1018" s="485"/>
      <c r="AN1018" s="485"/>
      <c r="AO1018" s="485"/>
      <c r="AP1018" s="485"/>
      <c r="AQ1018" s="485"/>
      <c r="AR1018" s="485"/>
      <c r="AS1018" s="485"/>
      <c r="AT1018" s="485"/>
      <c r="AU1018" s="485"/>
      <c r="AV1018" s="485"/>
      <c r="AW1018" s="485"/>
      <c r="AX1018" s="485"/>
      <c r="AY1018" s="485"/>
      <c r="AZ1018" s="485"/>
      <c r="BA1018" s="485"/>
      <c r="BB1018" s="485"/>
      <c r="BC1018" s="485"/>
      <c r="BD1018" s="485"/>
      <c r="BE1018" s="485"/>
      <c r="BF1018" s="485"/>
      <c r="BG1018" s="485"/>
      <c r="BH1018" s="485"/>
      <c r="BI1018" s="485"/>
      <c r="BJ1018" s="485"/>
      <c r="BK1018" s="485"/>
      <c r="BL1018" s="485"/>
      <c r="BM1018" s="485"/>
      <c r="BN1018" s="485"/>
      <c r="BO1018" s="485"/>
      <c r="BP1018" s="485"/>
      <c r="BQ1018" s="485"/>
      <c r="BR1018" s="485"/>
      <c r="BS1018" s="485"/>
      <c r="BT1018" s="485"/>
      <c r="BU1018" s="485"/>
      <c r="BV1018" s="485"/>
      <c r="BW1018" s="485"/>
      <c r="BX1018" s="485"/>
      <c r="BY1018" s="485"/>
      <c r="BZ1018" s="485"/>
      <c r="CA1018" s="485"/>
      <c r="CB1018" s="485"/>
      <c r="CC1018" s="485"/>
      <c r="CD1018" s="485"/>
      <c r="CE1018" s="485"/>
      <c r="CF1018" s="485"/>
      <c r="CG1018" s="485"/>
      <c r="CH1018" s="485"/>
      <c r="CI1018" s="485"/>
      <c r="CJ1018" s="485"/>
      <c r="CK1018" s="485"/>
      <c r="CL1018" s="485"/>
      <c r="CM1018" s="485"/>
      <c r="CN1018" s="485"/>
      <c r="CO1018" s="485"/>
      <c r="CP1018" s="485"/>
      <c r="CQ1018" s="485"/>
      <c r="CR1018" s="485"/>
      <c r="CS1018" s="485"/>
      <c r="CT1018" s="485"/>
      <c r="CU1018" s="485"/>
      <c r="CV1018" s="485"/>
      <c r="CW1018" s="485"/>
      <c r="CX1018" s="485"/>
      <c r="CY1018" s="485"/>
      <c r="CZ1018" s="485"/>
      <c r="DA1018" s="485"/>
      <c r="DB1018" s="485"/>
      <c r="DC1018" s="485"/>
      <c r="DD1018" s="485"/>
      <c r="DE1018" s="485"/>
      <c r="DF1018" s="485"/>
      <c r="DG1018" s="485"/>
      <c r="DH1018" s="485"/>
      <c r="DI1018" s="485"/>
      <c r="DJ1018" s="485"/>
      <c r="DK1018" s="485"/>
      <c r="DL1018" s="485"/>
      <c r="DM1018" s="485"/>
      <c r="DN1018" s="485"/>
      <c r="DO1018" s="485"/>
      <c r="DP1018" s="485"/>
      <c r="DQ1018" s="485"/>
      <c r="DR1018" s="485"/>
      <c r="DS1018" s="485"/>
      <c r="DT1018" s="485"/>
      <c r="DU1018" s="485"/>
      <c r="DV1018" s="485"/>
      <c r="DW1018" s="485"/>
      <c r="DX1018" s="485"/>
      <c r="DY1018" s="485"/>
      <c r="DZ1018" s="485"/>
      <c r="EA1018" s="485"/>
      <c r="EB1018" s="485"/>
      <c r="EC1018" s="485"/>
      <c r="ED1018" s="485"/>
      <c r="EE1018" s="485"/>
      <c r="EF1018" s="485"/>
      <c r="EG1018" s="485"/>
      <c r="EH1018" s="485"/>
      <c r="EI1018" s="485"/>
      <c r="EJ1018" s="485"/>
      <c r="EK1018" s="485"/>
      <c r="EL1018" s="485"/>
      <c r="EM1018" s="485"/>
      <c r="EN1018" s="485"/>
      <c r="EO1018" s="485"/>
      <c r="EP1018" s="485"/>
    </row>
    <row r="1019" spans="1:146">
      <c r="A1019" s="485"/>
      <c r="B1019" s="485"/>
      <c r="C1019" s="485"/>
      <c r="D1019" s="485"/>
      <c r="E1019" s="485"/>
      <c r="F1019" s="485"/>
      <c r="G1019" s="485"/>
      <c r="H1019" s="485"/>
      <c r="I1019" s="485"/>
      <c r="J1019" s="485"/>
      <c r="K1019" s="485"/>
      <c r="L1019" s="485"/>
      <c r="M1019" s="485"/>
      <c r="P1019" s="485"/>
      <c r="Q1019" s="485"/>
      <c r="R1019" s="485"/>
      <c r="S1019" s="485"/>
      <c r="T1019" s="485"/>
      <c r="U1019" s="485"/>
      <c r="V1019" s="485"/>
      <c r="W1019" s="485"/>
      <c r="X1019" s="485"/>
      <c r="Y1019" s="485"/>
      <c r="Z1019" s="485"/>
      <c r="AA1019" s="485"/>
      <c r="AB1019" s="485"/>
      <c r="AC1019" s="485"/>
      <c r="AD1019" s="485"/>
      <c r="AE1019" s="485"/>
      <c r="AF1019" s="485"/>
      <c r="AG1019" s="485"/>
      <c r="AH1019" s="485"/>
      <c r="AI1019" s="485"/>
      <c r="AJ1019" s="485"/>
      <c r="AK1019" s="485"/>
      <c r="AL1019" s="485"/>
      <c r="AM1019" s="485"/>
      <c r="AN1019" s="485"/>
      <c r="AO1019" s="485"/>
      <c r="AP1019" s="485"/>
      <c r="AQ1019" s="485"/>
      <c r="AR1019" s="485"/>
      <c r="AS1019" s="485"/>
      <c r="AT1019" s="485"/>
      <c r="AU1019" s="485"/>
      <c r="AV1019" s="485"/>
      <c r="AW1019" s="485"/>
      <c r="AX1019" s="485"/>
      <c r="AY1019" s="485"/>
      <c r="AZ1019" s="485"/>
      <c r="BA1019" s="485"/>
      <c r="BB1019" s="485"/>
      <c r="BC1019" s="485"/>
      <c r="BD1019" s="485"/>
      <c r="BE1019" s="485"/>
      <c r="BF1019" s="485"/>
      <c r="BG1019" s="485"/>
      <c r="BH1019" s="485"/>
      <c r="BI1019" s="485"/>
      <c r="BJ1019" s="485"/>
      <c r="BK1019" s="485"/>
      <c r="BL1019" s="485"/>
      <c r="BM1019" s="485"/>
      <c r="BN1019" s="485"/>
      <c r="BO1019" s="485"/>
      <c r="BP1019" s="485"/>
      <c r="BQ1019" s="485"/>
      <c r="BR1019" s="485"/>
      <c r="BS1019" s="485"/>
      <c r="BT1019" s="485"/>
      <c r="BU1019" s="485"/>
      <c r="BV1019" s="485"/>
      <c r="BW1019" s="485"/>
      <c r="BX1019" s="485"/>
      <c r="BY1019" s="485"/>
      <c r="BZ1019" s="485"/>
      <c r="CA1019" s="485"/>
      <c r="CB1019" s="485"/>
      <c r="CC1019" s="485"/>
      <c r="CD1019" s="485"/>
      <c r="CE1019" s="485"/>
      <c r="CF1019" s="485"/>
      <c r="CG1019" s="485"/>
      <c r="CH1019" s="485"/>
      <c r="CI1019" s="485"/>
      <c r="CJ1019" s="485"/>
      <c r="CK1019" s="485"/>
      <c r="CL1019" s="485"/>
      <c r="CM1019" s="485"/>
      <c r="CN1019" s="485"/>
      <c r="CO1019" s="485"/>
      <c r="CP1019" s="485"/>
      <c r="CQ1019" s="485"/>
      <c r="CR1019" s="485"/>
      <c r="CS1019" s="485"/>
      <c r="CT1019" s="485"/>
      <c r="CU1019" s="485"/>
      <c r="CV1019" s="485"/>
      <c r="CW1019" s="485"/>
      <c r="CX1019" s="485"/>
      <c r="CY1019" s="485"/>
      <c r="CZ1019" s="485"/>
      <c r="DA1019" s="485"/>
      <c r="DB1019" s="485"/>
      <c r="DC1019" s="485"/>
      <c r="DD1019" s="485"/>
      <c r="DE1019" s="485"/>
      <c r="DF1019" s="485"/>
      <c r="DG1019" s="485"/>
      <c r="DH1019" s="485"/>
      <c r="DI1019" s="485"/>
      <c r="DJ1019" s="485"/>
      <c r="DK1019" s="485"/>
      <c r="DL1019" s="485"/>
      <c r="DM1019" s="485"/>
      <c r="DN1019" s="485"/>
      <c r="DO1019" s="485"/>
      <c r="DP1019" s="485"/>
      <c r="DQ1019" s="485"/>
      <c r="DR1019" s="485"/>
      <c r="DS1019" s="485"/>
      <c r="DT1019" s="485"/>
      <c r="DU1019" s="485"/>
      <c r="DV1019" s="485"/>
      <c r="DW1019" s="485"/>
      <c r="DX1019" s="485"/>
      <c r="DY1019" s="485"/>
      <c r="DZ1019" s="485"/>
      <c r="EA1019" s="485"/>
      <c r="EB1019" s="485"/>
      <c r="EC1019" s="485"/>
      <c r="ED1019" s="485"/>
      <c r="EE1019" s="485"/>
      <c r="EF1019" s="485"/>
      <c r="EG1019" s="485"/>
      <c r="EH1019" s="485"/>
      <c r="EI1019" s="485"/>
      <c r="EJ1019" s="485"/>
      <c r="EK1019" s="485"/>
      <c r="EL1019" s="485"/>
      <c r="EM1019" s="485"/>
      <c r="EN1019" s="485"/>
      <c r="EO1019" s="485"/>
      <c r="EP1019" s="485"/>
    </row>
    <row r="1020" spans="1:146">
      <c r="A1020" s="485"/>
      <c r="B1020" s="485"/>
      <c r="C1020" s="485"/>
      <c r="D1020" s="485"/>
      <c r="E1020" s="485"/>
      <c r="F1020" s="485"/>
      <c r="G1020" s="485"/>
      <c r="H1020" s="485"/>
      <c r="I1020" s="485"/>
      <c r="J1020" s="485"/>
      <c r="K1020" s="485"/>
      <c r="L1020" s="485"/>
      <c r="M1020" s="485"/>
      <c r="P1020" s="485"/>
      <c r="Q1020" s="485"/>
      <c r="R1020" s="485"/>
      <c r="S1020" s="485"/>
      <c r="T1020" s="485"/>
      <c r="U1020" s="485"/>
      <c r="V1020" s="485"/>
      <c r="W1020" s="485"/>
      <c r="X1020" s="485"/>
      <c r="Y1020" s="485"/>
      <c r="Z1020" s="485"/>
      <c r="AA1020" s="485"/>
      <c r="AB1020" s="485"/>
      <c r="AC1020" s="485"/>
      <c r="AD1020" s="485"/>
      <c r="AE1020" s="485"/>
      <c r="AF1020" s="485"/>
      <c r="AG1020" s="485"/>
      <c r="AH1020" s="485"/>
      <c r="AI1020" s="485"/>
      <c r="AJ1020" s="485"/>
      <c r="AK1020" s="485"/>
      <c r="AL1020" s="485"/>
      <c r="AM1020" s="485"/>
      <c r="AN1020" s="485"/>
      <c r="AO1020" s="485"/>
      <c r="AP1020" s="485"/>
      <c r="AQ1020" s="485"/>
      <c r="AR1020" s="485"/>
      <c r="AS1020" s="485"/>
      <c r="AT1020" s="485"/>
      <c r="AU1020" s="485"/>
      <c r="AV1020" s="485"/>
      <c r="AW1020" s="485"/>
      <c r="AX1020" s="485"/>
      <c r="AY1020" s="485"/>
      <c r="AZ1020" s="485"/>
      <c r="BA1020" s="485"/>
      <c r="BB1020" s="485"/>
      <c r="BC1020" s="485"/>
      <c r="BD1020" s="485"/>
      <c r="BE1020" s="485"/>
      <c r="BF1020" s="485"/>
      <c r="BG1020" s="485"/>
      <c r="BH1020" s="485"/>
      <c r="BI1020" s="485"/>
      <c r="BJ1020" s="485"/>
      <c r="BK1020" s="485"/>
      <c r="BL1020" s="485"/>
      <c r="BM1020" s="485"/>
      <c r="BN1020" s="485"/>
      <c r="BO1020" s="485"/>
      <c r="BP1020" s="485"/>
      <c r="BQ1020" s="485"/>
      <c r="BR1020" s="485"/>
      <c r="BS1020" s="485"/>
      <c r="BT1020" s="485"/>
      <c r="BU1020" s="485"/>
      <c r="BV1020" s="485"/>
      <c r="BW1020" s="485"/>
      <c r="BX1020" s="485"/>
      <c r="BY1020" s="485"/>
      <c r="BZ1020" s="485"/>
      <c r="CA1020" s="485"/>
      <c r="CB1020" s="485"/>
      <c r="CC1020" s="485"/>
      <c r="CD1020" s="485"/>
      <c r="CE1020" s="485"/>
      <c r="CF1020" s="485"/>
      <c r="CG1020" s="485"/>
      <c r="CH1020" s="485"/>
      <c r="CI1020" s="485"/>
      <c r="CJ1020" s="485"/>
      <c r="CK1020" s="485"/>
      <c r="CL1020" s="485"/>
      <c r="CM1020" s="485"/>
      <c r="CN1020" s="485"/>
      <c r="CO1020" s="485"/>
      <c r="CP1020" s="485"/>
      <c r="CQ1020" s="485"/>
      <c r="CR1020" s="485"/>
      <c r="CS1020" s="485"/>
      <c r="CT1020" s="485"/>
      <c r="CU1020" s="485"/>
      <c r="CV1020" s="485"/>
      <c r="CW1020" s="485"/>
      <c r="CX1020" s="485"/>
      <c r="CY1020" s="485"/>
      <c r="CZ1020" s="485"/>
      <c r="DA1020" s="485"/>
      <c r="DB1020" s="485"/>
      <c r="DC1020" s="485"/>
      <c r="DD1020" s="485"/>
      <c r="DE1020" s="485"/>
      <c r="DF1020" s="485"/>
      <c r="DG1020" s="485"/>
      <c r="DH1020" s="485"/>
      <c r="DI1020" s="485"/>
      <c r="DJ1020" s="485"/>
      <c r="DK1020" s="485"/>
      <c r="DL1020" s="485"/>
      <c r="DM1020" s="485"/>
      <c r="DN1020" s="485"/>
      <c r="DO1020" s="485"/>
      <c r="DP1020" s="485"/>
      <c r="DQ1020" s="485"/>
      <c r="DR1020" s="485"/>
      <c r="DS1020" s="485"/>
      <c r="DT1020" s="485"/>
      <c r="DU1020" s="485"/>
      <c r="DV1020" s="485"/>
      <c r="DW1020" s="485"/>
      <c r="DX1020" s="485"/>
      <c r="DY1020" s="485"/>
      <c r="DZ1020" s="485"/>
      <c r="EA1020" s="485"/>
      <c r="EB1020" s="485"/>
      <c r="EC1020" s="485"/>
      <c r="ED1020" s="485"/>
      <c r="EE1020" s="485"/>
      <c r="EF1020" s="485"/>
      <c r="EG1020" s="485"/>
      <c r="EH1020" s="485"/>
      <c r="EI1020" s="485"/>
      <c r="EJ1020" s="485"/>
      <c r="EK1020" s="485"/>
      <c r="EL1020" s="485"/>
      <c r="EM1020" s="485"/>
      <c r="EN1020" s="485"/>
      <c r="EO1020" s="485"/>
      <c r="EP1020" s="485"/>
    </row>
    <row r="1021" spans="1:146">
      <c r="A1021" s="485"/>
      <c r="B1021" s="485"/>
      <c r="C1021" s="485"/>
      <c r="D1021" s="485"/>
      <c r="E1021" s="485"/>
      <c r="F1021" s="485"/>
      <c r="G1021" s="485"/>
      <c r="H1021" s="485"/>
      <c r="I1021" s="485"/>
      <c r="J1021" s="485"/>
      <c r="K1021" s="485"/>
      <c r="L1021" s="485"/>
      <c r="M1021" s="485"/>
      <c r="P1021" s="485"/>
      <c r="Q1021" s="485"/>
      <c r="R1021" s="485"/>
      <c r="S1021" s="485"/>
      <c r="T1021" s="485"/>
      <c r="U1021" s="485"/>
      <c r="V1021" s="485"/>
      <c r="W1021" s="485"/>
      <c r="X1021" s="485"/>
      <c r="Y1021" s="485"/>
      <c r="Z1021" s="485"/>
      <c r="AA1021" s="485"/>
      <c r="AB1021" s="485"/>
      <c r="AC1021" s="485"/>
      <c r="AD1021" s="485"/>
      <c r="AE1021" s="485"/>
      <c r="AF1021" s="485"/>
      <c r="AG1021" s="485"/>
      <c r="AH1021" s="485"/>
      <c r="AI1021" s="485"/>
      <c r="AJ1021" s="485"/>
      <c r="AK1021" s="485"/>
      <c r="AL1021" s="485"/>
      <c r="AM1021" s="485"/>
      <c r="AN1021" s="485"/>
      <c r="AO1021" s="485"/>
      <c r="AP1021" s="485"/>
      <c r="AQ1021" s="485"/>
      <c r="AR1021" s="485"/>
      <c r="AS1021" s="485"/>
      <c r="AT1021" s="485"/>
      <c r="AU1021" s="485"/>
      <c r="AV1021" s="485"/>
      <c r="AW1021" s="485"/>
      <c r="AX1021" s="485"/>
      <c r="AY1021" s="485"/>
      <c r="AZ1021" s="485"/>
      <c r="BA1021" s="485"/>
      <c r="BB1021" s="485"/>
      <c r="BC1021" s="485"/>
      <c r="BD1021" s="485"/>
      <c r="BE1021" s="485"/>
      <c r="BF1021" s="485"/>
      <c r="BG1021" s="485"/>
      <c r="BH1021" s="485"/>
      <c r="BI1021" s="485"/>
      <c r="BJ1021" s="485"/>
      <c r="BK1021" s="485"/>
      <c r="BL1021" s="485"/>
      <c r="BM1021" s="485"/>
      <c r="BN1021" s="485"/>
      <c r="BO1021" s="485"/>
      <c r="BP1021" s="485"/>
      <c r="BQ1021" s="485"/>
      <c r="BR1021" s="485"/>
      <c r="BS1021" s="485"/>
      <c r="BT1021" s="485"/>
      <c r="BU1021" s="485"/>
      <c r="BV1021" s="485"/>
      <c r="BW1021" s="485"/>
      <c r="BX1021" s="485"/>
      <c r="BY1021" s="485"/>
      <c r="BZ1021" s="485"/>
      <c r="CA1021" s="485"/>
      <c r="CB1021" s="485"/>
      <c r="CC1021" s="485"/>
      <c r="CD1021" s="485"/>
      <c r="CE1021" s="485"/>
      <c r="CF1021" s="485"/>
      <c r="CG1021" s="485"/>
      <c r="CH1021" s="485"/>
      <c r="CI1021" s="485"/>
      <c r="CJ1021" s="485"/>
      <c r="CK1021" s="485"/>
      <c r="CL1021" s="485"/>
      <c r="CM1021" s="485"/>
      <c r="CN1021" s="485"/>
      <c r="CO1021" s="485"/>
      <c r="CP1021" s="485"/>
      <c r="CQ1021" s="485"/>
      <c r="CR1021" s="485"/>
      <c r="CS1021" s="485"/>
      <c r="CT1021" s="485"/>
      <c r="CU1021" s="485"/>
      <c r="CV1021" s="485"/>
      <c r="CW1021" s="485"/>
      <c r="CX1021" s="485"/>
      <c r="CY1021" s="485"/>
      <c r="CZ1021" s="485"/>
      <c r="DA1021" s="485"/>
      <c r="DB1021" s="485"/>
      <c r="DC1021" s="485"/>
      <c r="DD1021" s="485"/>
      <c r="DE1021" s="485"/>
      <c r="DF1021" s="485"/>
      <c r="DG1021" s="485"/>
      <c r="DH1021" s="485"/>
      <c r="DI1021" s="485"/>
      <c r="DJ1021" s="485"/>
      <c r="DK1021" s="485"/>
      <c r="DL1021" s="485"/>
      <c r="DM1021" s="485"/>
      <c r="DN1021" s="485"/>
      <c r="DO1021" s="485"/>
      <c r="DP1021" s="485"/>
      <c r="DQ1021" s="485"/>
      <c r="DR1021" s="485"/>
      <c r="DS1021" s="485"/>
      <c r="DT1021" s="485"/>
      <c r="DU1021" s="485"/>
      <c r="DV1021" s="485"/>
      <c r="DW1021" s="485"/>
      <c r="DX1021" s="485"/>
      <c r="DY1021" s="485"/>
      <c r="DZ1021" s="485"/>
      <c r="EA1021" s="485"/>
      <c r="EB1021" s="485"/>
      <c r="EC1021" s="485"/>
      <c r="ED1021" s="485"/>
      <c r="EE1021" s="485"/>
      <c r="EF1021" s="485"/>
      <c r="EG1021" s="485"/>
      <c r="EH1021" s="485"/>
      <c r="EI1021" s="485"/>
      <c r="EJ1021" s="485"/>
      <c r="EK1021" s="485"/>
      <c r="EL1021" s="485"/>
      <c r="EM1021" s="485"/>
      <c r="EN1021" s="485"/>
      <c r="EO1021" s="485"/>
      <c r="EP1021" s="485"/>
    </row>
    <row r="1022" spans="1:146">
      <c r="A1022" s="485"/>
      <c r="B1022" s="485"/>
      <c r="C1022" s="485"/>
      <c r="D1022" s="485"/>
      <c r="E1022" s="485"/>
      <c r="F1022" s="485"/>
      <c r="G1022" s="485"/>
      <c r="H1022" s="485"/>
      <c r="I1022" s="485"/>
      <c r="J1022" s="485"/>
      <c r="K1022" s="485"/>
      <c r="L1022" s="485"/>
      <c r="M1022" s="485"/>
      <c r="P1022" s="485"/>
      <c r="Q1022" s="485"/>
      <c r="R1022" s="485"/>
      <c r="S1022" s="485"/>
      <c r="T1022" s="485"/>
      <c r="U1022" s="485"/>
      <c r="V1022" s="485"/>
      <c r="W1022" s="485"/>
      <c r="X1022" s="485"/>
      <c r="Y1022" s="485"/>
      <c r="Z1022" s="485"/>
      <c r="AA1022" s="485"/>
      <c r="AB1022" s="485"/>
      <c r="AC1022" s="485"/>
      <c r="AD1022" s="485"/>
      <c r="AE1022" s="485"/>
      <c r="AF1022" s="485"/>
      <c r="AG1022" s="485"/>
      <c r="AH1022" s="485"/>
      <c r="AI1022" s="485"/>
      <c r="AJ1022" s="485"/>
      <c r="AK1022" s="485"/>
      <c r="AL1022" s="485"/>
      <c r="AM1022" s="485"/>
      <c r="AN1022" s="485"/>
      <c r="AO1022" s="485"/>
      <c r="AP1022" s="485"/>
      <c r="AQ1022" s="485"/>
      <c r="AR1022" s="485"/>
      <c r="AS1022" s="485"/>
      <c r="AT1022" s="485"/>
      <c r="AU1022" s="485"/>
      <c r="AV1022" s="485"/>
      <c r="AW1022" s="485"/>
      <c r="AX1022" s="485"/>
      <c r="AY1022" s="485"/>
      <c r="AZ1022" s="485"/>
      <c r="BA1022" s="485"/>
      <c r="BB1022" s="485"/>
      <c r="BC1022" s="485"/>
      <c r="BD1022" s="485"/>
      <c r="BE1022" s="485"/>
      <c r="BF1022" s="485"/>
      <c r="BG1022" s="485"/>
      <c r="BH1022" s="485"/>
      <c r="BI1022" s="485"/>
      <c r="BJ1022" s="485"/>
      <c r="BK1022" s="485"/>
      <c r="BL1022" s="485"/>
      <c r="BM1022" s="485"/>
      <c r="BN1022" s="485"/>
      <c r="BO1022" s="485"/>
      <c r="BP1022" s="485"/>
      <c r="BQ1022" s="485"/>
      <c r="BR1022" s="485"/>
      <c r="BS1022" s="485"/>
      <c r="BT1022" s="485"/>
      <c r="BU1022" s="485"/>
      <c r="BV1022" s="485"/>
      <c r="BW1022" s="485"/>
      <c r="BX1022" s="485"/>
      <c r="BY1022" s="485"/>
      <c r="BZ1022" s="485"/>
      <c r="CA1022" s="485"/>
      <c r="CB1022" s="485"/>
      <c r="CC1022" s="485"/>
      <c r="CD1022" s="485"/>
      <c r="CE1022" s="485"/>
      <c r="CF1022" s="485"/>
      <c r="CG1022" s="485"/>
      <c r="CH1022" s="485"/>
      <c r="CI1022" s="485"/>
      <c r="CJ1022" s="485"/>
      <c r="CK1022" s="485"/>
      <c r="CL1022" s="485"/>
      <c r="CM1022" s="485"/>
      <c r="CN1022" s="485"/>
      <c r="CO1022" s="485"/>
      <c r="CP1022" s="485"/>
      <c r="CQ1022" s="485"/>
      <c r="CR1022" s="485"/>
      <c r="CS1022" s="485"/>
      <c r="CT1022" s="485"/>
      <c r="CU1022" s="485"/>
      <c r="CV1022" s="485"/>
      <c r="CW1022" s="485"/>
      <c r="CX1022" s="485"/>
      <c r="CY1022" s="485"/>
      <c r="CZ1022" s="485"/>
      <c r="DA1022" s="485"/>
      <c r="DB1022" s="485"/>
      <c r="DC1022" s="485"/>
      <c r="DD1022" s="485"/>
      <c r="DE1022" s="485"/>
      <c r="DF1022" s="485"/>
      <c r="DG1022" s="485"/>
      <c r="DH1022" s="485"/>
      <c r="DI1022" s="485"/>
      <c r="DJ1022" s="485"/>
      <c r="DK1022" s="485"/>
      <c r="DL1022" s="485"/>
      <c r="DM1022" s="485"/>
      <c r="DN1022" s="485"/>
      <c r="DO1022" s="485"/>
      <c r="DP1022" s="485"/>
      <c r="DQ1022" s="485"/>
      <c r="DR1022" s="485"/>
      <c r="DS1022" s="485"/>
      <c r="DT1022" s="485"/>
      <c r="DU1022" s="485"/>
      <c r="DV1022" s="485"/>
      <c r="DW1022" s="485"/>
      <c r="DX1022" s="485"/>
      <c r="DY1022" s="485"/>
      <c r="DZ1022" s="485"/>
      <c r="EA1022" s="485"/>
      <c r="EB1022" s="485"/>
      <c r="EC1022" s="485"/>
      <c r="ED1022" s="485"/>
      <c r="EE1022" s="485"/>
      <c r="EF1022" s="485"/>
      <c r="EG1022" s="485"/>
      <c r="EH1022" s="485"/>
      <c r="EI1022" s="485"/>
      <c r="EJ1022" s="485"/>
      <c r="EK1022" s="485"/>
      <c r="EL1022" s="485"/>
      <c r="EM1022" s="485"/>
      <c r="EN1022" s="485"/>
      <c r="EO1022" s="485"/>
      <c r="EP1022" s="485"/>
    </row>
    <row r="1023" spans="1:146">
      <c r="A1023" s="485"/>
      <c r="B1023" s="485"/>
      <c r="C1023" s="485"/>
      <c r="D1023" s="485"/>
      <c r="E1023" s="485"/>
      <c r="F1023" s="485"/>
      <c r="G1023" s="485"/>
      <c r="H1023" s="485"/>
      <c r="I1023" s="485"/>
      <c r="J1023" s="485"/>
      <c r="K1023" s="485"/>
      <c r="L1023" s="485"/>
      <c r="M1023" s="485"/>
      <c r="P1023" s="485"/>
      <c r="Q1023" s="485"/>
      <c r="R1023" s="485"/>
      <c r="S1023" s="485"/>
      <c r="T1023" s="485"/>
      <c r="U1023" s="485"/>
      <c r="V1023" s="485"/>
      <c r="W1023" s="485"/>
      <c r="X1023" s="485"/>
      <c r="Y1023" s="485"/>
      <c r="Z1023" s="485"/>
      <c r="AA1023" s="485"/>
      <c r="AB1023" s="485"/>
      <c r="AC1023" s="485"/>
      <c r="AD1023" s="485"/>
      <c r="AE1023" s="485"/>
      <c r="AF1023" s="485"/>
      <c r="AG1023" s="485"/>
      <c r="AH1023" s="485"/>
      <c r="AI1023" s="485"/>
      <c r="AJ1023" s="485"/>
      <c r="AK1023" s="485"/>
      <c r="AL1023" s="485"/>
      <c r="AM1023" s="485"/>
      <c r="AN1023" s="485"/>
      <c r="AO1023" s="485"/>
      <c r="AP1023" s="485"/>
      <c r="AQ1023" s="485"/>
      <c r="AR1023" s="485"/>
      <c r="AS1023" s="485"/>
      <c r="AT1023" s="485"/>
      <c r="AU1023" s="485"/>
      <c r="AV1023" s="485"/>
      <c r="AW1023" s="485"/>
      <c r="AX1023" s="485"/>
      <c r="AY1023" s="485"/>
      <c r="AZ1023" s="485"/>
      <c r="BA1023" s="485"/>
      <c r="BB1023" s="485"/>
      <c r="BC1023" s="485"/>
      <c r="BD1023" s="485"/>
      <c r="BE1023" s="485"/>
      <c r="BF1023" s="485"/>
      <c r="BG1023" s="485"/>
      <c r="BH1023" s="485"/>
      <c r="BI1023" s="485"/>
      <c r="BJ1023" s="485"/>
      <c r="BK1023" s="485"/>
      <c r="BL1023" s="485"/>
      <c r="BM1023" s="485"/>
      <c r="BN1023" s="485"/>
      <c r="BO1023" s="485"/>
      <c r="BP1023" s="485"/>
      <c r="BQ1023" s="485"/>
      <c r="BR1023" s="485"/>
      <c r="BS1023" s="485"/>
      <c r="BT1023" s="485"/>
      <c r="BU1023" s="485"/>
      <c r="BV1023" s="485"/>
      <c r="BW1023" s="485"/>
      <c r="BX1023" s="485"/>
      <c r="BY1023" s="485"/>
      <c r="BZ1023" s="485"/>
      <c r="CA1023" s="485"/>
      <c r="CB1023" s="485"/>
      <c r="CC1023" s="485"/>
      <c r="CD1023" s="485"/>
      <c r="CE1023" s="485"/>
      <c r="CF1023" s="485"/>
      <c r="CG1023" s="485"/>
      <c r="CH1023" s="485"/>
      <c r="CI1023" s="485"/>
      <c r="CJ1023" s="485"/>
      <c r="CK1023" s="485"/>
      <c r="CL1023" s="485"/>
      <c r="CM1023" s="485"/>
      <c r="CN1023" s="485"/>
      <c r="CO1023" s="485"/>
      <c r="CP1023" s="485"/>
      <c r="CQ1023" s="485"/>
      <c r="CR1023" s="485"/>
      <c r="CS1023" s="485"/>
      <c r="CT1023" s="485"/>
      <c r="CU1023" s="485"/>
      <c r="CV1023" s="485"/>
      <c r="CW1023" s="485"/>
      <c r="CX1023" s="485"/>
      <c r="CY1023" s="485"/>
      <c r="CZ1023" s="485"/>
      <c r="DA1023" s="485"/>
      <c r="DB1023" s="485"/>
      <c r="DC1023" s="485"/>
      <c r="DD1023" s="485"/>
      <c r="DE1023" s="485"/>
      <c r="DF1023" s="485"/>
      <c r="DG1023" s="485"/>
      <c r="DH1023" s="485"/>
      <c r="DI1023" s="485"/>
      <c r="DJ1023" s="485"/>
      <c r="DK1023" s="485"/>
      <c r="DL1023" s="485"/>
      <c r="DM1023" s="485"/>
      <c r="DN1023" s="485"/>
      <c r="DO1023" s="485"/>
      <c r="DP1023" s="485"/>
      <c r="DQ1023" s="485"/>
      <c r="DR1023" s="485"/>
      <c r="DS1023" s="485"/>
      <c r="DT1023" s="485"/>
      <c r="DU1023" s="485"/>
      <c r="DV1023" s="485"/>
      <c r="DW1023" s="485"/>
      <c r="DX1023" s="485"/>
      <c r="DY1023" s="485"/>
      <c r="DZ1023" s="485"/>
      <c r="EA1023" s="485"/>
      <c r="EB1023" s="485"/>
      <c r="EC1023" s="485"/>
      <c r="ED1023" s="485"/>
      <c r="EE1023" s="485"/>
      <c r="EF1023" s="485"/>
      <c r="EG1023" s="485"/>
      <c r="EH1023" s="485"/>
      <c r="EI1023" s="485"/>
      <c r="EJ1023" s="485"/>
      <c r="EK1023" s="485"/>
      <c r="EL1023" s="485"/>
      <c r="EM1023" s="485"/>
      <c r="EN1023" s="485"/>
      <c r="EO1023" s="485"/>
      <c r="EP1023" s="485"/>
    </row>
    <row r="1024" spans="1:146">
      <c r="A1024" s="485"/>
      <c r="B1024" s="485"/>
      <c r="C1024" s="485"/>
      <c r="D1024" s="485"/>
      <c r="E1024" s="485"/>
      <c r="F1024" s="485"/>
      <c r="G1024" s="485"/>
      <c r="H1024" s="485"/>
      <c r="I1024" s="485"/>
      <c r="J1024" s="485"/>
      <c r="K1024" s="485"/>
      <c r="L1024" s="485"/>
      <c r="M1024" s="485"/>
      <c r="P1024" s="485"/>
      <c r="Q1024" s="485"/>
      <c r="R1024" s="485"/>
      <c r="S1024" s="485"/>
      <c r="T1024" s="485"/>
      <c r="U1024" s="485"/>
      <c r="V1024" s="485"/>
      <c r="W1024" s="485"/>
      <c r="X1024" s="485"/>
      <c r="Y1024" s="485"/>
      <c r="Z1024" s="485"/>
      <c r="AA1024" s="485"/>
      <c r="AB1024" s="485"/>
      <c r="AC1024" s="485"/>
      <c r="AD1024" s="485"/>
      <c r="AE1024" s="485"/>
      <c r="AF1024" s="485"/>
      <c r="AG1024" s="485"/>
      <c r="AH1024" s="485"/>
      <c r="AI1024" s="485"/>
      <c r="AJ1024" s="485"/>
      <c r="AK1024" s="485"/>
      <c r="AL1024" s="485"/>
      <c r="AM1024" s="485"/>
      <c r="AN1024" s="485"/>
      <c r="AO1024" s="485"/>
      <c r="AP1024" s="485"/>
      <c r="AQ1024" s="485"/>
      <c r="AR1024" s="485"/>
      <c r="AS1024" s="485"/>
      <c r="AT1024" s="485"/>
      <c r="AU1024" s="485"/>
      <c r="AV1024" s="485"/>
      <c r="AW1024" s="485"/>
      <c r="AX1024" s="485"/>
      <c r="AY1024" s="485"/>
      <c r="AZ1024" s="485"/>
      <c r="BA1024" s="485"/>
      <c r="BB1024" s="485"/>
      <c r="BC1024" s="485"/>
      <c r="BD1024" s="485"/>
      <c r="BE1024" s="485"/>
      <c r="BF1024" s="485"/>
      <c r="BG1024" s="485"/>
      <c r="BH1024" s="485"/>
      <c r="BI1024" s="485"/>
      <c r="BJ1024" s="485"/>
      <c r="BK1024" s="485"/>
      <c r="BL1024" s="485"/>
      <c r="BM1024" s="485"/>
      <c r="BN1024" s="485"/>
      <c r="BO1024" s="485"/>
      <c r="BP1024" s="485"/>
      <c r="BQ1024" s="485"/>
      <c r="BR1024" s="485"/>
      <c r="BS1024" s="485"/>
      <c r="BT1024" s="485"/>
      <c r="BU1024" s="485"/>
      <c r="BV1024" s="485"/>
      <c r="BW1024" s="485"/>
      <c r="BX1024" s="485"/>
      <c r="BY1024" s="485"/>
      <c r="BZ1024" s="485"/>
      <c r="CA1024" s="485"/>
      <c r="CB1024" s="485"/>
      <c r="CC1024" s="485"/>
      <c r="CD1024" s="485"/>
      <c r="CE1024" s="485"/>
      <c r="CF1024" s="485"/>
      <c r="CG1024" s="485"/>
      <c r="CH1024" s="485"/>
      <c r="CI1024" s="485"/>
      <c r="CJ1024" s="485"/>
      <c r="CK1024" s="485"/>
      <c r="CL1024" s="485"/>
      <c r="CM1024" s="485"/>
      <c r="CN1024" s="485"/>
      <c r="CO1024" s="485"/>
      <c r="CP1024" s="485"/>
      <c r="CQ1024" s="485"/>
      <c r="CR1024" s="485"/>
      <c r="CS1024" s="485"/>
      <c r="CT1024" s="485"/>
      <c r="CU1024" s="485"/>
      <c r="CV1024" s="485"/>
      <c r="CW1024" s="485"/>
      <c r="CX1024" s="485"/>
      <c r="CY1024" s="485"/>
      <c r="CZ1024" s="485"/>
      <c r="DA1024" s="485"/>
      <c r="DB1024" s="485"/>
      <c r="DC1024" s="485"/>
      <c r="DD1024" s="485"/>
      <c r="DE1024" s="485"/>
      <c r="DF1024" s="485"/>
      <c r="DG1024" s="485"/>
      <c r="DH1024" s="485"/>
      <c r="DI1024" s="485"/>
      <c r="DJ1024" s="485"/>
      <c r="DK1024" s="485"/>
      <c r="DL1024" s="485"/>
      <c r="DM1024" s="485"/>
      <c r="DN1024" s="485"/>
      <c r="DO1024" s="485"/>
      <c r="DP1024" s="485"/>
      <c r="DQ1024" s="485"/>
      <c r="DR1024" s="485"/>
      <c r="DS1024" s="485"/>
      <c r="DT1024" s="485"/>
      <c r="DU1024" s="485"/>
      <c r="DV1024" s="485"/>
      <c r="DW1024" s="485"/>
      <c r="DX1024" s="485"/>
      <c r="DY1024" s="485"/>
      <c r="DZ1024" s="485"/>
      <c r="EA1024" s="485"/>
      <c r="EB1024" s="485"/>
      <c r="EC1024" s="485"/>
      <c r="ED1024" s="485"/>
      <c r="EE1024" s="485"/>
      <c r="EF1024" s="485"/>
      <c r="EG1024" s="485"/>
      <c r="EH1024" s="485"/>
      <c r="EI1024" s="485"/>
      <c r="EJ1024" s="485"/>
      <c r="EK1024" s="485"/>
      <c r="EL1024" s="485"/>
      <c r="EM1024" s="485"/>
      <c r="EN1024" s="485"/>
      <c r="EO1024" s="485"/>
      <c r="EP1024" s="485"/>
    </row>
    <row r="1025" spans="1:146">
      <c r="A1025" s="485"/>
      <c r="B1025" s="485"/>
      <c r="C1025" s="485"/>
      <c r="D1025" s="485"/>
      <c r="E1025" s="485"/>
      <c r="F1025" s="485"/>
      <c r="G1025" s="485"/>
      <c r="H1025" s="485"/>
      <c r="I1025" s="485"/>
      <c r="J1025" s="485"/>
      <c r="K1025" s="485"/>
      <c r="L1025" s="485"/>
      <c r="M1025" s="485"/>
      <c r="P1025" s="485"/>
      <c r="Q1025" s="485"/>
      <c r="R1025" s="485"/>
      <c r="S1025" s="485"/>
      <c r="T1025" s="485"/>
      <c r="U1025" s="485"/>
      <c r="V1025" s="485"/>
      <c r="W1025" s="485"/>
      <c r="X1025" s="485"/>
      <c r="Y1025" s="485"/>
      <c r="Z1025" s="485"/>
      <c r="AA1025" s="485"/>
      <c r="AB1025" s="485"/>
      <c r="AC1025" s="485"/>
      <c r="AD1025" s="485"/>
      <c r="AE1025" s="485"/>
      <c r="AF1025" s="485"/>
      <c r="AG1025" s="485"/>
      <c r="AH1025" s="485"/>
      <c r="AI1025" s="485"/>
      <c r="AJ1025" s="485"/>
      <c r="AK1025" s="485"/>
      <c r="AL1025" s="485"/>
      <c r="AM1025" s="485"/>
      <c r="AN1025" s="485"/>
      <c r="AO1025" s="485"/>
      <c r="AP1025" s="485"/>
      <c r="AQ1025" s="485"/>
      <c r="AR1025" s="485"/>
      <c r="AS1025" s="485"/>
      <c r="AT1025" s="485"/>
      <c r="AU1025" s="485"/>
      <c r="AV1025" s="485"/>
      <c r="AW1025" s="485"/>
      <c r="AX1025" s="485"/>
      <c r="AY1025" s="485"/>
      <c r="AZ1025" s="485"/>
      <c r="BA1025" s="485"/>
      <c r="BB1025" s="485"/>
      <c r="BC1025" s="485"/>
      <c r="BD1025" s="485"/>
      <c r="BE1025" s="485"/>
      <c r="BF1025" s="485"/>
      <c r="BG1025" s="485"/>
      <c r="BH1025" s="485"/>
      <c r="BI1025" s="485"/>
      <c r="BJ1025" s="485"/>
      <c r="BK1025" s="485"/>
      <c r="BL1025" s="485"/>
      <c r="BM1025" s="485"/>
      <c r="BN1025" s="485"/>
      <c r="BO1025" s="485"/>
      <c r="BP1025" s="485"/>
      <c r="BQ1025" s="485"/>
      <c r="BR1025" s="485"/>
      <c r="BS1025" s="485"/>
      <c r="BT1025" s="485"/>
      <c r="BU1025" s="485"/>
      <c r="BV1025" s="485"/>
      <c r="BW1025" s="485"/>
      <c r="BX1025" s="485"/>
      <c r="BY1025" s="485"/>
      <c r="BZ1025" s="485"/>
      <c r="CA1025" s="485"/>
      <c r="CB1025" s="485"/>
      <c r="CC1025" s="485"/>
      <c r="CD1025" s="485"/>
      <c r="CE1025" s="485"/>
      <c r="CF1025" s="485"/>
      <c r="CG1025" s="485"/>
      <c r="CH1025" s="485"/>
      <c r="CI1025" s="485"/>
      <c r="CJ1025" s="485"/>
      <c r="CK1025" s="485"/>
      <c r="CL1025" s="485"/>
      <c r="CM1025" s="485"/>
      <c r="CN1025" s="485"/>
      <c r="CO1025" s="485"/>
      <c r="CP1025" s="485"/>
      <c r="CQ1025" s="485"/>
      <c r="CR1025" s="485"/>
      <c r="CS1025" s="485"/>
      <c r="CT1025" s="485"/>
      <c r="CU1025" s="485"/>
      <c r="CV1025" s="485"/>
      <c r="CW1025" s="485"/>
      <c r="CX1025" s="485"/>
      <c r="CY1025" s="485"/>
      <c r="CZ1025" s="485"/>
      <c r="DA1025" s="485"/>
      <c r="DB1025" s="485"/>
      <c r="DC1025" s="485"/>
      <c r="DD1025" s="485"/>
      <c r="DE1025" s="485"/>
      <c r="DF1025" s="485"/>
      <c r="DG1025" s="485"/>
      <c r="DH1025" s="485"/>
      <c r="DI1025" s="485"/>
      <c r="DJ1025" s="485"/>
      <c r="DK1025" s="485"/>
      <c r="DL1025" s="485"/>
      <c r="DM1025" s="485"/>
      <c r="DN1025" s="485"/>
      <c r="DO1025" s="485"/>
      <c r="DP1025" s="485"/>
      <c r="DQ1025" s="485"/>
      <c r="DR1025" s="485"/>
      <c r="DS1025" s="485"/>
      <c r="DT1025" s="485"/>
      <c r="DU1025" s="485"/>
      <c r="DV1025" s="485"/>
      <c r="DW1025" s="485"/>
      <c r="DX1025" s="485"/>
      <c r="DY1025" s="485"/>
      <c r="DZ1025" s="485"/>
      <c r="EA1025" s="485"/>
      <c r="EB1025" s="485"/>
      <c r="EC1025" s="485"/>
      <c r="ED1025" s="485"/>
      <c r="EE1025" s="485"/>
      <c r="EF1025" s="485"/>
      <c r="EG1025" s="485"/>
      <c r="EH1025" s="485"/>
      <c r="EI1025" s="485"/>
      <c r="EJ1025" s="485"/>
      <c r="EK1025" s="485"/>
      <c r="EL1025" s="485"/>
      <c r="EM1025" s="485"/>
      <c r="EN1025" s="485"/>
      <c r="EO1025" s="485"/>
      <c r="EP1025" s="485"/>
    </row>
    <row r="1026" spans="1:146">
      <c r="A1026" s="485"/>
      <c r="B1026" s="485"/>
      <c r="C1026" s="485"/>
      <c r="D1026" s="485"/>
      <c r="E1026" s="485"/>
      <c r="F1026" s="485"/>
      <c r="G1026" s="485"/>
      <c r="H1026" s="485"/>
      <c r="I1026" s="485"/>
      <c r="J1026" s="485"/>
      <c r="K1026" s="485"/>
      <c r="L1026" s="485"/>
      <c r="M1026" s="485"/>
      <c r="P1026" s="485"/>
      <c r="Q1026" s="485"/>
      <c r="R1026" s="485"/>
      <c r="S1026" s="485"/>
      <c r="T1026" s="485"/>
      <c r="U1026" s="485"/>
      <c r="V1026" s="485"/>
      <c r="W1026" s="485"/>
      <c r="X1026" s="485"/>
      <c r="Y1026" s="485"/>
      <c r="Z1026" s="485"/>
      <c r="AA1026" s="485"/>
      <c r="AB1026" s="485"/>
      <c r="AC1026" s="485"/>
      <c r="AD1026" s="485"/>
      <c r="AE1026" s="485"/>
      <c r="AF1026" s="485"/>
      <c r="AG1026" s="485"/>
      <c r="AH1026" s="485"/>
      <c r="AI1026" s="485"/>
      <c r="AJ1026" s="485"/>
      <c r="AK1026" s="485"/>
      <c r="AL1026" s="485"/>
      <c r="AM1026" s="485"/>
      <c r="AN1026" s="485"/>
      <c r="AO1026" s="485"/>
      <c r="AP1026" s="485"/>
      <c r="AQ1026" s="485"/>
      <c r="AR1026" s="485"/>
      <c r="AS1026" s="485"/>
      <c r="AT1026" s="485"/>
      <c r="AU1026" s="485"/>
      <c r="AV1026" s="485"/>
      <c r="AW1026" s="485"/>
      <c r="AX1026" s="485"/>
      <c r="AY1026" s="485"/>
      <c r="AZ1026" s="485"/>
      <c r="BA1026" s="485"/>
      <c r="BB1026" s="485"/>
      <c r="BC1026" s="485"/>
      <c r="BD1026" s="485"/>
      <c r="BE1026" s="485"/>
      <c r="BF1026" s="485"/>
      <c r="BG1026" s="485"/>
      <c r="BH1026" s="485"/>
      <c r="BI1026" s="485"/>
      <c r="BJ1026" s="485"/>
      <c r="BK1026" s="485"/>
      <c r="BL1026" s="485"/>
      <c r="BM1026" s="485"/>
      <c r="BN1026" s="485"/>
      <c r="BO1026" s="485"/>
      <c r="BP1026" s="485"/>
      <c r="BQ1026" s="485"/>
      <c r="BR1026" s="485"/>
      <c r="BS1026" s="485"/>
      <c r="BT1026" s="485"/>
      <c r="BU1026" s="485"/>
      <c r="BV1026" s="485"/>
      <c r="BW1026" s="485"/>
      <c r="BX1026" s="485"/>
      <c r="BY1026" s="485"/>
      <c r="BZ1026" s="485"/>
      <c r="CA1026" s="485"/>
      <c r="CB1026" s="485"/>
      <c r="CC1026" s="485"/>
      <c r="CD1026" s="485"/>
      <c r="CE1026" s="485"/>
      <c r="CF1026" s="485"/>
      <c r="CG1026" s="485"/>
      <c r="CH1026" s="485"/>
      <c r="CI1026" s="485"/>
      <c r="CJ1026" s="485"/>
      <c r="CK1026" s="485"/>
      <c r="CL1026" s="485"/>
      <c r="CM1026" s="485"/>
      <c r="CN1026" s="485"/>
      <c r="CO1026" s="485"/>
      <c r="CP1026" s="485"/>
      <c r="CQ1026" s="485"/>
      <c r="CR1026" s="485"/>
      <c r="CS1026" s="485"/>
      <c r="CT1026" s="485"/>
      <c r="CU1026" s="485"/>
      <c r="CV1026" s="485"/>
      <c r="CW1026" s="485"/>
      <c r="CX1026" s="485"/>
      <c r="CY1026" s="485"/>
      <c r="CZ1026" s="485"/>
      <c r="DA1026" s="485"/>
      <c r="DB1026" s="485"/>
      <c r="DC1026" s="485"/>
      <c r="DD1026" s="485"/>
      <c r="DE1026" s="485"/>
      <c r="DF1026" s="485"/>
      <c r="DG1026" s="485"/>
      <c r="DH1026" s="485"/>
      <c r="DI1026" s="485"/>
      <c r="DJ1026" s="485"/>
      <c r="DK1026" s="485"/>
      <c r="DL1026" s="485"/>
      <c r="DM1026" s="485"/>
      <c r="DN1026" s="485"/>
      <c r="DO1026" s="485"/>
      <c r="DP1026" s="485"/>
      <c r="DQ1026" s="485"/>
      <c r="DR1026" s="485"/>
      <c r="DS1026" s="485"/>
      <c r="DT1026" s="485"/>
      <c r="DU1026" s="485"/>
      <c r="DV1026" s="485"/>
      <c r="DW1026" s="485"/>
      <c r="DX1026" s="485"/>
      <c r="DY1026" s="485"/>
      <c r="DZ1026" s="485"/>
      <c r="EA1026" s="485"/>
      <c r="EB1026" s="485"/>
      <c r="EC1026" s="485"/>
      <c r="ED1026" s="485"/>
      <c r="EE1026" s="485"/>
      <c r="EF1026" s="485"/>
      <c r="EG1026" s="485"/>
      <c r="EH1026" s="485"/>
      <c r="EI1026" s="485"/>
      <c r="EJ1026" s="485"/>
      <c r="EK1026" s="485"/>
      <c r="EL1026" s="485"/>
      <c r="EM1026" s="485"/>
      <c r="EN1026" s="485"/>
      <c r="EO1026" s="485"/>
      <c r="EP1026" s="485"/>
    </row>
    <row r="1027" spans="1:146">
      <c r="A1027" s="485"/>
      <c r="B1027" s="485"/>
      <c r="C1027" s="485"/>
      <c r="D1027" s="485"/>
      <c r="E1027" s="485"/>
      <c r="F1027" s="485"/>
      <c r="G1027" s="485"/>
      <c r="H1027" s="485"/>
      <c r="I1027" s="485"/>
      <c r="J1027" s="485"/>
      <c r="K1027" s="485"/>
      <c r="L1027" s="485"/>
      <c r="M1027" s="485"/>
      <c r="P1027" s="485"/>
      <c r="Q1027" s="485"/>
      <c r="R1027" s="485"/>
      <c r="S1027" s="485"/>
      <c r="T1027" s="485"/>
      <c r="U1027" s="485"/>
      <c r="V1027" s="485"/>
      <c r="W1027" s="485"/>
      <c r="X1027" s="485"/>
      <c r="Y1027" s="485"/>
      <c r="Z1027" s="485"/>
      <c r="AA1027" s="485"/>
      <c r="AB1027" s="485"/>
      <c r="AC1027" s="485"/>
      <c r="AD1027" s="485"/>
      <c r="AE1027" s="485"/>
      <c r="AF1027" s="485"/>
      <c r="AG1027" s="485"/>
      <c r="AH1027" s="485"/>
      <c r="AI1027" s="485"/>
      <c r="AJ1027" s="485"/>
      <c r="AK1027" s="485"/>
      <c r="AL1027" s="485"/>
      <c r="AM1027" s="485"/>
      <c r="AN1027" s="485"/>
      <c r="AO1027" s="485"/>
      <c r="AP1027" s="485"/>
      <c r="AQ1027" s="485"/>
      <c r="AR1027" s="485"/>
      <c r="AS1027" s="485"/>
      <c r="AT1027" s="485"/>
      <c r="AU1027" s="485"/>
      <c r="AV1027" s="485"/>
      <c r="AW1027" s="485"/>
      <c r="AX1027" s="485"/>
      <c r="AY1027" s="485"/>
      <c r="AZ1027" s="485"/>
      <c r="BA1027" s="485"/>
      <c r="BB1027" s="485"/>
      <c r="BC1027" s="485"/>
      <c r="BD1027" s="485"/>
      <c r="BE1027" s="485"/>
      <c r="BF1027" s="485"/>
      <c r="BG1027" s="485"/>
      <c r="BH1027" s="485"/>
      <c r="BI1027" s="485"/>
      <c r="BJ1027" s="485"/>
      <c r="BK1027" s="485"/>
      <c r="BL1027" s="485"/>
      <c r="BM1027" s="485"/>
      <c r="BN1027" s="485"/>
      <c r="BO1027" s="485"/>
      <c r="BP1027" s="485"/>
      <c r="BQ1027" s="485"/>
      <c r="BR1027" s="485"/>
      <c r="BS1027" s="485"/>
      <c r="BT1027" s="485"/>
      <c r="BU1027" s="485"/>
      <c r="BV1027" s="485"/>
      <c r="BW1027" s="485"/>
      <c r="BX1027" s="485"/>
      <c r="BY1027" s="485"/>
      <c r="BZ1027" s="485"/>
      <c r="CA1027" s="485"/>
      <c r="CB1027" s="485"/>
      <c r="CC1027" s="485"/>
      <c r="CD1027" s="485"/>
      <c r="CE1027" s="485"/>
      <c r="CF1027" s="485"/>
      <c r="CG1027" s="485"/>
      <c r="CH1027" s="485"/>
      <c r="CI1027" s="485"/>
      <c r="CJ1027" s="485"/>
      <c r="CK1027" s="485"/>
      <c r="CL1027" s="485"/>
      <c r="CM1027" s="485"/>
      <c r="CN1027" s="485"/>
      <c r="CO1027" s="485"/>
      <c r="CP1027" s="485"/>
      <c r="CQ1027" s="485"/>
      <c r="CR1027" s="485"/>
      <c r="CS1027" s="485"/>
      <c r="CT1027" s="485"/>
      <c r="CU1027" s="485"/>
      <c r="CV1027" s="485"/>
      <c r="CW1027" s="485"/>
      <c r="CX1027" s="485"/>
      <c r="CY1027" s="485"/>
      <c r="CZ1027" s="485"/>
      <c r="DA1027" s="485"/>
      <c r="DB1027" s="485"/>
      <c r="DC1027" s="485"/>
      <c r="DD1027" s="485"/>
      <c r="DE1027" s="485"/>
      <c r="DF1027" s="485"/>
      <c r="DG1027" s="485"/>
      <c r="DH1027" s="485"/>
      <c r="DI1027" s="485"/>
      <c r="DJ1027" s="485"/>
      <c r="DK1027" s="485"/>
      <c r="DL1027" s="485"/>
      <c r="DM1027" s="485"/>
      <c r="DN1027" s="485"/>
      <c r="DO1027" s="485"/>
      <c r="DP1027" s="485"/>
      <c r="DQ1027" s="485"/>
      <c r="DR1027" s="485"/>
      <c r="DS1027" s="485"/>
      <c r="DT1027" s="485"/>
      <c r="DU1027" s="485"/>
      <c r="DV1027" s="485"/>
      <c r="DW1027" s="485"/>
      <c r="DX1027" s="485"/>
      <c r="DY1027" s="485"/>
      <c r="DZ1027" s="485"/>
      <c r="EA1027" s="485"/>
      <c r="EB1027" s="485"/>
      <c r="EC1027" s="485"/>
      <c r="ED1027" s="485"/>
      <c r="EE1027" s="485"/>
      <c r="EF1027" s="485"/>
      <c r="EG1027" s="485"/>
      <c r="EH1027" s="485"/>
      <c r="EI1027" s="485"/>
      <c r="EJ1027" s="485"/>
      <c r="EK1027" s="485"/>
      <c r="EL1027" s="485"/>
      <c r="EM1027" s="485"/>
      <c r="EN1027" s="485"/>
      <c r="EO1027" s="485"/>
      <c r="EP1027" s="485"/>
    </row>
    <row r="1028" spans="1:146">
      <c r="A1028" s="485"/>
      <c r="B1028" s="485"/>
      <c r="C1028" s="485"/>
      <c r="D1028" s="485"/>
      <c r="E1028" s="485"/>
      <c r="F1028" s="485"/>
      <c r="G1028" s="485"/>
      <c r="H1028" s="485"/>
      <c r="I1028" s="485"/>
      <c r="J1028" s="485"/>
      <c r="K1028" s="485"/>
      <c r="L1028" s="485"/>
      <c r="M1028" s="485"/>
      <c r="P1028" s="485"/>
      <c r="Q1028" s="485"/>
      <c r="R1028" s="485"/>
      <c r="S1028" s="485"/>
      <c r="T1028" s="485"/>
      <c r="U1028" s="485"/>
      <c r="V1028" s="485"/>
      <c r="W1028" s="485"/>
      <c r="X1028" s="485"/>
      <c r="Y1028" s="485"/>
      <c r="Z1028" s="485"/>
      <c r="AA1028" s="485"/>
      <c r="AB1028" s="485"/>
      <c r="AC1028" s="485"/>
      <c r="AD1028" s="485"/>
      <c r="AE1028" s="485"/>
      <c r="AF1028" s="485"/>
      <c r="AG1028" s="485"/>
      <c r="AH1028" s="485"/>
      <c r="AI1028" s="485"/>
      <c r="AJ1028" s="485"/>
      <c r="AK1028" s="485"/>
      <c r="AL1028" s="485"/>
      <c r="AM1028" s="485"/>
      <c r="AN1028" s="485"/>
      <c r="AO1028" s="485"/>
      <c r="AP1028" s="485"/>
      <c r="AQ1028" s="485"/>
      <c r="AR1028" s="485"/>
      <c r="AS1028" s="485"/>
      <c r="AT1028" s="485"/>
      <c r="AU1028" s="485"/>
      <c r="AV1028" s="485"/>
      <c r="AW1028" s="485"/>
      <c r="AX1028" s="485"/>
      <c r="AY1028" s="485"/>
      <c r="AZ1028" s="485"/>
      <c r="BA1028" s="485"/>
      <c r="BB1028" s="485"/>
      <c r="BC1028" s="485"/>
      <c r="BD1028" s="485"/>
      <c r="BE1028" s="485"/>
      <c r="BF1028" s="485"/>
      <c r="BG1028" s="485"/>
      <c r="BH1028" s="485"/>
      <c r="BI1028" s="485"/>
      <c r="BJ1028" s="485"/>
      <c r="BK1028" s="485"/>
      <c r="BL1028" s="485"/>
      <c r="BM1028" s="485"/>
      <c r="BN1028" s="485"/>
      <c r="BO1028" s="485"/>
      <c r="BP1028" s="485"/>
      <c r="BQ1028" s="485"/>
      <c r="BR1028" s="485"/>
      <c r="BS1028" s="485"/>
      <c r="BT1028" s="485"/>
      <c r="BU1028" s="485"/>
      <c r="BV1028" s="485"/>
      <c r="BW1028" s="485"/>
      <c r="BX1028" s="485"/>
      <c r="BY1028" s="485"/>
      <c r="BZ1028" s="485"/>
      <c r="CA1028" s="485"/>
      <c r="CB1028" s="485"/>
      <c r="CC1028" s="485"/>
      <c r="CD1028" s="485"/>
      <c r="CE1028" s="485"/>
      <c r="CF1028" s="485"/>
      <c r="CG1028" s="485"/>
      <c r="CH1028" s="485"/>
      <c r="CI1028" s="485"/>
      <c r="CJ1028" s="485"/>
      <c r="CK1028" s="485"/>
      <c r="CL1028" s="485"/>
      <c r="CM1028" s="485"/>
      <c r="CN1028" s="485"/>
      <c r="CO1028" s="485"/>
      <c r="CP1028" s="485"/>
      <c r="CQ1028" s="485"/>
      <c r="CR1028" s="485"/>
      <c r="CS1028" s="485"/>
      <c r="CT1028" s="485"/>
      <c r="CU1028" s="485"/>
      <c r="CV1028" s="485"/>
      <c r="CW1028" s="485"/>
      <c r="CX1028" s="485"/>
      <c r="CY1028" s="485"/>
      <c r="CZ1028" s="485"/>
      <c r="DA1028" s="485"/>
      <c r="DB1028" s="485"/>
      <c r="DC1028" s="485"/>
      <c r="DD1028" s="485"/>
      <c r="DE1028" s="485"/>
      <c r="DF1028" s="485"/>
      <c r="DG1028" s="485"/>
      <c r="DH1028" s="485"/>
      <c r="DI1028" s="485"/>
      <c r="DJ1028" s="485"/>
      <c r="DK1028" s="485"/>
      <c r="DL1028" s="485"/>
      <c r="DM1028" s="485"/>
      <c r="DN1028" s="485"/>
      <c r="DO1028" s="485"/>
      <c r="DP1028" s="485"/>
      <c r="DQ1028" s="485"/>
      <c r="DR1028" s="485"/>
      <c r="DS1028" s="485"/>
      <c r="DT1028" s="485"/>
      <c r="DU1028" s="485"/>
      <c r="DV1028" s="485"/>
      <c r="DW1028" s="485"/>
      <c r="DX1028" s="485"/>
      <c r="DY1028" s="485"/>
      <c r="DZ1028" s="485"/>
      <c r="EA1028" s="485"/>
      <c r="EB1028" s="485"/>
      <c r="EC1028" s="485"/>
      <c r="ED1028" s="485"/>
      <c r="EE1028" s="485"/>
      <c r="EF1028" s="485"/>
      <c r="EG1028" s="485"/>
      <c r="EH1028" s="485"/>
      <c r="EI1028" s="485"/>
      <c r="EJ1028" s="485"/>
      <c r="EK1028" s="485"/>
      <c r="EL1028" s="485"/>
      <c r="EM1028" s="485"/>
      <c r="EN1028" s="485"/>
      <c r="EO1028" s="485"/>
      <c r="EP1028" s="485"/>
    </row>
    <row r="1029" spans="1:146">
      <c r="A1029" s="485"/>
      <c r="B1029" s="485"/>
      <c r="C1029" s="485"/>
      <c r="D1029" s="485"/>
      <c r="E1029" s="485"/>
      <c r="F1029" s="485"/>
      <c r="G1029" s="485"/>
      <c r="H1029" s="485"/>
      <c r="I1029" s="485"/>
      <c r="J1029" s="485"/>
      <c r="K1029" s="485"/>
      <c r="L1029" s="485"/>
      <c r="M1029" s="485"/>
      <c r="P1029" s="485"/>
      <c r="Q1029" s="485"/>
      <c r="R1029" s="485"/>
      <c r="S1029" s="485"/>
      <c r="T1029" s="485"/>
      <c r="U1029" s="485"/>
      <c r="V1029" s="485"/>
      <c r="W1029" s="485"/>
      <c r="X1029" s="485"/>
      <c r="Y1029" s="485"/>
      <c r="Z1029" s="485"/>
      <c r="AA1029" s="485"/>
      <c r="AB1029" s="485"/>
      <c r="AC1029" s="485"/>
      <c r="AD1029" s="485"/>
      <c r="AE1029" s="485"/>
      <c r="AF1029" s="485"/>
      <c r="AG1029" s="485"/>
      <c r="AH1029" s="485"/>
      <c r="AI1029" s="485"/>
      <c r="AJ1029" s="485"/>
      <c r="AK1029" s="485"/>
      <c r="AL1029" s="485"/>
      <c r="AM1029" s="485"/>
      <c r="AN1029" s="485"/>
      <c r="AO1029" s="485"/>
      <c r="AP1029" s="485"/>
      <c r="AQ1029" s="485"/>
      <c r="AR1029" s="485"/>
      <c r="AS1029" s="485"/>
      <c r="AT1029" s="485"/>
      <c r="AU1029" s="485"/>
      <c r="AV1029" s="485"/>
      <c r="AW1029" s="485"/>
      <c r="AX1029" s="485"/>
      <c r="AY1029" s="485"/>
      <c r="AZ1029" s="485"/>
      <c r="BA1029" s="485"/>
      <c r="BB1029" s="485"/>
      <c r="BC1029" s="485"/>
      <c r="BD1029" s="485"/>
      <c r="BE1029" s="485"/>
      <c r="BF1029" s="485"/>
      <c r="BG1029" s="485"/>
      <c r="BH1029" s="485"/>
      <c r="BI1029" s="485"/>
      <c r="BJ1029" s="485"/>
      <c r="BK1029" s="485"/>
      <c r="BL1029" s="485"/>
      <c r="BM1029" s="485"/>
      <c r="BN1029" s="485"/>
      <c r="BO1029" s="485"/>
      <c r="BP1029" s="485"/>
      <c r="BQ1029" s="485"/>
      <c r="BR1029" s="485"/>
      <c r="BS1029" s="485"/>
      <c r="BT1029" s="485"/>
      <c r="BU1029" s="485"/>
      <c r="BV1029" s="485"/>
      <c r="BW1029" s="485"/>
      <c r="BX1029" s="485"/>
      <c r="BY1029" s="485"/>
      <c r="BZ1029" s="485"/>
      <c r="CA1029" s="485"/>
      <c r="CB1029" s="485"/>
      <c r="CC1029" s="485"/>
      <c r="CD1029" s="485"/>
      <c r="CE1029" s="485"/>
      <c r="CF1029" s="485"/>
      <c r="CG1029" s="485"/>
      <c r="CH1029" s="485"/>
      <c r="CI1029" s="485"/>
      <c r="CJ1029" s="485"/>
      <c r="CK1029" s="485"/>
      <c r="CL1029" s="485"/>
      <c r="CM1029" s="485"/>
      <c r="CN1029" s="485"/>
      <c r="CO1029" s="485"/>
      <c r="CP1029" s="485"/>
      <c r="CQ1029" s="485"/>
      <c r="CR1029" s="485"/>
      <c r="CS1029" s="485"/>
      <c r="CT1029" s="485"/>
      <c r="CU1029" s="485"/>
      <c r="CV1029" s="485"/>
      <c r="CW1029" s="485"/>
      <c r="CX1029" s="485"/>
      <c r="CY1029" s="485"/>
      <c r="CZ1029" s="485"/>
      <c r="DA1029" s="485"/>
      <c r="DB1029" s="485"/>
      <c r="DC1029" s="485"/>
      <c r="DD1029" s="485"/>
      <c r="DE1029" s="485"/>
      <c r="DF1029" s="485"/>
      <c r="DG1029" s="485"/>
      <c r="DH1029" s="485"/>
      <c r="DI1029" s="485"/>
      <c r="DJ1029" s="485"/>
      <c r="DK1029" s="485"/>
      <c r="DL1029" s="485"/>
      <c r="DM1029" s="485"/>
      <c r="DN1029" s="485"/>
      <c r="DO1029" s="485"/>
      <c r="DP1029" s="485"/>
      <c r="DQ1029" s="485"/>
      <c r="DR1029" s="485"/>
      <c r="DS1029" s="485"/>
      <c r="DT1029" s="485"/>
      <c r="DU1029" s="485"/>
      <c r="DV1029" s="485"/>
      <c r="DW1029" s="485"/>
      <c r="DX1029" s="485"/>
      <c r="DY1029" s="485"/>
      <c r="DZ1029" s="485"/>
      <c r="EA1029" s="485"/>
      <c r="EB1029" s="485"/>
      <c r="EC1029" s="485"/>
      <c r="ED1029" s="485"/>
      <c r="EE1029" s="485"/>
      <c r="EF1029" s="485"/>
      <c r="EG1029" s="485"/>
      <c r="EH1029" s="485"/>
      <c r="EI1029" s="485"/>
      <c r="EJ1029" s="485"/>
      <c r="EK1029" s="485"/>
      <c r="EL1029" s="485"/>
      <c r="EM1029" s="485"/>
      <c r="EN1029" s="485"/>
      <c r="EO1029" s="485"/>
      <c r="EP1029" s="485"/>
    </row>
    <row r="1030" spans="1:146">
      <c r="A1030" s="485"/>
      <c r="B1030" s="485"/>
      <c r="C1030" s="485"/>
      <c r="D1030" s="485"/>
      <c r="E1030" s="485"/>
      <c r="F1030" s="485"/>
      <c r="G1030" s="485"/>
      <c r="H1030" s="485"/>
      <c r="I1030" s="485"/>
      <c r="J1030" s="485"/>
      <c r="K1030" s="485"/>
      <c r="L1030" s="485"/>
      <c r="M1030" s="485"/>
      <c r="P1030" s="485"/>
      <c r="Q1030" s="485"/>
      <c r="R1030" s="485"/>
      <c r="S1030" s="485"/>
      <c r="T1030" s="485"/>
      <c r="U1030" s="485"/>
      <c r="V1030" s="485"/>
      <c r="W1030" s="485"/>
      <c r="X1030" s="485"/>
      <c r="Y1030" s="485"/>
      <c r="Z1030" s="485"/>
      <c r="AA1030" s="485"/>
      <c r="AB1030" s="485"/>
      <c r="AC1030" s="485"/>
      <c r="AD1030" s="485"/>
      <c r="AE1030" s="485"/>
      <c r="AF1030" s="485"/>
      <c r="AG1030" s="485"/>
      <c r="AH1030" s="485"/>
      <c r="AI1030" s="485"/>
      <c r="AJ1030" s="485"/>
      <c r="AK1030" s="485"/>
      <c r="AL1030" s="485"/>
      <c r="AM1030" s="485"/>
      <c r="AN1030" s="485"/>
      <c r="AO1030" s="485"/>
      <c r="AP1030" s="485"/>
      <c r="AQ1030" s="485"/>
      <c r="AR1030" s="485"/>
      <c r="AS1030" s="485"/>
      <c r="AT1030" s="485"/>
      <c r="AU1030" s="485"/>
      <c r="AV1030" s="485"/>
      <c r="AW1030" s="485"/>
      <c r="AX1030" s="485"/>
      <c r="AY1030" s="485"/>
      <c r="AZ1030" s="485"/>
      <c r="BA1030" s="485"/>
      <c r="BB1030" s="485"/>
      <c r="BC1030" s="485"/>
      <c r="BD1030" s="485"/>
      <c r="BE1030" s="485"/>
      <c r="BF1030" s="485"/>
      <c r="BG1030" s="485"/>
      <c r="BH1030" s="485"/>
      <c r="BI1030" s="485"/>
      <c r="BJ1030" s="485"/>
      <c r="BK1030" s="485"/>
      <c r="BL1030" s="485"/>
      <c r="BM1030" s="485"/>
      <c r="BN1030" s="485"/>
      <c r="BO1030" s="485"/>
      <c r="BP1030" s="485"/>
      <c r="BQ1030" s="485"/>
      <c r="BR1030" s="485"/>
      <c r="BS1030" s="485"/>
      <c r="BT1030" s="485"/>
      <c r="BU1030" s="485"/>
      <c r="BV1030" s="485"/>
      <c r="BW1030" s="485"/>
      <c r="BX1030" s="485"/>
      <c r="BY1030" s="485"/>
      <c r="BZ1030" s="485"/>
      <c r="CA1030" s="485"/>
      <c r="CB1030" s="485"/>
      <c r="CC1030" s="485"/>
      <c r="CD1030" s="485"/>
      <c r="CE1030" s="485"/>
      <c r="CF1030" s="485"/>
      <c r="CG1030" s="485"/>
      <c r="CH1030" s="485"/>
      <c r="CI1030" s="485"/>
      <c r="CJ1030" s="485"/>
      <c r="CK1030" s="485"/>
      <c r="CL1030" s="485"/>
      <c r="CM1030" s="485"/>
      <c r="CN1030" s="485"/>
      <c r="CO1030" s="485"/>
      <c r="CP1030" s="485"/>
      <c r="CQ1030" s="485"/>
      <c r="CR1030" s="485"/>
      <c r="CS1030" s="485"/>
      <c r="CT1030" s="485"/>
      <c r="CU1030" s="485"/>
      <c r="CV1030" s="485"/>
      <c r="CW1030" s="485"/>
      <c r="CX1030" s="485"/>
      <c r="CY1030" s="485"/>
      <c r="CZ1030" s="485"/>
      <c r="DA1030" s="485"/>
      <c r="DB1030" s="485"/>
      <c r="DC1030" s="485"/>
      <c r="DD1030" s="485"/>
      <c r="DE1030" s="485"/>
      <c r="DF1030" s="485"/>
      <c r="DG1030" s="485"/>
      <c r="DH1030" s="485"/>
      <c r="DI1030" s="485"/>
      <c r="DJ1030" s="485"/>
      <c r="DK1030" s="485"/>
      <c r="DL1030" s="485"/>
      <c r="DM1030" s="485"/>
      <c r="DN1030" s="485"/>
      <c r="DO1030" s="485"/>
      <c r="DP1030" s="485"/>
      <c r="DQ1030" s="485"/>
      <c r="DR1030" s="485"/>
      <c r="DS1030" s="485"/>
      <c r="DT1030" s="485"/>
      <c r="DU1030" s="485"/>
      <c r="DV1030" s="485"/>
      <c r="DW1030" s="485"/>
      <c r="DX1030" s="485"/>
      <c r="DY1030" s="485"/>
      <c r="DZ1030" s="485"/>
      <c r="EA1030" s="485"/>
      <c r="EB1030" s="485"/>
      <c r="EC1030" s="485"/>
      <c r="ED1030" s="485"/>
      <c r="EE1030" s="485"/>
      <c r="EF1030" s="485"/>
      <c r="EG1030" s="485"/>
      <c r="EH1030" s="485"/>
      <c r="EI1030" s="485"/>
      <c r="EJ1030" s="485"/>
      <c r="EK1030" s="485"/>
      <c r="EL1030" s="485"/>
      <c r="EM1030" s="485"/>
      <c r="EN1030" s="485"/>
      <c r="EO1030" s="485"/>
      <c r="EP1030" s="485"/>
    </row>
    <row r="1031" spans="1:146">
      <c r="A1031" s="485"/>
      <c r="B1031" s="485"/>
      <c r="C1031" s="485"/>
      <c r="D1031" s="485"/>
      <c r="E1031" s="485"/>
      <c r="F1031" s="485"/>
      <c r="G1031" s="485"/>
      <c r="H1031" s="485"/>
      <c r="I1031" s="485"/>
      <c r="J1031" s="485"/>
      <c r="K1031" s="485"/>
      <c r="L1031" s="485"/>
      <c r="M1031" s="485"/>
      <c r="P1031" s="485"/>
      <c r="Q1031" s="485"/>
      <c r="R1031" s="485"/>
      <c r="S1031" s="485"/>
      <c r="T1031" s="485"/>
      <c r="U1031" s="485"/>
      <c r="V1031" s="485"/>
      <c r="W1031" s="485"/>
      <c r="X1031" s="485"/>
      <c r="Y1031" s="485"/>
      <c r="Z1031" s="485"/>
      <c r="AA1031" s="485"/>
      <c r="AB1031" s="485"/>
      <c r="AC1031" s="485"/>
      <c r="AD1031" s="485"/>
      <c r="AE1031" s="485"/>
      <c r="AF1031" s="485"/>
      <c r="AG1031" s="485"/>
      <c r="AH1031" s="485"/>
      <c r="AI1031" s="485"/>
      <c r="AJ1031" s="485"/>
      <c r="AK1031" s="485"/>
      <c r="AL1031" s="485"/>
      <c r="AM1031" s="485"/>
      <c r="AN1031" s="485"/>
      <c r="AO1031" s="485"/>
      <c r="AP1031" s="485"/>
      <c r="AQ1031" s="485"/>
      <c r="AR1031" s="485"/>
      <c r="AS1031" s="485"/>
      <c r="AT1031" s="485"/>
      <c r="AU1031" s="485"/>
      <c r="AV1031" s="485"/>
      <c r="AW1031" s="485"/>
      <c r="AX1031" s="485"/>
      <c r="AY1031" s="485"/>
      <c r="AZ1031" s="485"/>
      <c r="BA1031" s="485"/>
      <c r="BB1031" s="485"/>
      <c r="BC1031" s="485"/>
      <c r="BD1031" s="485"/>
      <c r="BE1031" s="485"/>
      <c r="BF1031" s="485"/>
      <c r="BG1031" s="485"/>
      <c r="BH1031" s="485"/>
      <c r="BI1031" s="485"/>
      <c r="BJ1031" s="485"/>
      <c r="BK1031" s="485"/>
      <c r="BL1031" s="485"/>
      <c r="BM1031" s="485"/>
      <c r="BN1031" s="485"/>
      <c r="BO1031" s="485"/>
      <c r="BP1031" s="485"/>
      <c r="BQ1031" s="485"/>
      <c r="BR1031" s="485"/>
      <c r="BS1031" s="485"/>
      <c r="BT1031" s="485"/>
      <c r="BU1031" s="485"/>
      <c r="BV1031" s="485"/>
      <c r="BW1031" s="485"/>
      <c r="BX1031" s="485"/>
      <c r="BY1031" s="485"/>
      <c r="BZ1031" s="485"/>
      <c r="CA1031" s="485"/>
      <c r="CB1031" s="485"/>
      <c r="CC1031" s="485"/>
      <c r="CD1031" s="485"/>
      <c r="CE1031" s="485"/>
      <c r="CF1031" s="485"/>
      <c r="CG1031" s="485"/>
      <c r="CH1031" s="485"/>
      <c r="CI1031" s="485"/>
      <c r="CJ1031" s="485"/>
      <c r="CK1031" s="485"/>
      <c r="CL1031" s="485"/>
      <c r="CM1031" s="485"/>
      <c r="CN1031" s="485"/>
      <c r="CO1031" s="485"/>
      <c r="CP1031" s="485"/>
      <c r="CQ1031" s="485"/>
      <c r="CR1031" s="485"/>
      <c r="CS1031" s="485"/>
      <c r="CT1031" s="485"/>
      <c r="CU1031" s="485"/>
      <c r="CV1031" s="485"/>
      <c r="CW1031" s="485"/>
      <c r="CX1031" s="485"/>
      <c r="CY1031" s="485"/>
      <c r="CZ1031" s="485"/>
      <c r="DA1031" s="485"/>
      <c r="DB1031" s="485"/>
      <c r="DC1031" s="485"/>
      <c r="DD1031" s="485"/>
      <c r="DE1031" s="485"/>
      <c r="DF1031" s="485"/>
      <c r="DG1031" s="485"/>
      <c r="DH1031" s="485"/>
      <c r="DI1031" s="485"/>
      <c r="DJ1031" s="485"/>
      <c r="DK1031" s="485"/>
      <c r="DL1031" s="485"/>
      <c r="DM1031" s="485"/>
      <c r="DN1031" s="485"/>
      <c r="DO1031" s="485"/>
      <c r="DP1031" s="485"/>
      <c r="DQ1031" s="485"/>
      <c r="DR1031" s="485"/>
      <c r="DS1031" s="485"/>
      <c r="DT1031" s="485"/>
      <c r="DU1031" s="485"/>
      <c r="DV1031" s="485"/>
      <c r="DW1031" s="485"/>
      <c r="DX1031" s="485"/>
      <c r="DY1031" s="485"/>
      <c r="DZ1031" s="485"/>
      <c r="EA1031" s="485"/>
      <c r="EB1031" s="485"/>
      <c r="EC1031" s="485"/>
      <c r="ED1031" s="485"/>
      <c r="EE1031" s="485"/>
      <c r="EF1031" s="485"/>
      <c r="EG1031" s="485"/>
      <c r="EH1031" s="485"/>
      <c r="EI1031" s="485"/>
      <c r="EJ1031" s="485"/>
      <c r="EK1031" s="485"/>
      <c r="EL1031" s="485"/>
      <c r="EM1031" s="485"/>
      <c r="EN1031" s="485"/>
      <c r="EO1031" s="485"/>
      <c r="EP1031" s="485"/>
    </row>
    <row r="1032" spans="1:146">
      <c r="A1032" s="485"/>
      <c r="B1032" s="485"/>
      <c r="C1032" s="485"/>
      <c r="D1032" s="485"/>
      <c r="E1032" s="485"/>
      <c r="F1032" s="485"/>
      <c r="G1032" s="485"/>
      <c r="H1032" s="485"/>
      <c r="I1032" s="485"/>
      <c r="J1032" s="485"/>
      <c r="K1032" s="485"/>
      <c r="L1032" s="485"/>
      <c r="M1032" s="485"/>
      <c r="P1032" s="485"/>
      <c r="Q1032" s="485"/>
      <c r="R1032" s="485"/>
      <c r="S1032" s="485"/>
      <c r="T1032" s="485"/>
      <c r="U1032" s="485"/>
      <c r="V1032" s="485"/>
      <c r="W1032" s="485"/>
      <c r="X1032" s="485"/>
      <c r="Y1032" s="485"/>
      <c r="Z1032" s="485"/>
      <c r="AA1032" s="485"/>
      <c r="AB1032" s="485"/>
      <c r="AC1032" s="485"/>
      <c r="AD1032" s="485"/>
      <c r="AE1032" s="485"/>
      <c r="AF1032" s="485"/>
      <c r="AG1032" s="485"/>
      <c r="AH1032" s="485"/>
      <c r="AI1032" s="485"/>
      <c r="AJ1032" s="485"/>
      <c r="AK1032" s="485"/>
      <c r="AL1032" s="485"/>
      <c r="AM1032" s="485"/>
      <c r="AN1032" s="485"/>
      <c r="AO1032" s="485"/>
      <c r="AP1032" s="485"/>
      <c r="AQ1032" s="485"/>
      <c r="AR1032" s="485"/>
      <c r="AS1032" s="485"/>
      <c r="AT1032" s="485"/>
      <c r="AU1032" s="485"/>
      <c r="AV1032" s="485"/>
      <c r="AW1032" s="485"/>
      <c r="AX1032" s="485"/>
      <c r="AY1032" s="485"/>
      <c r="AZ1032" s="485"/>
      <c r="BA1032" s="485"/>
      <c r="BB1032" s="485"/>
      <c r="BC1032" s="485"/>
      <c r="BD1032" s="485"/>
      <c r="BE1032" s="485"/>
      <c r="BF1032" s="485"/>
      <c r="BG1032" s="485"/>
      <c r="BH1032" s="485"/>
      <c r="BI1032" s="485"/>
      <c r="BJ1032" s="485"/>
      <c r="BK1032" s="485"/>
      <c r="BL1032" s="485"/>
      <c r="BM1032" s="485"/>
      <c r="BN1032" s="485"/>
      <c r="BO1032" s="485"/>
      <c r="BP1032" s="485"/>
      <c r="BQ1032" s="485"/>
      <c r="BR1032" s="485"/>
      <c r="BS1032" s="485"/>
      <c r="BT1032" s="485"/>
      <c r="BU1032" s="485"/>
      <c r="BV1032" s="485"/>
      <c r="BW1032" s="485"/>
      <c r="BX1032" s="485"/>
      <c r="BY1032" s="485"/>
      <c r="BZ1032" s="485"/>
      <c r="CA1032" s="485"/>
      <c r="CB1032" s="485"/>
      <c r="CC1032" s="485"/>
      <c r="CD1032" s="485"/>
      <c r="CE1032" s="485"/>
      <c r="CF1032" s="485"/>
      <c r="CG1032" s="485"/>
      <c r="CH1032" s="485"/>
      <c r="CI1032" s="485"/>
      <c r="CJ1032" s="485"/>
      <c r="CK1032" s="485"/>
      <c r="CL1032" s="485"/>
      <c r="CM1032" s="485"/>
      <c r="CN1032" s="485"/>
      <c r="CO1032" s="485"/>
      <c r="CP1032" s="485"/>
      <c r="CQ1032" s="485"/>
      <c r="CR1032" s="485"/>
      <c r="CS1032" s="485"/>
      <c r="CT1032" s="485"/>
      <c r="CU1032" s="485"/>
      <c r="CV1032" s="485"/>
      <c r="CW1032" s="485"/>
      <c r="CX1032" s="485"/>
      <c r="CY1032" s="485"/>
      <c r="CZ1032" s="485"/>
      <c r="DA1032" s="485"/>
      <c r="DB1032" s="485"/>
      <c r="DC1032" s="485"/>
      <c r="DD1032" s="485"/>
      <c r="DE1032" s="485"/>
      <c r="DF1032" s="485"/>
      <c r="DG1032" s="485"/>
      <c r="DH1032" s="485"/>
      <c r="DI1032" s="485"/>
      <c r="DJ1032" s="485"/>
      <c r="DK1032" s="485"/>
      <c r="DL1032" s="485"/>
      <c r="DM1032" s="485"/>
      <c r="DN1032" s="485"/>
      <c r="DO1032" s="485"/>
      <c r="DP1032" s="485"/>
      <c r="DQ1032" s="485"/>
      <c r="DR1032" s="485"/>
      <c r="DS1032" s="485"/>
      <c r="DT1032" s="485"/>
      <c r="DU1032" s="485"/>
      <c r="DV1032" s="485"/>
      <c r="DW1032" s="485"/>
      <c r="DX1032" s="485"/>
      <c r="DY1032" s="485"/>
      <c r="DZ1032" s="485"/>
      <c r="EA1032" s="485"/>
      <c r="EB1032" s="485"/>
      <c r="EC1032" s="485"/>
      <c r="ED1032" s="485"/>
      <c r="EE1032" s="485"/>
      <c r="EF1032" s="485"/>
      <c r="EG1032" s="485"/>
      <c r="EH1032" s="485"/>
      <c r="EI1032" s="485"/>
      <c r="EJ1032" s="485"/>
      <c r="EK1032" s="485"/>
      <c r="EL1032" s="485"/>
      <c r="EM1032" s="485"/>
      <c r="EN1032" s="485"/>
      <c r="EO1032" s="485"/>
      <c r="EP1032" s="485"/>
    </row>
    <row r="1033" spans="1:146">
      <c r="A1033" s="485"/>
      <c r="B1033" s="485"/>
      <c r="C1033" s="485"/>
      <c r="D1033" s="485"/>
      <c r="E1033" s="485"/>
      <c r="F1033" s="485"/>
      <c r="G1033" s="485"/>
      <c r="H1033" s="485"/>
      <c r="I1033" s="485"/>
      <c r="J1033" s="485"/>
      <c r="K1033" s="485"/>
      <c r="L1033" s="485"/>
      <c r="M1033" s="485"/>
      <c r="P1033" s="485"/>
      <c r="Q1033" s="485"/>
      <c r="R1033" s="485"/>
      <c r="S1033" s="485"/>
      <c r="T1033" s="485"/>
      <c r="U1033" s="485"/>
      <c r="V1033" s="485"/>
      <c r="W1033" s="485"/>
      <c r="X1033" s="485"/>
      <c r="Y1033" s="485"/>
      <c r="Z1033" s="485"/>
      <c r="AA1033" s="485"/>
      <c r="AB1033" s="485"/>
      <c r="AC1033" s="485"/>
      <c r="AD1033" s="485"/>
      <c r="AE1033" s="485"/>
      <c r="AF1033" s="485"/>
      <c r="AG1033" s="485"/>
      <c r="AH1033" s="485"/>
      <c r="AI1033" s="485"/>
      <c r="AJ1033" s="485"/>
      <c r="AK1033" s="485"/>
      <c r="AL1033" s="485"/>
      <c r="AM1033" s="485"/>
      <c r="AN1033" s="485"/>
      <c r="AO1033" s="485"/>
      <c r="AP1033" s="485"/>
      <c r="AQ1033" s="485"/>
      <c r="AR1033" s="485"/>
      <c r="AS1033" s="485"/>
      <c r="AT1033" s="485"/>
      <c r="AU1033" s="485"/>
      <c r="AV1033" s="485"/>
      <c r="AW1033" s="485"/>
      <c r="AX1033" s="485"/>
      <c r="AY1033" s="485"/>
      <c r="AZ1033" s="485"/>
      <c r="BA1033" s="485"/>
      <c r="BB1033" s="485"/>
      <c r="BC1033" s="485"/>
      <c r="BD1033" s="485"/>
      <c r="BE1033" s="485"/>
      <c r="BF1033" s="485"/>
      <c r="BG1033" s="485"/>
      <c r="BH1033" s="485"/>
      <c r="BI1033" s="485"/>
      <c r="BJ1033" s="485"/>
      <c r="BK1033" s="485"/>
      <c r="BL1033" s="485"/>
      <c r="BM1033" s="485"/>
      <c r="BN1033" s="485"/>
      <c r="BO1033" s="485"/>
      <c r="BP1033" s="485"/>
      <c r="BQ1033" s="485"/>
      <c r="BR1033" s="485"/>
      <c r="BS1033" s="485"/>
      <c r="BT1033" s="485"/>
      <c r="BU1033" s="485"/>
      <c r="BV1033" s="485"/>
      <c r="BW1033" s="485"/>
      <c r="BX1033" s="485"/>
      <c r="BY1033" s="485"/>
      <c r="BZ1033" s="485"/>
      <c r="CA1033" s="485"/>
      <c r="CB1033" s="485"/>
      <c r="CC1033" s="485"/>
      <c r="CD1033" s="485"/>
      <c r="CE1033" s="485"/>
      <c r="CF1033" s="485"/>
      <c r="CG1033" s="485"/>
      <c r="CH1033" s="485"/>
      <c r="CI1033" s="485"/>
      <c r="CJ1033" s="485"/>
      <c r="CK1033" s="485"/>
      <c r="CL1033" s="485"/>
      <c r="CM1033" s="485"/>
      <c r="CN1033" s="485"/>
      <c r="CO1033" s="485"/>
      <c r="CP1033" s="485"/>
      <c r="CQ1033" s="485"/>
      <c r="CR1033" s="485"/>
      <c r="CS1033" s="485"/>
      <c r="CT1033" s="485"/>
      <c r="CU1033" s="485"/>
      <c r="CV1033" s="485"/>
      <c r="CW1033" s="485"/>
      <c r="CX1033" s="485"/>
      <c r="CY1033" s="485"/>
      <c r="CZ1033" s="485"/>
      <c r="DA1033" s="485"/>
      <c r="DB1033" s="485"/>
      <c r="DC1033" s="485"/>
      <c r="DD1033" s="485"/>
      <c r="DE1033" s="485"/>
      <c r="DF1033" s="485"/>
      <c r="DG1033" s="485"/>
      <c r="DH1033" s="485"/>
      <c r="DI1033" s="485"/>
      <c r="DJ1033" s="485"/>
      <c r="DK1033" s="485"/>
      <c r="DL1033" s="485"/>
      <c r="DM1033" s="485"/>
      <c r="DN1033" s="485"/>
      <c r="DO1033" s="485"/>
      <c r="DP1033" s="485"/>
      <c r="DQ1033" s="485"/>
      <c r="DR1033" s="485"/>
      <c r="DS1033" s="485"/>
      <c r="DT1033" s="485"/>
      <c r="DU1033" s="485"/>
      <c r="DV1033" s="485"/>
      <c r="DW1033" s="485"/>
      <c r="DX1033" s="485"/>
      <c r="DY1033" s="485"/>
      <c r="DZ1033" s="485"/>
      <c r="EA1033" s="485"/>
      <c r="EB1033" s="485"/>
      <c r="EC1033" s="485"/>
      <c r="ED1033" s="485"/>
      <c r="EE1033" s="485"/>
      <c r="EF1033" s="485"/>
      <c r="EG1033" s="485"/>
      <c r="EH1033" s="485"/>
      <c r="EI1033" s="485"/>
      <c r="EJ1033" s="485"/>
      <c r="EK1033" s="485"/>
      <c r="EL1033" s="485"/>
      <c r="EM1033" s="485"/>
      <c r="EN1033" s="485"/>
      <c r="EO1033" s="485"/>
      <c r="EP1033" s="485"/>
    </row>
    <row r="1034" spans="1:146">
      <c r="A1034" s="485"/>
      <c r="B1034" s="485"/>
      <c r="C1034" s="485"/>
      <c r="D1034" s="485"/>
      <c r="E1034" s="485"/>
      <c r="F1034" s="485"/>
      <c r="G1034" s="485"/>
      <c r="H1034" s="485"/>
      <c r="I1034" s="485"/>
      <c r="J1034" s="485"/>
      <c r="K1034" s="485"/>
      <c r="L1034" s="485"/>
      <c r="M1034" s="485"/>
      <c r="P1034" s="485"/>
      <c r="Q1034" s="485"/>
      <c r="R1034" s="485"/>
      <c r="S1034" s="485"/>
      <c r="T1034" s="485"/>
      <c r="U1034" s="485"/>
      <c r="V1034" s="485"/>
      <c r="W1034" s="485"/>
      <c r="X1034" s="485"/>
      <c r="Y1034" s="485"/>
      <c r="Z1034" s="485"/>
      <c r="AA1034" s="485"/>
      <c r="AB1034" s="485"/>
      <c r="AC1034" s="485"/>
      <c r="AD1034" s="485"/>
      <c r="AE1034" s="485"/>
      <c r="AF1034" s="485"/>
      <c r="AG1034" s="485"/>
      <c r="AH1034" s="485"/>
      <c r="AI1034" s="485"/>
      <c r="AJ1034" s="485"/>
      <c r="AK1034" s="485"/>
      <c r="AL1034" s="485"/>
      <c r="AM1034" s="485"/>
      <c r="AN1034" s="485"/>
      <c r="AO1034" s="485"/>
      <c r="AP1034" s="485"/>
      <c r="AQ1034" s="485"/>
      <c r="AR1034" s="485"/>
      <c r="AS1034" s="485"/>
      <c r="AT1034" s="485"/>
      <c r="AU1034" s="485"/>
      <c r="AV1034" s="485"/>
      <c r="AW1034" s="485"/>
      <c r="AX1034" s="485"/>
      <c r="AY1034" s="485"/>
      <c r="AZ1034" s="485"/>
      <c r="BA1034" s="485"/>
      <c r="BB1034" s="485"/>
      <c r="BC1034" s="485"/>
      <c r="BD1034" s="485"/>
      <c r="BE1034" s="485"/>
      <c r="BF1034" s="485"/>
      <c r="BG1034" s="485"/>
      <c r="BH1034" s="485"/>
      <c r="BI1034" s="485"/>
      <c r="BJ1034" s="485"/>
      <c r="BK1034" s="485"/>
      <c r="BL1034" s="485"/>
      <c r="BM1034" s="485"/>
      <c r="BN1034" s="485"/>
      <c r="BO1034" s="485"/>
      <c r="BP1034" s="485"/>
      <c r="BQ1034" s="485"/>
      <c r="BR1034" s="485"/>
      <c r="BS1034" s="485"/>
      <c r="BT1034" s="485"/>
      <c r="BU1034" s="485"/>
      <c r="BV1034" s="485"/>
      <c r="BW1034" s="485"/>
      <c r="BX1034" s="485"/>
      <c r="BY1034" s="485"/>
      <c r="BZ1034" s="485"/>
      <c r="CA1034" s="485"/>
      <c r="CB1034" s="485"/>
      <c r="CC1034" s="485"/>
      <c r="CD1034" s="485"/>
      <c r="CE1034" s="485"/>
      <c r="CF1034" s="485"/>
      <c r="CG1034" s="485"/>
      <c r="CH1034" s="485"/>
      <c r="CI1034" s="485"/>
      <c r="CJ1034" s="485"/>
      <c r="CK1034" s="485"/>
      <c r="CL1034" s="485"/>
      <c r="CM1034" s="485"/>
      <c r="CN1034" s="485"/>
      <c r="CO1034" s="485"/>
      <c r="CP1034" s="485"/>
      <c r="CQ1034" s="485"/>
      <c r="CR1034" s="485"/>
      <c r="CS1034" s="485"/>
      <c r="CT1034" s="485"/>
      <c r="CU1034" s="485"/>
      <c r="CV1034" s="485"/>
      <c r="CW1034" s="485"/>
      <c r="CX1034" s="485"/>
      <c r="CY1034" s="485"/>
      <c r="CZ1034" s="485"/>
      <c r="DA1034" s="485"/>
      <c r="DB1034" s="485"/>
      <c r="DC1034" s="485"/>
      <c r="DD1034" s="485"/>
      <c r="DE1034" s="485"/>
      <c r="DF1034" s="485"/>
      <c r="DG1034" s="485"/>
      <c r="DH1034" s="485"/>
      <c r="DI1034" s="485"/>
      <c r="DJ1034" s="485"/>
      <c r="DK1034" s="485"/>
      <c r="DL1034" s="485"/>
      <c r="DM1034" s="485"/>
      <c r="DN1034" s="485"/>
      <c r="DO1034" s="485"/>
      <c r="DP1034" s="485"/>
      <c r="DQ1034" s="485"/>
      <c r="DR1034" s="485"/>
      <c r="DS1034" s="485"/>
      <c r="DT1034" s="485"/>
      <c r="DU1034" s="485"/>
      <c r="DV1034" s="485"/>
      <c r="DW1034" s="485"/>
      <c r="DX1034" s="485"/>
      <c r="DY1034" s="485"/>
      <c r="DZ1034" s="485"/>
      <c r="EA1034" s="485"/>
      <c r="EB1034" s="485"/>
      <c r="EC1034" s="485"/>
      <c r="ED1034" s="485"/>
      <c r="EE1034" s="485"/>
      <c r="EF1034" s="485"/>
      <c r="EG1034" s="485"/>
      <c r="EH1034" s="485"/>
      <c r="EI1034" s="485"/>
      <c r="EJ1034" s="485"/>
      <c r="EK1034" s="485"/>
      <c r="EL1034" s="485"/>
      <c r="EM1034" s="485"/>
      <c r="EN1034" s="485"/>
      <c r="EO1034" s="485"/>
      <c r="EP1034" s="485"/>
    </row>
    <row r="1035" spans="1:146">
      <c r="A1035" s="485"/>
      <c r="B1035" s="485"/>
      <c r="C1035" s="485"/>
      <c r="D1035" s="485"/>
      <c r="E1035" s="485"/>
      <c r="F1035" s="485"/>
      <c r="G1035" s="485"/>
      <c r="H1035" s="485"/>
      <c r="I1035" s="485"/>
      <c r="J1035" s="485"/>
      <c r="K1035" s="485"/>
      <c r="L1035" s="485"/>
      <c r="M1035" s="485"/>
      <c r="P1035" s="485"/>
      <c r="Q1035" s="485"/>
      <c r="R1035" s="485"/>
      <c r="S1035" s="485"/>
      <c r="T1035" s="485"/>
      <c r="U1035" s="485"/>
      <c r="V1035" s="485"/>
      <c r="W1035" s="485"/>
      <c r="X1035" s="485"/>
      <c r="Y1035" s="485"/>
      <c r="Z1035" s="485"/>
      <c r="AA1035" s="485"/>
      <c r="AB1035" s="485"/>
      <c r="AC1035" s="485"/>
      <c r="AD1035" s="485"/>
      <c r="AE1035" s="485"/>
      <c r="AF1035" s="485"/>
      <c r="AG1035" s="485"/>
      <c r="AH1035" s="485"/>
      <c r="AI1035" s="485"/>
      <c r="AJ1035" s="485"/>
      <c r="AK1035" s="485"/>
      <c r="AL1035" s="485"/>
      <c r="AM1035" s="485"/>
      <c r="AN1035" s="485"/>
      <c r="AO1035" s="485"/>
      <c r="AP1035" s="485"/>
      <c r="AQ1035" s="485"/>
      <c r="AR1035" s="485"/>
      <c r="AS1035" s="485"/>
      <c r="AT1035" s="485"/>
      <c r="AU1035" s="485"/>
      <c r="AV1035" s="485"/>
      <c r="AW1035" s="485"/>
      <c r="AX1035" s="485"/>
      <c r="AY1035" s="485"/>
      <c r="AZ1035" s="485"/>
      <c r="BA1035" s="485"/>
      <c r="BB1035" s="485"/>
      <c r="BC1035" s="485"/>
      <c r="BD1035" s="485"/>
      <c r="BE1035" s="485"/>
      <c r="BF1035" s="485"/>
      <c r="BG1035" s="485"/>
      <c r="BH1035" s="485"/>
      <c r="BI1035" s="485"/>
      <c r="BJ1035" s="485"/>
      <c r="BK1035" s="485"/>
      <c r="BL1035" s="485"/>
      <c r="BM1035" s="485"/>
      <c r="BN1035" s="485"/>
      <c r="BO1035" s="485"/>
      <c r="BP1035" s="485"/>
      <c r="BQ1035" s="485"/>
      <c r="BR1035" s="485"/>
      <c r="BS1035" s="485"/>
      <c r="BT1035" s="485"/>
      <c r="BU1035" s="485"/>
      <c r="BV1035" s="485"/>
      <c r="BW1035" s="485"/>
      <c r="BX1035" s="485"/>
      <c r="BY1035" s="485"/>
      <c r="BZ1035" s="485"/>
      <c r="CA1035" s="485"/>
      <c r="CB1035" s="485"/>
      <c r="CC1035" s="485"/>
      <c r="CD1035" s="485"/>
      <c r="CE1035" s="485"/>
      <c r="CF1035" s="485"/>
      <c r="CG1035" s="485"/>
      <c r="CH1035" s="485"/>
      <c r="CI1035" s="485"/>
      <c r="CJ1035" s="485"/>
      <c r="CK1035" s="485"/>
      <c r="CL1035" s="485"/>
      <c r="CM1035" s="485"/>
      <c r="CN1035" s="485"/>
      <c r="CO1035" s="485"/>
      <c r="CP1035" s="485"/>
      <c r="CQ1035" s="485"/>
      <c r="CR1035" s="485"/>
      <c r="CS1035" s="485"/>
      <c r="CT1035" s="485"/>
      <c r="CU1035" s="485"/>
      <c r="CV1035" s="485"/>
      <c r="CW1035" s="485"/>
      <c r="CX1035" s="485"/>
      <c r="CY1035" s="485"/>
      <c r="CZ1035" s="485"/>
      <c r="DA1035" s="485"/>
      <c r="DB1035" s="485"/>
      <c r="DC1035" s="485"/>
      <c r="DD1035" s="485"/>
      <c r="DE1035" s="485"/>
      <c r="DF1035" s="485"/>
      <c r="DG1035" s="485"/>
      <c r="DH1035" s="485"/>
      <c r="DI1035" s="485"/>
      <c r="DJ1035" s="485"/>
      <c r="DK1035" s="485"/>
      <c r="DL1035" s="485"/>
      <c r="DM1035" s="485"/>
      <c r="DN1035" s="485"/>
      <c r="DO1035" s="485"/>
      <c r="DP1035" s="485"/>
      <c r="DQ1035" s="485"/>
      <c r="DR1035" s="485"/>
      <c r="DS1035" s="485"/>
      <c r="DT1035" s="485"/>
      <c r="DU1035" s="485"/>
      <c r="DV1035" s="485"/>
      <c r="DW1035" s="485"/>
      <c r="DX1035" s="485"/>
      <c r="DY1035" s="485"/>
      <c r="DZ1035" s="485"/>
      <c r="EA1035" s="485"/>
      <c r="EB1035" s="485"/>
      <c r="EC1035" s="485"/>
      <c r="ED1035" s="485"/>
      <c r="EE1035" s="485"/>
      <c r="EF1035" s="485"/>
      <c r="EG1035" s="485"/>
      <c r="EH1035" s="485"/>
      <c r="EI1035" s="485"/>
      <c r="EJ1035" s="485"/>
      <c r="EK1035" s="485"/>
      <c r="EL1035" s="485"/>
      <c r="EM1035" s="485"/>
      <c r="EN1035" s="485"/>
      <c r="EO1035" s="485"/>
      <c r="EP1035" s="485"/>
    </row>
    <row r="1036" spans="1:146">
      <c r="A1036" s="485"/>
      <c r="B1036" s="485"/>
      <c r="C1036" s="485"/>
      <c r="D1036" s="485"/>
      <c r="E1036" s="485"/>
      <c r="F1036" s="485"/>
      <c r="G1036" s="485"/>
      <c r="H1036" s="485"/>
      <c r="I1036" s="485"/>
      <c r="J1036" s="485"/>
      <c r="K1036" s="485"/>
      <c r="L1036" s="485"/>
      <c r="M1036" s="485"/>
      <c r="P1036" s="485"/>
      <c r="Q1036" s="485"/>
      <c r="R1036" s="485"/>
      <c r="S1036" s="485"/>
      <c r="T1036" s="485"/>
      <c r="U1036" s="485"/>
      <c r="V1036" s="485"/>
      <c r="W1036" s="485"/>
      <c r="X1036" s="485"/>
      <c r="Y1036" s="485"/>
      <c r="Z1036" s="485"/>
      <c r="AA1036" s="485"/>
      <c r="AB1036" s="485"/>
      <c r="AC1036" s="485"/>
      <c r="AD1036" s="485"/>
      <c r="AE1036" s="485"/>
      <c r="AF1036" s="485"/>
      <c r="AG1036" s="485"/>
      <c r="AH1036" s="485"/>
      <c r="AI1036" s="485"/>
      <c r="AJ1036" s="485"/>
      <c r="AK1036" s="485"/>
      <c r="AL1036" s="485"/>
      <c r="AM1036" s="485"/>
      <c r="AN1036" s="485"/>
      <c r="AO1036" s="485"/>
      <c r="AP1036" s="485"/>
      <c r="AQ1036" s="485"/>
      <c r="AR1036" s="485"/>
      <c r="AS1036" s="485"/>
      <c r="AT1036" s="485"/>
      <c r="AU1036" s="485"/>
      <c r="AV1036" s="485"/>
      <c r="AW1036" s="485"/>
      <c r="AX1036" s="485"/>
      <c r="AY1036" s="485"/>
      <c r="AZ1036" s="485"/>
      <c r="BA1036" s="485"/>
      <c r="BB1036" s="485"/>
      <c r="BC1036" s="485"/>
      <c r="BD1036" s="485"/>
      <c r="BE1036" s="485"/>
      <c r="BF1036" s="485"/>
      <c r="BG1036" s="485"/>
      <c r="BH1036" s="485"/>
      <c r="BI1036" s="485"/>
      <c r="BJ1036" s="485"/>
      <c r="BK1036" s="485"/>
      <c r="BL1036" s="485"/>
      <c r="BM1036" s="485"/>
      <c r="BN1036" s="485"/>
      <c r="BO1036" s="485"/>
      <c r="BP1036" s="485"/>
      <c r="BQ1036" s="485"/>
      <c r="BR1036" s="485"/>
      <c r="BS1036" s="485"/>
      <c r="BT1036" s="485"/>
      <c r="BU1036" s="485"/>
      <c r="BV1036" s="485"/>
      <c r="BW1036" s="485"/>
      <c r="BX1036" s="485"/>
      <c r="BY1036" s="485"/>
      <c r="BZ1036" s="485"/>
      <c r="CA1036" s="485"/>
      <c r="CB1036" s="485"/>
      <c r="CC1036" s="485"/>
      <c r="CD1036" s="485"/>
      <c r="CE1036" s="485"/>
      <c r="CF1036" s="485"/>
      <c r="CG1036" s="485"/>
      <c r="CH1036" s="485"/>
      <c r="CI1036" s="485"/>
      <c r="CJ1036" s="485"/>
      <c r="CK1036" s="485"/>
      <c r="CL1036" s="485"/>
      <c r="CM1036" s="485"/>
      <c r="CN1036" s="485"/>
      <c r="CO1036" s="485"/>
      <c r="CP1036" s="485"/>
      <c r="CQ1036" s="485"/>
      <c r="CR1036" s="485"/>
      <c r="CS1036" s="485"/>
      <c r="CT1036" s="485"/>
      <c r="CU1036" s="485"/>
      <c r="CV1036" s="485"/>
      <c r="CW1036" s="485"/>
      <c r="CX1036" s="485"/>
      <c r="CY1036" s="485"/>
      <c r="CZ1036" s="485"/>
      <c r="DA1036" s="485"/>
      <c r="DB1036" s="485"/>
      <c r="DC1036" s="485"/>
      <c r="DD1036" s="485"/>
      <c r="DE1036" s="485"/>
      <c r="DF1036" s="485"/>
      <c r="DG1036" s="485"/>
      <c r="DH1036" s="485"/>
      <c r="DI1036" s="485"/>
      <c r="DJ1036" s="485"/>
      <c r="DK1036" s="485"/>
      <c r="DL1036" s="485"/>
      <c r="DM1036" s="485"/>
      <c r="DN1036" s="485"/>
      <c r="DO1036" s="485"/>
      <c r="DP1036" s="485"/>
      <c r="DQ1036" s="485"/>
      <c r="DR1036" s="485"/>
      <c r="DS1036" s="485"/>
      <c r="DT1036" s="485"/>
      <c r="DU1036" s="485"/>
      <c r="DV1036" s="485"/>
      <c r="DW1036" s="485"/>
      <c r="DX1036" s="485"/>
      <c r="DY1036" s="485"/>
      <c r="DZ1036" s="485"/>
      <c r="EA1036" s="485"/>
      <c r="EB1036" s="485"/>
      <c r="EC1036" s="485"/>
      <c r="ED1036" s="485"/>
      <c r="EE1036" s="485"/>
      <c r="EF1036" s="485"/>
      <c r="EG1036" s="485"/>
      <c r="EH1036" s="485"/>
      <c r="EI1036" s="485"/>
      <c r="EJ1036" s="485"/>
      <c r="EK1036" s="485"/>
      <c r="EL1036" s="485"/>
      <c r="EM1036" s="485"/>
      <c r="EN1036" s="485"/>
      <c r="EO1036" s="485"/>
      <c r="EP1036" s="485"/>
    </row>
    <row r="1037" spans="1:146">
      <c r="A1037" s="485"/>
      <c r="B1037" s="485"/>
      <c r="C1037" s="485"/>
      <c r="D1037" s="485"/>
      <c r="E1037" s="485"/>
      <c r="F1037" s="485"/>
      <c r="G1037" s="485"/>
      <c r="H1037" s="485"/>
      <c r="I1037" s="485"/>
      <c r="J1037" s="485"/>
      <c r="K1037" s="485"/>
      <c r="L1037" s="485"/>
      <c r="M1037" s="485"/>
      <c r="P1037" s="485"/>
      <c r="Q1037" s="485"/>
      <c r="R1037" s="485"/>
      <c r="S1037" s="485"/>
      <c r="T1037" s="485"/>
      <c r="U1037" s="485"/>
      <c r="V1037" s="485"/>
      <c r="W1037" s="485"/>
      <c r="X1037" s="485"/>
      <c r="Y1037" s="485"/>
      <c r="Z1037" s="485"/>
      <c r="AA1037" s="485"/>
      <c r="AB1037" s="485"/>
      <c r="AC1037" s="485"/>
      <c r="AD1037" s="485"/>
      <c r="AE1037" s="485"/>
      <c r="AF1037" s="485"/>
      <c r="AG1037" s="485"/>
      <c r="AH1037" s="485"/>
      <c r="AI1037" s="485"/>
      <c r="AJ1037" s="485"/>
      <c r="AK1037" s="485"/>
      <c r="AL1037" s="485"/>
      <c r="AM1037" s="485"/>
      <c r="AN1037" s="485"/>
      <c r="AO1037" s="485"/>
      <c r="AP1037" s="485"/>
      <c r="AQ1037" s="485"/>
      <c r="AR1037" s="485"/>
      <c r="AS1037" s="485"/>
      <c r="AT1037" s="485"/>
      <c r="AU1037" s="485"/>
      <c r="AV1037" s="485"/>
      <c r="AW1037" s="485"/>
      <c r="AX1037" s="485"/>
      <c r="AY1037" s="485"/>
      <c r="AZ1037" s="485"/>
      <c r="BA1037" s="485"/>
      <c r="BB1037" s="485"/>
      <c r="BC1037" s="485"/>
      <c r="BD1037" s="485"/>
      <c r="BE1037" s="485"/>
      <c r="BF1037" s="485"/>
      <c r="BG1037" s="485"/>
      <c r="BH1037" s="485"/>
      <c r="BI1037" s="485"/>
      <c r="BJ1037" s="485"/>
      <c r="BK1037" s="485"/>
      <c r="BL1037" s="485"/>
      <c r="BM1037" s="485"/>
      <c r="BN1037" s="485"/>
      <c r="BO1037" s="485"/>
      <c r="BP1037" s="485"/>
      <c r="BQ1037" s="485"/>
      <c r="BR1037" s="485"/>
      <c r="BS1037" s="485"/>
      <c r="BT1037" s="485"/>
      <c r="BU1037" s="485"/>
      <c r="BV1037" s="485"/>
      <c r="BW1037" s="485"/>
      <c r="BX1037" s="485"/>
      <c r="BY1037" s="485"/>
      <c r="BZ1037" s="485"/>
      <c r="CA1037" s="485"/>
      <c r="CB1037" s="485"/>
      <c r="CC1037" s="485"/>
      <c r="CD1037" s="485"/>
      <c r="CE1037" s="485"/>
      <c r="CF1037" s="485"/>
      <c r="CG1037" s="485"/>
      <c r="CH1037" s="485"/>
      <c r="CI1037" s="485"/>
      <c r="CJ1037" s="485"/>
      <c r="CK1037" s="485"/>
      <c r="CL1037" s="485"/>
      <c r="CM1037" s="485"/>
      <c r="CN1037" s="485"/>
      <c r="CO1037" s="485"/>
      <c r="CP1037" s="485"/>
      <c r="CQ1037" s="485"/>
      <c r="CR1037" s="485"/>
      <c r="CS1037" s="485"/>
      <c r="CT1037" s="485"/>
      <c r="CU1037" s="485"/>
      <c r="CV1037" s="485"/>
      <c r="CW1037" s="485"/>
      <c r="CX1037" s="485"/>
      <c r="CY1037" s="485"/>
      <c r="CZ1037" s="485"/>
      <c r="DA1037" s="485"/>
      <c r="DB1037" s="485"/>
      <c r="DC1037" s="485"/>
      <c r="DD1037" s="485"/>
      <c r="DE1037" s="485"/>
      <c r="DF1037" s="485"/>
      <c r="DG1037" s="485"/>
      <c r="DH1037" s="485"/>
      <c r="DI1037" s="485"/>
      <c r="DJ1037" s="485"/>
      <c r="DK1037" s="485"/>
      <c r="DL1037" s="485"/>
      <c r="DM1037" s="485"/>
      <c r="DN1037" s="485"/>
      <c r="DO1037" s="485"/>
      <c r="DP1037" s="485"/>
      <c r="DQ1037" s="485"/>
      <c r="DR1037" s="485"/>
      <c r="DS1037" s="485"/>
      <c r="DT1037" s="485"/>
      <c r="DU1037" s="485"/>
      <c r="DV1037" s="485"/>
      <c r="DW1037" s="485"/>
      <c r="DX1037" s="485"/>
      <c r="DY1037" s="485"/>
      <c r="DZ1037" s="485"/>
      <c r="EA1037" s="485"/>
      <c r="EB1037" s="485"/>
      <c r="EC1037" s="485"/>
      <c r="ED1037" s="485"/>
      <c r="EE1037" s="485"/>
      <c r="EF1037" s="485"/>
      <c r="EG1037" s="485"/>
      <c r="EH1037" s="485"/>
      <c r="EI1037" s="485"/>
      <c r="EJ1037" s="485"/>
      <c r="EK1037" s="485"/>
      <c r="EL1037" s="485"/>
      <c r="EM1037" s="485"/>
      <c r="EN1037" s="485"/>
      <c r="EO1037" s="485"/>
      <c r="EP1037" s="485"/>
    </row>
    <row r="1038" spans="1:146">
      <c r="A1038" s="485"/>
      <c r="B1038" s="485"/>
      <c r="C1038" s="485"/>
      <c r="D1038" s="485"/>
      <c r="E1038" s="485"/>
      <c r="F1038" s="485"/>
      <c r="G1038" s="485"/>
      <c r="H1038" s="485"/>
      <c r="I1038" s="485"/>
      <c r="J1038" s="485"/>
      <c r="K1038" s="485"/>
      <c r="L1038" s="485"/>
      <c r="M1038" s="485"/>
      <c r="P1038" s="485"/>
      <c r="Q1038" s="485"/>
      <c r="R1038" s="485"/>
      <c r="S1038" s="485"/>
      <c r="T1038" s="485"/>
      <c r="U1038" s="485"/>
      <c r="V1038" s="485"/>
      <c r="W1038" s="485"/>
      <c r="X1038" s="485"/>
      <c r="Y1038" s="485"/>
      <c r="Z1038" s="485"/>
      <c r="AA1038" s="485"/>
      <c r="AB1038" s="485"/>
      <c r="AC1038" s="485"/>
      <c r="AD1038" s="485"/>
      <c r="AE1038" s="485"/>
      <c r="AF1038" s="485"/>
      <c r="AG1038" s="485"/>
      <c r="AH1038" s="485"/>
      <c r="AI1038" s="485"/>
      <c r="AJ1038" s="485"/>
      <c r="AK1038" s="485"/>
      <c r="AL1038" s="485"/>
      <c r="AM1038" s="485"/>
      <c r="AN1038" s="485"/>
      <c r="AO1038" s="485"/>
      <c r="AP1038" s="485"/>
      <c r="AQ1038" s="485"/>
      <c r="AR1038" s="485"/>
      <c r="AS1038" s="485"/>
      <c r="AT1038" s="485"/>
      <c r="AU1038" s="485"/>
      <c r="AV1038" s="485"/>
      <c r="AW1038" s="485"/>
      <c r="AX1038" s="485"/>
      <c r="AY1038" s="485"/>
      <c r="AZ1038" s="485"/>
      <c r="BA1038" s="485"/>
      <c r="BB1038" s="485"/>
      <c r="BC1038" s="485"/>
      <c r="BD1038" s="485"/>
      <c r="BE1038" s="485"/>
      <c r="BF1038" s="485"/>
      <c r="BG1038" s="485"/>
      <c r="BH1038" s="485"/>
      <c r="BI1038" s="485"/>
      <c r="BJ1038" s="485"/>
      <c r="BK1038" s="485"/>
      <c r="BL1038" s="485"/>
      <c r="BM1038" s="485"/>
      <c r="BN1038" s="485"/>
      <c r="BO1038" s="485"/>
      <c r="BP1038" s="485"/>
      <c r="BQ1038" s="485"/>
      <c r="BR1038" s="485"/>
      <c r="BS1038" s="485"/>
      <c r="BT1038" s="485"/>
      <c r="BU1038" s="485"/>
      <c r="BV1038" s="485"/>
      <c r="BW1038" s="485"/>
      <c r="BX1038" s="485"/>
      <c r="BY1038" s="485"/>
      <c r="BZ1038" s="485"/>
      <c r="CA1038" s="485"/>
      <c r="CB1038" s="485"/>
      <c r="CC1038" s="485"/>
      <c r="CD1038" s="485"/>
      <c r="CE1038" s="485"/>
      <c r="CF1038" s="485"/>
      <c r="CG1038" s="485"/>
      <c r="CH1038" s="485"/>
      <c r="CI1038" s="485"/>
      <c r="CJ1038" s="485"/>
      <c r="CK1038" s="485"/>
      <c r="CL1038" s="485"/>
      <c r="CM1038" s="485"/>
      <c r="CN1038" s="485"/>
      <c r="CO1038" s="485"/>
      <c r="CP1038" s="485"/>
      <c r="CQ1038" s="485"/>
      <c r="CR1038" s="485"/>
      <c r="CS1038" s="485"/>
      <c r="CT1038" s="485"/>
      <c r="CU1038" s="485"/>
      <c r="CV1038" s="485"/>
      <c r="CW1038" s="485"/>
      <c r="CX1038" s="485"/>
      <c r="CY1038" s="485"/>
      <c r="CZ1038" s="485"/>
      <c r="DA1038" s="485"/>
      <c r="DB1038" s="485"/>
      <c r="DC1038" s="485"/>
      <c r="DD1038" s="485"/>
      <c r="DE1038" s="485"/>
      <c r="DF1038" s="485"/>
      <c r="DG1038" s="485"/>
      <c r="DH1038" s="485"/>
      <c r="DI1038" s="485"/>
      <c r="DJ1038" s="485"/>
      <c r="DK1038" s="485"/>
      <c r="DL1038" s="485"/>
      <c r="DM1038" s="485"/>
      <c r="DN1038" s="485"/>
      <c r="DO1038" s="485"/>
      <c r="DP1038" s="485"/>
      <c r="DQ1038" s="485"/>
      <c r="DR1038" s="485"/>
      <c r="DS1038" s="485"/>
      <c r="DT1038" s="485"/>
      <c r="DU1038" s="485"/>
      <c r="DV1038" s="485"/>
      <c r="DW1038" s="485"/>
      <c r="DX1038" s="485"/>
      <c r="DY1038" s="485"/>
      <c r="DZ1038" s="485"/>
      <c r="EA1038" s="485"/>
      <c r="EB1038" s="485"/>
      <c r="EC1038" s="485"/>
      <c r="ED1038" s="485"/>
      <c r="EE1038" s="485"/>
      <c r="EF1038" s="485"/>
      <c r="EG1038" s="485"/>
      <c r="EH1038" s="485"/>
      <c r="EI1038" s="485"/>
      <c r="EJ1038" s="485"/>
      <c r="EK1038" s="485"/>
      <c r="EL1038" s="485"/>
      <c r="EM1038" s="485"/>
      <c r="EN1038" s="485"/>
      <c r="EO1038" s="485"/>
      <c r="EP1038" s="485"/>
    </row>
    <row r="1039" spans="1:146">
      <c r="A1039" s="485"/>
      <c r="B1039" s="485"/>
      <c r="C1039" s="485"/>
      <c r="D1039" s="485"/>
      <c r="E1039" s="485"/>
      <c r="F1039" s="485"/>
      <c r="G1039" s="485"/>
      <c r="H1039" s="485"/>
      <c r="I1039" s="485"/>
      <c r="J1039" s="485"/>
      <c r="K1039" s="485"/>
      <c r="L1039" s="485"/>
      <c r="M1039" s="485"/>
      <c r="P1039" s="485"/>
      <c r="Q1039" s="485"/>
      <c r="R1039" s="485"/>
      <c r="S1039" s="485"/>
      <c r="T1039" s="485"/>
      <c r="U1039" s="485"/>
      <c r="V1039" s="485"/>
      <c r="W1039" s="485"/>
      <c r="X1039" s="485"/>
      <c r="Y1039" s="485"/>
      <c r="Z1039" s="485"/>
      <c r="AA1039" s="485"/>
      <c r="AB1039" s="485"/>
      <c r="AC1039" s="485"/>
      <c r="AD1039" s="485"/>
      <c r="AE1039" s="485"/>
      <c r="AF1039" s="485"/>
      <c r="AG1039" s="485"/>
      <c r="AH1039" s="485"/>
      <c r="AI1039" s="485"/>
      <c r="AJ1039" s="485"/>
      <c r="AK1039" s="485"/>
      <c r="AL1039" s="485"/>
      <c r="AM1039" s="485"/>
      <c r="AN1039" s="485"/>
      <c r="AO1039" s="485"/>
      <c r="AP1039" s="485"/>
      <c r="AQ1039" s="485"/>
      <c r="AR1039" s="485"/>
      <c r="AS1039" s="485"/>
      <c r="AT1039" s="485"/>
      <c r="AU1039" s="485"/>
      <c r="AV1039" s="485"/>
      <c r="AW1039" s="485"/>
      <c r="AX1039" s="485"/>
      <c r="AY1039" s="485"/>
      <c r="AZ1039" s="485"/>
      <c r="BA1039" s="485"/>
      <c r="BB1039" s="485"/>
      <c r="BC1039" s="485"/>
      <c r="BD1039" s="485"/>
      <c r="BE1039" s="485"/>
      <c r="BF1039" s="485"/>
      <c r="BG1039" s="485"/>
      <c r="BH1039" s="485"/>
      <c r="BI1039" s="485"/>
      <c r="BJ1039" s="485"/>
      <c r="BK1039" s="485"/>
      <c r="BL1039" s="485"/>
      <c r="BM1039" s="485"/>
      <c r="BN1039" s="485"/>
      <c r="BO1039" s="485"/>
      <c r="BP1039" s="485"/>
      <c r="BQ1039" s="485"/>
      <c r="BR1039" s="485"/>
      <c r="BS1039" s="485"/>
      <c r="BT1039" s="485"/>
      <c r="BU1039" s="485"/>
      <c r="BV1039" s="485"/>
      <c r="BW1039" s="485"/>
      <c r="BX1039" s="485"/>
      <c r="BY1039" s="485"/>
      <c r="BZ1039" s="485"/>
      <c r="CA1039" s="485"/>
      <c r="CB1039" s="485"/>
      <c r="CC1039" s="485"/>
      <c r="CD1039" s="485"/>
      <c r="CE1039" s="485"/>
      <c r="CF1039" s="485"/>
      <c r="CG1039" s="485"/>
      <c r="CH1039" s="485"/>
      <c r="CI1039" s="485"/>
      <c r="CJ1039" s="485"/>
      <c r="CK1039" s="485"/>
      <c r="CL1039" s="485"/>
      <c r="CM1039" s="485"/>
      <c r="CN1039" s="485"/>
      <c r="CO1039" s="485"/>
      <c r="CP1039" s="485"/>
      <c r="CQ1039" s="485"/>
      <c r="CR1039" s="485"/>
      <c r="CS1039" s="485"/>
      <c r="CT1039" s="485"/>
      <c r="CU1039" s="485"/>
      <c r="CV1039" s="485"/>
      <c r="CW1039" s="485"/>
      <c r="CX1039" s="485"/>
      <c r="CY1039" s="485"/>
      <c r="CZ1039" s="485"/>
      <c r="DA1039" s="485"/>
      <c r="DB1039" s="485"/>
      <c r="DC1039" s="485"/>
      <c r="DD1039" s="485"/>
      <c r="DE1039" s="485"/>
      <c r="DF1039" s="485"/>
      <c r="DG1039" s="485"/>
      <c r="DH1039" s="485"/>
      <c r="DI1039" s="485"/>
      <c r="DJ1039" s="485"/>
      <c r="DK1039" s="485"/>
      <c r="DL1039" s="485"/>
      <c r="DM1039" s="485"/>
      <c r="DN1039" s="485"/>
      <c r="DO1039" s="485"/>
      <c r="DP1039" s="485"/>
      <c r="DQ1039" s="485"/>
      <c r="DR1039" s="485"/>
      <c r="DS1039" s="485"/>
      <c r="DT1039" s="485"/>
      <c r="DU1039" s="485"/>
      <c r="DV1039" s="485"/>
      <c r="DW1039" s="485"/>
      <c r="DX1039" s="485"/>
      <c r="DY1039" s="485"/>
      <c r="DZ1039" s="485"/>
      <c r="EA1039" s="485"/>
      <c r="EB1039" s="485"/>
      <c r="EC1039" s="485"/>
      <c r="ED1039" s="485"/>
      <c r="EE1039" s="485"/>
      <c r="EF1039" s="485"/>
      <c r="EG1039" s="485"/>
      <c r="EH1039" s="485"/>
      <c r="EI1039" s="485"/>
      <c r="EJ1039" s="485"/>
      <c r="EK1039" s="485"/>
      <c r="EL1039" s="485"/>
      <c r="EM1039" s="485"/>
      <c r="EN1039" s="485"/>
      <c r="EO1039" s="485"/>
      <c r="EP1039" s="485"/>
    </row>
    <row r="1040" spans="1:146">
      <c r="A1040" s="485"/>
      <c r="B1040" s="485"/>
      <c r="C1040" s="485"/>
      <c r="D1040" s="485"/>
      <c r="E1040" s="485"/>
      <c r="F1040" s="485"/>
      <c r="G1040" s="485"/>
      <c r="H1040" s="485"/>
      <c r="I1040" s="485"/>
      <c r="J1040" s="485"/>
      <c r="K1040" s="485"/>
      <c r="L1040" s="485"/>
      <c r="M1040" s="485"/>
      <c r="P1040" s="485"/>
      <c r="Q1040" s="485"/>
      <c r="R1040" s="485"/>
      <c r="S1040" s="485"/>
      <c r="T1040" s="485"/>
      <c r="U1040" s="485"/>
      <c r="V1040" s="485"/>
      <c r="W1040" s="485"/>
      <c r="X1040" s="485"/>
      <c r="Y1040" s="485"/>
      <c r="Z1040" s="485"/>
      <c r="AA1040" s="485"/>
      <c r="AB1040" s="485"/>
      <c r="AC1040" s="485"/>
      <c r="AD1040" s="485"/>
      <c r="AE1040" s="485"/>
      <c r="AF1040" s="485"/>
      <c r="AG1040" s="485"/>
      <c r="AH1040" s="485"/>
      <c r="AI1040" s="485"/>
      <c r="AJ1040" s="485"/>
      <c r="AK1040" s="485"/>
      <c r="AL1040" s="485"/>
      <c r="AM1040" s="485"/>
      <c r="AN1040" s="485"/>
      <c r="AO1040" s="485"/>
      <c r="AP1040" s="485"/>
      <c r="AQ1040" s="485"/>
      <c r="AR1040" s="485"/>
      <c r="AS1040" s="485"/>
      <c r="AT1040" s="485"/>
      <c r="AU1040" s="485"/>
      <c r="AV1040" s="485"/>
      <c r="AW1040" s="485"/>
      <c r="AX1040" s="485"/>
      <c r="AY1040" s="485"/>
      <c r="AZ1040" s="485"/>
      <c r="BA1040" s="485"/>
      <c r="BB1040" s="485"/>
      <c r="BC1040" s="485"/>
      <c r="BD1040" s="485"/>
      <c r="BE1040" s="485"/>
      <c r="BF1040" s="485"/>
      <c r="BG1040" s="485"/>
      <c r="BH1040" s="485"/>
      <c r="BI1040" s="485"/>
      <c r="BJ1040" s="485"/>
      <c r="BK1040" s="485"/>
      <c r="BL1040" s="485"/>
      <c r="BM1040" s="485"/>
      <c r="BN1040" s="485"/>
      <c r="BO1040" s="485"/>
      <c r="BP1040" s="485"/>
      <c r="BQ1040" s="485"/>
      <c r="BR1040" s="485"/>
      <c r="BS1040" s="485"/>
      <c r="BT1040" s="485"/>
      <c r="BU1040" s="485"/>
      <c r="BV1040" s="485"/>
      <c r="BW1040" s="485"/>
      <c r="BX1040" s="485"/>
      <c r="BY1040" s="485"/>
      <c r="BZ1040" s="485"/>
      <c r="CA1040" s="485"/>
      <c r="CB1040" s="485"/>
      <c r="CC1040" s="485"/>
      <c r="CD1040" s="485"/>
      <c r="CE1040" s="485"/>
      <c r="CF1040" s="485"/>
      <c r="CG1040" s="485"/>
      <c r="CH1040" s="485"/>
      <c r="CI1040" s="485"/>
      <c r="CJ1040" s="485"/>
      <c r="CK1040" s="485"/>
      <c r="CL1040" s="485"/>
      <c r="CM1040" s="485"/>
      <c r="CN1040" s="485"/>
      <c r="CO1040" s="485"/>
      <c r="CP1040" s="485"/>
      <c r="CQ1040" s="485"/>
      <c r="CR1040" s="485"/>
      <c r="CS1040" s="485"/>
      <c r="CT1040" s="485"/>
      <c r="CU1040" s="485"/>
      <c r="CV1040" s="485"/>
      <c r="CW1040" s="485"/>
      <c r="CX1040" s="485"/>
      <c r="CY1040" s="485"/>
      <c r="CZ1040" s="485"/>
      <c r="DA1040" s="485"/>
      <c r="DB1040" s="485"/>
      <c r="DC1040" s="485"/>
      <c r="DD1040" s="485"/>
      <c r="DE1040" s="485"/>
      <c r="DF1040" s="485"/>
      <c r="DG1040" s="485"/>
      <c r="DH1040" s="485"/>
      <c r="DI1040" s="485"/>
      <c r="DJ1040" s="485"/>
      <c r="DK1040" s="485"/>
      <c r="DL1040" s="485"/>
      <c r="DM1040" s="485"/>
      <c r="DN1040" s="485"/>
      <c r="DO1040" s="485"/>
      <c r="DP1040" s="485"/>
      <c r="DQ1040" s="485"/>
      <c r="DR1040" s="485"/>
      <c r="DS1040" s="485"/>
      <c r="DT1040" s="485"/>
      <c r="DU1040" s="485"/>
      <c r="DV1040" s="485"/>
      <c r="DW1040" s="485"/>
      <c r="DX1040" s="485"/>
      <c r="DY1040" s="485"/>
      <c r="DZ1040" s="485"/>
      <c r="EA1040" s="485"/>
      <c r="EB1040" s="485"/>
      <c r="EC1040" s="485"/>
      <c r="ED1040" s="485"/>
      <c r="EE1040" s="485"/>
      <c r="EF1040" s="485"/>
      <c r="EG1040" s="485"/>
      <c r="EH1040" s="485"/>
      <c r="EI1040" s="485"/>
      <c r="EJ1040" s="485"/>
      <c r="EK1040" s="485"/>
      <c r="EL1040" s="485"/>
      <c r="EM1040" s="485"/>
      <c r="EN1040" s="485"/>
      <c r="EO1040" s="485"/>
      <c r="EP1040" s="485"/>
    </row>
    <row r="1041" spans="1:146">
      <c r="A1041" s="485"/>
      <c r="B1041" s="485"/>
      <c r="C1041" s="485"/>
      <c r="D1041" s="485"/>
      <c r="E1041" s="485"/>
      <c r="F1041" s="485"/>
      <c r="G1041" s="485"/>
      <c r="H1041" s="485"/>
      <c r="I1041" s="485"/>
      <c r="J1041" s="485"/>
      <c r="K1041" s="485"/>
      <c r="L1041" s="485"/>
      <c r="M1041" s="485"/>
      <c r="P1041" s="485"/>
      <c r="Q1041" s="485"/>
      <c r="R1041" s="485"/>
      <c r="S1041" s="485"/>
      <c r="T1041" s="485"/>
      <c r="U1041" s="485"/>
      <c r="V1041" s="485"/>
      <c r="W1041" s="485"/>
      <c r="X1041" s="485"/>
      <c r="Y1041" s="485"/>
      <c r="Z1041" s="485"/>
      <c r="AA1041" s="485"/>
      <c r="AB1041" s="485"/>
      <c r="AC1041" s="485"/>
      <c r="AD1041" s="485"/>
      <c r="AE1041" s="485"/>
      <c r="AF1041" s="485"/>
      <c r="AG1041" s="485"/>
      <c r="AH1041" s="485"/>
      <c r="AI1041" s="485"/>
      <c r="AJ1041" s="485"/>
      <c r="AK1041" s="485"/>
      <c r="AL1041" s="485"/>
      <c r="AM1041" s="485"/>
      <c r="AN1041" s="485"/>
      <c r="AO1041" s="485"/>
      <c r="AP1041" s="485"/>
      <c r="AQ1041" s="485"/>
      <c r="AR1041" s="485"/>
      <c r="AS1041" s="485"/>
      <c r="AT1041" s="485"/>
      <c r="AU1041" s="485"/>
      <c r="AV1041" s="485"/>
      <c r="AW1041" s="485"/>
      <c r="AX1041" s="485"/>
      <c r="AY1041" s="485"/>
      <c r="AZ1041" s="485"/>
      <c r="BA1041" s="485"/>
      <c r="BB1041" s="485"/>
      <c r="BC1041" s="485"/>
      <c r="BD1041" s="485"/>
      <c r="BE1041" s="485"/>
      <c r="BF1041" s="485"/>
      <c r="BG1041" s="485"/>
      <c r="BH1041" s="485"/>
      <c r="BI1041" s="485"/>
      <c r="BJ1041" s="485"/>
      <c r="BK1041" s="485"/>
      <c r="BL1041" s="485"/>
      <c r="BM1041" s="485"/>
      <c r="BN1041" s="485"/>
      <c r="BO1041" s="485"/>
      <c r="BP1041" s="485"/>
      <c r="BQ1041" s="485"/>
      <c r="BR1041" s="485"/>
      <c r="BS1041" s="485"/>
      <c r="BT1041" s="485"/>
      <c r="BU1041" s="485"/>
      <c r="BV1041" s="485"/>
      <c r="BW1041" s="485"/>
      <c r="BX1041" s="485"/>
      <c r="BY1041" s="485"/>
      <c r="BZ1041" s="485"/>
      <c r="CA1041" s="485"/>
      <c r="CB1041" s="485"/>
      <c r="CC1041" s="485"/>
      <c r="CD1041" s="485"/>
      <c r="CE1041" s="485"/>
      <c r="CF1041" s="485"/>
      <c r="CG1041" s="485"/>
      <c r="CH1041" s="485"/>
      <c r="CI1041" s="485"/>
      <c r="CJ1041" s="485"/>
      <c r="CK1041" s="485"/>
      <c r="CL1041" s="485"/>
      <c r="CM1041" s="485"/>
      <c r="CN1041" s="485"/>
      <c r="CO1041" s="485"/>
      <c r="CP1041" s="485"/>
      <c r="CQ1041" s="485"/>
      <c r="CR1041" s="485"/>
      <c r="CS1041" s="485"/>
      <c r="CT1041" s="485"/>
      <c r="CU1041" s="485"/>
      <c r="CV1041" s="485"/>
      <c r="CW1041" s="485"/>
      <c r="CX1041" s="485"/>
      <c r="CY1041" s="485"/>
      <c r="CZ1041" s="485"/>
      <c r="DA1041" s="485"/>
      <c r="DB1041" s="485"/>
      <c r="DC1041" s="485"/>
      <c r="DD1041" s="485"/>
      <c r="DE1041" s="485"/>
      <c r="DF1041" s="485"/>
      <c r="DG1041" s="485"/>
      <c r="DH1041" s="485"/>
      <c r="DI1041" s="485"/>
      <c r="DJ1041" s="485"/>
      <c r="DK1041" s="485"/>
      <c r="DL1041" s="485"/>
      <c r="DM1041" s="485"/>
      <c r="DN1041" s="485"/>
      <c r="DO1041" s="485"/>
      <c r="DP1041" s="485"/>
      <c r="DQ1041" s="485"/>
      <c r="DR1041" s="485"/>
      <c r="DS1041" s="485"/>
      <c r="DT1041" s="485"/>
      <c r="DU1041" s="485"/>
      <c r="DV1041" s="485"/>
      <c r="DW1041" s="485"/>
      <c r="DX1041" s="485"/>
      <c r="DY1041" s="485"/>
      <c r="DZ1041" s="485"/>
      <c r="EA1041" s="485"/>
      <c r="EB1041" s="485"/>
      <c r="EC1041" s="485"/>
      <c r="ED1041" s="485"/>
      <c r="EE1041" s="485"/>
      <c r="EF1041" s="485"/>
      <c r="EG1041" s="485"/>
      <c r="EH1041" s="485"/>
      <c r="EI1041" s="485"/>
      <c r="EJ1041" s="485"/>
      <c r="EK1041" s="485"/>
      <c r="EL1041" s="485"/>
      <c r="EM1041" s="485"/>
      <c r="EN1041" s="485"/>
      <c r="EO1041" s="485"/>
      <c r="EP1041" s="485"/>
    </row>
    <row r="1042" spans="1:146">
      <c r="A1042" s="485"/>
      <c r="B1042" s="485"/>
      <c r="C1042" s="485"/>
      <c r="D1042" s="485"/>
      <c r="E1042" s="485"/>
      <c r="F1042" s="485"/>
      <c r="G1042" s="485"/>
      <c r="H1042" s="485"/>
      <c r="I1042" s="485"/>
      <c r="J1042" s="485"/>
      <c r="K1042" s="485"/>
      <c r="L1042" s="485"/>
      <c r="M1042" s="485"/>
      <c r="P1042" s="485"/>
      <c r="Q1042" s="485"/>
      <c r="R1042" s="485"/>
      <c r="S1042" s="485"/>
      <c r="T1042" s="485"/>
      <c r="U1042" s="485"/>
      <c r="V1042" s="485"/>
      <c r="W1042" s="485"/>
      <c r="X1042" s="485"/>
      <c r="Y1042" s="485"/>
      <c r="Z1042" s="485"/>
      <c r="AA1042" s="485"/>
      <c r="AB1042" s="485"/>
      <c r="AC1042" s="485"/>
      <c r="AD1042" s="485"/>
      <c r="AE1042" s="485"/>
      <c r="AF1042" s="485"/>
      <c r="AG1042" s="485"/>
      <c r="AH1042" s="485"/>
      <c r="AI1042" s="485"/>
      <c r="AJ1042" s="485"/>
      <c r="AK1042" s="485"/>
      <c r="AL1042" s="485"/>
      <c r="AM1042" s="485"/>
      <c r="AN1042" s="485"/>
      <c r="AO1042" s="485"/>
      <c r="AP1042" s="485"/>
      <c r="AQ1042" s="485"/>
      <c r="AR1042" s="485"/>
      <c r="AS1042" s="485"/>
      <c r="AT1042" s="485"/>
      <c r="AU1042" s="485"/>
      <c r="AV1042" s="485"/>
      <c r="AW1042" s="485"/>
      <c r="AX1042" s="485"/>
      <c r="AY1042" s="485"/>
      <c r="AZ1042" s="485"/>
      <c r="BA1042" s="485"/>
      <c r="BB1042" s="485"/>
      <c r="BC1042" s="485"/>
      <c r="BD1042" s="485"/>
      <c r="BE1042" s="485"/>
      <c r="BF1042" s="485"/>
      <c r="BG1042" s="485"/>
      <c r="BH1042" s="485"/>
      <c r="BI1042" s="485"/>
      <c r="BJ1042" s="485"/>
      <c r="BK1042" s="485"/>
      <c r="BL1042" s="485"/>
      <c r="BM1042" s="485"/>
      <c r="BN1042" s="485"/>
      <c r="BO1042" s="485"/>
      <c r="BP1042" s="485"/>
      <c r="BQ1042" s="485"/>
      <c r="BR1042" s="485"/>
      <c r="BS1042" s="485"/>
      <c r="BT1042" s="485"/>
      <c r="BU1042" s="485"/>
      <c r="BV1042" s="485"/>
      <c r="BW1042" s="485"/>
      <c r="BX1042" s="485"/>
      <c r="BY1042" s="485"/>
      <c r="BZ1042" s="485"/>
      <c r="CA1042" s="485"/>
      <c r="CB1042" s="485"/>
      <c r="CC1042" s="485"/>
      <c r="CD1042" s="485"/>
      <c r="CE1042" s="485"/>
      <c r="CF1042" s="485"/>
      <c r="CG1042" s="485"/>
      <c r="CH1042" s="485"/>
      <c r="CI1042" s="485"/>
      <c r="CJ1042" s="485"/>
      <c r="CK1042" s="485"/>
      <c r="CL1042" s="485"/>
      <c r="CM1042" s="485"/>
      <c r="CN1042" s="485"/>
      <c r="CO1042" s="485"/>
      <c r="CP1042" s="485"/>
      <c r="CQ1042" s="485"/>
      <c r="CR1042" s="485"/>
      <c r="CS1042" s="485"/>
      <c r="CT1042" s="485"/>
      <c r="CU1042" s="485"/>
      <c r="CV1042" s="485"/>
      <c r="CW1042" s="485"/>
      <c r="CX1042" s="485"/>
      <c r="CY1042" s="485"/>
      <c r="CZ1042" s="485"/>
      <c r="DA1042" s="485"/>
      <c r="DB1042" s="485"/>
      <c r="DC1042" s="485"/>
      <c r="DD1042" s="485"/>
      <c r="DE1042" s="485"/>
      <c r="DF1042" s="485"/>
      <c r="DG1042" s="485"/>
      <c r="DH1042" s="485"/>
      <c r="DI1042" s="485"/>
      <c r="DJ1042" s="485"/>
      <c r="DK1042" s="485"/>
      <c r="DL1042" s="485"/>
      <c r="DM1042" s="485"/>
      <c r="DN1042" s="485"/>
      <c r="DO1042" s="485"/>
      <c r="DP1042" s="485"/>
      <c r="DQ1042" s="485"/>
      <c r="DR1042" s="485"/>
      <c r="DS1042" s="485"/>
      <c r="DT1042" s="485"/>
      <c r="DU1042" s="485"/>
      <c r="DV1042" s="485"/>
      <c r="DW1042" s="485"/>
      <c r="DX1042" s="485"/>
      <c r="DY1042" s="485"/>
      <c r="DZ1042" s="485"/>
      <c r="EA1042" s="485"/>
      <c r="EB1042" s="485"/>
      <c r="EC1042" s="485"/>
      <c r="ED1042" s="485"/>
      <c r="EE1042" s="485"/>
      <c r="EF1042" s="485"/>
      <c r="EG1042" s="485"/>
      <c r="EH1042" s="485"/>
      <c r="EI1042" s="485"/>
      <c r="EJ1042" s="485"/>
      <c r="EK1042" s="485"/>
      <c r="EL1042" s="485"/>
      <c r="EM1042" s="485"/>
      <c r="EN1042" s="485"/>
      <c r="EO1042" s="485"/>
      <c r="EP1042" s="485"/>
    </row>
    <row r="1043" spans="1:146">
      <c r="A1043" s="485"/>
      <c r="B1043" s="485"/>
      <c r="C1043" s="485"/>
      <c r="D1043" s="485"/>
      <c r="E1043" s="485"/>
      <c r="F1043" s="485"/>
      <c r="G1043" s="485"/>
      <c r="H1043" s="485"/>
      <c r="I1043" s="485"/>
      <c r="J1043" s="485"/>
      <c r="K1043" s="485"/>
      <c r="L1043" s="485"/>
      <c r="M1043" s="485"/>
      <c r="P1043" s="485"/>
      <c r="Q1043" s="485"/>
      <c r="R1043" s="485"/>
      <c r="S1043" s="485"/>
      <c r="T1043" s="485"/>
      <c r="U1043" s="485"/>
      <c r="V1043" s="485"/>
      <c r="W1043" s="485"/>
      <c r="X1043" s="485"/>
      <c r="Y1043" s="485"/>
      <c r="Z1043" s="485"/>
      <c r="AA1043" s="485"/>
      <c r="AB1043" s="485"/>
      <c r="AC1043" s="485"/>
      <c r="AD1043" s="485"/>
      <c r="AE1043" s="485"/>
      <c r="AF1043" s="485"/>
      <c r="AG1043" s="485"/>
      <c r="AH1043" s="485"/>
      <c r="AI1043" s="485"/>
      <c r="AJ1043" s="485"/>
      <c r="AK1043" s="485"/>
      <c r="AL1043" s="485"/>
      <c r="AM1043" s="485"/>
      <c r="AN1043" s="485"/>
      <c r="AO1043" s="485"/>
      <c r="AP1043" s="485"/>
      <c r="AQ1043" s="485"/>
      <c r="AR1043" s="485"/>
      <c r="AS1043" s="485"/>
      <c r="AT1043" s="485"/>
      <c r="AU1043" s="485"/>
      <c r="AV1043" s="485"/>
      <c r="AW1043" s="485"/>
      <c r="AX1043" s="485"/>
      <c r="AY1043" s="485"/>
      <c r="AZ1043" s="485"/>
      <c r="BA1043" s="485"/>
      <c r="BB1043" s="485"/>
      <c r="BC1043" s="485"/>
      <c r="BD1043" s="485"/>
      <c r="BE1043" s="485"/>
      <c r="BF1043" s="485"/>
      <c r="BG1043" s="485"/>
      <c r="BH1043" s="485"/>
      <c r="BI1043" s="485"/>
      <c r="BJ1043" s="485"/>
      <c r="BK1043" s="485"/>
      <c r="BL1043" s="485"/>
      <c r="BM1043" s="485"/>
      <c r="BN1043" s="485"/>
      <c r="BO1043" s="485"/>
      <c r="BP1043" s="485"/>
      <c r="BQ1043" s="485"/>
      <c r="BR1043" s="485"/>
      <c r="BS1043" s="485"/>
      <c r="BT1043" s="485"/>
      <c r="BU1043" s="485"/>
      <c r="BV1043" s="485"/>
      <c r="BW1043" s="485"/>
      <c r="BX1043" s="485"/>
      <c r="BY1043" s="485"/>
      <c r="BZ1043" s="485"/>
      <c r="CA1043" s="485"/>
      <c r="CB1043" s="485"/>
      <c r="CC1043" s="485"/>
      <c r="CD1043" s="485"/>
      <c r="CE1043" s="485"/>
      <c r="CF1043" s="485"/>
      <c r="CG1043" s="485"/>
      <c r="CH1043" s="485"/>
      <c r="CI1043" s="485"/>
      <c r="CJ1043" s="485"/>
      <c r="CK1043" s="485"/>
      <c r="CL1043" s="485"/>
      <c r="CM1043" s="485"/>
      <c r="CN1043" s="485"/>
      <c r="CO1043" s="485"/>
      <c r="CP1043" s="485"/>
      <c r="CQ1043" s="485"/>
      <c r="CR1043" s="485"/>
      <c r="CS1043" s="485"/>
      <c r="CT1043" s="485"/>
      <c r="CU1043" s="485"/>
      <c r="CV1043" s="485"/>
      <c r="CW1043" s="485"/>
      <c r="CX1043" s="485"/>
      <c r="CY1043" s="485"/>
      <c r="CZ1043" s="485"/>
      <c r="DA1043" s="485"/>
      <c r="DB1043" s="485"/>
      <c r="DC1043" s="485"/>
      <c r="DD1043" s="485"/>
      <c r="DE1043" s="485"/>
      <c r="DF1043" s="485"/>
      <c r="DG1043" s="485"/>
      <c r="DH1043" s="485"/>
      <c r="DI1043" s="485"/>
      <c r="DJ1043" s="485"/>
      <c r="DK1043" s="485"/>
      <c r="DL1043" s="485"/>
      <c r="DM1043" s="485"/>
      <c r="DN1043" s="485"/>
      <c r="DO1043" s="485"/>
      <c r="DP1043" s="485"/>
      <c r="DQ1043" s="485"/>
      <c r="DR1043" s="485"/>
      <c r="DS1043" s="485"/>
      <c r="DT1043" s="485"/>
      <c r="DU1043" s="485"/>
      <c r="DV1043" s="485"/>
      <c r="DW1043" s="485"/>
      <c r="DX1043" s="485"/>
      <c r="DY1043" s="485"/>
      <c r="DZ1043" s="485"/>
      <c r="EA1043" s="485"/>
      <c r="EB1043" s="485"/>
      <c r="EC1043" s="485"/>
      <c r="ED1043" s="485"/>
      <c r="EE1043" s="485"/>
      <c r="EF1043" s="485"/>
      <c r="EG1043" s="485"/>
      <c r="EH1043" s="485"/>
      <c r="EI1043" s="485"/>
      <c r="EJ1043" s="485"/>
      <c r="EK1043" s="485"/>
      <c r="EL1043" s="485"/>
      <c r="EM1043" s="485"/>
      <c r="EN1043" s="485"/>
      <c r="EO1043" s="485"/>
      <c r="EP1043" s="485"/>
    </row>
    <row r="1044" spans="1:146">
      <c r="A1044" s="485"/>
      <c r="B1044" s="485"/>
      <c r="C1044" s="485"/>
      <c r="D1044" s="485"/>
      <c r="E1044" s="485"/>
      <c r="F1044" s="485"/>
      <c r="G1044" s="485"/>
      <c r="H1044" s="485"/>
      <c r="I1044" s="485"/>
      <c r="J1044" s="485"/>
      <c r="K1044" s="485"/>
      <c r="L1044" s="485"/>
      <c r="M1044" s="485"/>
      <c r="P1044" s="485"/>
      <c r="Q1044" s="485"/>
      <c r="R1044" s="485"/>
      <c r="S1044" s="485"/>
      <c r="T1044" s="485"/>
      <c r="U1044" s="485"/>
      <c r="V1044" s="485"/>
      <c r="W1044" s="485"/>
      <c r="X1044" s="485"/>
      <c r="Y1044" s="485"/>
      <c r="Z1044" s="485"/>
      <c r="AA1044" s="485"/>
      <c r="AB1044" s="485"/>
      <c r="AC1044" s="485"/>
      <c r="AD1044" s="485"/>
      <c r="AE1044" s="485"/>
      <c r="AF1044" s="485"/>
      <c r="AG1044" s="485"/>
      <c r="AH1044" s="485"/>
      <c r="AI1044" s="485"/>
      <c r="AJ1044" s="485"/>
      <c r="AK1044" s="485"/>
      <c r="AL1044" s="485"/>
      <c r="AM1044" s="485"/>
      <c r="AN1044" s="485"/>
      <c r="AO1044" s="485"/>
      <c r="AP1044" s="485"/>
      <c r="AQ1044" s="485"/>
      <c r="AR1044" s="485"/>
      <c r="AS1044" s="485"/>
      <c r="AT1044" s="485"/>
      <c r="AU1044" s="485"/>
      <c r="AV1044" s="485"/>
      <c r="AW1044" s="485"/>
      <c r="AX1044" s="485"/>
      <c r="AY1044" s="485"/>
      <c r="AZ1044" s="485"/>
      <c r="BA1044" s="485"/>
      <c r="BB1044" s="485"/>
      <c r="BC1044" s="485"/>
      <c r="BD1044" s="485"/>
      <c r="BE1044" s="485"/>
      <c r="BF1044" s="485"/>
      <c r="BG1044" s="485"/>
      <c r="BH1044" s="485"/>
      <c r="BI1044" s="485"/>
      <c r="BJ1044" s="485"/>
      <c r="BK1044" s="485"/>
      <c r="BL1044" s="485"/>
      <c r="BM1044" s="485"/>
      <c r="BN1044" s="485"/>
      <c r="BO1044" s="485"/>
      <c r="BP1044" s="485"/>
      <c r="BQ1044" s="485"/>
      <c r="BR1044" s="485"/>
      <c r="BS1044" s="485"/>
      <c r="BT1044" s="485"/>
      <c r="BU1044" s="485"/>
      <c r="BV1044" s="485"/>
      <c r="BW1044" s="485"/>
      <c r="BX1044" s="485"/>
      <c r="BY1044" s="485"/>
      <c r="BZ1044" s="485"/>
      <c r="CA1044" s="485"/>
      <c r="CB1044" s="485"/>
      <c r="CC1044" s="485"/>
      <c r="CD1044" s="485"/>
      <c r="CE1044" s="485"/>
      <c r="CF1044" s="485"/>
      <c r="CG1044" s="485"/>
      <c r="CH1044" s="485"/>
      <c r="CI1044" s="485"/>
      <c r="CJ1044" s="485"/>
      <c r="CK1044" s="485"/>
      <c r="CL1044" s="485"/>
      <c r="CM1044" s="485"/>
      <c r="CN1044" s="485"/>
      <c r="CO1044" s="485"/>
      <c r="CP1044" s="485"/>
      <c r="CQ1044" s="485"/>
      <c r="CR1044" s="485"/>
      <c r="CS1044" s="485"/>
      <c r="CT1044" s="485"/>
      <c r="CU1044" s="485"/>
      <c r="CV1044" s="485"/>
      <c r="CW1044" s="485"/>
      <c r="CX1044" s="485"/>
      <c r="CY1044" s="485"/>
      <c r="CZ1044" s="485"/>
      <c r="DA1044" s="485"/>
      <c r="DB1044" s="485"/>
      <c r="DC1044" s="485"/>
      <c r="DD1044" s="485"/>
      <c r="DE1044" s="485"/>
      <c r="DF1044" s="485"/>
      <c r="DG1044" s="485"/>
      <c r="DH1044" s="485"/>
      <c r="DI1044" s="485"/>
      <c r="DJ1044" s="485"/>
      <c r="DK1044" s="485"/>
      <c r="DL1044" s="485"/>
      <c r="DM1044" s="485"/>
      <c r="DN1044" s="485"/>
      <c r="DO1044" s="485"/>
      <c r="DP1044" s="485"/>
      <c r="DQ1044" s="485"/>
      <c r="DR1044" s="485"/>
      <c r="DS1044" s="485"/>
      <c r="DT1044" s="485"/>
      <c r="DU1044" s="485"/>
      <c r="DV1044" s="485"/>
      <c r="DW1044" s="485"/>
      <c r="DX1044" s="485"/>
      <c r="DY1044" s="485"/>
      <c r="DZ1044" s="485"/>
      <c r="EA1044" s="485"/>
      <c r="EB1044" s="485"/>
      <c r="EC1044" s="485"/>
      <c r="ED1044" s="485"/>
      <c r="EE1044" s="485"/>
      <c r="EF1044" s="485"/>
      <c r="EG1044" s="485"/>
      <c r="EH1044" s="485"/>
      <c r="EI1044" s="485"/>
      <c r="EJ1044" s="485"/>
      <c r="EK1044" s="485"/>
      <c r="EL1044" s="485"/>
      <c r="EM1044" s="485"/>
      <c r="EN1044" s="485"/>
      <c r="EO1044" s="485"/>
      <c r="EP1044" s="485"/>
    </row>
    <row r="1045" spans="1:146">
      <c r="A1045" s="485"/>
      <c r="B1045" s="485"/>
      <c r="C1045" s="485"/>
      <c r="D1045" s="485"/>
      <c r="E1045" s="485"/>
      <c r="F1045" s="485"/>
      <c r="G1045" s="485"/>
      <c r="H1045" s="485"/>
      <c r="I1045" s="485"/>
      <c r="J1045" s="485"/>
      <c r="K1045" s="485"/>
      <c r="L1045" s="485"/>
      <c r="M1045" s="485"/>
      <c r="P1045" s="485"/>
      <c r="Q1045" s="485"/>
      <c r="R1045" s="485"/>
      <c r="S1045" s="485"/>
      <c r="T1045" s="485"/>
      <c r="U1045" s="485"/>
      <c r="V1045" s="485"/>
      <c r="W1045" s="485"/>
      <c r="X1045" s="485"/>
      <c r="Y1045" s="485"/>
      <c r="Z1045" s="485"/>
      <c r="AA1045" s="485"/>
      <c r="AB1045" s="485"/>
      <c r="AC1045" s="485"/>
      <c r="AD1045" s="485"/>
      <c r="AE1045" s="485"/>
      <c r="AF1045" s="485"/>
      <c r="AG1045" s="485"/>
      <c r="AH1045" s="485"/>
      <c r="AI1045" s="485"/>
      <c r="AJ1045" s="485"/>
      <c r="AK1045" s="485"/>
      <c r="AL1045" s="485"/>
      <c r="AM1045" s="485"/>
      <c r="AN1045" s="485"/>
      <c r="AO1045" s="485"/>
      <c r="AP1045" s="485"/>
      <c r="AQ1045" s="485"/>
      <c r="AR1045" s="485"/>
      <c r="AS1045" s="485"/>
      <c r="AT1045" s="485"/>
      <c r="AU1045" s="485"/>
      <c r="AV1045" s="485"/>
      <c r="AW1045" s="485"/>
      <c r="AX1045" s="485"/>
      <c r="AY1045" s="485"/>
      <c r="AZ1045" s="485"/>
      <c r="BA1045" s="485"/>
      <c r="BB1045" s="485"/>
      <c r="BC1045" s="485"/>
      <c r="BD1045" s="485"/>
      <c r="BE1045" s="485"/>
      <c r="BF1045" s="485"/>
      <c r="BG1045" s="485"/>
      <c r="BH1045" s="485"/>
      <c r="BI1045" s="485"/>
      <c r="BJ1045" s="485"/>
      <c r="BK1045" s="485"/>
      <c r="BL1045" s="485"/>
      <c r="BM1045" s="485"/>
      <c r="BN1045" s="485"/>
      <c r="BO1045" s="485"/>
      <c r="BP1045" s="485"/>
      <c r="BQ1045" s="485"/>
      <c r="BR1045" s="485"/>
      <c r="BS1045" s="485"/>
      <c r="BT1045" s="485"/>
      <c r="BU1045" s="485"/>
      <c r="BV1045" s="485"/>
      <c r="BW1045" s="485"/>
      <c r="BX1045" s="485"/>
      <c r="BY1045" s="485"/>
      <c r="BZ1045" s="485"/>
      <c r="CA1045" s="485"/>
      <c r="CB1045" s="485"/>
      <c r="CC1045" s="485"/>
      <c r="CD1045" s="485"/>
      <c r="CE1045" s="485"/>
      <c r="CF1045" s="485"/>
      <c r="CG1045" s="485"/>
      <c r="CH1045" s="485"/>
      <c r="CI1045" s="485"/>
      <c r="CJ1045" s="485"/>
      <c r="CK1045" s="485"/>
      <c r="CL1045" s="485"/>
      <c r="CM1045" s="485"/>
      <c r="CN1045" s="485"/>
      <c r="CO1045" s="485"/>
      <c r="CP1045" s="485"/>
      <c r="CQ1045" s="485"/>
      <c r="CR1045" s="485"/>
      <c r="CS1045" s="485"/>
      <c r="CT1045" s="485"/>
      <c r="CU1045" s="485"/>
      <c r="CV1045" s="485"/>
      <c r="CW1045" s="485"/>
      <c r="CX1045" s="485"/>
      <c r="CY1045" s="485"/>
      <c r="CZ1045" s="485"/>
      <c r="DA1045" s="485"/>
      <c r="DB1045" s="485"/>
      <c r="DC1045" s="485"/>
      <c r="DD1045" s="485"/>
      <c r="DE1045" s="485"/>
      <c r="DF1045" s="485"/>
      <c r="DG1045" s="485"/>
      <c r="DH1045" s="485"/>
      <c r="DI1045" s="485"/>
      <c r="DJ1045" s="485"/>
      <c r="DK1045" s="485"/>
      <c r="DL1045" s="485"/>
      <c r="DM1045" s="485"/>
      <c r="DN1045" s="485"/>
      <c r="DO1045" s="485"/>
      <c r="DP1045" s="485"/>
      <c r="DQ1045" s="485"/>
      <c r="DR1045" s="485"/>
      <c r="DS1045" s="485"/>
      <c r="DT1045" s="485"/>
      <c r="DU1045" s="485"/>
      <c r="DV1045" s="485"/>
      <c r="DW1045" s="485"/>
      <c r="DX1045" s="485"/>
      <c r="DY1045" s="485"/>
      <c r="DZ1045" s="485"/>
      <c r="EA1045" s="485"/>
      <c r="EB1045" s="485"/>
      <c r="EC1045" s="485"/>
      <c r="ED1045" s="485"/>
      <c r="EE1045" s="485"/>
      <c r="EF1045" s="485"/>
      <c r="EG1045" s="485"/>
      <c r="EH1045" s="485"/>
      <c r="EI1045" s="485"/>
      <c r="EJ1045" s="485"/>
      <c r="EK1045" s="485"/>
      <c r="EL1045" s="485"/>
      <c r="EM1045" s="485"/>
      <c r="EN1045" s="485"/>
      <c r="EO1045" s="485"/>
      <c r="EP1045" s="485"/>
    </row>
    <row r="1046" spans="1:146">
      <c r="A1046" s="485"/>
      <c r="B1046" s="485"/>
      <c r="C1046" s="485"/>
      <c r="D1046" s="485"/>
      <c r="E1046" s="485"/>
      <c r="F1046" s="485"/>
      <c r="G1046" s="485"/>
      <c r="H1046" s="485"/>
      <c r="I1046" s="485"/>
      <c r="J1046" s="485"/>
      <c r="K1046" s="485"/>
      <c r="L1046" s="485"/>
      <c r="M1046" s="485"/>
      <c r="P1046" s="485"/>
      <c r="Q1046" s="485"/>
      <c r="R1046" s="485"/>
      <c r="S1046" s="485"/>
      <c r="T1046" s="485"/>
      <c r="U1046" s="485"/>
      <c r="V1046" s="485"/>
      <c r="W1046" s="485"/>
      <c r="X1046" s="485"/>
      <c r="Y1046" s="485"/>
      <c r="Z1046" s="485"/>
      <c r="AA1046" s="485"/>
      <c r="AB1046" s="485"/>
      <c r="AC1046" s="485"/>
      <c r="AD1046" s="485"/>
      <c r="AE1046" s="485"/>
      <c r="AF1046" s="485"/>
      <c r="AG1046" s="485"/>
      <c r="AH1046" s="485"/>
      <c r="AI1046" s="485"/>
      <c r="AJ1046" s="485"/>
      <c r="AK1046" s="485"/>
      <c r="AL1046" s="485"/>
      <c r="AM1046" s="485"/>
      <c r="AN1046" s="485"/>
      <c r="AO1046" s="485"/>
      <c r="AP1046" s="485"/>
      <c r="AQ1046" s="485"/>
      <c r="AR1046" s="485"/>
      <c r="AS1046" s="485"/>
      <c r="AT1046" s="485"/>
      <c r="AU1046" s="485"/>
      <c r="AV1046" s="485"/>
      <c r="AW1046" s="485"/>
      <c r="AX1046" s="485"/>
      <c r="AY1046" s="485"/>
      <c r="AZ1046" s="485"/>
      <c r="BA1046" s="485"/>
      <c r="BB1046" s="485"/>
      <c r="BC1046" s="485"/>
      <c r="BD1046" s="485"/>
      <c r="BE1046" s="485"/>
      <c r="BF1046" s="485"/>
      <c r="BG1046" s="485"/>
      <c r="BH1046" s="485"/>
      <c r="BI1046" s="485"/>
      <c r="BJ1046" s="485"/>
      <c r="BK1046" s="485"/>
      <c r="BL1046" s="485"/>
      <c r="BM1046" s="485"/>
      <c r="BN1046" s="485"/>
      <c r="BO1046" s="485"/>
      <c r="BP1046" s="485"/>
      <c r="BQ1046" s="485"/>
      <c r="BR1046" s="485"/>
      <c r="BS1046" s="485"/>
      <c r="BT1046" s="485"/>
      <c r="BU1046" s="485"/>
      <c r="BV1046" s="485"/>
      <c r="BW1046" s="485"/>
      <c r="BX1046" s="485"/>
      <c r="BY1046" s="485"/>
      <c r="BZ1046" s="485"/>
      <c r="CA1046" s="485"/>
      <c r="CB1046" s="485"/>
      <c r="CC1046" s="485"/>
      <c r="CD1046" s="485"/>
      <c r="CE1046" s="485"/>
      <c r="CF1046" s="485"/>
      <c r="CG1046" s="485"/>
      <c r="CH1046" s="485"/>
      <c r="CI1046" s="485"/>
      <c r="CJ1046" s="485"/>
      <c r="CK1046" s="485"/>
      <c r="CL1046" s="485"/>
      <c r="CM1046" s="485"/>
      <c r="CN1046" s="485"/>
      <c r="CO1046" s="485"/>
      <c r="CP1046" s="485"/>
      <c r="CQ1046" s="485"/>
      <c r="CR1046" s="485"/>
      <c r="CS1046" s="485"/>
      <c r="CT1046" s="485"/>
      <c r="CU1046" s="485"/>
      <c r="CV1046" s="485"/>
      <c r="CW1046" s="485"/>
      <c r="CX1046" s="485"/>
      <c r="CY1046" s="485"/>
      <c r="CZ1046" s="485"/>
      <c r="DA1046" s="485"/>
      <c r="DB1046" s="485"/>
      <c r="DC1046" s="485"/>
      <c r="DD1046" s="485"/>
      <c r="DE1046" s="485"/>
      <c r="DF1046" s="485"/>
      <c r="DG1046" s="485"/>
      <c r="DH1046" s="485"/>
      <c r="DI1046" s="485"/>
      <c r="DJ1046" s="485"/>
      <c r="DK1046" s="485"/>
      <c r="DL1046" s="485"/>
      <c r="DM1046" s="485"/>
      <c r="DN1046" s="485"/>
      <c r="DO1046" s="485"/>
      <c r="DP1046" s="485"/>
      <c r="DQ1046" s="485"/>
      <c r="DR1046" s="485"/>
      <c r="DS1046" s="485"/>
      <c r="DT1046" s="485"/>
      <c r="DU1046" s="485"/>
      <c r="DV1046" s="485"/>
      <c r="DW1046" s="485"/>
      <c r="DX1046" s="485"/>
      <c r="DY1046" s="485"/>
      <c r="DZ1046" s="485"/>
      <c r="EA1046" s="485"/>
      <c r="EB1046" s="485"/>
      <c r="EC1046" s="485"/>
      <c r="ED1046" s="485"/>
      <c r="EE1046" s="485"/>
      <c r="EF1046" s="485"/>
      <c r="EG1046" s="485"/>
      <c r="EH1046" s="485"/>
      <c r="EI1046" s="485"/>
      <c r="EJ1046" s="485"/>
      <c r="EK1046" s="485"/>
      <c r="EL1046" s="485"/>
      <c r="EM1046" s="485"/>
      <c r="EN1046" s="485"/>
      <c r="EO1046" s="485"/>
      <c r="EP1046" s="485"/>
    </row>
    <row r="1047" spans="1:146">
      <c r="A1047" s="485"/>
      <c r="B1047" s="485"/>
      <c r="C1047" s="485"/>
      <c r="D1047" s="485"/>
      <c r="E1047" s="485"/>
      <c r="F1047" s="485"/>
      <c r="G1047" s="485"/>
      <c r="H1047" s="485"/>
      <c r="I1047" s="485"/>
      <c r="J1047" s="485"/>
      <c r="K1047" s="485"/>
      <c r="L1047" s="485"/>
      <c r="M1047" s="485"/>
      <c r="P1047" s="485"/>
      <c r="Q1047" s="485"/>
      <c r="R1047" s="485"/>
      <c r="S1047" s="485"/>
      <c r="T1047" s="485"/>
      <c r="U1047" s="485"/>
      <c r="V1047" s="485"/>
      <c r="W1047" s="485"/>
      <c r="X1047" s="485"/>
      <c r="Y1047" s="485"/>
      <c r="Z1047" s="485"/>
      <c r="AA1047" s="485"/>
      <c r="AB1047" s="485"/>
      <c r="AC1047" s="485"/>
      <c r="AD1047" s="485"/>
      <c r="AE1047" s="485"/>
      <c r="AF1047" s="485"/>
      <c r="AG1047" s="485"/>
      <c r="AH1047" s="485"/>
      <c r="AI1047" s="485"/>
      <c r="AJ1047" s="485"/>
      <c r="AK1047" s="485"/>
      <c r="AL1047" s="485"/>
      <c r="AM1047" s="485"/>
      <c r="AN1047" s="485"/>
      <c r="AO1047" s="485"/>
      <c r="AP1047" s="485"/>
      <c r="AQ1047" s="485"/>
      <c r="AR1047" s="485"/>
      <c r="AS1047" s="485"/>
      <c r="AT1047" s="485"/>
      <c r="AU1047" s="485"/>
      <c r="AV1047" s="485"/>
      <c r="AW1047" s="485"/>
      <c r="AX1047" s="485"/>
      <c r="AY1047" s="485"/>
      <c r="AZ1047" s="485"/>
      <c r="BA1047" s="485"/>
      <c r="BB1047" s="485"/>
      <c r="BC1047" s="485"/>
      <c r="BD1047" s="485"/>
      <c r="BE1047" s="485"/>
      <c r="BF1047" s="485"/>
      <c r="BG1047" s="485"/>
      <c r="BH1047" s="485"/>
      <c r="BI1047" s="485"/>
      <c r="BJ1047" s="485"/>
      <c r="BK1047" s="485"/>
      <c r="BL1047" s="485"/>
      <c r="BM1047" s="485"/>
      <c r="BN1047" s="485"/>
      <c r="BO1047" s="485"/>
      <c r="BP1047" s="485"/>
      <c r="BQ1047" s="485"/>
      <c r="BR1047" s="485"/>
      <c r="BS1047" s="485"/>
      <c r="BT1047" s="485"/>
      <c r="BU1047" s="485"/>
      <c r="BV1047" s="485"/>
      <c r="BW1047" s="485"/>
      <c r="BX1047" s="485"/>
      <c r="BY1047" s="485"/>
      <c r="BZ1047" s="485"/>
      <c r="CA1047" s="485"/>
      <c r="CB1047" s="485"/>
      <c r="CC1047" s="485"/>
      <c r="CD1047" s="485"/>
      <c r="CE1047" s="485"/>
      <c r="CF1047" s="485"/>
      <c r="CG1047" s="485"/>
      <c r="CH1047" s="485"/>
      <c r="CI1047" s="485"/>
      <c r="CJ1047" s="485"/>
      <c r="CK1047" s="485"/>
      <c r="CL1047" s="485"/>
      <c r="CM1047" s="485"/>
      <c r="CN1047" s="485"/>
      <c r="CO1047" s="485"/>
      <c r="CP1047" s="485"/>
      <c r="CQ1047" s="485"/>
      <c r="CR1047" s="485"/>
      <c r="CS1047" s="485"/>
      <c r="CT1047" s="485"/>
      <c r="CU1047" s="485"/>
      <c r="CV1047" s="485"/>
      <c r="CW1047" s="485"/>
      <c r="CX1047" s="485"/>
      <c r="CY1047" s="485"/>
      <c r="CZ1047" s="485"/>
      <c r="DA1047" s="485"/>
      <c r="DB1047" s="485"/>
      <c r="DC1047" s="485"/>
      <c r="DD1047" s="485"/>
      <c r="DE1047" s="485"/>
      <c r="DF1047" s="485"/>
      <c r="DG1047" s="485"/>
      <c r="DH1047" s="485"/>
      <c r="DI1047" s="485"/>
      <c r="DJ1047" s="485"/>
      <c r="DK1047" s="485"/>
      <c r="DL1047" s="485"/>
      <c r="DM1047" s="485"/>
      <c r="DN1047" s="485"/>
      <c r="DO1047" s="485"/>
      <c r="DP1047" s="485"/>
      <c r="DQ1047" s="485"/>
      <c r="DR1047" s="485"/>
      <c r="DS1047" s="485"/>
      <c r="DT1047" s="485"/>
      <c r="DU1047" s="485"/>
      <c r="DV1047" s="485"/>
      <c r="DW1047" s="485"/>
      <c r="DX1047" s="485"/>
      <c r="DY1047" s="485"/>
      <c r="DZ1047" s="485"/>
      <c r="EA1047" s="485"/>
      <c r="EB1047" s="485"/>
      <c r="EC1047" s="485"/>
      <c r="ED1047" s="485"/>
      <c r="EE1047" s="485"/>
      <c r="EF1047" s="485"/>
      <c r="EG1047" s="485"/>
      <c r="EH1047" s="485"/>
      <c r="EI1047" s="485"/>
      <c r="EJ1047" s="485"/>
      <c r="EK1047" s="485"/>
      <c r="EL1047" s="485"/>
      <c r="EM1047" s="485"/>
      <c r="EN1047" s="485"/>
      <c r="EO1047" s="485"/>
      <c r="EP1047" s="485"/>
    </row>
    <row r="1048" spans="1:146">
      <c r="A1048" s="485"/>
      <c r="B1048" s="485"/>
      <c r="C1048" s="485"/>
      <c r="D1048" s="485"/>
      <c r="E1048" s="485"/>
      <c r="F1048" s="485"/>
      <c r="G1048" s="485"/>
      <c r="H1048" s="485"/>
      <c r="I1048" s="485"/>
      <c r="J1048" s="485"/>
      <c r="K1048" s="485"/>
      <c r="L1048" s="485"/>
      <c r="M1048" s="485"/>
      <c r="P1048" s="485"/>
      <c r="Q1048" s="485"/>
      <c r="R1048" s="485"/>
      <c r="S1048" s="485"/>
      <c r="T1048" s="485"/>
      <c r="U1048" s="485"/>
      <c r="V1048" s="485"/>
      <c r="W1048" s="485"/>
      <c r="X1048" s="485"/>
      <c r="Y1048" s="485"/>
      <c r="Z1048" s="485"/>
      <c r="AA1048" s="485"/>
      <c r="AB1048" s="485"/>
      <c r="AC1048" s="485"/>
      <c r="AD1048" s="485"/>
      <c r="AE1048" s="485"/>
      <c r="AF1048" s="485"/>
      <c r="AG1048" s="485"/>
      <c r="AH1048" s="485"/>
      <c r="AI1048" s="485"/>
      <c r="AJ1048" s="485"/>
      <c r="AK1048" s="485"/>
      <c r="AL1048" s="485"/>
      <c r="AM1048" s="485"/>
      <c r="AN1048" s="485"/>
      <c r="AO1048" s="485"/>
      <c r="AP1048" s="485"/>
      <c r="AQ1048" s="485"/>
      <c r="AR1048" s="485"/>
      <c r="AS1048" s="485"/>
      <c r="AT1048" s="485"/>
      <c r="AU1048" s="485"/>
      <c r="AV1048" s="485"/>
      <c r="AW1048" s="485"/>
      <c r="AX1048" s="485"/>
      <c r="AY1048" s="485"/>
      <c r="AZ1048" s="485"/>
      <c r="BA1048" s="485"/>
      <c r="BB1048" s="485"/>
      <c r="BC1048" s="485"/>
      <c r="BD1048" s="485"/>
      <c r="BE1048" s="485"/>
      <c r="BF1048" s="485"/>
      <c r="BG1048" s="485"/>
      <c r="BH1048" s="485"/>
      <c r="BI1048" s="485"/>
      <c r="BJ1048" s="485"/>
      <c r="BK1048" s="485"/>
      <c r="BL1048" s="485"/>
      <c r="BM1048" s="485"/>
      <c r="BN1048" s="485"/>
      <c r="BO1048" s="485"/>
      <c r="BP1048" s="485"/>
      <c r="BQ1048" s="485"/>
      <c r="BR1048" s="485"/>
      <c r="BS1048" s="485"/>
      <c r="BT1048" s="485"/>
      <c r="BU1048" s="485"/>
      <c r="BV1048" s="485"/>
      <c r="BW1048" s="485"/>
      <c r="BX1048" s="485"/>
      <c r="BY1048" s="485"/>
      <c r="BZ1048" s="485"/>
      <c r="CA1048" s="485"/>
      <c r="CB1048" s="485"/>
      <c r="CC1048" s="485"/>
      <c r="CD1048" s="485"/>
      <c r="CE1048" s="485"/>
      <c r="CF1048" s="485"/>
      <c r="CG1048" s="485"/>
      <c r="CH1048" s="485"/>
      <c r="CI1048" s="485"/>
      <c r="CJ1048" s="485"/>
      <c r="CK1048" s="485"/>
      <c r="CL1048" s="485"/>
      <c r="CM1048" s="485"/>
      <c r="CN1048" s="485"/>
      <c r="CO1048" s="485"/>
      <c r="CP1048" s="485"/>
      <c r="CQ1048" s="485"/>
      <c r="CR1048" s="485"/>
      <c r="CS1048" s="485"/>
      <c r="CT1048" s="485"/>
      <c r="CU1048" s="485"/>
      <c r="CV1048" s="485"/>
      <c r="CW1048" s="485"/>
      <c r="CX1048" s="485"/>
      <c r="CY1048" s="485"/>
      <c r="CZ1048" s="485"/>
      <c r="DA1048" s="485"/>
      <c r="DB1048" s="485"/>
      <c r="DC1048" s="485"/>
      <c r="DD1048" s="485"/>
      <c r="DE1048" s="485"/>
      <c r="DF1048" s="485"/>
      <c r="DG1048" s="485"/>
      <c r="DH1048" s="485"/>
      <c r="DI1048" s="485"/>
      <c r="DJ1048" s="485"/>
      <c r="DK1048" s="485"/>
      <c r="DL1048" s="485"/>
      <c r="DM1048" s="485"/>
      <c r="DN1048" s="485"/>
      <c r="DO1048" s="485"/>
      <c r="DP1048" s="485"/>
      <c r="DQ1048" s="485"/>
      <c r="DR1048" s="485"/>
      <c r="DS1048" s="485"/>
      <c r="DT1048" s="485"/>
      <c r="DU1048" s="485"/>
      <c r="DV1048" s="485"/>
      <c r="DW1048" s="485"/>
      <c r="DX1048" s="485"/>
      <c r="DY1048" s="485"/>
      <c r="DZ1048" s="485"/>
      <c r="EA1048" s="485"/>
      <c r="EB1048" s="485"/>
      <c r="EC1048" s="485"/>
      <c r="ED1048" s="485"/>
      <c r="EE1048" s="485"/>
      <c r="EF1048" s="485"/>
      <c r="EG1048" s="485"/>
      <c r="EH1048" s="485"/>
      <c r="EI1048" s="485"/>
      <c r="EJ1048" s="485"/>
      <c r="EK1048" s="485"/>
      <c r="EL1048" s="485"/>
      <c r="EM1048" s="485"/>
      <c r="EN1048" s="485"/>
      <c r="EO1048" s="485"/>
      <c r="EP1048" s="485"/>
    </row>
    <row r="1049" spans="1:146">
      <c r="A1049" s="485"/>
      <c r="B1049" s="485"/>
      <c r="C1049" s="485"/>
      <c r="D1049" s="485"/>
      <c r="E1049" s="485"/>
      <c r="F1049" s="485"/>
      <c r="G1049" s="485"/>
      <c r="H1049" s="485"/>
      <c r="I1049" s="485"/>
      <c r="J1049" s="485"/>
      <c r="K1049" s="485"/>
      <c r="L1049" s="485"/>
      <c r="M1049" s="485"/>
      <c r="P1049" s="485"/>
      <c r="Q1049" s="485"/>
      <c r="R1049" s="485"/>
      <c r="S1049" s="485"/>
      <c r="T1049" s="485"/>
      <c r="U1049" s="485"/>
      <c r="V1049" s="485"/>
      <c r="W1049" s="485"/>
      <c r="X1049" s="485"/>
      <c r="Y1049" s="485"/>
      <c r="Z1049" s="485"/>
      <c r="AA1049" s="485"/>
      <c r="AB1049" s="485"/>
      <c r="AC1049" s="485"/>
      <c r="AD1049" s="485"/>
      <c r="AE1049" s="485"/>
      <c r="AF1049" s="485"/>
      <c r="AG1049" s="485"/>
      <c r="AH1049" s="485"/>
      <c r="AI1049" s="485"/>
      <c r="AJ1049" s="485"/>
      <c r="AK1049" s="485"/>
      <c r="AL1049" s="485"/>
      <c r="AM1049" s="485"/>
      <c r="AN1049" s="485"/>
      <c r="AO1049" s="485"/>
      <c r="AP1049" s="485"/>
      <c r="AQ1049" s="485"/>
      <c r="AR1049" s="485"/>
      <c r="AS1049" s="485"/>
      <c r="AT1049" s="485"/>
      <c r="AU1049" s="485"/>
      <c r="AV1049" s="485"/>
      <c r="AW1049" s="485"/>
      <c r="AX1049" s="485"/>
      <c r="AY1049" s="485"/>
      <c r="AZ1049" s="485"/>
      <c r="BA1049" s="485"/>
      <c r="BB1049" s="485"/>
      <c r="BC1049" s="485"/>
      <c r="BD1049" s="485"/>
      <c r="BE1049" s="485"/>
      <c r="BF1049" s="485"/>
      <c r="BG1049" s="485"/>
      <c r="BH1049" s="485"/>
      <c r="BI1049" s="485"/>
      <c r="BJ1049" s="485"/>
      <c r="BK1049" s="485"/>
      <c r="BL1049" s="485"/>
      <c r="BM1049" s="485"/>
      <c r="BN1049" s="485"/>
      <c r="BO1049" s="485"/>
      <c r="BP1049" s="485"/>
      <c r="BQ1049" s="485"/>
      <c r="BR1049" s="485"/>
      <c r="BS1049" s="485"/>
      <c r="BT1049" s="485"/>
      <c r="BU1049" s="485"/>
      <c r="BV1049" s="485"/>
      <c r="BW1049" s="485"/>
      <c r="BX1049" s="485"/>
      <c r="BY1049" s="485"/>
      <c r="BZ1049" s="485"/>
      <c r="CA1049" s="485"/>
      <c r="CB1049" s="485"/>
      <c r="CC1049" s="485"/>
      <c r="CD1049" s="485"/>
      <c r="CE1049" s="485"/>
      <c r="CF1049" s="485"/>
      <c r="CG1049" s="485"/>
      <c r="CH1049" s="485"/>
      <c r="CI1049" s="485"/>
      <c r="CJ1049" s="485"/>
      <c r="CK1049" s="485"/>
      <c r="CL1049" s="485"/>
      <c r="CM1049" s="485"/>
      <c r="CN1049" s="485"/>
      <c r="CO1049" s="485"/>
      <c r="CP1049" s="485"/>
      <c r="CQ1049" s="485"/>
      <c r="CR1049" s="485"/>
      <c r="CS1049" s="485"/>
      <c r="CT1049" s="485"/>
      <c r="CU1049" s="485"/>
      <c r="CV1049" s="485"/>
      <c r="CW1049" s="485"/>
      <c r="CX1049" s="485"/>
      <c r="CY1049" s="485"/>
      <c r="CZ1049" s="485"/>
      <c r="DA1049" s="485"/>
      <c r="DB1049" s="485"/>
      <c r="DC1049" s="485"/>
      <c r="DD1049" s="485"/>
      <c r="DE1049" s="485"/>
      <c r="DF1049" s="485"/>
      <c r="DG1049" s="485"/>
      <c r="DH1049" s="485"/>
      <c r="DI1049" s="485"/>
      <c r="DJ1049" s="485"/>
      <c r="DK1049" s="485"/>
      <c r="DL1049" s="485"/>
      <c r="DM1049" s="485"/>
      <c r="DN1049" s="485"/>
      <c r="DO1049" s="485"/>
      <c r="DP1049" s="485"/>
      <c r="DQ1049" s="485"/>
      <c r="DR1049" s="485"/>
      <c r="DS1049" s="485"/>
      <c r="DT1049" s="485"/>
      <c r="DU1049" s="485"/>
      <c r="DV1049" s="485"/>
      <c r="DW1049" s="485"/>
      <c r="DX1049" s="485"/>
      <c r="DY1049" s="485"/>
      <c r="DZ1049" s="485"/>
      <c r="EA1049" s="485"/>
      <c r="EB1049" s="485"/>
      <c r="EC1049" s="485"/>
      <c r="ED1049" s="485"/>
      <c r="EE1049" s="485"/>
      <c r="EF1049" s="485"/>
      <c r="EG1049" s="485"/>
      <c r="EH1049" s="485"/>
      <c r="EI1049" s="485"/>
      <c r="EJ1049" s="485"/>
      <c r="EK1049" s="485"/>
      <c r="EL1049" s="485"/>
      <c r="EM1049" s="485"/>
      <c r="EN1049" s="485"/>
      <c r="EO1049" s="485"/>
      <c r="EP1049" s="485"/>
    </row>
    <row r="1050" spans="1:146">
      <c r="A1050" s="485"/>
      <c r="B1050" s="485"/>
      <c r="C1050" s="485"/>
      <c r="D1050" s="485"/>
      <c r="E1050" s="485"/>
      <c r="F1050" s="485"/>
      <c r="G1050" s="485"/>
      <c r="H1050" s="485"/>
      <c r="I1050" s="485"/>
      <c r="J1050" s="485"/>
      <c r="K1050" s="485"/>
      <c r="L1050" s="485"/>
      <c r="M1050" s="485"/>
      <c r="P1050" s="485"/>
      <c r="Q1050" s="485"/>
      <c r="R1050" s="485"/>
      <c r="S1050" s="485"/>
      <c r="T1050" s="485"/>
      <c r="U1050" s="485"/>
      <c r="V1050" s="485"/>
      <c r="W1050" s="485"/>
      <c r="X1050" s="485"/>
      <c r="Y1050" s="485"/>
      <c r="Z1050" s="485"/>
      <c r="AA1050" s="485"/>
      <c r="AB1050" s="485"/>
      <c r="AC1050" s="485"/>
      <c r="AD1050" s="485"/>
      <c r="AE1050" s="485"/>
      <c r="AF1050" s="485"/>
      <c r="AG1050" s="485"/>
      <c r="AH1050" s="485"/>
      <c r="AI1050" s="485"/>
      <c r="AJ1050" s="485"/>
      <c r="AK1050" s="485"/>
      <c r="AL1050" s="485"/>
      <c r="AM1050" s="485"/>
      <c r="AN1050" s="485"/>
      <c r="AO1050" s="485"/>
      <c r="AP1050" s="485"/>
      <c r="AQ1050" s="485"/>
      <c r="AR1050" s="485"/>
      <c r="AS1050" s="485"/>
      <c r="AT1050" s="485"/>
      <c r="AU1050" s="485"/>
      <c r="AV1050" s="485"/>
      <c r="AW1050" s="485"/>
      <c r="AX1050" s="485"/>
      <c r="AY1050" s="485"/>
      <c r="AZ1050" s="485"/>
      <c r="BA1050" s="485"/>
      <c r="BB1050" s="485"/>
      <c r="BC1050" s="485"/>
      <c r="BD1050" s="485"/>
      <c r="BE1050" s="485"/>
      <c r="BF1050" s="485"/>
      <c r="BG1050" s="485"/>
      <c r="BH1050" s="485"/>
      <c r="BI1050" s="485"/>
      <c r="BJ1050" s="485"/>
      <c r="BK1050" s="485"/>
      <c r="BL1050" s="485"/>
      <c r="BM1050" s="485"/>
      <c r="BN1050" s="485"/>
      <c r="BO1050" s="485"/>
      <c r="BP1050" s="485"/>
      <c r="BQ1050" s="485"/>
      <c r="BR1050" s="485"/>
      <c r="BS1050" s="485"/>
      <c r="BT1050" s="485"/>
      <c r="BU1050" s="485"/>
      <c r="BV1050" s="485"/>
      <c r="BW1050" s="485"/>
      <c r="BX1050" s="485"/>
      <c r="BY1050" s="485"/>
      <c r="BZ1050" s="485"/>
      <c r="CA1050" s="485"/>
      <c r="CB1050" s="485"/>
      <c r="CC1050" s="485"/>
      <c r="CD1050" s="485"/>
      <c r="CE1050" s="485"/>
      <c r="CF1050" s="485"/>
      <c r="CG1050" s="485"/>
      <c r="CH1050" s="485"/>
      <c r="CI1050" s="485"/>
      <c r="CJ1050" s="485"/>
      <c r="CK1050" s="485"/>
      <c r="CL1050" s="485"/>
      <c r="CM1050" s="485"/>
      <c r="CN1050" s="485"/>
      <c r="CO1050" s="485"/>
      <c r="CP1050" s="485"/>
      <c r="CQ1050" s="485"/>
      <c r="CR1050" s="485"/>
      <c r="CS1050" s="485"/>
      <c r="CT1050" s="485"/>
      <c r="CU1050" s="485"/>
      <c r="CV1050" s="485"/>
      <c r="CW1050" s="485"/>
      <c r="CX1050" s="485"/>
      <c r="CY1050" s="485"/>
      <c r="CZ1050" s="485"/>
      <c r="DA1050" s="485"/>
      <c r="DB1050" s="485"/>
      <c r="DC1050" s="485"/>
      <c r="DD1050" s="485"/>
      <c r="DE1050" s="485"/>
      <c r="DF1050" s="485"/>
      <c r="DG1050" s="485"/>
      <c r="DH1050" s="485"/>
      <c r="DI1050" s="485"/>
      <c r="DJ1050" s="485"/>
      <c r="DK1050" s="485"/>
      <c r="DL1050" s="485"/>
      <c r="DM1050" s="485"/>
      <c r="DN1050" s="485"/>
      <c r="DO1050" s="485"/>
      <c r="DP1050" s="485"/>
      <c r="DQ1050" s="485"/>
      <c r="DR1050" s="485"/>
      <c r="DS1050" s="485"/>
      <c r="DT1050" s="485"/>
      <c r="DU1050" s="485"/>
      <c r="DV1050" s="485"/>
      <c r="DW1050" s="485"/>
      <c r="DX1050" s="485"/>
      <c r="DY1050" s="485"/>
      <c r="DZ1050" s="485"/>
      <c r="EA1050" s="485"/>
      <c r="EB1050" s="485"/>
      <c r="EC1050" s="485"/>
      <c r="ED1050" s="485"/>
      <c r="EE1050" s="485"/>
      <c r="EF1050" s="485"/>
      <c r="EG1050" s="485"/>
      <c r="EH1050" s="485"/>
      <c r="EI1050" s="485"/>
      <c r="EJ1050" s="485"/>
      <c r="EK1050" s="485"/>
      <c r="EL1050" s="485"/>
      <c r="EM1050" s="485"/>
      <c r="EN1050" s="485"/>
      <c r="EO1050" s="485"/>
      <c r="EP1050" s="485"/>
    </row>
    <row r="1051" spans="1:146">
      <c r="A1051" s="485"/>
      <c r="B1051" s="485"/>
      <c r="C1051" s="485"/>
      <c r="D1051" s="485"/>
      <c r="E1051" s="485"/>
      <c r="F1051" s="485"/>
      <c r="G1051" s="485"/>
      <c r="H1051" s="485"/>
      <c r="I1051" s="485"/>
      <c r="J1051" s="485"/>
      <c r="K1051" s="485"/>
      <c r="L1051" s="485"/>
      <c r="M1051" s="485"/>
      <c r="P1051" s="485"/>
      <c r="Q1051" s="485"/>
      <c r="R1051" s="485"/>
      <c r="S1051" s="485"/>
      <c r="T1051" s="485"/>
      <c r="U1051" s="485"/>
      <c r="V1051" s="485"/>
      <c r="W1051" s="485"/>
      <c r="X1051" s="485"/>
      <c r="Y1051" s="485"/>
      <c r="Z1051" s="485"/>
      <c r="AA1051" s="485"/>
      <c r="AB1051" s="485"/>
      <c r="AC1051" s="485"/>
      <c r="AD1051" s="485"/>
      <c r="AE1051" s="485"/>
      <c r="AF1051" s="485"/>
      <c r="AG1051" s="485"/>
      <c r="AH1051" s="485"/>
      <c r="AI1051" s="485"/>
      <c r="AJ1051" s="485"/>
      <c r="AK1051" s="485"/>
      <c r="AL1051" s="485"/>
      <c r="AM1051" s="485"/>
      <c r="AN1051" s="485"/>
      <c r="AO1051" s="485"/>
      <c r="AP1051" s="485"/>
      <c r="AQ1051" s="485"/>
      <c r="AR1051" s="485"/>
      <c r="AS1051" s="485"/>
      <c r="AT1051" s="485"/>
      <c r="AU1051" s="485"/>
      <c r="AV1051" s="485"/>
      <c r="AW1051" s="485"/>
      <c r="AX1051" s="485"/>
      <c r="AY1051" s="485"/>
      <c r="AZ1051" s="485"/>
      <c r="BA1051" s="485"/>
      <c r="BB1051" s="485"/>
      <c r="BC1051" s="485"/>
      <c r="BD1051" s="485"/>
      <c r="BE1051" s="485"/>
      <c r="BF1051" s="485"/>
      <c r="BG1051" s="485"/>
      <c r="BH1051" s="485"/>
      <c r="BI1051" s="485"/>
      <c r="BJ1051" s="485"/>
      <c r="BK1051" s="485"/>
      <c r="BL1051" s="485"/>
      <c r="BM1051" s="485"/>
      <c r="BN1051" s="485"/>
      <c r="BO1051" s="485"/>
      <c r="BP1051" s="485"/>
      <c r="BQ1051" s="485"/>
      <c r="BR1051" s="485"/>
      <c r="BS1051" s="485"/>
      <c r="BT1051" s="485"/>
      <c r="BU1051" s="485"/>
      <c r="BV1051" s="485"/>
      <c r="BW1051" s="485"/>
      <c r="BX1051" s="485"/>
      <c r="BY1051" s="485"/>
      <c r="BZ1051" s="485"/>
      <c r="CA1051" s="485"/>
      <c r="CB1051" s="485"/>
      <c r="CC1051" s="485"/>
      <c r="CD1051" s="485"/>
      <c r="CE1051" s="485"/>
      <c r="CF1051" s="485"/>
      <c r="CG1051" s="485"/>
      <c r="CH1051" s="485"/>
      <c r="CI1051" s="485"/>
      <c r="CJ1051" s="485"/>
      <c r="CK1051" s="485"/>
      <c r="CL1051" s="485"/>
      <c r="CM1051" s="485"/>
      <c r="CN1051" s="485"/>
      <c r="CO1051" s="485"/>
      <c r="CP1051" s="485"/>
      <c r="CQ1051" s="485"/>
      <c r="CR1051" s="485"/>
      <c r="CS1051" s="485"/>
      <c r="CT1051" s="485"/>
      <c r="CU1051" s="485"/>
      <c r="CV1051" s="485"/>
      <c r="CW1051" s="485"/>
      <c r="CX1051" s="485"/>
      <c r="CY1051" s="485"/>
      <c r="CZ1051" s="485"/>
      <c r="DA1051" s="485"/>
      <c r="DB1051" s="485"/>
      <c r="DC1051" s="485"/>
      <c r="DD1051" s="485"/>
      <c r="DE1051" s="485"/>
      <c r="DF1051" s="485"/>
      <c r="DG1051" s="485"/>
      <c r="DH1051" s="485"/>
      <c r="DI1051" s="485"/>
      <c r="DJ1051" s="485"/>
      <c r="DK1051" s="485"/>
      <c r="DL1051" s="485"/>
      <c r="DM1051" s="485"/>
      <c r="DN1051" s="485"/>
      <c r="DO1051" s="485"/>
      <c r="DP1051" s="485"/>
      <c r="DQ1051" s="485"/>
      <c r="DR1051" s="485"/>
      <c r="DS1051" s="485"/>
      <c r="DT1051" s="485"/>
      <c r="DU1051" s="485"/>
      <c r="DV1051" s="485"/>
      <c r="DW1051" s="485"/>
      <c r="DX1051" s="485"/>
      <c r="DY1051" s="485"/>
      <c r="DZ1051" s="485"/>
      <c r="EA1051" s="485"/>
      <c r="EB1051" s="485"/>
      <c r="EC1051" s="485"/>
      <c r="ED1051" s="485"/>
      <c r="EE1051" s="485"/>
      <c r="EF1051" s="485"/>
      <c r="EG1051" s="485"/>
      <c r="EH1051" s="485"/>
      <c r="EI1051" s="485"/>
      <c r="EJ1051" s="485"/>
      <c r="EK1051" s="485"/>
      <c r="EL1051" s="485"/>
      <c r="EM1051" s="485"/>
      <c r="EN1051" s="485"/>
      <c r="EO1051" s="485"/>
      <c r="EP1051" s="485"/>
    </row>
    <row r="1052" spans="1:146">
      <c r="A1052" s="485"/>
      <c r="B1052" s="485"/>
      <c r="C1052" s="485"/>
      <c r="D1052" s="485"/>
      <c r="E1052" s="485"/>
      <c r="F1052" s="485"/>
      <c r="G1052" s="485"/>
      <c r="H1052" s="485"/>
      <c r="I1052" s="485"/>
      <c r="J1052" s="485"/>
      <c r="K1052" s="485"/>
      <c r="L1052" s="485"/>
      <c r="M1052" s="485"/>
      <c r="P1052" s="485"/>
      <c r="Q1052" s="485"/>
      <c r="R1052" s="485"/>
      <c r="S1052" s="485"/>
      <c r="T1052" s="485"/>
      <c r="U1052" s="485"/>
      <c r="V1052" s="485"/>
      <c r="W1052" s="485"/>
      <c r="X1052" s="485"/>
      <c r="Y1052" s="485"/>
      <c r="Z1052" s="485"/>
      <c r="AA1052" s="485"/>
      <c r="AB1052" s="485"/>
      <c r="AC1052" s="485"/>
      <c r="AD1052" s="485"/>
      <c r="AE1052" s="485"/>
      <c r="AF1052" s="485"/>
      <c r="AG1052" s="485"/>
      <c r="AH1052" s="485"/>
      <c r="AI1052" s="485"/>
      <c r="AJ1052" s="485"/>
      <c r="AK1052" s="485"/>
      <c r="AL1052" s="485"/>
      <c r="AM1052" s="485"/>
      <c r="AN1052" s="485"/>
      <c r="AO1052" s="485"/>
      <c r="AP1052" s="485"/>
      <c r="AQ1052" s="485"/>
      <c r="AR1052" s="485"/>
      <c r="AS1052" s="485"/>
      <c r="AT1052" s="485"/>
      <c r="AU1052" s="485"/>
      <c r="AV1052" s="485"/>
      <c r="AW1052" s="485"/>
      <c r="AX1052" s="485"/>
      <c r="AY1052" s="485"/>
      <c r="AZ1052" s="485"/>
      <c r="BA1052" s="485"/>
      <c r="BB1052" s="485"/>
      <c r="BC1052" s="485"/>
      <c r="BD1052" s="485"/>
      <c r="BE1052" s="485"/>
      <c r="BF1052" s="485"/>
      <c r="BG1052" s="485"/>
      <c r="BH1052" s="485"/>
      <c r="BI1052" s="485"/>
      <c r="BJ1052" s="485"/>
      <c r="BK1052" s="485"/>
      <c r="BL1052" s="485"/>
      <c r="BM1052" s="485"/>
      <c r="BN1052" s="485"/>
      <c r="BO1052" s="485"/>
      <c r="BP1052" s="485"/>
      <c r="BQ1052" s="485"/>
      <c r="BR1052" s="485"/>
      <c r="BS1052" s="485"/>
      <c r="BT1052" s="485"/>
      <c r="BU1052" s="485"/>
      <c r="BV1052" s="485"/>
      <c r="BW1052" s="485"/>
      <c r="BX1052" s="485"/>
      <c r="BY1052" s="485"/>
      <c r="BZ1052" s="485"/>
      <c r="CA1052" s="485"/>
      <c r="CB1052" s="485"/>
      <c r="CC1052" s="485"/>
      <c r="CD1052" s="485"/>
      <c r="CE1052" s="485"/>
      <c r="CF1052" s="485"/>
      <c r="CG1052" s="485"/>
      <c r="CH1052" s="485"/>
      <c r="CI1052" s="485"/>
      <c r="CJ1052" s="485"/>
      <c r="CK1052" s="485"/>
      <c r="CL1052" s="485"/>
      <c r="CM1052" s="485"/>
      <c r="CN1052" s="485"/>
      <c r="CO1052" s="485"/>
      <c r="CP1052" s="485"/>
      <c r="CQ1052" s="485"/>
      <c r="CR1052" s="485"/>
      <c r="CS1052" s="485"/>
      <c r="CT1052" s="485"/>
      <c r="CU1052" s="485"/>
      <c r="CV1052" s="485"/>
      <c r="CW1052" s="485"/>
      <c r="CX1052" s="485"/>
      <c r="CY1052" s="485"/>
      <c r="CZ1052" s="485"/>
      <c r="DA1052" s="485"/>
      <c r="DB1052" s="485"/>
      <c r="DC1052" s="485"/>
      <c r="DD1052" s="485"/>
      <c r="DE1052" s="485"/>
      <c r="DF1052" s="485"/>
      <c r="DG1052" s="485"/>
      <c r="DH1052" s="485"/>
      <c r="DI1052" s="485"/>
      <c r="DJ1052" s="485"/>
      <c r="DK1052" s="485"/>
      <c r="DL1052" s="485"/>
      <c r="DM1052" s="485"/>
      <c r="DN1052" s="485"/>
      <c r="DO1052" s="485"/>
      <c r="DP1052" s="485"/>
      <c r="DQ1052" s="485"/>
      <c r="DR1052" s="485"/>
      <c r="DS1052" s="485"/>
      <c r="DT1052" s="485"/>
      <c r="DU1052" s="485"/>
      <c r="DV1052" s="485"/>
      <c r="DW1052" s="485"/>
      <c r="DX1052" s="485"/>
      <c r="DY1052" s="485"/>
      <c r="DZ1052" s="485"/>
      <c r="EA1052" s="485"/>
      <c r="EB1052" s="485"/>
      <c r="EC1052" s="485"/>
      <c r="ED1052" s="485"/>
      <c r="EE1052" s="485"/>
      <c r="EF1052" s="485"/>
      <c r="EG1052" s="485"/>
      <c r="EH1052" s="485"/>
      <c r="EI1052" s="485"/>
      <c r="EJ1052" s="485"/>
      <c r="EK1052" s="485"/>
      <c r="EL1052" s="485"/>
      <c r="EM1052" s="485"/>
      <c r="EN1052" s="485"/>
      <c r="EO1052" s="485"/>
      <c r="EP1052" s="485"/>
    </row>
    <row r="1053" spans="1:146">
      <c r="A1053" s="485"/>
      <c r="B1053" s="485"/>
      <c r="C1053" s="485"/>
      <c r="D1053" s="485"/>
      <c r="E1053" s="485"/>
      <c r="F1053" s="485"/>
      <c r="G1053" s="485"/>
      <c r="H1053" s="485"/>
      <c r="I1053" s="485"/>
      <c r="J1053" s="485"/>
      <c r="K1053" s="485"/>
      <c r="L1053" s="485"/>
      <c r="M1053" s="485"/>
      <c r="P1053" s="485"/>
      <c r="Q1053" s="485"/>
      <c r="R1053" s="485"/>
      <c r="S1053" s="485"/>
      <c r="T1053" s="485"/>
      <c r="U1053" s="485"/>
      <c r="V1053" s="485"/>
      <c r="W1053" s="485"/>
      <c r="X1053" s="485"/>
      <c r="Y1053" s="485"/>
      <c r="Z1053" s="485"/>
      <c r="AA1053" s="485"/>
      <c r="AB1053" s="485"/>
      <c r="AC1053" s="485"/>
      <c r="AD1053" s="485"/>
      <c r="AE1053" s="485"/>
      <c r="AF1053" s="485"/>
      <c r="AG1053" s="485"/>
      <c r="AH1053" s="485"/>
      <c r="AI1053" s="485"/>
      <c r="AJ1053" s="485"/>
      <c r="AK1053" s="485"/>
      <c r="AL1053" s="485"/>
      <c r="AM1053" s="485"/>
      <c r="AN1053" s="485"/>
      <c r="AO1053" s="485"/>
      <c r="AP1053" s="485"/>
      <c r="AQ1053" s="485"/>
      <c r="AR1053" s="485"/>
      <c r="AS1053" s="485"/>
      <c r="AT1053" s="485"/>
      <c r="AU1053" s="485"/>
      <c r="AV1053" s="485"/>
      <c r="AW1053" s="485"/>
      <c r="AX1053" s="485"/>
      <c r="AY1053" s="485"/>
      <c r="AZ1053" s="485"/>
      <c r="BA1053" s="485"/>
      <c r="BB1053" s="485"/>
      <c r="BC1053" s="485"/>
      <c r="BD1053" s="485"/>
      <c r="BE1053" s="485"/>
      <c r="BF1053" s="485"/>
      <c r="BG1053" s="485"/>
      <c r="BH1053" s="485"/>
      <c r="BI1053" s="485"/>
      <c r="BJ1053" s="485"/>
      <c r="BK1053" s="485"/>
      <c r="BL1053" s="485"/>
      <c r="BM1053" s="485"/>
      <c r="BN1053" s="485"/>
      <c r="BO1053" s="485"/>
      <c r="BP1053" s="485"/>
      <c r="BQ1053" s="485"/>
      <c r="BR1053" s="485"/>
      <c r="BS1053" s="485"/>
      <c r="BT1053" s="485"/>
      <c r="BU1053" s="485"/>
      <c r="BV1053" s="485"/>
      <c r="BW1053" s="485"/>
      <c r="BX1053" s="485"/>
      <c r="BY1053" s="485"/>
      <c r="BZ1053" s="485"/>
      <c r="CA1053" s="485"/>
      <c r="CB1053" s="485"/>
      <c r="CC1053" s="485"/>
      <c r="CD1053" s="485"/>
      <c r="CE1053" s="485"/>
      <c r="CF1053" s="485"/>
      <c r="CG1053" s="485"/>
      <c r="CH1053" s="485"/>
      <c r="CI1053" s="485"/>
      <c r="CJ1053" s="485"/>
      <c r="CK1053" s="485"/>
      <c r="CL1053" s="485"/>
      <c r="CM1053" s="485"/>
      <c r="CN1053" s="485"/>
      <c r="CO1053" s="485"/>
      <c r="CP1053" s="485"/>
      <c r="CQ1053" s="485"/>
      <c r="CR1053" s="485"/>
      <c r="CS1053" s="485"/>
      <c r="CT1053" s="485"/>
      <c r="CU1053" s="485"/>
      <c r="CV1053" s="485"/>
      <c r="CW1053" s="485"/>
      <c r="CX1053" s="485"/>
      <c r="CY1053" s="485"/>
      <c r="CZ1053" s="485"/>
      <c r="DA1053" s="485"/>
      <c r="DB1053" s="485"/>
      <c r="DC1053" s="485"/>
      <c r="DD1053" s="485"/>
      <c r="DE1053" s="485"/>
      <c r="DF1053" s="485"/>
      <c r="DG1053" s="485"/>
      <c r="DH1053" s="485"/>
      <c r="DI1053" s="485"/>
      <c r="DJ1053" s="485"/>
      <c r="DK1053" s="485"/>
      <c r="DL1053" s="485"/>
      <c r="DM1053" s="485"/>
      <c r="DN1053" s="485"/>
      <c r="DO1053" s="485"/>
      <c r="DP1053" s="485"/>
      <c r="DQ1053" s="485"/>
      <c r="DR1053" s="485"/>
      <c r="DS1053" s="485"/>
      <c r="DT1053" s="485"/>
      <c r="DU1053" s="485"/>
      <c r="DV1053" s="485"/>
      <c r="DW1053" s="485"/>
      <c r="DX1053" s="485"/>
      <c r="DY1053" s="485"/>
      <c r="DZ1053" s="485"/>
      <c r="EA1053" s="485"/>
      <c r="EB1053" s="485"/>
      <c r="EC1053" s="485"/>
      <c r="ED1053" s="485"/>
      <c r="EE1053" s="485"/>
      <c r="EF1053" s="485"/>
      <c r="EG1053" s="485"/>
      <c r="EH1053" s="485"/>
      <c r="EI1053" s="485"/>
      <c r="EJ1053" s="485"/>
      <c r="EK1053" s="485"/>
      <c r="EL1053" s="485"/>
      <c r="EM1053" s="485"/>
      <c r="EN1053" s="485"/>
      <c r="EO1053" s="485"/>
      <c r="EP1053" s="485"/>
    </row>
    <row r="1054" spans="1:146">
      <c r="A1054" s="485"/>
      <c r="B1054" s="485"/>
      <c r="C1054" s="485"/>
      <c r="D1054" s="485"/>
      <c r="E1054" s="485"/>
      <c r="F1054" s="485"/>
      <c r="G1054" s="485"/>
      <c r="H1054" s="485"/>
      <c r="I1054" s="485"/>
      <c r="J1054" s="485"/>
      <c r="K1054" s="485"/>
      <c r="L1054" s="485"/>
      <c r="M1054" s="485"/>
      <c r="P1054" s="485"/>
      <c r="Q1054" s="485"/>
      <c r="R1054" s="485"/>
      <c r="S1054" s="485"/>
      <c r="T1054" s="485"/>
      <c r="U1054" s="485"/>
      <c r="V1054" s="485"/>
      <c r="W1054" s="485"/>
      <c r="X1054" s="485"/>
      <c r="Y1054" s="485"/>
      <c r="Z1054" s="485"/>
      <c r="AA1054" s="485"/>
      <c r="AB1054" s="485"/>
      <c r="AC1054" s="485"/>
      <c r="AD1054" s="485"/>
      <c r="AE1054" s="485"/>
      <c r="AF1054" s="485"/>
      <c r="AG1054" s="485"/>
      <c r="AH1054" s="485"/>
      <c r="AI1054" s="485"/>
      <c r="AJ1054" s="485"/>
      <c r="AK1054" s="485"/>
      <c r="AL1054" s="485"/>
      <c r="AM1054" s="485"/>
      <c r="AN1054" s="485"/>
      <c r="AO1054" s="485"/>
      <c r="AP1054" s="485"/>
      <c r="AQ1054" s="485"/>
      <c r="AR1054" s="485"/>
      <c r="AS1054" s="485"/>
      <c r="AT1054" s="485"/>
      <c r="AU1054" s="485"/>
      <c r="AV1054" s="485"/>
      <c r="AW1054" s="485"/>
      <c r="AX1054" s="485"/>
      <c r="AY1054" s="485"/>
      <c r="AZ1054" s="485"/>
      <c r="BA1054" s="485"/>
      <c r="BB1054" s="485"/>
      <c r="BC1054" s="485"/>
      <c r="BD1054" s="485"/>
      <c r="BE1054" s="485"/>
      <c r="BF1054" s="485"/>
      <c r="BG1054" s="485"/>
      <c r="BH1054" s="485"/>
      <c r="BI1054" s="485"/>
      <c r="BJ1054" s="485"/>
      <c r="BK1054" s="485"/>
      <c r="BL1054" s="485"/>
      <c r="BM1054" s="485"/>
      <c r="BN1054" s="485"/>
      <c r="BO1054" s="485"/>
      <c r="BP1054" s="485"/>
      <c r="BQ1054" s="485"/>
      <c r="BR1054" s="485"/>
      <c r="BS1054" s="485"/>
      <c r="BT1054" s="485"/>
      <c r="BU1054" s="485"/>
      <c r="BV1054" s="485"/>
      <c r="BW1054" s="485"/>
      <c r="BX1054" s="485"/>
      <c r="BY1054" s="485"/>
      <c r="BZ1054" s="485"/>
      <c r="CA1054" s="485"/>
      <c r="CB1054" s="485"/>
      <c r="CC1054" s="485"/>
      <c r="CD1054" s="485"/>
      <c r="CE1054" s="485"/>
      <c r="CF1054" s="485"/>
      <c r="CG1054" s="485"/>
      <c r="CH1054" s="485"/>
      <c r="CI1054" s="485"/>
      <c r="CJ1054" s="485"/>
      <c r="CK1054" s="485"/>
      <c r="CL1054" s="485"/>
      <c r="CM1054" s="485"/>
      <c r="CN1054" s="485"/>
      <c r="CO1054" s="485"/>
      <c r="CP1054" s="485"/>
      <c r="CQ1054" s="485"/>
      <c r="CR1054" s="485"/>
      <c r="CS1054" s="485"/>
      <c r="CT1054" s="485"/>
      <c r="CU1054" s="485"/>
      <c r="CV1054" s="485"/>
      <c r="CW1054" s="485"/>
      <c r="CX1054" s="485"/>
      <c r="CY1054" s="485"/>
      <c r="CZ1054" s="485"/>
      <c r="DA1054" s="485"/>
      <c r="DB1054" s="485"/>
      <c r="DC1054" s="485"/>
      <c r="DD1054" s="485"/>
      <c r="DE1054" s="485"/>
      <c r="DF1054" s="485"/>
      <c r="DG1054" s="485"/>
      <c r="DH1054" s="485"/>
      <c r="DI1054" s="485"/>
      <c r="DJ1054" s="485"/>
      <c r="DK1054" s="485"/>
      <c r="DL1054" s="485"/>
      <c r="DM1054" s="485"/>
      <c r="DN1054" s="485"/>
      <c r="DO1054" s="485"/>
      <c r="DP1054" s="485"/>
      <c r="DQ1054" s="485"/>
      <c r="DR1054" s="485"/>
      <c r="DS1054" s="485"/>
      <c r="DT1054" s="485"/>
      <c r="DU1054" s="485"/>
      <c r="DV1054" s="485"/>
      <c r="DW1054" s="485"/>
      <c r="DX1054" s="485"/>
      <c r="DY1054" s="485"/>
      <c r="DZ1054" s="485"/>
      <c r="EA1054" s="485"/>
      <c r="EB1054" s="485"/>
      <c r="EC1054" s="485"/>
      <c r="ED1054" s="485"/>
      <c r="EE1054" s="485"/>
      <c r="EF1054" s="485"/>
      <c r="EG1054" s="485"/>
      <c r="EH1054" s="485"/>
      <c r="EI1054" s="485"/>
      <c r="EJ1054" s="485"/>
      <c r="EK1054" s="485"/>
      <c r="EL1054" s="485"/>
      <c r="EM1054" s="485"/>
      <c r="EN1054" s="485"/>
      <c r="EO1054" s="485"/>
      <c r="EP1054" s="485"/>
    </row>
    <row r="1055" spans="1:146">
      <c r="A1055" s="485"/>
      <c r="B1055" s="485"/>
      <c r="C1055" s="485"/>
      <c r="D1055" s="485"/>
      <c r="E1055" s="485"/>
      <c r="F1055" s="485"/>
      <c r="G1055" s="485"/>
      <c r="H1055" s="485"/>
      <c r="I1055" s="485"/>
      <c r="J1055" s="485"/>
      <c r="K1055" s="485"/>
      <c r="L1055" s="485"/>
      <c r="M1055" s="485"/>
      <c r="P1055" s="485"/>
      <c r="Q1055" s="485"/>
      <c r="R1055" s="485"/>
      <c r="S1055" s="485"/>
      <c r="T1055" s="485"/>
      <c r="U1055" s="485"/>
      <c r="V1055" s="485"/>
      <c r="W1055" s="485"/>
      <c r="X1055" s="485"/>
      <c r="Y1055" s="485"/>
      <c r="Z1055" s="485"/>
      <c r="AA1055" s="485"/>
      <c r="AB1055" s="485"/>
      <c r="AC1055" s="485"/>
      <c r="AD1055" s="485"/>
      <c r="AE1055" s="485"/>
      <c r="AF1055" s="485"/>
      <c r="AG1055" s="485"/>
      <c r="AH1055" s="485"/>
      <c r="AI1055" s="485"/>
      <c r="AJ1055" s="485"/>
      <c r="AK1055" s="485"/>
      <c r="AL1055" s="485"/>
      <c r="AM1055" s="485"/>
      <c r="AN1055" s="485"/>
      <c r="AO1055" s="485"/>
      <c r="AP1055" s="485"/>
      <c r="AQ1055" s="485"/>
      <c r="AR1055" s="485"/>
      <c r="AS1055" s="485"/>
      <c r="AT1055" s="485"/>
      <c r="AU1055" s="485"/>
      <c r="AV1055" s="485"/>
      <c r="AW1055" s="485"/>
      <c r="AX1055" s="485"/>
      <c r="AY1055" s="485"/>
      <c r="AZ1055" s="485"/>
      <c r="BA1055" s="485"/>
      <c r="BB1055" s="485"/>
      <c r="BC1055" s="485"/>
      <c r="BD1055" s="485"/>
      <c r="BE1055" s="485"/>
      <c r="BF1055" s="485"/>
      <c r="BG1055" s="485"/>
      <c r="BH1055" s="485"/>
      <c r="BI1055" s="485"/>
      <c r="BJ1055" s="485"/>
      <c r="BK1055" s="485"/>
      <c r="BL1055" s="485"/>
      <c r="BM1055" s="485"/>
      <c r="BN1055" s="485"/>
      <c r="BO1055" s="485"/>
      <c r="BP1055" s="485"/>
      <c r="BQ1055" s="485"/>
      <c r="BR1055" s="485"/>
      <c r="BS1055" s="485"/>
      <c r="BT1055" s="485"/>
      <c r="BU1055" s="485"/>
      <c r="BV1055" s="485"/>
      <c r="BW1055" s="485"/>
      <c r="BX1055" s="485"/>
      <c r="BY1055" s="485"/>
      <c r="BZ1055" s="485"/>
      <c r="CA1055" s="485"/>
      <c r="CB1055" s="485"/>
      <c r="CC1055" s="485"/>
      <c r="CD1055" s="485"/>
      <c r="CE1055" s="485"/>
      <c r="CF1055" s="485"/>
      <c r="CG1055" s="485"/>
      <c r="CH1055" s="485"/>
      <c r="CI1055" s="485"/>
      <c r="CJ1055" s="485"/>
      <c r="CK1055" s="485"/>
      <c r="CL1055" s="485"/>
      <c r="CM1055" s="485"/>
      <c r="CN1055" s="485"/>
      <c r="CO1055" s="485"/>
      <c r="CP1055" s="485"/>
      <c r="CQ1055" s="485"/>
      <c r="CR1055" s="485"/>
      <c r="CS1055" s="485"/>
      <c r="CT1055" s="485"/>
      <c r="CU1055" s="485"/>
      <c r="CV1055" s="485"/>
      <c r="CW1055" s="485"/>
      <c r="CX1055" s="485"/>
      <c r="CY1055" s="485"/>
      <c r="CZ1055" s="485"/>
      <c r="DA1055" s="485"/>
      <c r="DB1055" s="485"/>
      <c r="DC1055" s="485"/>
      <c r="DD1055" s="485"/>
      <c r="DE1055" s="485"/>
      <c r="DF1055" s="485"/>
      <c r="DG1055" s="485"/>
      <c r="DH1055" s="485"/>
      <c r="DI1055" s="485"/>
      <c r="DJ1055" s="485"/>
      <c r="DK1055" s="485"/>
      <c r="DL1055" s="485"/>
      <c r="DM1055" s="485"/>
      <c r="DN1055" s="485"/>
      <c r="DO1055" s="485"/>
      <c r="DP1055" s="485"/>
      <c r="DQ1055" s="485"/>
      <c r="DR1055" s="485"/>
      <c r="DS1055" s="485"/>
      <c r="DT1055" s="485"/>
      <c r="DU1055" s="485"/>
      <c r="DV1055" s="485"/>
      <c r="DW1055" s="485"/>
      <c r="DX1055" s="485"/>
      <c r="DY1055" s="485"/>
      <c r="DZ1055" s="485"/>
      <c r="EA1055" s="485"/>
      <c r="EB1055" s="485"/>
      <c r="EC1055" s="485"/>
      <c r="ED1055" s="485"/>
      <c r="EE1055" s="485"/>
      <c r="EF1055" s="485"/>
      <c r="EG1055" s="485"/>
      <c r="EH1055" s="485"/>
      <c r="EI1055" s="485"/>
      <c r="EJ1055" s="485"/>
      <c r="EK1055" s="485"/>
      <c r="EL1055" s="485"/>
      <c r="EM1055" s="485"/>
      <c r="EN1055" s="485"/>
      <c r="EO1055" s="485"/>
      <c r="EP1055" s="485"/>
    </row>
    <row r="1056" spans="1:146">
      <c r="A1056" s="485"/>
      <c r="B1056" s="485"/>
      <c r="C1056" s="485"/>
      <c r="D1056" s="485"/>
      <c r="E1056" s="485"/>
      <c r="F1056" s="485"/>
      <c r="G1056" s="485"/>
      <c r="H1056" s="485"/>
      <c r="I1056" s="485"/>
      <c r="J1056" s="485"/>
      <c r="K1056" s="485"/>
      <c r="L1056" s="485"/>
      <c r="M1056" s="485"/>
      <c r="P1056" s="485"/>
      <c r="Q1056" s="485"/>
      <c r="R1056" s="485"/>
      <c r="S1056" s="485"/>
      <c r="T1056" s="485"/>
      <c r="U1056" s="485"/>
      <c r="V1056" s="485"/>
      <c r="W1056" s="485"/>
      <c r="X1056" s="485"/>
      <c r="Y1056" s="485"/>
      <c r="Z1056" s="485"/>
      <c r="AA1056" s="485"/>
      <c r="AB1056" s="485"/>
      <c r="AC1056" s="485"/>
      <c r="AD1056" s="485"/>
      <c r="AE1056" s="485"/>
      <c r="AF1056" s="485"/>
      <c r="AG1056" s="485"/>
      <c r="AH1056" s="485"/>
      <c r="AI1056" s="485"/>
      <c r="AJ1056" s="485"/>
      <c r="AK1056" s="485"/>
      <c r="AL1056" s="485"/>
      <c r="AM1056" s="485"/>
      <c r="AN1056" s="485"/>
      <c r="AO1056" s="485"/>
      <c r="AP1056" s="485"/>
      <c r="AQ1056" s="485"/>
      <c r="AR1056" s="485"/>
      <c r="AS1056" s="485"/>
      <c r="AT1056" s="485"/>
      <c r="AU1056" s="485"/>
      <c r="AV1056" s="485"/>
      <c r="AW1056" s="485"/>
      <c r="AX1056" s="485"/>
      <c r="AY1056" s="485"/>
      <c r="AZ1056" s="485"/>
      <c r="BA1056" s="485"/>
      <c r="BB1056" s="485"/>
      <c r="BC1056" s="485"/>
      <c r="BD1056" s="485"/>
      <c r="BE1056" s="485"/>
      <c r="BF1056" s="485"/>
      <c r="BG1056" s="485"/>
      <c r="BH1056" s="485"/>
      <c r="BI1056" s="485"/>
      <c r="BJ1056" s="485"/>
      <c r="BK1056" s="485"/>
      <c r="BL1056" s="485"/>
      <c r="BM1056" s="485"/>
      <c r="BN1056" s="485"/>
      <c r="BO1056" s="485"/>
      <c r="BP1056" s="485"/>
      <c r="BQ1056" s="485"/>
      <c r="BR1056" s="485"/>
      <c r="BS1056" s="485"/>
      <c r="BT1056" s="485"/>
      <c r="BU1056" s="485"/>
      <c r="BV1056" s="485"/>
      <c r="BW1056" s="485"/>
      <c r="BX1056" s="485"/>
      <c r="BY1056" s="485"/>
      <c r="BZ1056" s="485"/>
      <c r="CA1056" s="485"/>
      <c r="CB1056" s="485"/>
      <c r="CC1056" s="485"/>
      <c r="CD1056" s="485"/>
      <c r="CE1056" s="485"/>
      <c r="CF1056" s="485"/>
      <c r="CG1056" s="485"/>
      <c r="CH1056" s="485"/>
      <c r="CI1056" s="485"/>
      <c r="CJ1056" s="485"/>
      <c r="CK1056" s="485"/>
      <c r="CL1056" s="485"/>
      <c r="CM1056" s="485"/>
      <c r="CN1056" s="485"/>
      <c r="CO1056" s="485"/>
      <c r="CP1056" s="485"/>
      <c r="CQ1056" s="485"/>
      <c r="CR1056" s="485"/>
      <c r="CS1056" s="485"/>
      <c r="CT1056" s="485"/>
      <c r="CU1056" s="485"/>
      <c r="CV1056" s="485"/>
      <c r="CW1056" s="485"/>
      <c r="CX1056" s="485"/>
      <c r="CY1056" s="485"/>
      <c r="CZ1056" s="485"/>
      <c r="DA1056" s="485"/>
      <c r="DB1056" s="485"/>
      <c r="DC1056" s="485"/>
      <c r="DD1056" s="485"/>
      <c r="DE1056" s="485"/>
      <c r="DF1056" s="485"/>
      <c r="DG1056" s="485"/>
      <c r="DH1056" s="485"/>
      <c r="DI1056" s="485"/>
      <c r="DJ1056" s="485"/>
      <c r="DK1056" s="485"/>
      <c r="DL1056" s="485"/>
      <c r="DM1056" s="485"/>
      <c r="DN1056" s="485"/>
      <c r="DO1056" s="485"/>
      <c r="DP1056" s="485"/>
      <c r="DQ1056" s="485"/>
      <c r="DR1056" s="485"/>
      <c r="DS1056" s="485"/>
      <c r="DT1056" s="485"/>
      <c r="DU1056" s="485"/>
      <c r="DV1056" s="485"/>
      <c r="DW1056" s="485"/>
      <c r="DX1056" s="485"/>
      <c r="DY1056" s="485"/>
      <c r="DZ1056" s="485"/>
      <c r="EA1056" s="485"/>
      <c r="EB1056" s="485"/>
      <c r="EC1056" s="485"/>
      <c r="ED1056" s="485"/>
      <c r="EE1056" s="485"/>
      <c r="EF1056" s="485"/>
      <c r="EG1056" s="485"/>
      <c r="EH1056" s="485"/>
      <c r="EI1056" s="485"/>
      <c r="EJ1056" s="485"/>
      <c r="EK1056" s="485"/>
      <c r="EL1056" s="485"/>
      <c r="EM1056" s="485"/>
      <c r="EN1056" s="485"/>
      <c r="EO1056" s="485"/>
      <c r="EP1056" s="485"/>
    </row>
    <row r="1057" spans="1:146">
      <c r="A1057" s="485"/>
      <c r="B1057" s="485"/>
      <c r="C1057" s="485"/>
      <c r="D1057" s="485"/>
      <c r="E1057" s="485"/>
      <c r="F1057" s="485"/>
      <c r="G1057" s="485"/>
      <c r="H1057" s="485"/>
      <c r="I1057" s="485"/>
      <c r="J1057" s="485"/>
      <c r="K1057" s="485"/>
      <c r="L1057" s="485"/>
      <c r="M1057" s="485"/>
      <c r="P1057" s="485"/>
      <c r="Q1057" s="485"/>
      <c r="R1057" s="485"/>
      <c r="S1057" s="485"/>
      <c r="T1057" s="485"/>
      <c r="U1057" s="485"/>
      <c r="V1057" s="485"/>
      <c r="W1057" s="485"/>
      <c r="X1057" s="485"/>
      <c r="Y1057" s="485"/>
      <c r="Z1057" s="485"/>
      <c r="AA1057" s="485"/>
      <c r="AB1057" s="485"/>
      <c r="AC1057" s="485"/>
      <c r="AD1057" s="485"/>
      <c r="AE1057" s="485"/>
      <c r="AF1057" s="485"/>
      <c r="AG1057" s="485"/>
      <c r="AH1057" s="485"/>
      <c r="AI1057" s="485"/>
      <c r="AJ1057" s="485"/>
      <c r="AK1057" s="485"/>
      <c r="AL1057" s="485"/>
      <c r="AM1057" s="485"/>
      <c r="AN1057" s="485"/>
      <c r="AO1057" s="485"/>
      <c r="AP1057" s="485"/>
      <c r="AQ1057" s="485"/>
      <c r="AR1057" s="485"/>
      <c r="AS1057" s="485"/>
      <c r="AT1057" s="485"/>
      <c r="AU1057" s="485"/>
      <c r="AV1057" s="485"/>
      <c r="AW1057" s="485"/>
      <c r="AX1057" s="485"/>
      <c r="AY1057" s="485"/>
      <c r="AZ1057" s="485"/>
      <c r="BA1057" s="485"/>
      <c r="BB1057" s="485"/>
      <c r="BC1057" s="485"/>
      <c r="BD1057" s="485"/>
      <c r="BE1057" s="485"/>
      <c r="BF1057" s="485"/>
      <c r="BG1057" s="485"/>
      <c r="BH1057" s="485"/>
      <c r="BI1057" s="485"/>
      <c r="BJ1057" s="485"/>
      <c r="BK1057" s="485"/>
      <c r="BL1057" s="485"/>
      <c r="BM1057" s="485"/>
      <c r="BN1057" s="485"/>
      <c r="BO1057" s="485"/>
      <c r="BP1057" s="485"/>
      <c r="BQ1057" s="485"/>
      <c r="BR1057" s="485"/>
      <c r="BS1057" s="485"/>
      <c r="BT1057" s="485"/>
      <c r="BU1057" s="485"/>
      <c r="BV1057" s="485"/>
      <c r="BW1057" s="485"/>
      <c r="BX1057" s="485"/>
      <c r="BY1057" s="485"/>
      <c r="BZ1057" s="485"/>
      <c r="CA1057" s="485"/>
      <c r="CB1057" s="485"/>
      <c r="CC1057" s="485"/>
      <c r="CD1057" s="485"/>
      <c r="CE1057" s="485"/>
      <c r="CF1057" s="485"/>
      <c r="CG1057" s="485"/>
      <c r="CH1057" s="485"/>
      <c r="CI1057" s="485"/>
      <c r="CJ1057" s="485"/>
      <c r="CK1057" s="485"/>
      <c r="CL1057" s="485"/>
      <c r="CM1057" s="485"/>
      <c r="CN1057" s="485"/>
      <c r="CO1057" s="485"/>
      <c r="CP1057" s="485"/>
      <c r="CQ1057" s="485"/>
      <c r="CR1057" s="485"/>
      <c r="CS1057" s="485"/>
      <c r="CT1057" s="485"/>
      <c r="CU1057" s="485"/>
      <c r="CV1057" s="485"/>
      <c r="CW1057" s="485"/>
      <c r="CX1057" s="485"/>
      <c r="CY1057" s="485"/>
      <c r="CZ1057" s="485"/>
      <c r="DA1057" s="485"/>
      <c r="DB1057" s="485"/>
      <c r="DC1057" s="485"/>
      <c r="DD1057" s="485"/>
      <c r="DE1057" s="485"/>
      <c r="DF1057" s="485"/>
      <c r="DG1057" s="485"/>
      <c r="DH1057" s="485"/>
      <c r="DI1057" s="485"/>
      <c r="DJ1057" s="485"/>
      <c r="DK1057" s="485"/>
      <c r="DL1057" s="485"/>
      <c r="DM1057" s="485"/>
      <c r="DN1057" s="485"/>
      <c r="DO1057" s="485"/>
      <c r="DP1057" s="485"/>
      <c r="DQ1057" s="485"/>
      <c r="DR1057" s="485"/>
      <c r="DS1057" s="485"/>
      <c r="DT1057" s="485"/>
      <c r="DU1057" s="485"/>
      <c r="DV1057" s="485"/>
      <c r="DW1057" s="485"/>
      <c r="DX1057" s="485"/>
      <c r="DY1057" s="485"/>
      <c r="DZ1057" s="485"/>
      <c r="EA1057" s="485"/>
      <c r="EB1057" s="485"/>
      <c r="EC1057" s="485"/>
      <c r="ED1057" s="485"/>
      <c r="EE1057" s="485"/>
      <c r="EF1057" s="485"/>
      <c r="EG1057" s="485"/>
      <c r="EH1057" s="485"/>
      <c r="EI1057" s="485"/>
      <c r="EJ1057" s="485"/>
      <c r="EK1057" s="485"/>
      <c r="EL1057" s="485"/>
      <c r="EM1057" s="485"/>
      <c r="EN1057" s="485"/>
      <c r="EO1057" s="485"/>
      <c r="EP1057" s="485"/>
    </row>
    <row r="1058" spans="1:146">
      <c r="A1058" s="485"/>
      <c r="B1058" s="485"/>
      <c r="C1058" s="485"/>
      <c r="D1058" s="485"/>
      <c r="E1058" s="485"/>
      <c r="F1058" s="485"/>
      <c r="G1058" s="485"/>
      <c r="H1058" s="485"/>
      <c r="I1058" s="485"/>
      <c r="J1058" s="485"/>
      <c r="K1058" s="485"/>
      <c r="L1058" s="485"/>
      <c r="M1058" s="485"/>
      <c r="P1058" s="485"/>
      <c r="Q1058" s="485"/>
      <c r="R1058" s="485"/>
      <c r="S1058" s="485"/>
      <c r="T1058" s="485"/>
      <c r="U1058" s="485"/>
      <c r="V1058" s="485"/>
      <c r="W1058" s="485"/>
      <c r="X1058" s="485"/>
      <c r="Y1058" s="485"/>
      <c r="Z1058" s="485"/>
      <c r="AA1058" s="485"/>
      <c r="AB1058" s="485"/>
      <c r="AC1058" s="485"/>
      <c r="AD1058" s="485"/>
      <c r="AE1058" s="485"/>
      <c r="AF1058" s="485"/>
      <c r="AG1058" s="485"/>
      <c r="AH1058" s="485"/>
      <c r="AI1058" s="485"/>
      <c r="AJ1058" s="485"/>
      <c r="AK1058" s="485"/>
      <c r="AL1058" s="485"/>
      <c r="AM1058" s="485"/>
      <c r="AN1058" s="485"/>
      <c r="AO1058" s="485"/>
      <c r="AP1058" s="485"/>
      <c r="AQ1058" s="485"/>
      <c r="AR1058" s="485"/>
      <c r="AS1058" s="485"/>
      <c r="AT1058" s="485"/>
      <c r="AU1058" s="485"/>
      <c r="AV1058" s="485"/>
      <c r="AW1058" s="485"/>
      <c r="AX1058" s="485"/>
      <c r="AY1058" s="485"/>
      <c r="AZ1058" s="485"/>
      <c r="BA1058" s="485"/>
      <c r="BB1058" s="485"/>
      <c r="BC1058" s="485"/>
      <c r="BD1058" s="485"/>
      <c r="BE1058" s="485"/>
      <c r="BF1058" s="485"/>
      <c r="BG1058" s="485"/>
      <c r="BH1058" s="485"/>
      <c r="BI1058" s="485"/>
      <c r="BJ1058" s="485"/>
      <c r="BK1058" s="485"/>
      <c r="BL1058" s="485"/>
      <c r="BM1058" s="485"/>
      <c r="BN1058" s="485"/>
      <c r="BO1058" s="485"/>
      <c r="BP1058" s="485"/>
      <c r="BQ1058" s="485"/>
      <c r="BR1058" s="485"/>
      <c r="BS1058" s="485"/>
      <c r="BT1058" s="485"/>
      <c r="BU1058" s="485"/>
      <c r="BV1058" s="485"/>
      <c r="BW1058" s="485"/>
      <c r="BX1058" s="485"/>
      <c r="BY1058" s="485"/>
      <c r="BZ1058" s="485"/>
      <c r="CA1058" s="485"/>
      <c r="CB1058" s="485"/>
      <c r="CC1058" s="485"/>
      <c r="CD1058" s="485"/>
      <c r="CE1058" s="485"/>
      <c r="CF1058" s="485"/>
      <c r="CG1058" s="485"/>
      <c r="CH1058" s="485"/>
      <c r="CI1058" s="485"/>
      <c r="CJ1058" s="485"/>
      <c r="CK1058" s="485"/>
      <c r="CL1058" s="485"/>
      <c r="CM1058" s="485"/>
      <c r="CN1058" s="485"/>
      <c r="CO1058" s="485"/>
      <c r="CP1058" s="485"/>
      <c r="CQ1058" s="485"/>
      <c r="CR1058" s="485"/>
      <c r="CS1058" s="485"/>
      <c r="CT1058" s="485"/>
      <c r="CU1058" s="485"/>
      <c r="CV1058" s="485"/>
      <c r="CW1058" s="485"/>
      <c r="CX1058" s="485"/>
      <c r="CY1058" s="485"/>
      <c r="CZ1058" s="485"/>
      <c r="DA1058" s="485"/>
      <c r="DB1058" s="485"/>
      <c r="DC1058" s="485"/>
      <c r="DD1058" s="485"/>
      <c r="DE1058" s="485"/>
      <c r="DF1058" s="485"/>
      <c r="DG1058" s="485"/>
      <c r="DH1058" s="485"/>
      <c r="DI1058" s="485"/>
      <c r="DJ1058" s="485"/>
      <c r="DK1058" s="485"/>
      <c r="DL1058" s="485"/>
      <c r="DM1058" s="485"/>
      <c r="DN1058" s="485"/>
      <c r="DO1058" s="485"/>
      <c r="DP1058" s="485"/>
      <c r="DQ1058" s="485"/>
      <c r="DR1058" s="485"/>
      <c r="DS1058" s="485"/>
      <c r="DT1058" s="485"/>
      <c r="DU1058" s="485"/>
      <c r="DV1058" s="485"/>
      <c r="DW1058" s="485"/>
      <c r="DX1058" s="485"/>
      <c r="DY1058" s="485"/>
      <c r="DZ1058" s="485"/>
      <c r="EA1058" s="485"/>
      <c r="EB1058" s="485"/>
      <c r="EC1058" s="485"/>
      <c r="ED1058" s="485"/>
      <c r="EE1058" s="485"/>
      <c r="EF1058" s="485"/>
      <c r="EG1058" s="485"/>
      <c r="EH1058" s="485"/>
      <c r="EI1058" s="485"/>
      <c r="EJ1058" s="485"/>
      <c r="EK1058" s="485"/>
      <c r="EL1058" s="485"/>
      <c r="EM1058" s="485"/>
      <c r="EN1058" s="485"/>
      <c r="EO1058" s="485"/>
      <c r="EP1058" s="485"/>
    </row>
    <row r="1059" spans="1:146">
      <c r="A1059" s="485"/>
      <c r="B1059" s="485"/>
      <c r="C1059" s="485"/>
      <c r="D1059" s="485"/>
      <c r="E1059" s="485"/>
      <c r="F1059" s="485"/>
      <c r="G1059" s="485"/>
      <c r="H1059" s="485"/>
      <c r="I1059" s="485"/>
      <c r="J1059" s="485"/>
      <c r="K1059" s="485"/>
      <c r="L1059" s="485"/>
      <c r="M1059" s="485"/>
      <c r="P1059" s="485"/>
      <c r="Q1059" s="485"/>
      <c r="R1059" s="485"/>
      <c r="S1059" s="485"/>
      <c r="T1059" s="485"/>
      <c r="U1059" s="485"/>
      <c r="V1059" s="485"/>
      <c r="W1059" s="485"/>
      <c r="X1059" s="485"/>
      <c r="Y1059" s="485"/>
      <c r="Z1059" s="485"/>
      <c r="AA1059" s="485"/>
      <c r="AB1059" s="485"/>
      <c r="AC1059" s="485"/>
      <c r="AD1059" s="485"/>
      <c r="AE1059" s="485"/>
      <c r="AF1059" s="485"/>
      <c r="AG1059" s="485"/>
      <c r="AH1059" s="485"/>
      <c r="AI1059" s="485"/>
      <c r="AJ1059" s="485"/>
      <c r="AK1059" s="485"/>
      <c r="AL1059" s="485"/>
      <c r="AM1059" s="485"/>
      <c r="AN1059" s="485"/>
      <c r="AO1059" s="485"/>
      <c r="AP1059" s="485"/>
      <c r="AQ1059" s="485"/>
      <c r="AR1059" s="485"/>
      <c r="AS1059" s="485"/>
      <c r="AT1059" s="485"/>
      <c r="AU1059" s="485"/>
      <c r="AV1059" s="485"/>
      <c r="AW1059" s="485"/>
      <c r="AX1059" s="485"/>
      <c r="AY1059" s="485"/>
      <c r="AZ1059" s="485"/>
      <c r="BA1059" s="485"/>
      <c r="BB1059" s="485"/>
      <c r="BC1059" s="485"/>
      <c r="BD1059" s="485"/>
      <c r="BE1059" s="485"/>
      <c r="BF1059" s="485"/>
      <c r="BG1059" s="485"/>
      <c r="BH1059" s="485"/>
      <c r="BI1059" s="485"/>
      <c r="BJ1059" s="485"/>
      <c r="BK1059" s="485"/>
      <c r="BL1059" s="485"/>
      <c r="BM1059" s="485"/>
      <c r="BN1059" s="485"/>
      <c r="BO1059" s="485"/>
      <c r="BP1059" s="485"/>
      <c r="BQ1059" s="485"/>
      <c r="BR1059" s="485"/>
      <c r="BS1059" s="485"/>
      <c r="BT1059" s="485"/>
      <c r="BU1059" s="485"/>
      <c r="BV1059" s="485"/>
      <c r="BW1059" s="485"/>
      <c r="BX1059" s="485"/>
      <c r="BY1059" s="485"/>
      <c r="BZ1059" s="485"/>
      <c r="CA1059" s="485"/>
      <c r="CB1059" s="485"/>
      <c r="CC1059" s="485"/>
      <c r="CD1059" s="485"/>
      <c r="CE1059" s="485"/>
      <c r="CF1059" s="485"/>
      <c r="CG1059" s="485"/>
      <c r="CH1059" s="485"/>
      <c r="CI1059" s="485"/>
      <c r="CJ1059" s="485"/>
      <c r="CK1059" s="485"/>
      <c r="CL1059" s="485"/>
      <c r="CM1059" s="485"/>
      <c r="CN1059" s="485"/>
      <c r="CO1059" s="485"/>
      <c r="CP1059" s="485"/>
      <c r="CQ1059" s="485"/>
      <c r="CR1059" s="485"/>
      <c r="CS1059" s="485"/>
      <c r="CT1059" s="485"/>
      <c r="CU1059" s="485"/>
      <c r="CV1059" s="485"/>
      <c r="CW1059" s="485"/>
      <c r="CX1059" s="485"/>
      <c r="CY1059" s="485"/>
      <c r="CZ1059" s="485"/>
      <c r="DA1059" s="485"/>
      <c r="DB1059" s="485"/>
      <c r="DC1059" s="485"/>
      <c r="DD1059" s="485"/>
      <c r="DE1059" s="485"/>
      <c r="DF1059" s="485"/>
      <c r="DG1059" s="485"/>
      <c r="DH1059" s="485"/>
      <c r="DI1059" s="485"/>
      <c r="DJ1059" s="485"/>
      <c r="DK1059" s="485"/>
      <c r="DL1059" s="485"/>
      <c r="DM1059" s="485"/>
      <c r="DN1059" s="485"/>
      <c r="DO1059" s="485"/>
      <c r="DP1059" s="485"/>
      <c r="DQ1059" s="485"/>
      <c r="DR1059" s="485"/>
      <c r="DS1059" s="485"/>
      <c r="DT1059" s="485"/>
      <c r="DU1059" s="485"/>
      <c r="DV1059" s="485"/>
      <c r="DW1059" s="485"/>
      <c r="DX1059" s="485"/>
      <c r="DY1059" s="485"/>
      <c r="DZ1059" s="485"/>
      <c r="EA1059" s="485"/>
      <c r="EB1059" s="485"/>
      <c r="EC1059" s="485"/>
      <c r="ED1059" s="485"/>
      <c r="EE1059" s="485"/>
      <c r="EF1059" s="485"/>
      <c r="EG1059" s="485"/>
      <c r="EH1059" s="485"/>
      <c r="EI1059" s="485"/>
      <c r="EJ1059" s="485"/>
      <c r="EK1059" s="485"/>
      <c r="EL1059" s="485"/>
      <c r="EM1059" s="485"/>
      <c r="EN1059" s="485"/>
      <c r="EO1059" s="485"/>
      <c r="EP1059" s="485"/>
    </row>
    <row r="1060" spans="1:146">
      <c r="A1060" s="485"/>
      <c r="B1060" s="485"/>
      <c r="C1060" s="485"/>
      <c r="D1060" s="485"/>
      <c r="E1060" s="485"/>
      <c r="F1060" s="485"/>
      <c r="G1060" s="485"/>
      <c r="H1060" s="485"/>
      <c r="I1060" s="485"/>
      <c r="J1060" s="485"/>
      <c r="K1060" s="485"/>
      <c r="L1060" s="485"/>
      <c r="M1060" s="485"/>
      <c r="P1060" s="485"/>
      <c r="Q1060" s="485"/>
      <c r="R1060" s="485"/>
      <c r="S1060" s="485"/>
      <c r="T1060" s="485"/>
      <c r="U1060" s="485"/>
      <c r="V1060" s="485"/>
      <c r="W1060" s="485"/>
      <c r="X1060" s="485"/>
      <c r="Y1060" s="485"/>
      <c r="Z1060" s="485"/>
      <c r="AA1060" s="485"/>
      <c r="AB1060" s="485"/>
      <c r="AC1060" s="485"/>
      <c r="AD1060" s="485"/>
      <c r="AE1060" s="485"/>
      <c r="AF1060" s="485"/>
      <c r="AG1060" s="485"/>
      <c r="AH1060" s="485"/>
      <c r="AI1060" s="485"/>
      <c r="AJ1060" s="485"/>
      <c r="AK1060" s="485"/>
      <c r="AL1060" s="485"/>
      <c r="AM1060" s="485"/>
      <c r="AN1060" s="485"/>
      <c r="AO1060" s="485"/>
      <c r="AP1060" s="485"/>
      <c r="AQ1060" s="485"/>
      <c r="AR1060" s="485"/>
      <c r="AS1060" s="485"/>
      <c r="AT1060" s="485"/>
      <c r="AU1060" s="485"/>
      <c r="AV1060" s="485"/>
      <c r="AW1060" s="485"/>
      <c r="AX1060" s="485"/>
      <c r="AY1060" s="485"/>
      <c r="AZ1060" s="485"/>
      <c r="BA1060" s="485"/>
      <c r="BB1060" s="485"/>
      <c r="BC1060" s="485"/>
      <c r="BD1060" s="485"/>
      <c r="BE1060" s="485"/>
      <c r="BF1060" s="485"/>
      <c r="BG1060" s="485"/>
      <c r="BH1060" s="485"/>
      <c r="BI1060" s="485"/>
      <c r="BJ1060" s="485"/>
      <c r="BK1060" s="485"/>
      <c r="BL1060" s="485"/>
      <c r="BM1060" s="485"/>
      <c r="BN1060" s="485"/>
      <c r="BO1060" s="485"/>
      <c r="BP1060" s="485"/>
      <c r="BQ1060" s="485"/>
      <c r="BR1060" s="485"/>
      <c r="BS1060" s="485"/>
      <c r="BT1060" s="485"/>
      <c r="BU1060" s="485"/>
      <c r="BV1060" s="485"/>
      <c r="BW1060" s="485"/>
      <c r="BX1060" s="485"/>
      <c r="BY1060" s="485"/>
      <c r="BZ1060" s="485"/>
      <c r="CA1060" s="485"/>
      <c r="CB1060" s="485"/>
      <c r="CC1060" s="485"/>
      <c r="CD1060" s="485"/>
      <c r="CE1060" s="485"/>
      <c r="CF1060" s="485"/>
      <c r="CG1060" s="485"/>
      <c r="CH1060" s="485"/>
      <c r="CI1060" s="485"/>
      <c r="CJ1060" s="485"/>
      <c r="CK1060" s="485"/>
      <c r="CL1060" s="485"/>
      <c r="CM1060" s="485"/>
      <c r="CN1060" s="485"/>
      <c r="CO1060" s="485"/>
      <c r="CP1060" s="485"/>
      <c r="CQ1060" s="485"/>
      <c r="CR1060" s="485"/>
      <c r="CS1060" s="485"/>
      <c r="CT1060" s="485"/>
      <c r="CU1060" s="485"/>
      <c r="CV1060" s="485"/>
      <c r="CW1060" s="485"/>
      <c r="CX1060" s="485"/>
      <c r="CY1060" s="485"/>
      <c r="CZ1060" s="485"/>
      <c r="DA1060" s="485"/>
      <c r="DB1060" s="485"/>
      <c r="DC1060" s="485"/>
      <c r="DD1060" s="485"/>
      <c r="DE1060" s="485"/>
      <c r="DF1060" s="485"/>
      <c r="DG1060" s="485"/>
      <c r="DH1060" s="485"/>
      <c r="DI1060" s="485"/>
      <c r="DJ1060" s="485"/>
      <c r="DK1060" s="485"/>
      <c r="DL1060" s="485"/>
      <c r="DM1060" s="485"/>
      <c r="DN1060" s="485"/>
      <c r="DO1060" s="485"/>
      <c r="DP1060" s="485"/>
      <c r="DQ1060" s="485"/>
      <c r="DR1060" s="485"/>
      <c r="DS1060" s="485"/>
      <c r="DT1060" s="485"/>
      <c r="DU1060" s="485"/>
      <c r="DV1060" s="485"/>
      <c r="DW1060" s="485"/>
      <c r="DX1060" s="485"/>
      <c r="DY1060" s="485"/>
      <c r="DZ1060" s="485"/>
      <c r="EA1060" s="485"/>
      <c r="EB1060" s="485"/>
      <c r="EC1060" s="485"/>
      <c r="ED1060" s="485"/>
      <c r="EE1060" s="485"/>
      <c r="EF1060" s="485"/>
      <c r="EG1060" s="485"/>
      <c r="EH1060" s="485"/>
      <c r="EI1060" s="485"/>
      <c r="EJ1060" s="485"/>
      <c r="EK1060" s="485"/>
      <c r="EL1060" s="485"/>
      <c r="EM1060" s="485"/>
      <c r="EN1060" s="485"/>
      <c r="EO1060" s="485"/>
      <c r="EP1060" s="485"/>
    </row>
    <row r="1061" spans="1:146">
      <c r="A1061" s="485"/>
      <c r="B1061" s="485"/>
      <c r="C1061" s="485"/>
      <c r="D1061" s="485"/>
      <c r="E1061" s="485"/>
      <c r="F1061" s="485"/>
      <c r="G1061" s="485"/>
      <c r="H1061" s="485"/>
      <c r="I1061" s="485"/>
      <c r="J1061" s="485"/>
      <c r="K1061" s="485"/>
      <c r="L1061" s="485"/>
      <c r="M1061" s="485"/>
      <c r="P1061" s="485"/>
      <c r="Q1061" s="485"/>
      <c r="R1061" s="485"/>
      <c r="S1061" s="485"/>
      <c r="T1061" s="485"/>
      <c r="U1061" s="485"/>
      <c r="V1061" s="485"/>
      <c r="W1061" s="485"/>
      <c r="X1061" s="485"/>
      <c r="Y1061" s="485"/>
      <c r="Z1061" s="485"/>
      <c r="AA1061" s="485"/>
      <c r="AB1061" s="485"/>
      <c r="AC1061" s="485"/>
      <c r="AD1061" s="485"/>
      <c r="AE1061" s="485"/>
      <c r="AF1061" s="485"/>
      <c r="AG1061" s="485"/>
      <c r="AH1061" s="485"/>
      <c r="AI1061" s="485"/>
      <c r="AJ1061" s="485"/>
      <c r="AK1061" s="485"/>
      <c r="AL1061" s="485"/>
      <c r="AM1061" s="485"/>
      <c r="AN1061" s="485"/>
      <c r="AO1061" s="485"/>
      <c r="AP1061" s="485"/>
      <c r="AQ1061" s="485"/>
      <c r="AR1061" s="485"/>
      <c r="AS1061" s="485"/>
      <c r="AT1061" s="485"/>
      <c r="AU1061" s="485"/>
      <c r="AV1061" s="485"/>
      <c r="AW1061" s="485"/>
      <c r="AX1061" s="485"/>
      <c r="AY1061" s="485"/>
      <c r="AZ1061" s="485"/>
      <c r="BA1061" s="485"/>
      <c r="BB1061" s="485"/>
      <c r="BC1061" s="485"/>
      <c r="BD1061" s="485"/>
      <c r="BE1061" s="485"/>
      <c r="BF1061" s="485"/>
      <c r="BG1061" s="485"/>
      <c r="BH1061" s="485"/>
      <c r="BI1061" s="485"/>
      <c r="BJ1061" s="485"/>
      <c r="BK1061" s="485"/>
      <c r="BL1061" s="485"/>
      <c r="BM1061" s="485"/>
      <c r="BN1061" s="485"/>
      <c r="BO1061" s="485"/>
      <c r="BP1061" s="485"/>
      <c r="BQ1061" s="485"/>
      <c r="BR1061" s="485"/>
      <c r="BS1061" s="485"/>
      <c r="BT1061" s="485"/>
      <c r="BU1061" s="485"/>
      <c r="BV1061" s="485"/>
      <c r="BW1061" s="485"/>
      <c r="BX1061" s="485"/>
      <c r="BY1061" s="485"/>
      <c r="BZ1061" s="485"/>
      <c r="CA1061" s="485"/>
      <c r="CB1061" s="485"/>
      <c r="CC1061" s="485"/>
      <c r="CD1061" s="485"/>
      <c r="CE1061" s="485"/>
      <c r="CF1061" s="485"/>
      <c r="CG1061" s="485"/>
      <c r="CH1061" s="485"/>
      <c r="CI1061" s="485"/>
      <c r="CJ1061" s="485"/>
      <c r="CK1061" s="485"/>
      <c r="CL1061" s="485"/>
      <c r="CM1061" s="485"/>
      <c r="CN1061" s="485"/>
      <c r="CO1061" s="485"/>
      <c r="CP1061" s="485"/>
      <c r="CQ1061" s="485"/>
      <c r="CR1061" s="485"/>
      <c r="CS1061" s="485"/>
      <c r="CT1061" s="485"/>
      <c r="CU1061" s="485"/>
      <c r="CV1061" s="485"/>
      <c r="CW1061" s="485"/>
      <c r="CX1061" s="485"/>
      <c r="CY1061" s="485"/>
      <c r="CZ1061" s="485"/>
      <c r="DA1061" s="485"/>
      <c r="DB1061" s="485"/>
      <c r="DC1061" s="485"/>
      <c r="DD1061" s="485"/>
      <c r="DE1061" s="485"/>
      <c r="DF1061" s="485"/>
      <c r="DG1061" s="485"/>
      <c r="DH1061" s="485"/>
      <c r="DI1061" s="485"/>
      <c r="DJ1061" s="485"/>
      <c r="DK1061" s="485"/>
      <c r="DL1061" s="485"/>
      <c r="DM1061" s="485"/>
      <c r="DN1061" s="485"/>
      <c r="DO1061" s="485"/>
      <c r="DP1061" s="485"/>
      <c r="DQ1061" s="485"/>
      <c r="DR1061" s="485"/>
      <c r="DS1061" s="485"/>
      <c r="DT1061" s="485"/>
      <c r="DU1061" s="485"/>
      <c r="DV1061" s="485"/>
      <c r="DW1061" s="485"/>
      <c r="DX1061" s="485"/>
      <c r="DY1061" s="485"/>
      <c r="DZ1061" s="485"/>
      <c r="EA1061" s="485"/>
      <c r="EB1061" s="485"/>
      <c r="EC1061" s="485"/>
      <c r="ED1061" s="485"/>
      <c r="EE1061" s="485"/>
      <c r="EF1061" s="485"/>
      <c r="EG1061" s="485"/>
      <c r="EH1061" s="485"/>
      <c r="EI1061" s="485"/>
      <c r="EJ1061" s="485"/>
      <c r="EK1061" s="485"/>
      <c r="EL1061" s="485"/>
      <c r="EM1061" s="485"/>
      <c r="EN1061" s="485"/>
      <c r="EO1061" s="485"/>
      <c r="EP1061" s="485"/>
    </row>
    <row r="1062" spans="1:146">
      <c r="A1062" s="485"/>
      <c r="B1062" s="485"/>
      <c r="C1062" s="485"/>
      <c r="D1062" s="485"/>
      <c r="E1062" s="485"/>
      <c r="F1062" s="485"/>
      <c r="G1062" s="485"/>
      <c r="H1062" s="485"/>
      <c r="I1062" s="485"/>
      <c r="J1062" s="485"/>
      <c r="K1062" s="485"/>
      <c r="L1062" s="485"/>
      <c r="M1062" s="485"/>
      <c r="P1062" s="485"/>
      <c r="Q1062" s="485"/>
      <c r="R1062" s="485"/>
      <c r="S1062" s="485"/>
      <c r="T1062" s="485"/>
      <c r="U1062" s="485"/>
      <c r="V1062" s="485"/>
      <c r="W1062" s="485"/>
      <c r="X1062" s="485"/>
      <c r="Y1062" s="485"/>
      <c r="Z1062" s="485"/>
      <c r="AA1062" s="485"/>
      <c r="AB1062" s="485"/>
      <c r="AC1062" s="485"/>
      <c r="AD1062" s="485"/>
      <c r="AE1062" s="485"/>
      <c r="AF1062" s="485"/>
      <c r="AG1062" s="485"/>
      <c r="AH1062" s="485"/>
      <c r="AI1062" s="485"/>
      <c r="AJ1062" s="485"/>
      <c r="AK1062" s="485"/>
      <c r="AL1062" s="485"/>
      <c r="AM1062" s="485"/>
      <c r="AN1062" s="485"/>
      <c r="AO1062" s="485"/>
      <c r="AP1062" s="485"/>
      <c r="AQ1062" s="485"/>
      <c r="AR1062" s="485"/>
      <c r="AS1062" s="485"/>
      <c r="AT1062" s="485"/>
      <c r="AU1062" s="485"/>
      <c r="AV1062" s="485"/>
      <c r="AW1062" s="485"/>
      <c r="AX1062" s="485"/>
      <c r="AY1062" s="485"/>
      <c r="AZ1062" s="485"/>
      <c r="BA1062" s="485"/>
      <c r="BB1062" s="485"/>
      <c r="BC1062" s="485"/>
      <c r="BD1062" s="485"/>
      <c r="BE1062" s="485"/>
      <c r="BF1062" s="485"/>
      <c r="BG1062" s="485"/>
      <c r="BH1062" s="485"/>
      <c r="BI1062" s="485"/>
      <c r="BJ1062" s="485"/>
      <c r="BK1062" s="485"/>
      <c r="BL1062" s="485"/>
      <c r="BM1062" s="485"/>
      <c r="BN1062" s="485"/>
      <c r="BO1062" s="485"/>
      <c r="BP1062" s="485"/>
      <c r="BQ1062" s="485"/>
      <c r="BR1062" s="485"/>
      <c r="BS1062" s="485"/>
      <c r="BT1062" s="485"/>
      <c r="BU1062" s="485"/>
      <c r="BV1062" s="485"/>
      <c r="BW1062" s="485"/>
      <c r="BX1062" s="485"/>
      <c r="BY1062" s="485"/>
      <c r="BZ1062" s="485"/>
      <c r="CA1062" s="485"/>
      <c r="CB1062" s="485"/>
      <c r="CC1062" s="485"/>
      <c r="CD1062" s="485"/>
      <c r="CE1062" s="485"/>
      <c r="CF1062" s="485"/>
      <c r="CG1062" s="485"/>
      <c r="CH1062" s="485"/>
      <c r="CI1062" s="485"/>
      <c r="CJ1062" s="485"/>
      <c r="CK1062" s="485"/>
      <c r="CL1062" s="485"/>
      <c r="CM1062" s="485"/>
      <c r="CN1062" s="485"/>
      <c r="CO1062" s="485"/>
      <c r="CP1062" s="485"/>
      <c r="CQ1062" s="485"/>
      <c r="CR1062" s="485"/>
      <c r="CS1062" s="485"/>
      <c r="CT1062" s="485"/>
      <c r="CU1062" s="485"/>
      <c r="CV1062" s="485"/>
      <c r="CW1062" s="485"/>
      <c r="CX1062" s="485"/>
      <c r="CY1062" s="485"/>
      <c r="CZ1062" s="485"/>
      <c r="DA1062" s="485"/>
      <c r="DB1062" s="485"/>
      <c r="DC1062" s="485"/>
      <c r="DD1062" s="485"/>
      <c r="DE1062" s="485"/>
      <c r="DF1062" s="485"/>
      <c r="DG1062" s="485"/>
      <c r="DH1062" s="485"/>
      <c r="DI1062" s="485"/>
      <c r="DJ1062" s="485"/>
      <c r="DK1062" s="485"/>
      <c r="DL1062" s="485"/>
      <c r="DM1062" s="485"/>
      <c r="DN1062" s="485"/>
      <c r="DO1062" s="485"/>
      <c r="DP1062" s="485"/>
      <c r="DQ1062" s="485"/>
      <c r="DR1062" s="485"/>
      <c r="DS1062" s="485"/>
      <c r="DT1062" s="485"/>
      <c r="DU1062" s="485"/>
      <c r="DV1062" s="485"/>
      <c r="DW1062" s="485"/>
      <c r="DX1062" s="485"/>
      <c r="DY1062" s="485"/>
      <c r="DZ1062" s="485"/>
      <c r="EA1062" s="485"/>
      <c r="EB1062" s="485"/>
      <c r="EC1062" s="485"/>
      <c r="ED1062" s="485"/>
      <c r="EE1062" s="485"/>
      <c r="EF1062" s="485"/>
      <c r="EG1062" s="485"/>
      <c r="EH1062" s="485"/>
      <c r="EI1062" s="485"/>
      <c r="EJ1062" s="485"/>
      <c r="EK1062" s="485"/>
      <c r="EL1062" s="485"/>
      <c r="EM1062" s="485"/>
      <c r="EN1062" s="485"/>
      <c r="EO1062" s="485"/>
      <c r="EP1062" s="485"/>
    </row>
    <row r="1063" spans="1:146">
      <c r="A1063" s="485"/>
      <c r="B1063" s="485"/>
      <c r="C1063" s="485"/>
      <c r="D1063" s="485"/>
      <c r="E1063" s="485"/>
      <c r="F1063" s="485"/>
      <c r="G1063" s="485"/>
      <c r="H1063" s="485"/>
      <c r="I1063" s="485"/>
      <c r="J1063" s="485"/>
      <c r="K1063" s="485"/>
      <c r="L1063" s="485"/>
      <c r="M1063" s="485"/>
      <c r="P1063" s="485"/>
      <c r="Q1063" s="485"/>
      <c r="R1063" s="485"/>
      <c r="S1063" s="485"/>
      <c r="T1063" s="485"/>
      <c r="U1063" s="485"/>
      <c r="V1063" s="485"/>
      <c r="W1063" s="485"/>
      <c r="X1063" s="485"/>
      <c r="Y1063" s="485"/>
      <c r="Z1063" s="485"/>
      <c r="AA1063" s="485"/>
      <c r="AB1063" s="485"/>
      <c r="AC1063" s="485"/>
      <c r="AD1063" s="485"/>
      <c r="AE1063" s="485"/>
      <c r="AF1063" s="485"/>
      <c r="AG1063" s="485"/>
      <c r="AH1063" s="485"/>
      <c r="AI1063" s="485"/>
      <c r="AJ1063" s="485"/>
      <c r="AK1063" s="485"/>
      <c r="AL1063" s="485"/>
      <c r="AM1063" s="485"/>
      <c r="AN1063" s="485"/>
      <c r="AO1063" s="485"/>
      <c r="AP1063" s="485"/>
      <c r="AQ1063" s="485"/>
      <c r="AR1063" s="485"/>
      <c r="AS1063" s="485"/>
      <c r="AT1063" s="485"/>
      <c r="AU1063" s="485"/>
      <c r="AV1063" s="485"/>
      <c r="AW1063" s="485"/>
      <c r="AX1063" s="485"/>
      <c r="AY1063" s="485"/>
      <c r="AZ1063" s="485"/>
      <c r="BA1063" s="485"/>
      <c r="BB1063" s="485"/>
      <c r="BC1063" s="485"/>
      <c r="BD1063" s="485"/>
      <c r="BE1063" s="485"/>
      <c r="BF1063" s="485"/>
      <c r="BG1063" s="485"/>
      <c r="BH1063" s="485"/>
      <c r="BI1063" s="485"/>
      <c r="BJ1063" s="485"/>
      <c r="BK1063" s="485"/>
      <c r="BL1063" s="485"/>
      <c r="BM1063" s="485"/>
      <c r="BN1063" s="485"/>
      <c r="BO1063" s="485"/>
      <c r="BP1063" s="485"/>
      <c r="BQ1063" s="485"/>
      <c r="BR1063" s="485"/>
      <c r="BS1063" s="485"/>
      <c r="BT1063" s="485"/>
      <c r="BU1063" s="485"/>
      <c r="BV1063" s="485"/>
      <c r="BW1063" s="485"/>
      <c r="BX1063" s="485"/>
      <c r="BY1063" s="485"/>
      <c r="BZ1063" s="485"/>
      <c r="CA1063" s="485"/>
      <c r="CB1063" s="485"/>
      <c r="CC1063" s="485"/>
      <c r="CD1063" s="485"/>
      <c r="CE1063" s="485"/>
      <c r="CF1063" s="485"/>
      <c r="CG1063" s="485"/>
      <c r="CH1063" s="485"/>
      <c r="CI1063" s="485"/>
      <c r="CJ1063" s="485"/>
      <c r="CK1063" s="485"/>
      <c r="CL1063" s="485"/>
      <c r="CM1063" s="485"/>
      <c r="CN1063" s="485"/>
      <c r="CO1063" s="485"/>
      <c r="CP1063" s="485"/>
      <c r="CQ1063" s="485"/>
      <c r="CR1063" s="485"/>
      <c r="CS1063" s="485"/>
      <c r="CT1063" s="485"/>
      <c r="CU1063" s="485"/>
      <c r="CV1063" s="485"/>
      <c r="CW1063" s="485"/>
      <c r="CX1063" s="485"/>
      <c r="CY1063" s="485"/>
      <c r="CZ1063" s="485"/>
      <c r="DA1063" s="485"/>
      <c r="DB1063" s="485"/>
      <c r="DC1063" s="485"/>
      <c r="DD1063" s="485"/>
      <c r="DE1063" s="485"/>
      <c r="DF1063" s="485"/>
      <c r="DG1063" s="485"/>
      <c r="DH1063" s="485"/>
      <c r="DI1063" s="485"/>
      <c r="DJ1063" s="485"/>
      <c r="DK1063" s="485"/>
      <c r="DL1063" s="485"/>
      <c r="DM1063" s="485"/>
      <c r="DN1063" s="485"/>
      <c r="DO1063" s="485"/>
      <c r="DP1063" s="485"/>
      <c r="DQ1063" s="485"/>
      <c r="DR1063" s="485"/>
      <c r="DS1063" s="485"/>
      <c r="DT1063" s="485"/>
      <c r="DU1063" s="485"/>
      <c r="DV1063" s="485"/>
      <c r="DW1063" s="485"/>
      <c r="DX1063" s="485"/>
      <c r="DY1063" s="485"/>
      <c r="DZ1063" s="485"/>
      <c r="EA1063" s="485"/>
      <c r="EB1063" s="485"/>
      <c r="EC1063" s="485"/>
      <c r="ED1063" s="485"/>
      <c r="EE1063" s="485"/>
      <c r="EF1063" s="485"/>
      <c r="EG1063" s="485"/>
      <c r="EH1063" s="485"/>
      <c r="EI1063" s="485"/>
      <c r="EJ1063" s="485"/>
      <c r="EK1063" s="485"/>
      <c r="EL1063" s="485"/>
      <c r="EM1063" s="485"/>
      <c r="EN1063" s="485"/>
      <c r="EO1063" s="485"/>
      <c r="EP1063" s="485"/>
    </row>
    <row r="1064" spans="1:146">
      <c r="A1064" s="485"/>
      <c r="B1064" s="485"/>
      <c r="C1064" s="485"/>
      <c r="D1064" s="485"/>
      <c r="E1064" s="485"/>
      <c r="F1064" s="485"/>
      <c r="G1064" s="485"/>
      <c r="H1064" s="485"/>
      <c r="I1064" s="485"/>
      <c r="J1064" s="485"/>
      <c r="K1064" s="485"/>
      <c r="L1064" s="485"/>
      <c r="M1064" s="485"/>
      <c r="P1064" s="485"/>
      <c r="Q1064" s="485"/>
      <c r="R1064" s="485"/>
      <c r="S1064" s="485"/>
      <c r="T1064" s="485"/>
      <c r="U1064" s="485"/>
      <c r="V1064" s="485"/>
      <c r="W1064" s="485"/>
      <c r="X1064" s="485"/>
      <c r="Y1064" s="485"/>
      <c r="Z1064" s="485"/>
      <c r="AA1064" s="485"/>
      <c r="AB1064" s="485"/>
      <c r="AC1064" s="485"/>
      <c r="AD1064" s="485"/>
      <c r="AE1064" s="485"/>
      <c r="AF1064" s="485"/>
      <c r="AG1064" s="485"/>
      <c r="AH1064" s="485"/>
      <c r="AI1064" s="485"/>
      <c r="AJ1064" s="485"/>
      <c r="AK1064" s="485"/>
      <c r="AL1064" s="485"/>
      <c r="AM1064" s="485"/>
      <c r="AN1064" s="485"/>
      <c r="AO1064" s="485"/>
      <c r="AP1064" s="485"/>
      <c r="AQ1064" s="485"/>
      <c r="AR1064" s="485"/>
      <c r="AS1064" s="485"/>
      <c r="AT1064" s="485"/>
      <c r="AU1064" s="485"/>
      <c r="AV1064" s="485"/>
      <c r="AW1064" s="485"/>
      <c r="AX1064" s="485"/>
      <c r="AY1064" s="485"/>
      <c r="AZ1064" s="485"/>
      <c r="BA1064" s="485"/>
      <c r="BB1064" s="485"/>
      <c r="BC1064" s="485"/>
      <c r="BD1064" s="485"/>
      <c r="BE1064" s="485"/>
      <c r="BF1064" s="485"/>
      <c r="BG1064" s="485"/>
      <c r="BH1064" s="485"/>
      <c r="BI1064" s="485"/>
      <c r="BJ1064" s="485"/>
      <c r="BK1064" s="485"/>
      <c r="BL1064" s="485"/>
      <c r="BM1064" s="485"/>
      <c r="BN1064" s="485"/>
      <c r="BO1064" s="485"/>
      <c r="BP1064" s="485"/>
      <c r="BQ1064" s="485"/>
      <c r="BR1064" s="485"/>
      <c r="BS1064" s="485"/>
      <c r="BT1064" s="485"/>
      <c r="BU1064" s="485"/>
      <c r="BV1064" s="485"/>
      <c r="BW1064" s="485"/>
      <c r="BX1064" s="485"/>
      <c r="BY1064" s="485"/>
      <c r="BZ1064" s="485"/>
      <c r="CA1064" s="485"/>
      <c r="CB1064" s="485"/>
      <c r="CC1064" s="485"/>
      <c r="CD1064" s="485"/>
      <c r="CE1064" s="485"/>
      <c r="CF1064" s="485"/>
      <c r="CG1064" s="485"/>
      <c r="CH1064" s="485"/>
      <c r="CI1064" s="485"/>
      <c r="CJ1064" s="485"/>
      <c r="CK1064" s="485"/>
      <c r="CL1064" s="485"/>
      <c r="CM1064" s="485"/>
      <c r="CN1064" s="485"/>
      <c r="CO1064" s="485"/>
      <c r="CP1064" s="485"/>
      <c r="CQ1064" s="485"/>
      <c r="CR1064" s="485"/>
      <c r="CS1064" s="485"/>
      <c r="CT1064" s="485"/>
      <c r="CU1064" s="485"/>
      <c r="CV1064" s="485"/>
      <c r="CW1064" s="485"/>
      <c r="CX1064" s="485"/>
      <c r="CY1064" s="485"/>
      <c r="CZ1064" s="485"/>
      <c r="DA1064" s="485"/>
      <c r="DB1064" s="485"/>
      <c r="DC1064" s="485"/>
      <c r="DD1064" s="485"/>
      <c r="DE1064" s="485"/>
      <c r="DF1064" s="485"/>
      <c r="DG1064" s="485"/>
      <c r="DH1064" s="485"/>
      <c r="DI1064" s="485"/>
      <c r="DJ1064" s="485"/>
      <c r="DK1064" s="485"/>
      <c r="DL1064" s="485"/>
      <c r="DM1064" s="485"/>
      <c r="DN1064" s="485"/>
      <c r="DO1064" s="485"/>
      <c r="DP1064" s="485"/>
      <c r="DQ1064" s="485"/>
      <c r="DR1064" s="485"/>
      <c r="DS1064" s="485"/>
      <c r="DT1064" s="485"/>
      <c r="DU1064" s="485"/>
      <c r="DV1064" s="485"/>
      <c r="DW1064" s="485"/>
      <c r="DX1064" s="485"/>
      <c r="DY1064" s="485"/>
      <c r="DZ1064" s="485"/>
      <c r="EA1064" s="485"/>
      <c r="EB1064" s="485"/>
      <c r="EC1064" s="485"/>
      <c r="ED1064" s="485"/>
      <c r="EE1064" s="485"/>
      <c r="EF1064" s="485"/>
      <c r="EG1064" s="485"/>
      <c r="EH1064" s="485"/>
      <c r="EI1064" s="485"/>
      <c r="EJ1064" s="485"/>
      <c r="EK1064" s="485"/>
      <c r="EL1064" s="485"/>
      <c r="EM1064" s="485"/>
      <c r="EN1064" s="485"/>
      <c r="EO1064" s="485"/>
      <c r="EP1064" s="485"/>
    </row>
    <row r="1065" spans="1:146">
      <c r="A1065" s="485"/>
      <c r="B1065" s="485"/>
      <c r="C1065" s="485"/>
      <c r="D1065" s="485"/>
      <c r="E1065" s="485"/>
      <c r="F1065" s="485"/>
      <c r="G1065" s="485"/>
      <c r="H1065" s="485"/>
      <c r="I1065" s="485"/>
      <c r="J1065" s="485"/>
      <c r="K1065" s="485"/>
      <c r="L1065" s="485"/>
      <c r="M1065" s="485"/>
      <c r="P1065" s="485"/>
      <c r="Q1065" s="485"/>
      <c r="R1065" s="485"/>
      <c r="S1065" s="485"/>
      <c r="T1065" s="485"/>
      <c r="U1065" s="485"/>
      <c r="V1065" s="485"/>
      <c r="W1065" s="485"/>
      <c r="X1065" s="485"/>
      <c r="Y1065" s="485"/>
      <c r="Z1065" s="485"/>
      <c r="AA1065" s="485"/>
      <c r="AB1065" s="485"/>
      <c r="AC1065" s="485"/>
      <c r="AD1065" s="485"/>
      <c r="AE1065" s="485"/>
      <c r="AF1065" s="485"/>
      <c r="AG1065" s="485"/>
      <c r="AH1065" s="485"/>
      <c r="AI1065" s="485"/>
      <c r="AJ1065" s="485"/>
      <c r="AK1065" s="485"/>
      <c r="AL1065" s="485"/>
      <c r="AM1065" s="485"/>
      <c r="AN1065" s="485"/>
      <c r="AO1065" s="485"/>
      <c r="AP1065" s="485"/>
      <c r="AQ1065" s="485"/>
      <c r="AR1065" s="485"/>
      <c r="AS1065" s="485"/>
      <c r="AT1065" s="485"/>
      <c r="AU1065" s="485"/>
      <c r="AV1065" s="485"/>
      <c r="AW1065" s="485"/>
      <c r="AX1065" s="485"/>
      <c r="AY1065" s="485"/>
      <c r="AZ1065" s="485"/>
      <c r="BA1065" s="485"/>
      <c r="BB1065" s="485"/>
      <c r="BC1065" s="485"/>
      <c r="BD1065" s="485"/>
      <c r="BE1065" s="485"/>
      <c r="BF1065" s="485"/>
      <c r="BG1065" s="485"/>
      <c r="BH1065" s="485"/>
      <c r="BI1065" s="485"/>
      <c r="BJ1065" s="485"/>
      <c r="BK1065" s="485"/>
      <c r="BL1065" s="485"/>
      <c r="BM1065" s="485"/>
      <c r="BN1065" s="485"/>
      <c r="BO1065" s="485"/>
      <c r="BP1065" s="485"/>
      <c r="BQ1065" s="485"/>
      <c r="BR1065" s="485"/>
      <c r="BS1065" s="485"/>
      <c r="BT1065" s="485"/>
      <c r="BU1065" s="485"/>
      <c r="BV1065" s="485"/>
      <c r="BW1065" s="485"/>
      <c r="BX1065" s="485"/>
      <c r="BY1065" s="485"/>
      <c r="BZ1065" s="485"/>
      <c r="CA1065" s="485"/>
      <c r="CB1065" s="485"/>
      <c r="CC1065" s="485"/>
      <c r="CD1065" s="485"/>
      <c r="CE1065" s="485"/>
      <c r="CF1065" s="485"/>
      <c r="CG1065" s="485"/>
      <c r="CH1065" s="485"/>
      <c r="CI1065" s="485"/>
      <c r="CJ1065" s="485"/>
      <c r="CK1065" s="485"/>
      <c r="CL1065" s="485"/>
      <c r="CM1065" s="485"/>
      <c r="CN1065" s="485"/>
      <c r="CO1065" s="485"/>
      <c r="CP1065" s="485"/>
      <c r="CQ1065" s="485"/>
      <c r="CR1065" s="485"/>
      <c r="CS1065" s="485"/>
      <c r="CT1065" s="485"/>
      <c r="CU1065" s="485"/>
      <c r="CV1065" s="485"/>
      <c r="CW1065" s="485"/>
      <c r="CX1065" s="485"/>
      <c r="CY1065" s="485"/>
      <c r="CZ1065" s="485"/>
      <c r="DA1065" s="485"/>
      <c r="DB1065" s="485"/>
      <c r="DC1065" s="485"/>
      <c r="DD1065" s="485"/>
      <c r="DE1065" s="485"/>
      <c r="DF1065" s="485"/>
      <c r="DG1065" s="485"/>
      <c r="DH1065" s="485"/>
      <c r="DI1065" s="485"/>
      <c r="DJ1065" s="485"/>
      <c r="DK1065" s="485"/>
      <c r="DL1065" s="485"/>
      <c r="DM1065" s="485"/>
      <c r="DN1065" s="485"/>
      <c r="DO1065" s="485"/>
      <c r="DP1065" s="485"/>
      <c r="DQ1065" s="485"/>
      <c r="DR1065" s="485"/>
      <c r="DS1065" s="485"/>
      <c r="DT1065" s="485"/>
      <c r="DU1065" s="485"/>
      <c r="DV1065" s="485"/>
      <c r="DW1065" s="485"/>
      <c r="DX1065" s="485"/>
      <c r="DY1065" s="485"/>
      <c r="DZ1065" s="485"/>
      <c r="EA1065" s="485"/>
      <c r="EB1065" s="485"/>
      <c r="EC1065" s="485"/>
      <c r="ED1065" s="485"/>
      <c r="EE1065" s="485"/>
      <c r="EF1065" s="485"/>
      <c r="EG1065" s="485"/>
      <c r="EH1065" s="485"/>
      <c r="EI1065" s="485"/>
      <c r="EJ1065" s="485"/>
      <c r="EK1065" s="485"/>
      <c r="EL1065" s="485"/>
      <c r="EM1065" s="485"/>
      <c r="EN1065" s="485"/>
      <c r="EO1065" s="485"/>
      <c r="EP1065" s="485"/>
    </row>
    <row r="1066" spans="1:146">
      <c r="A1066" s="485"/>
      <c r="B1066" s="485"/>
      <c r="C1066" s="485"/>
      <c r="D1066" s="485"/>
      <c r="E1066" s="485"/>
      <c r="F1066" s="485"/>
      <c r="G1066" s="485"/>
      <c r="H1066" s="485"/>
      <c r="I1066" s="485"/>
      <c r="J1066" s="485"/>
      <c r="K1066" s="485"/>
      <c r="L1066" s="485"/>
      <c r="M1066" s="485"/>
      <c r="P1066" s="485"/>
      <c r="Q1066" s="485"/>
      <c r="R1066" s="485"/>
      <c r="S1066" s="485"/>
      <c r="T1066" s="485"/>
      <c r="U1066" s="485"/>
      <c r="V1066" s="485"/>
      <c r="W1066" s="485"/>
      <c r="X1066" s="485"/>
      <c r="Y1066" s="485"/>
      <c r="Z1066" s="485"/>
      <c r="AA1066" s="485"/>
      <c r="AB1066" s="485"/>
      <c r="AC1066" s="485"/>
      <c r="AD1066" s="485"/>
      <c r="AE1066" s="485"/>
      <c r="AF1066" s="485"/>
      <c r="AG1066" s="485"/>
      <c r="AH1066" s="485"/>
      <c r="AI1066" s="485"/>
      <c r="AJ1066" s="485"/>
      <c r="AK1066" s="485"/>
      <c r="AL1066" s="485"/>
      <c r="AM1066" s="485"/>
      <c r="AN1066" s="485"/>
      <c r="AO1066" s="485"/>
      <c r="AP1066" s="485"/>
      <c r="AQ1066" s="485"/>
      <c r="AR1066" s="485"/>
      <c r="AS1066" s="485"/>
      <c r="AT1066" s="485"/>
      <c r="AU1066" s="485"/>
      <c r="AV1066" s="485"/>
      <c r="AW1066" s="485"/>
      <c r="AX1066" s="485"/>
      <c r="AY1066" s="485"/>
      <c r="AZ1066" s="485"/>
      <c r="BA1066" s="485"/>
      <c r="BB1066" s="485"/>
      <c r="BC1066" s="485"/>
      <c r="BD1066" s="485"/>
      <c r="BE1066" s="485"/>
      <c r="BF1066" s="485"/>
      <c r="BG1066" s="485"/>
      <c r="BH1066" s="485"/>
      <c r="BI1066" s="485"/>
      <c r="BJ1066" s="485"/>
      <c r="BK1066" s="485"/>
      <c r="BL1066" s="485"/>
      <c r="BM1066" s="485"/>
      <c r="BN1066" s="485"/>
      <c r="BO1066" s="485"/>
      <c r="BP1066" s="485"/>
      <c r="BQ1066" s="485"/>
      <c r="BR1066" s="485"/>
      <c r="BS1066" s="485"/>
      <c r="BT1066" s="485"/>
      <c r="BU1066" s="485"/>
      <c r="BV1066" s="485"/>
      <c r="BW1066" s="485"/>
      <c r="BX1066" s="485"/>
      <c r="BY1066" s="485"/>
      <c r="BZ1066" s="485"/>
      <c r="CA1066" s="485"/>
      <c r="CB1066" s="485"/>
      <c r="CC1066" s="485"/>
      <c r="CD1066" s="485"/>
      <c r="CE1066" s="485"/>
      <c r="CF1066" s="485"/>
      <c r="CG1066" s="485"/>
      <c r="CH1066" s="485"/>
      <c r="CI1066" s="485"/>
      <c r="CJ1066" s="485"/>
      <c r="CK1066" s="485"/>
      <c r="CL1066" s="485"/>
      <c r="CM1066" s="485"/>
      <c r="CN1066" s="485"/>
      <c r="CO1066" s="485"/>
      <c r="CP1066" s="485"/>
      <c r="CQ1066" s="485"/>
      <c r="CR1066" s="485"/>
      <c r="CS1066" s="485"/>
      <c r="CT1066" s="485"/>
      <c r="CU1066" s="485"/>
      <c r="CV1066" s="485"/>
      <c r="CW1066" s="485"/>
      <c r="CX1066" s="485"/>
      <c r="CY1066" s="485"/>
      <c r="CZ1066" s="485"/>
      <c r="DA1066" s="485"/>
      <c r="DB1066" s="485"/>
      <c r="DC1066" s="485"/>
      <c r="DD1066" s="485"/>
      <c r="DE1066" s="485"/>
      <c r="DF1066" s="485"/>
      <c r="DG1066" s="485"/>
      <c r="DH1066" s="485"/>
      <c r="DI1066" s="485"/>
      <c r="DJ1066" s="485"/>
      <c r="DK1066" s="485"/>
      <c r="DL1066" s="485"/>
      <c r="DM1066" s="485"/>
      <c r="DN1066" s="485"/>
      <c r="DO1066" s="485"/>
      <c r="DP1066" s="485"/>
      <c r="DQ1066" s="485"/>
      <c r="DR1066" s="485"/>
      <c r="DS1066" s="485"/>
      <c r="DT1066" s="485"/>
      <c r="DU1066" s="485"/>
      <c r="DV1066" s="485"/>
      <c r="DW1066" s="485"/>
      <c r="DX1066" s="485"/>
      <c r="DY1066" s="485"/>
      <c r="DZ1066" s="485"/>
      <c r="EA1066" s="485"/>
      <c r="EB1066" s="485"/>
      <c r="EC1066" s="485"/>
      <c r="ED1066" s="485"/>
      <c r="EE1066" s="485"/>
      <c r="EF1066" s="485"/>
      <c r="EG1066" s="485"/>
      <c r="EH1066" s="485"/>
      <c r="EI1066" s="485"/>
      <c r="EJ1066" s="485"/>
      <c r="EK1066" s="485"/>
      <c r="EL1066" s="485"/>
      <c r="EM1066" s="485"/>
      <c r="EN1066" s="485"/>
      <c r="EO1066" s="485"/>
      <c r="EP1066" s="485"/>
    </row>
    <row r="1067" spans="1:146">
      <c r="A1067" s="485"/>
      <c r="B1067" s="485"/>
      <c r="C1067" s="485"/>
      <c r="D1067" s="485"/>
      <c r="E1067" s="485"/>
      <c r="F1067" s="485"/>
      <c r="G1067" s="485"/>
      <c r="H1067" s="485"/>
      <c r="I1067" s="485"/>
      <c r="J1067" s="485"/>
      <c r="K1067" s="485"/>
      <c r="L1067" s="485"/>
      <c r="M1067" s="485"/>
      <c r="P1067" s="485"/>
      <c r="Q1067" s="485"/>
      <c r="R1067" s="485"/>
      <c r="S1067" s="485"/>
      <c r="T1067" s="485"/>
      <c r="U1067" s="485"/>
      <c r="V1067" s="485"/>
      <c r="W1067" s="485"/>
      <c r="X1067" s="485"/>
      <c r="Y1067" s="485"/>
      <c r="Z1067" s="485"/>
      <c r="AA1067" s="485"/>
      <c r="AB1067" s="485"/>
      <c r="AC1067" s="485"/>
      <c r="AD1067" s="485"/>
      <c r="AE1067" s="485"/>
      <c r="AF1067" s="485"/>
      <c r="AG1067" s="485"/>
      <c r="AH1067" s="485"/>
      <c r="AI1067" s="485"/>
      <c r="AJ1067" s="485"/>
      <c r="AK1067" s="485"/>
      <c r="AL1067" s="485"/>
      <c r="AM1067" s="485"/>
      <c r="AN1067" s="485"/>
      <c r="AO1067" s="485"/>
      <c r="AP1067" s="485"/>
      <c r="AQ1067" s="485"/>
      <c r="AR1067" s="485"/>
      <c r="AS1067" s="485"/>
      <c r="AT1067" s="485"/>
      <c r="AU1067" s="485"/>
      <c r="AV1067" s="485"/>
      <c r="AW1067" s="485"/>
      <c r="AX1067" s="485"/>
      <c r="AY1067" s="485"/>
      <c r="AZ1067" s="485"/>
      <c r="BA1067" s="485"/>
      <c r="BB1067" s="485"/>
      <c r="BC1067" s="485"/>
      <c r="BD1067" s="485"/>
      <c r="BE1067" s="485"/>
      <c r="BF1067" s="485"/>
      <c r="BG1067" s="485"/>
      <c r="BH1067" s="485"/>
      <c r="BI1067" s="485"/>
      <c r="BJ1067" s="485"/>
      <c r="BK1067" s="485"/>
      <c r="BL1067" s="485"/>
      <c r="BM1067" s="485"/>
      <c r="BN1067" s="485"/>
      <c r="BO1067" s="485"/>
      <c r="BP1067" s="485"/>
      <c r="BQ1067" s="485"/>
      <c r="BR1067" s="485"/>
      <c r="BS1067" s="485"/>
      <c r="BT1067" s="485"/>
      <c r="BU1067" s="485"/>
      <c r="BV1067" s="485"/>
      <c r="BW1067" s="485"/>
      <c r="BX1067" s="485"/>
      <c r="BY1067" s="485"/>
      <c r="BZ1067" s="485"/>
      <c r="CA1067" s="485"/>
      <c r="CB1067" s="485"/>
      <c r="CC1067" s="485"/>
      <c r="CD1067" s="485"/>
      <c r="CE1067" s="485"/>
      <c r="CF1067" s="485"/>
      <c r="CG1067" s="485"/>
      <c r="CH1067" s="485"/>
      <c r="CI1067" s="485"/>
      <c r="CJ1067" s="485"/>
      <c r="CK1067" s="485"/>
      <c r="CL1067" s="485"/>
      <c r="CM1067" s="485"/>
      <c r="CN1067" s="485"/>
      <c r="CO1067" s="485"/>
      <c r="CP1067" s="485"/>
      <c r="CQ1067" s="485"/>
      <c r="CR1067" s="485"/>
      <c r="CS1067" s="485"/>
      <c r="CT1067" s="485"/>
      <c r="CU1067" s="485"/>
      <c r="CV1067" s="485"/>
      <c r="CW1067" s="485"/>
      <c r="CX1067" s="485"/>
      <c r="CY1067" s="485"/>
      <c r="CZ1067" s="485"/>
      <c r="DA1067" s="485"/>
      <c r="DB1067" s="485"/>
      <c r="DC1067" s="485"/>
      <c r="DD1067" s="485"/>
      <c r="DE1067" s="485"/>
      <c r="DF1067" s="485"/>
      <c r="DG1067" s="485"/>
      <c r="DH1067" s="485"/>
      <c r="DI1067" s="485"/>
      <c r="DJ1067" s="485"/>
      <c r="DK1067" s="485"/>
      <c r="DL1067" s="485"/>
      <c r="DM1067" s="485"/>
      <c r="DN1067" s="485"/>
      <c r="DO1067" s="485"/>
      <c r="DP1067" s="485"/>
      <c r="DQ1067" s="485"/>
      <c r="DR1067" s="485"/>
      <c r="DS1067" s="485"/>
      <c r="DT1067" s="485"/>
      <c r="DU1067" s="485"/>
      <c r="DV1067" s="485"/>
      <c r="DW1067" s="485"/>
      <c r="DX1067" s="485"/>
      <c r="DY1067" s="485"/>
      <c r="DZ1067" s="485"/>
      <c r="EA1067" s="485"/>
      <c r="EB1067" s="485"/>
      <c r="EC1067" s="485"/>
      <c r="ED1067" s="485"/>
      <c r="EE1067" s="485"/>
      <c r="EF1067" s="485"/>
      <c r="EG1067" s="485"/>
      <c r="EH1067" s="485"/>
      <c r="EI1067" s="485"/>
      <c r="EJ1067" s="485"/>
      <c r="EK1067" s="485"/>
      <c r="EL1067" s="485"/>
      <c r="EM1067" s="485"/>
      <c r="EN1067" s="485"/>
      <c r="EO1067" s="485"/>
      <c r="EP1067" s="485"/>
    </row>
    <row r="1068" spans="1:146">
      <c r="A1068" s="485"/>
      <c r="B1068" s="485"/>
      <c r="C1068" s="485"/>
      <c r="D1068" s="485"/>
      <c r="E1068" s="485"/>
      <c r="F1068" s="485"/>
      <c r="G1068" s="485"/>
      <c r="H1068" s="485"/>
      <c r="I1068" s="485"/>
      <c r="J1068" s="485"/>
      <c r="K1068" s="485"/>
      <c r="L1068" s="485"/>
      <c r="M1068" s="485"/>
      <c r="P1068" s="485"/>
      <c r="Q1068" s="485"/>
      <c r="R1068" s="485"/>
      <c r="S1068" s="485"/>
      <c r="T1068" s="485"/>
      <c r="U1068" s="485"/>
      <c r="V1068" s="485"/>
      <c r="W1068" s="485"/>
      <c r="X1068" s="485"/>
      <c r="Y1068" s="485"/>
      <c r="Z1068" s="485"/>
      <c r="AA1068" s="485"/>
      <c r="AB1068" s="485"/>
      <c r="AC1068" s="485"/>
      <c r="AD1068" s="485"/>
      <c r="AE1068" s="485"/>
      <c r="AF1068" s="485"/>
      <c r="AG1068" s="485"/>
      <c r="AH1068" s="485"/>
      <c r="AI1068" s="485"/>
      <c r="AJ1068" s="485"/>
      <c r="AK1068" s="485"/>
      <c r="AL1068" s="485"/>
      <c r="AM1068" s="485"/>
      <c r="AN1068" s="485"/>
      <c r="AO1068" s="485"/>
      <c r="AP1068" s="485"/>
      <c r="AQ1068" s="485"/>
      <c r="AR1068" s="485"/>
      <c r="AS1068" s="485"/>
      <c r="AT1068" s="485"/>
      <c r="AU1068" s="485"/>
      <c r="AV1068" s="485"/>
      <c r="AW1068" s="485"/>
      <c r="AX1068" s="485"/>
      <c r="AY1068" s="485"/>
      <c r="AZ1068" s="485"/>
      <c r="BA1068" s="485"/>
      <c r="BB1068" s="485"/>
      <c r="BC1068" s="485"/>
      <c r="BD1068" s="485"/>
      <c r="BE1068" s="485"/>
      <c r="BF1068" s="485"/>
      <c r="BG1068" s="485"/>
      <c r="BH1068" s="485"/>
      <c r="BI1068" s="485"/>
      <c r="BJ1068" s="485"/>
      <c r="BK1068" s="485"/>
      <c r="BL1068" s="485"/>
      <c r="BM1068" s="485"/>
      <c r="BN1068" s="485"/>
      <c r="BO1068" s="485"/>
      <c r="BP1068" s="485"/>
      <c r="BQ1068" s="485"/>
      <c r="BR1068" s="485"/>
      <c r="BS1068" s="485"/>
      <c r="BT1068" s="485"/>
      <c r="BU1068" s="485"/>
      <c r="BV1068" s="485"/>
      <c r="BW1068" s="485"/>
      <c r="BX1068" s="485"/>
      <c r="BY1068" s="485"/>
      <c r="BZ1068" s="485"/>
      <c r="CA1068" s="485"/>
      <c r="CB1068" s="485"/>
      <c r="CC1068" s="485"/>
      <c r="CD1068" s="485"/>
      <c r="CE1068" s="485"/>
      <c r="CF1068" s="485"/>
      <c r="CG1068" s="485"/>
      <c r="CH1068" s="485"/>
      <c r="CI1068" s="485"/>
      <c r="CJ1068" s="485"/>
      <c r="CK1068" s="485"/>
      <c r="CL1068" s="485"/>
      <c r="CM1068" s="485"/>
      <c r="CN1068" s="485"/>
      <c r="CO1068" s="485"/>
      <c r="CP1068" s="485"/>
      <c r="CQ1068" s="485"/>
      <c r="CR1068" s="485"/>
      <c r="CS1068" s="485"/>
      <c r="CT1068" s="485"/>
      <c r="CU1068" s="485"/>
      <c r="CV1068" s="485"/>
      <c r="CW1068" s="485"/>
      <c r="CX1068" s="485"/>
      <c r="CY1068" s="485"/>
      <c r="CZ1068" s="485"/>
      <c r="DA1068" s="485"/>
      <c r="DB1068" s="485"/>
      <c r="DC1068" s="485"/>
      <c r="DD1068" s="485"/>
      <c r="DE1068" s="485"/>
      <c r="DF1068" s="485"/>
      <c r="DG1068" s="485"/>
      <c r="DH1068" s="485"/>
      <c r="DI1068" s="485"/>
      <c r="DJ1068" s="485"/>
      <c r="DK1068" s="485"/>
      <c r="DL1068" s="485"/>
      <c r="DM1068" s="485"/>
      <c r="DN1068" s="485"/>
      <c r="DO1068" s="485"/>
      <c r="DP1068" s="485"/>
      <c r="DQ1068" s="485"/>
      <c r="DR1068" s="485"/>
      <c r="DS1068" s="485"/>
      <c r="DT1068" s="485"/>
      <c r="DU1068" s="485"/>
      <c r="DV1068" s="485"/>
      <c r="DW1068" s="485"/>
      <c r="DX1068" s="485"/>
      <c r="DY1068" s="485"/>
      <c r="DZ1068" s="485"/>
      <c r="EA1068" s="485"/>
      <c r="EB1068" s="485"/>
      <c r="EC1068" s="485"/>
      <c r="ED1068" s="485"/>
      <c r="EE1068" s="485"/>
      <c r="EF1068" s="485"/>
      <c r="EG1068" s="485"/>
      <c r="EH1068" s="485"/>
      <c r="EI1068" s="485"/>
      <c r="EJ1068" s="485"/>
      <c r="EK1068" s="485"/>
      <c r="EL1068" s="485"/>
      <c r="EM1068" s="485"/>
      <c r="EN1068" s="485"/>
      <c r="EO1068" s="485"/>
      <c r="EP1068" s="485"/>
    </row>
    <row r="1069" spans="1:146">
      <c r="A1069" s="485"/>
      <c r="B1069" s="485"/>
      <c r="C1069" s="485"/>
      <c r="D1069" s="485"/>
      <c r="E1069" s="485"/>
      <c r="F1069" s="485"/>
      <c r="G1069" s="485"/>
      <c r="H1069" s="485"/>
      <c r="I1069" s="485"/>
      <c r="J1069" s="485"/>
      <c r="K1069" s="485"/>
      <c r="L1069" s="485"/>
      <c r="M1069" s="485"/>
      <c r="P1069" s="485"/>
      <c r="Q1069" s="485"/>
      <c r="R1069" s="485"/>
      <c r="S1069" s="485"/>
      <c r="T1069" s="485"/>
      <c r="U1069" s="485"/>
      <c r="V1069" s="485"/>
      <c r="W1069" s="485"/>
      <c r="X1069" s="485"/>
      <c r="Y1069" s="485"/>
      <c r="Z1069" s="485"/>
      <c r="AA1069" s="485"/>
      <c r="AB1069" s="485"/>
      <c r="AC1069" s="485"/>
      <c r="AD1069" s="485"/>
      <c r="AE1069" s="485"/>
      <c r="AF1069" s="485"/>
      <c r="AG1069" s="485"/>
      <c r="AH1069" s="485"/>
      <c r="AI1069" s="485"/>
      <c r="AJ1069" s="485"/>
      <c r="AK1069" s="485"/>
      <c r="AL1069" s="485"/>
      <c r="AM1069" s="485"/>
      <c r="AN1069" s="485"/>
      <c r="AO1069" s="485"/>
      <c r="AP1069" s="485"/>
      <c r="AQ1069" s="485"/>
      <c r="AR1069" s="485"/>
      <c r="AS1069" s="485"/>
      <c r="AT1069" s="485"/>
      <c r="AU1069" s="485"/>
      <c r="AV1069" s="485"/>
      <c r="AW1069" s="485"/>
      <c r="AX1069" s="485"/>
      <c r="AY1069" s="485"/>
      <c r="AZ1069" s="485"/>
      <c r="BA1069" s="485"/>
      <c r="BB1069" s="485"/>
      <c r="BC1069" s="485"/>
      <c r="BD1069" s="485"/>
      <c r="BE1069" s="485"/>
      <c r="BF1069" s="485"/>
      <c r="BG1069" s="485"/>
      <c r="BH1069" s="485"/>
      <c r="BI1069" s="485"/>
      <c r="BJ1069" s="485"/>
      <c r="BK1069" s="485"/>
      <c r="BL1069" s="485"/>
      <c r="BM1069" s="485"/>
      <c r="BN1069" s="485"/>
      <c r="BO1069" s="485"/>
      <c r="BP1069" s="485"/>
      <c r="BQ1069" s="485"/>
      <c r="BR1069" s="485"/>
      <c r="BS1069" s="485"/>
      <c r="BT1069" s="485"/>
      <c r="BU1069" s="485"/>
      <c r="BV1069" s="485"/>
      <c r="BW1069" s="485"/>
      <c r="BX1069" s="485"/>
      <c r="BY1069" s="485"/>
      <c r="BZ1069" s="485"/>
      <c r="CA1069" s="485"/>
      <c r="CB1069" s="485"/>
      <c r="CC1069" s="485"/>
      <c r="CD1069" s="485"/>
      <c r="CE1069" s="485"/>
      <c r="CF1069" s="485"/>
      <c r="CG1069" s="485"/>
      <c r="CH1069" s="485"/>
      <c r="CI1069" s="485"/>
      <c r="CJ1069" s="485"/>
      <c r="CK1069" s="485"/>
      <c r="CL1069" s="485"/>
      <c r="CM1069" s="485"/>
      <c r="CN1069" s="485"/>
      <c r="CO1069" s="485"/>
      <c r="CP1069" s="485"/>
      <c r="CQ1069" s="485"/>
      <c r="CR1069" s="485"/>
      <c r="CS1069" s="485"/>
      <c r="CT1069" s="485"/>
      <c r="CU1069" s="485"/>
      <c r="CV1069" s="485"/>
      <c r="CW1069" s="485"/>
      <c r="CX1069" s="485"/>
      <c r="CY1069" s="485"/>
      <c r="CZ1069" s="485"/>
      <c r="DA1069" s="485"/>
      <c r="DB1069" s="485"/>
      <c r="DC1069" s="485"/>
      <c r="DD1069" s="485"/>
      <c r="DE1069" s="485"/>
      <c r="DF1069" s="485"/>
      <c r="DG1069" s="485"/>
      <c r="DH1069" s="485"/>
      <c r="DI1069" s="485"/>
      <c r="DJ1069" s="485"/>
      <c r="DK1069" s="485"/>
      <c r="DL1069" s="485"/>
      <c r="DM1069" s="485"/>
      <c r="DN1069" s="485"/>
      <c r="DO1069" s="485"/>
      <c r="DP1069" s="485"/>
      <c r="DQ1069" s="485"/>
      <c r="DR1069" s="485"/>
      <c r="DS1069" s="485"/>
      <c r="DT1069" s="485"/>
      <c r="DU1069" s="485"/>
      <c r="DV1069" s="485"/>
      <c r="DW1069" s="485"/>
      <c r="DX1069" s="485"/>
      <c r="DY1069" s="485"/>
      <c r="DZ1069" s="485"/>
      <c r="EA1069" s="485"/>
      <c r="EB1069" s="485"/>
      <c r="EC1069" s="485"/>
      <c r="ED1069" s="485"/>
      <c r="EE1069" s="485"/>
      <c r="EF1069" s="485"/>
      <c r="EG1069" s="485"/>
      <c r="EH1069" s="485"/>
      <c r="EI1069" s="485"/>
      <c r="EJ1069" s="485"/>
      <c r="EK1069" s="485"/>
      <c r="EL1069" s="485"/>
      <c r="EM1069" s="485"/>
      <c r="EN1069" s="485"/>
      <c r="EO1069" s="485"/>
      <c r="EP1069" s="485"/>
    </row>
    <row r="1070" spans="1:146">
      <c r="A1070" s="485"/>
      <c r="B1070" s="485"/>
      <c r="C1070" s="485"/>
      <c r="D1070" s="485"/>
      <c r="E1070" s="485"/>
      <c r="F1070" s="485"/>
      <c r="G1070" s="485"/>
      <c r="H1070" s="485"/>
      <c r="I1070" s="485"/>
      <c r="J1070" s="485"/>
      <c r="K1070" s="485"/>
      <c r="L1070" s="485"/>
      <c r="M1070" s="485"/>
      <c r="P1070" s="485"/>
      <c r="Q1070" s="485"/>
      <c r="R1070" s="485"/>
      <c r="S1070" s="485"/>
      <c r="T1070" s="485"/>
      <c r="U1070" s="485"/>
      <c r="V1070" s="485"/>
      <c r="W1070" s="485"/>
      <c r="X1070" s="485"/>
      <c r="Y1070" s="485"/>
      <c r="Z1070" s="485"/>
      <c r="AA1070" s="485"/>
      <c r="AB1070" s="485"/>
      <c r="AC1070" s="485"/>
      <c r="AD1070" s="485"/>
      <c r="AE1070" s="485"/>
      <c r="AF1070" s="485"/>
      <c r="AG1070" s="485"/>
      <c r="AH1070" s="485"/>
      <c r="AI1070" s="485"/>
      <c r="AJ1070" s="485"/>
      <c r="AK1070" s="485"/>
      <c r="AL1070" s="485"/>
      <c r="AM1070" s="485"/>
      <c r="AN1070" s="485"/>
      <c r="AO1070" s="485"/>
      <c r="AP1070" s="485"/>
      <c r="AQ1070" s="485"/>
      <c r="AR1070" s="485"/>
      <c r="AS1070" s="485"/>
      <c r="AT1070" s="485"/>
      <c r="AU1070" s="485"/>
      <c r="AV1070" s="485"/>
      <c r="AW1070" s="485"/>
      <c r="AX1070" s="485"/>
      <c r="AY1070" s="485"/>
      <c r="AZ1070" s="485"/>
      <c r="BA1070" s="485"/>
      <c r="BB1070" s="485"/>
      <c r="BC1070" s="485"/>
      <c r="BD1070" s="485"/>
      <c r="BE1070" s="485"/>
      <c r="BF1070" s="485"/>
      <c r="BG1070" s="485"/>
      <c r="BH1070" s="485"/>
      <c r="BI1070" s="485"/>
      <c r="BJ1070" s="485"/>
      <c r="BK1070" s="485"/>
      <c r="BL1070" s="485"/>
      <c r="BM1070" s="485"/>
      <c r="BN1070" s="485"/>
      <c r="BO1070" s="485"/>
      <c r="BP1070" s="485"/>
      <c r="BQ1070" s="485"/>
      <c r="BR1070" s="485"/>
      <c r="BS1070" s="485"/>
      <c r="BT1070" s="485"/>
      <c r="BU1070" s="485"/>
      <c r="BV1070" s="485"/>
      <c r="BW1070" s="485"/>
      <c r="BX1070" s="485"/>
      <c r="BY1070" s="485"/>
      <c r="BZ1070" s="485"/>
      <c r="CA1070" s="485"/>
      <c r="CB1070" s="485"/>
      <c r="CC1070" s="485"/>
      <c r="CD1070" s="485"/>
      <c r="CE1070" s="485"/>
      <c r="CF1070" s="485"/>
      <c r="CG1070" s="485"/>
      <c r="CH1070" s="485"/>
      <c r="CI1070" s="485"/>
      <c r="CJ1070" s="485"/>
      <c r="CK1070" s="485"/>
      <c r="CL1070" s="485"/>
      <c r="CM1070" s="485"/>
      <c r="CN1070" s="485"/>
      <c r="CO1070" s="485"/>
      <c r="CP1070" s="485"/>
      <c r="CQ1070" s="485"/>
      <c r="CR1070" s="485"/>
      <c r="CS1070" s="485"/>
      <c r="CT1070" s="485"/>
      <c r="CU1070" s="485"/>
      <c r="CV1070" s="485"/>
      <c r="CW1070" s="485"/>
      <c r="CX1070" s="485"/>
      <c r="CY1070" s="485"/>
      <c r="CZ1070" s="485"/>
      <c r="DA1070" s="485"/>
      <c r="DB1070" s="485"/>
      <c r="DC1070" s="485"/>
      <c r="DD1070" s="485"/>
      <c r="DE1070" s="485"/>
      <c r="DF1070" s="485"/>
      <c r="DG1070" s="485"/>
      <c r="DH1070" s="485"/>
      <c r="DI1070" s="485"/>
      <c r="DJ1070" s="485"/>
      <c r="DK1070" s="485"/>
      <c r="DL1070" s="485"/>
      <c r="DM1070" s="485"/>
      <c r="DN1070" s="485"/>
      <c r="DO1070" s="485"/>
      <c r="DP1070" s="485"/>
      <c r="DQ1070" s="485"/>
      <c r="DR1070" s="485"/>
      <c r="DS1070" s="485"/>
      <c r="DT1070" s="485"/>
      <c r="DU1070" s="485"/>
      <c r="DV1070" s="485"/>
      <c r="DW1070" s="485"/>
      <c r="DX1070" s="485"/>
      <c r="DY1070" s="485"/>
      <c r="DZ1070" s="485"/>
      <c r="EA1070" s="485"/>
      <c r="EB1070" s="485"/>
      <c r="EC1070" s="485"/>
      <c r="ED1070" s="485"/>
      <c r="EE1070" s="485"/>
      <c r="EF1070" s="485"/>
      <c r="EG1070" s="485"/>
      <c r="EH1070" s="485"/>
      <c r="EI1070" s="485"/>
      <c r="EJ1070" s="485"/>
      <c r="EK1070" s="485"/>
      <c r="EL1070" s="485"/>
      <c r="EM1070" s="485"/>
      <c r="EN1070" s="485"/>
      <c r="EO1070" s="485"/>
      <c r="EP1070" s="485"/>
    </row>
    <row r="1071" spans="1:146">
      <c r="A1071" s="485"/>
      <c r="B1071" s="485"/>
      <c r="C1071" s="485"/>
      <c r="D1071" s="485"/>
      <c r="E1071" s="485"/>
      <c r="F1071" s="485"/>
      <c r="G1071" s="485"/>
      <c r="H1071" s="485"/>
      <c r="I1071" s="485"/>
      <c r="J1071" s="485"/>
      <c r="K1071" s="485"/>
      <c r="L1071" s="485"/>
      <c r="M1071" s="485"/>
      <c r="P1071" s="485"/>
      <c r="Q1071" s="485"/>
      <c r="R1071" s="485"/>
      <c r="S1071" s="485"/>
      <c r="T1071" s="485"/>
      <c r="U1071" s="485"/>
      <c r="V1071" s="485"/>
      <c r="W1071" s="485"/>
      <c r="X1071" s="485"/>
      <c r="Y1071" s="485"/>
      <c r="Z1071" s="485"/>
      <c r="AA1071" s="485"/>
      <c r="AB1071" s="485"/>
      <c r="AC1071" s="485"/>
      <c r="AD1071" s="485"/>
      <c r="AE1071" s="485"/>
      <c r="AF1071" s="485"/>
      <c r="AG1071" s="485"/>
      <c r="AH1071" s="485"/>
      <c r="AI1071" s="485"/>
      <c r="AJ1071" s="485"/>
      <c r="AK1071" s="485"/>
      <c r="AL1071" s="485"/>
      <c r="AM1071" s="485"/>
      <c r="AN1071" s="485"/>
      <c r="AO1071" s="485"/>
      <c r="AP1071" s="485"/>
      <c r="AQ1071" s="485"/>
      <c r="AR1071" s="485"/>
      <c r="AS1071" s="485"/>
      <c r="AT1071" s="485"/>
      <c r="AU1071" s="485"/>
      <c r="AV1071" s="485"/>
      <c r="AW1071" s="485"/>
      <c r="AX1071" s="485"/>
      <c r="AY1071" s="485"/>
      <c r="AZ1071" s="485"/>
      <c r="BA1071" s="485"/>
      <c r="BB1071" s="485"/>
      <c r="BC1071" s="485"/>
      <c r="BD1071" s="485"/>
      <c r="BE1071" s="485"/>
      <c r="BF1071" s="485"/>
      <c r="BG1071" s="485"/>
      <c r="BH1071" s="485"/>
      <c r="BI1071" s="485"/>
      <c r="BJ1071" s="485"/>
      <c r="BK1071" s="485"/>
      <c r="BL1071" s="485"/>
      <c r="BM1071" s="485"/>
      <c r="BN1071" s="485"/>
      <c r="BO1071" s="485"/>
      <c r="BP1071" s="485"/>
      <c r="BQ1071" s="485"/>
      <c r="BR1071" s="485"/>
      <c r="BS1071" s="485"/>
      <c r="BT1071" s="485"/>
      <c r="BU1071" s="485"/>
      <c r="BV1071" s="485"/>
      <c r="BW1071" s="485"/>
      <c r="BX1071" s="485"/>
      <c r="BY1071" s="485"/>
      <c r="BZ1071" s="485"/>
      <c r="CA1071" s="485"/>
      <c r="CB1071" s="485"/>
      <c r="CC1071" s="485"/>
      <c r="CD1071" s="485"/>
      <c r="CE1071" s="485"/>
      <c r="CF1071" s="485"/>
      <c r="CG1071" s="485"/>
      <c r="CH1071" s="485"/>
      <c r="CI1071" s="485"/>
      <c r="CJ1071" s="485"/>
      <c r="CK1071" s="485"/>
      <c r="CL1071" s="485"/>
      <c r="CM1071" s="485"/>
      <c r="CN1071" s="485"/>
      <c r="CO1071" s="485"/>
      <c r="CP1071" s="485"/>
      <c r="CQ1071" s="485"/>
      <c r="CR1071" s="485"/>
      <c r="CS1071" s="485"/>
      <c r="CT1071" s="485"/>
      <c r="CU1071" s="485"/>
      <c r="CV1071" s="485"/>
      <c r="CW1071" s="485"/>
      <c r="CX1071" s="485"/>
      <c r="CY1071" s="485"/>
      <c r="CZ1071" s="485"/>
      <c r="DA1071" s="485"/>
      <c r="DB1071" s="485"/>
      <c r="DC1071" s="485"/>
      <c r="DD1071" s="485"/>
      <c r="DE1071" s="485"/>
      <c r="DF1071" s="485"/>
      <c r="DG1071" s="485"/>
      <c r="DH1071" s="485"/>
      <c r="DI1071" s="485"/>
      <c r="DJ1071" s="485"/>
      <c r="DK1071" s="485"/>
      <c r="DL1071" s="485"/>
      <c r="DM1071" s="485"/>
      <c r="DN1071" s="485"/>
      <c r="DO1071" s="485"/>
      <c r="DP1071" s="485"/>
      <c r="DQ1071" s="485"/>
      <c r="DR1071" s="485"/>
      <c r="DS1071" s="485"/>
      <c r="DT1071" s="485"/>
      <c r="DU1071" s="485"/>
      <c r="DV1071" s="485"/>
      <c r="DW1071" s="485"/>
      <c r="DX1071" s="485"/>
      <c r="DY1071" s="485"/>
      <c r="DZ1071" s="485"/>
      <c r="EA1071" s="485"/>
      <c r="EB1071" s="485"/>
      <c r="EC1071" s="485"/>
      <c r="ED1071" s="485"/>
      <c r="EE1071" s="485"/>
      <c r="EF1071" s="485"/>
      <c r="EG1071" s="485"/>
      <c r="EH1071" s="485"/>
      <c r="EI1071" s="485"/>
      <c r="EJ1071" s="485"/>
      <c r="EK1071" s="485"/>
      <c r="EL1071" s="485"/>
      <c r="EM1071" s="485"/>
      <c r="EN1071" s="485"/>
      <c r="EO1071" s="485"/>
      <c r="EP1071" s="485"/>
    </row>
    <row r="1072" spans="1:146">
      <c r="A1072" s="485"/>
      <c r="B1072" s="485"/>
      <c r="C1072" s="485"/>
      <c r="D1072" s="485"/>
      <c r="E1072" s="485"/>
      <c r="F1072" s="485"/>
      <c r="G1072" s="485"/>
      <c r="H1072" s="485"/>
      <c r="I1072" s="485"/>
      <c r="J1072" s="485"/>
      <c r="K1072" s="485"/>
      <c r="L1072" s="485"/>
      <c r="M1072" s="485"/>
      <c r="P1072" s="485"/>
      <c r="Q1072" s="485"/>
      <c r="R1072" s="485"/>
      <c r="S1072" s="485"/>
      <c r="T1072" s="485"/>
      <c r="U1072" s="485"/>
      <c r="V1072" s="485"/>
      <c r="W1072" s="485"/>
      <c r="X1072" s="485"/>
      <c r="Y1072" s="485"/>
      <c r="Z1072" s="485"/>
      <c r="AA1072" s="485"/>
      <c r="AB1072" s="485"/>
      <c r="AC1072" s="485"/>
      <c r="AD1072" s="485"/>
      <c r="AE1072" s="485"/>
      <c r="AF1072" s="485"/>
      <c r="AG1072" s="485"/>
      <c r="AH1072" s="485"/>
      <c r="AI1072" s="485"/>
      <c r="AJ1072" s="485"/>
      <c r="AK1072" s="485"/>
      <c r="AL1072" s="485"/>
      <c r="AM1072" s="485"/>
      <c r="AN1072" s="485"/>
      <c r="AO1072" s="485"/>
      <c r="AP1072" s="485"/>
      <c r="AQ1072" s="485"/>
      <c r="AR1072" s="485"/>
      <c r="AS1072" s="485"/>
      <c r="AT1072" s="485"/>
      <c r="AU1072" s="485"/>
      <c r="AV1072" s="485"/>
      <c r="AW1072" s="485"/>
      <c r="AX1072" s="485"/>
      <c r="AY1072" s="485"/>
      <c r="AZ1072" s="485"/>
      <c r="BA1072" s="485"/>
      <c r="BB1072" s="485"/>
      <c r="BC1072" s="485"/>
      <c r="BD1072" s="485"/>
      <c r="BE1072" s="485"/>
      <c r="BF1072" s="485"/>
      <c r="BG1072" s="485"/>
      <c r="BH1072" s="485"/>
      <c r="BI1072" s="485"/>
      <c r="BJ1072" s="485"/>
      <c r="BK1072" s="485"/>
      <c r="BL1072" s="485"/>
      <c r="BM1072" s="485"/>
      <c r="BN1072" s="485"/>
      <c r="BO1072" s="485"/>
      <c r="BP1072" s="485"/>
      <c r="BQ1072" s="485"/>
      <c r="BR1072" s="485"/>
      <c r="BS1072" s="485"/>
      <c r="BT1072" s="485"/>
      <c r="BU1072" s="485"/>
      <c r="BV1072" s="485"/>
      <c r="BW1072" s="485"/>
      <c r="BX1072" s="485"/>
      <c r="BY1072" s="485"/>
      <c r="BZ1072" s="485"/>
      <c r="CA1072" s="485"/>
      <c r="CB1072" s="485"/>
      <c r="CC1072" s="485"/>
      <c r="CD1072" s="485"/>
      <c r="CE1072" s="485"/>
      <c r="CF1072" s="485"/>
      <c r="CG1072" s="485"/>
      <c r="CH1072" s="485"/>
      <c r="CI1072" s="485"/>
      <c r="CJ1072" s="485"/>
      <c r="CK1072" s="485"/>
      <c r="CL1072" s="485"/>
      <c r="CM1072" s="485"/>
      <c r="CN1072" s="485"/>
      <c r="CO1072" s="485"/>
      <c r="CP1072" s="485"/>
      <c r="CQ1072" s="485"/>
      <c r="CR1072" s="485"/>
      <c r="CS1072" s="485"/>
      <c r="CT1072" s="485"/>
      <c r="CU1072" s="485"/>
      <c r="CV1072" s="485"/>
      <c r="CW1072" s="485"/>
      <c r="CX1072" s="485"/>
      <c r="CY1072" s="485"/>
      <c r="CZ1072" s="485"/>
      <c r="DA1072" s="485"/>
      <c r="DB1072" s="485"/>
      <c r="DC1072" s="485"/>
      <c r="DD1072" s="485"/>
      <c r="DE1072" s="485"/>
      <c r="DF1072" s="485"/>
      <c r="DG1072" s="485"/>
      <c r="DH1072" s="485"/>
      <c r="DI1072" s="485"/>
      <c r="DJ1072" s="485"/>
      <c r="DK1072" s="485"/>
      <c r="DL1072" s="485"/>
      <c r="DM1072" s="485"/>
      <c r="DN1072" s="485"/>
      <c r="DO1072" s="485"/>
      <c r="DP1072" s="485"/>
      <c r="DQ1072" s="485"/>
      <c r="DR1072" s="485"/>
      <c r="DS1072" s="485"/>
      <c r="DT1072" s="485"/>
      <c r="DU1072" s="485"/>
      <c r="DV1072" s="485"/>
      <c r="DW1072" s="485"/>
      <c r="DX1072" s="485"/>
      <c r="DY1072" s="485"/>
      <c r="DZ1072" s="485"/>
      <c r="EA1072" s="485"/>
      <c r="EB1072" s="485"/>
      <c r="EC1072" s="485"/>
      <c r="ED1072" s="485"/>
      <c r="EE1072" s="485"/>
      <c r="EF1072" s="485"/>
      <c r="EG1072" s="485"/>
      <c r="EH1072" s="485"/>
      <c r="EI1072" s="485"/>
      <c r="EJ1072" s="485"/>
      <c r="EK1072" s="485"/>
      <c r="EL1072" s="485"/>
      <c r="EM1072" s="485"/>
      <c r="EN1072" s="485"/>
      <c r="EO1072" s="485"/>
      <c r="EP1072" s="485"/>
    </row>
    <row r="1073" spans="1:146">
      <c r="A1073" s="485"/>
      <c r="B1073" s="485"/>
      <c r="C1073" s="485"/>
      <c r="D1073" s="485"/>
      <c r="E1073" s="485"/>
      <c r="F1073" s="485"/>
      <c r="G1073" s="485"/>
      <c r="H1073" s="485"/>
      <c r="I1073" s="485"/>
      <c r="J1073" s="485"/>
      <c r="K1073" s="485"/>
      <c r="L1073" s="485"/>
      <c r="M1073" s="485"/>
      <c r="P1073" s="485"/>
      <c r="Q1073" s="485"/>
      <c r="R1073" s="485"/>
      <c r="S1073" s="485"/>
      <c r="T1073" s="485"/>
      <c r="U1073" s="485"/>
      <c r="V1073" s="485"/>
      <c r="W1073" s="485"/>
      <c r="X1073" s="485"/>
      <c r="Y1073" s="485"/>
      <c r="Z1073" s="485"/>
      <c r="AA1073" s="485"/>
      <c r="AB1073" s="485"/>
      <c r="AC1073" s="485"/>
      <c r="AD1073" s="485"/>
      <c r="AE1073" s="485"/>
      <c r="AF1073" s="485"/>
      <c r="AG1073" s="485"/>
      <c r="AH1073" s="485"/>
      <c r="AI1073" s="485"/>
      <c r="AJ1073" s="485"/>
      <c r="AK1073" s="485"/>
      <c r="AL1073" s="485"/>
      <c r="AM1073" s="485"/>
      <c r="AN1073" s="485"/>
      <c r="AO1073" s="485"/>
      <c r="AP1073" s="485"/>
      <c r="AQ1073" s="485"/>
      <c r="AR1073" s="485"/>
      <c r="AS1073" s="485"/>
      <c r="AT1073" s="485"/>
      <c r="AU1073" s="485"/>
      <c r="AV1073" s="485"/>
      <c r="AW1073" s="485"/>
      <c r="AX1073" s="485"/>
      <c r="AY1073" s="485"/>
      <c r="AZ1073" s="485"/>
      <c r="BA1073" s="485"/>
      <c r="BB1073" s="485"/>
      <c r="BC1073" s="485"/>
      <c r="BD1073" s="485"/>
      <c r="BE1073" s="485"/>
      <c r="BF1073" s="485"/>
      <c r="BG1073" s="485"/>
      <c r="BH1073" s="485"/>
      <c r="BI1073" s="485"/>
      <c r="BJ1073" s="485"/>
      <c r="BK1073" s="485"/>
      <c r="BL1073" s="485"/>
      <c r="BM1073" s="485"/>
      <c r="BN1073" s="485"/>
      <c r="BO1073" s="485"/>
      <c r="BP1073" s="485"/>
      <c r="BQ1073" s="485"/>
      <c r="BR1073" s="485"/>
      <c r="BS1073" s="485"/>
      <c r="BT1073" s="485"/>
      <c r="BU1073" s="485"/>
      <c r="BV1073" s="485"/>
      <c r="BW1073" s="485"/>
      <c r="BX1073" s="485"/>
      <c r="BY1073" s="485"/>
      <c r="BZ1073" s="485"/>
      <c r="CA1073" s="485"/>
      <c r="CB1073" s="485"/>
      <c r="CC1073" s="485"/>
      <c r="CD1073" s="485"/>
      <c r="CE1073" s="485"/>
      <c r="CF1073" s="485"/>
      <c r="CG1073" s="485"/>
      <c r="CH1073" s="485"/>
      <c r="CI1073" s="485"/>
      <c r="CJ1073" s="485"/>
      <c r="CK1073" s="485"/>
      <c r="CL1073" s="485"/>
      <c r="CM1073" s="485"/>
      <c r="CN1073" s="485"/>
      <c r="CO1073" s="485"/>
      <c r="CP1073" s="485"/>
      <c r="CQ1073" s="485"/>
      <c r="CR1073" s="485"/>
      <c r="CS1073" s="485"/>
      <c r="CT1073" s="485"/>
      <c r="CU1073" s="485"/>
      <c r="CV1073" s="485"/>
      <c r="CW1073" s="485"/>
      <c r="CX1073" s="485"/>
      <c r="CY1073" s="485"/>
      <c r="CZ1073" s="485"/>
      <c r="DA1073" s="485"/>
      <c r="DB1073" s="485"/>
      <c r="DC1073" s="485"/>
      <c r="DD1073" s="485"/>
      <c r="DE1073" s="485"/>
      <c r="DF1073" s="485"/>
      <c r="DG1073" s="485"/>
      <c r="DH1073" s="485"/>
      <c r="DI1073" s="485"/>
      <c r="DJ1073" s="485"/>
      <c r="DK1073" s="485"/>
      <c r="DL1073" s="485"/>
      <c r="DM1073" s="485"/>
      <c r="DN1073" s="485"/>
      <c r="DO1073" s="485"/>
      <c r="DP1073" s="485"/>
      <c r="DQ1073" s="485"/>
      <c r="DR1073" s="485"/>
      <c r="DS1073" s="485"/>
      <c r="DT1073" s="485"/>
      <c r="DU1073" s="485"/>
      <c r="DV1073" s="485"/>
      <c r="DW1073" s="485"/>
      <c r="DX1073" s="485"/>
      <c r="DY1073" s="485"/>
      <c r="DZ1073" s="485"/>
      <c r="EA1073" s="485"/>
      <c r="EB1073" s="485"/>
      <c r="EC1073" s="485"/>
      <c r="ED1073" s="485"/>
      <c r="EE1073" s="485"/>
      <c r="EF1073" s="485"/>
      <c r="EG1073" s="485"/>
      <c r="EH1073" s="485"/>
      <c r="EI1073" s="485"/>
      <c r="EJ1073" s="485"/>
      <c r="EK1073" s="485"/>
      <c r="EL1073" s="485"/>
      <c r="EM1073" s="485"/>
      <c r="EN1073" s="485"/>
      <c r="EO1073" s="485"/>
      <c r="EP1073" s="485"/>
    </row>
    <row r="1074" spans="1:146">
      <c r="A1074" s="485"/>
      <c r="B1074" s="485"/>
      <c r="C1074" s="485"/>
      <c r="D1074" s="485"/>
      <c r="E1074" s="485"/>
      <c r="F1074" s="485"/>
      <c r="G1074" s="485"/>
      <c r="H1074" s="485"/>
      <c r="I1074" s="485"/>
      <c r="J1074" s="485"/>
      <c r="K1074" s="485"/>
      <c r="L1074" s="485"/>
      <c r="M1074" s="485"/>
      <c r="P1074" s="485"/>
      <c r="Q1074" s="485"/>
      <c r="R1074" s="485"/>
      <c r="S1074" s="485"/>
      <c r="T1074" s="485"/>
      <c r="U1074" s="485"/>
      <c r="V1074" s="485"/>
      <c r="W1074" s="485"/>
      <c r="X1074" s="485"/>
      <c r="Y1074" s="485"/>
      <c r="Z1074" s="485"/>
      <c r="AA1074" s="485"/>
      <c r="AB1074" s="485"/>
      <c r="AC1074" s="485"/>
      <c r="AD1074" s="485"/>
      <c r="AE1074" s="485"/>
      <c r="AF1074" s="485"/>
      <c r="AG1074" s="485"/>
      <c r="AH1074" s="485"/>
      <c r="AI1074" s="485"/>
      <c r="AJ1074" s="485"/>
      <c r="AK1074" s="485"/>
      <c r="AL1074" s="485"/>
      <c r="AM1074" s="485"/>
      <c r="AN1074" s="485"/>
      <c r="AO1074" s="485"/>
      <c r="AP1074" s="485"/>
      <c r="AQ1074" s="485"/>
      <c r="AR1074" s="485"/>
      <c r="AS1074" s="485"/>
      <c r="AT1074" s="485"/>
      <c r="AU1074" s="485"/>
      <c r="AV1074" s="485"/>
      <c r="AW1074" s="485"/>
      <c r="AX1074" s="485"/>
      <c r="AY1074" s="485"/>
      <c r="AZ1074" s="485"/>
      <c r="BA1074" s="485"/>
      <c r="BB1074" s="485"/>
      <c r="BC1074" s="485"/>
      <c r="BD1074" s="485"/>
      <c r="BE1074" s="485"/>
      <c r="BF1074" s="485"/>
      <c r="BG1074" s="485"/>
      <c r="BH1074" s="485"/>
      <c r="BI1074" s="485"/>
      <c r="BJ1074" s="485"/>
      <c r="BK1074" s="485"/>
      <c r="BL1074" s="485"/>
      <c r="BM1074" s="485"/>
      <c r="BN1074" s="485"/>
      <c r="BO1074" s="485"/>
      <c r="BP1074" s="485"/>
      <c r="BQ1074" s="485"/>
      <c r="BR1074" s="485"/>
      <c r="BS1074" s="485"/>
      <c r="BT1074" s="485"/>
      <c r="BU1074" s="485"/>
      <c r="BV1074" s="485"/>
      <c r="BW1074" s="485"/>
      <c r="BX1074" s="485"/>
      <c r="BY1074" s="485"/>
      <c r="BZ1074" s="485"/>
      <c r="CA1074" s="485"/>
      <c r="CB1074" s="485"/>
      <c r="CC1074" s="485"/>
      <c r="CD1074" s="485"/>
      <c r="CE1074" s="485"/>
      <c r="CF1074" s="485"/>
      <c r="CG1074" s="485"/>
      <c r="CH1074" s="485"/>
      <c r="CI1074" s="485"/>
      <c r="CJ1074" s="485"/>
      <c r="CK1074" s="485"/>
      <c r="CL1074" s="485"/>
      <c r="CM1074" s="485"/>
      <c r="CN1074" s="485"/>
      <c r="CO1074" s="485"/>
      <c r="CP1074" s="485"/>
      <c r="CQ1074" s="485"/>
      <c r="CR1074" s="485"/>
      <c r="CS1074" s="485"/>
      <c r="CT1074" s="485"/>
      <c r="CU1074" s="485"/>
      <c r="CV1074" s="485"/>
      <c r="CW1074" s="485"/>
      <c r="CX1074" s="485"/>
      <c r="CY1074" s="485"/>
      <c r="CZ1074" s="485"/>
      <c r="DA1074" s="485"/>
      <c r="DB1074" s="485"/>
      <c r="DC1074" s="485"/>
      <c r="DD1074" s="485"/>
      <c r="DE1074" s="485"/>
      <c r="DF1074" s="485"/>
      <c r="DG1074" s="485"/>
      <c r="DH1074" s="485"/>
      <c r="DI1074" s="485"/>
      <c r="DJ1074" s="485"/>
      <c r="DK1074" s="485"/>
      <c r="DL1074" s="485"/>
      <c r="DM1074" s="485"/>
      <c r="DN1074" s="485"/>
      <c r="DO1074" s="485"/>
      <c r="DP1074" s="485"/>
      <c r="DQ1074" s="485"/>
      <c r="DR1074" s="485"/>
      <c r="DS1074" s="485"/>
      <c r="DT1074" s="485"/>
      <c r="DU1074" s="485"/>
      <c r="DV1074" s="485"/>
      <c r="DW1074" s="485"/>
      <c r="DX1074" s="485"/>
      <c r="DY1074" s="485"/>
      <c r="DZ1074" s="485"/>
      <c r="EA1074" s="485"/>
      <c r="EB1074" s="485"/>
      <c r="EC1074" s="485"/>
      <c r="ED1074" s="485"/>
      <c r="EE1074" s="485"/>
      <c r="EF1074" s="485"/>
      <c r="EG1074" s="485"/>
      <c r="EH1074" s="485"/>
      <c r="EI1074" s="485"/>
      <c r="EJ1074" s="485"/>
      <c r="EK1074" s="485"/>
      <c r="EL1074" s="485"/>
      <c r="EM1074" s="485"/>
      <c r="EN1074" s="485"/>
      <c r="EO1074" s="485"/>
      <c r="EP1074" s="485"/>
    </row>
    <row r="1075" spans="1:146">
      <c r="A1075" s="485"/>
      <c r="B1075" s="485"/>
      <c r="C1075" s="485"/>
      <c r="D1075" s="485"/>
      <c r="E1075" s="485"/>
      <c r="F1075" s="485"/>
      <c r="G1075" s="485"/>
      <c r="H1075" s="485"/>
      <c r="I1075" s="485"/>
      <c r="J1075" s="485"/>
      <c r="K1075" s="485"/>
      <c r="L1075" s="485"/>
      <c r="M1075" s="485"/>
      <c r="P1075" s="485"/>
      <c r="Q1075" s="485"/>
      <c r="R1075" s="485"/>
      <c r="S1075" s="485"/>
      <c r="T1075" s="485"/>
      <c r="U1075" s="485"/>
      <c r="V1075" s="485"/>
      <c r="W1075" s="485"/>
      <c r="X1075" s="485"/>
      <c r="Y1075" s="485"/>
      <c r="Z1075" s="485"/>
      <c r="AA1075" s="485"/>
      <c r="AB1075" s="485"/>
      <c r="AC1075" s="485"/>
      <c r="AD1075" s="485"/>
      <c r="AE1075" s="485"/>
      <c r="AF1075" s="485"/>
      <c r="AG1075" s="485"/>
      <c r="AH1075" s="485"/>
      <c r="AI1075" s="485"/>
      <c r="AJ1075" s="485"/>
      <c r="AK1075" s="485"/>
      <c r="AL1075" s="485"/>
      <c r="AM1075" s="485"/>
      <c r="AN1075" s="485"/>
      <c r="AO1075" s="485"/>
      <c r="AP1075" s="485"/>
      <c r="AQ1075" s="485"/>
      <c r="AR1075" s="485"/>
      <c r="AS1075" s="485"/>
      <c r="AT1075" s="485"/>
      <c r="AU1075" s="485"/>
      <c r="AV1075" s="485"/>
      <c r="AW1075" s="485"/>
      <c r="AX1075" s="485"/>
      <c r="AY1075" s="485"/>
      <c r="AZ1075" s="485"/>
      <c r="BA1075" s="485"/>
      <c r="BB1075" s="485"/>
      <c r="BC1075" s="485"/>
      <c r="BD1075" s="485"/>
      <c r="BE1075" s="485"/>
      <c r="BF1075" s="485"/>
      <c r="BG1075" s="485"/>
      <c r="BH1075" s="485"/>
      <c r="BI1075" s="485"/>
      <c r="BJ1075" s="485"/>
      <c r="BK1075" s="485"/>
      <c r="BL1075" s="485"/>
      <c r="BM1075" s="485"/>
      <c r="BN1075" s="485"/>
      <c r="BO1075" s="485"/>
      <c r="BP1075" s="485"/>
      <c r="BQ1075" s="485"/>
      <c r="BR1075" s="485"/>
      <c r="BS1075" s="485"/>
      <c r="BT1075" s="485"/>
      <c r="BU1075" s="485"/>
      <c r="BV1075" s="485"/>
      <c r="BW1075" s="485"/>
      <c r="BX1075" s="485"/>
      <c r="BY1075" s="485"/>
      <c r="BZ1075" s="485"/>
      <c r="CA1075" s="485"/>
      <c r="CB1075" s="485"/>
      <c r="CC1075" s="485"/>
      <c r="CD1075" s="485"/>
      <c r="CE1075" s="485"/>
      <c r="CF1075" s="485"/>
      <c r="CG1075" s="485"/>
      <c r="CH1075" s="485"/>
      <c r="CI1075" s="485"/>
      <c r="CJ1075" s="485"/>
      <c r="CK1075" s="485"/>
      <c r="CL1075" s="485"/>
      <c r="CM1075" s="485"/>
      <c r="CN1075" s="485"/>
      <c r="CO1075" s="485"/>
      <c r="CP1075" s="485"/>
      <c r="CQ1075" s="485"/>
      <c r="CR1075" s="485"/>
      <c r="CS1075" s="485"/>
      <c r="CT1075" s="485"/>
      <c r="CU1075" s="485"/>
      <c r="CV1075" s="485"/>
      <c r="CW1075" s="485"/>
      <c r="CX1075" s="485"/>
      <c r="CY1075" s="485"/>
      <c r="CZ1075" s="485"/>
      <c r="DA1075" s="485"/>
      <c r="DB1075" s="485"/>
      <c r="DC1075" s="485"/>
      <c r="DD1075" s="485"/>
      <c r="DE1075" s="485"/>
      <c r="DF1075" s="485"/>
      <c r="DG1075" s="485"/>
      <c r="DH1075" s="485"/>
      <c r="DI1075" s="485"/>
      <c r="DJ1075" s="485"/>
      <c r="DK1075" s="485"/>
      <c r="DL1075" s="485"/>
      <c r="DM1075" s="485"/>
      <c r="DN1075" s="485"/>
      <c r="DO1075" s="485"/>
      <c r="DP1075" s="485"/>
      <c r="DQ1075" s="485"/>
      <c r="DR1075" s="485"/>
      <c r="DS1075" s="485"/>
      <c r="DT1075" s="485"/>
      <c r="DU1075" s="485"/>
      <c r="DV1075" s="485"/>
      <c r="DW1075" s="485"/>
      <c r="DX1075" s="485"/>
      <c r="DY1075" s="485"/>
      <c r="DZ1075" s="485"/>
      <c r="EA1075" s="485"/>
      <c r="EB1075" s="485"/>
      <c r="EC1075" s="485"/>
      <c r="ED1075" s="485"/>
      <c r="EE1075" s="485"/>
      <c r="EF1075" s="485"/>
      <c r="EG1075" s="485"/>
      <c r="EH1075" s="485"/>
      <c r="EI1075" s="485"/>
      <c r="EJ1075" s="485"/>
      <c r="EK1075" s="485"/>
      <c r="EL1075" s="485"/>
      <c r="EM1075" s="485"/>
      <c r="EN1075" s="485"/>
      <c r="EO1075" s="485"/>
      <c r="EP1075" s="485"/>
    </row>
    <row r="1076" spans="1:146">
      <c r="A1076" s="485"/>
      <c r="B1076" s="485"/>
      <c r="C1076" s="485"/>
      <c r="D1076" s="485"/>
      <c r="E1076" s="485"/>
      <c r="F1076" s="485"/>
      <c r="G1076" s="485"/>
      <c r="H1076" s="485"/>
      <c r="I1076" s="485"/>
      <c r="J1076" s="485"/>
      <c r="K1076" s="485"/>
      <c r="L1076" s="485"/>
      <c r="M1076" s="485"/>
      <c r="P1076" s="485"/>
      <c r="Q1076" s="485"/>
      <c r="R1076" s="485"/>
      <c r="S1076" s="485"/>
      <c r="T1076" s="485"/>
      <c r="U1076" s="485"/>
      <c r="V1076" s="485"/>
      <c r="W1076" s="485"/>
      <c r="X1076" s="485"/>
      <c r="Y1076" s="485"/>
      <c r="Z1076" s="485"/>
      <c r="AA1076" s="485"/>
      <c r="AB1076" s="485"/>
      <c r="AC1076" s="485"/>
      <c r="AD1076" s="485"/>
      <c r="AE1076" s="485"/>
      <c r="AF1076" s="485"/>
      <c r="AG1076" s="485"/>
      <c r="AH1076" s="485"/>
      <c r="AI1076" s="485"/>
      <c r="AJ1076" s="485"/>
      <c r="AK1076" s="485"/>
      <c r="AL1076" s="485"/>
      <c r="AM1076" s="485"/>
      <c r="AN1076" s="485"/>
      <c r="AO1076" s="485"/>
      <c r="AP1076" s="485"/>
      <c r="AQ1076" s="485"/>
      <c r="AR1076" s="485"/>
      <c r="AS1076" s="485"/>
      <c r="AT1076" s="485"/>
      <c r="AU1076" s="485"/>
      <c r="AV1076" s="485"/>
      <c r="AW1076" s="485"/>
      <c r="AX1076" s="485"/>
      <c r="AY1076" s="485"/>
      <c r="AZ1076" s="485"/>
      <c r="BA1076" s="485"/>
      <c r="BB1076" s="485"/>
      <c r="BC1076" s="485"/>
      <c r="BD1076" s="485"/>
      <c r="BE1076" s="485"/>
      <c r="BF1076" s="485"/>
      <c r="BG1076" s="485"/>
      <c r="BH1076" s="485"/>
      <c r="BI1076" s="485"/>
      <c r="BJ1076" s="485"/>
      <c r="BK1076" s="485"/>
      <c r="BL1076" s="485"/>
      <c r="BM1076" s="485"/>
      <c r="BN1076" s="485"/>
      <c r="BO1076" s="485"/>
      <c r="BP1076" s="485"/>
      <c r="BQ1076" s="485"/>
      <c r="BR1076" s="485"/>
      <c r="BS1076" s="485"/>
      <c r="BT1076" s="485"/>
      <c r="BU1076" s="485"/>
      <c r="BV1076" s="485"/>
      <c r="BW1076" s="485"/>
      <c r="BX1076" s="485"/>
      <c r="BY1076" s="485"/>
      <c r="BZ1076" s="485"/>
      <c r="CA1076" s="485"/>
      <c r="CB1076" s="485"/>
      <c r="CC1076" s="485"/>
      <c r="CD1076" s="485"/>
      <c r="CE1076" s="485"/>
      <c r="CF1076" s="485"/>
      <c r="CG1076" s="485"/>
      <c r="CH1076" s="485"/>
      <c r="CI1076" s="485"/>
      <c r="CJ1076" s="485"/>
      <c r="CK1076" s="485"/>
      <c r="CL1076" s="485"/>
      <c r="CM1076" s="485"/>
      <c r="CN1076" s="485"/>
      <c r="CO1076" s="485"/>
      <c r="CP1076" s="485"/>
      <c r="CQ1076" s="485"/>
      <c r="CR1076" s="485"/>
      <c r="CS1076" s="485"/>
      <c r="CT1076" s="485"/>
      <c r="CU1076" s="485"/>
      <c r="CV1076" s="485"/>
      <c r="CW1076" s="485"/>
      <c r="CX1076" s="485"/>
      <c r="CY1076" s="485"/>
      <c r="CZ1076" s="485"/>
      <c r="DA1076" s="485"/>
      <c r="DB1076" s="485"/>
      <c r="DC1076" s="485"/>
      <c r="DD1076" s="485"/>
      <c r="DE1076" s="485"/>
      <c r="DF1076" s="485"/>
      <c r="DG1076" s="485"/>
      <c r="DH1076" s="485"/>
      <c r="DI1076" s="485"/>
      <c r="DJ1076" s="485"/>
      <c r="DK1076" s="485"/>
      <c r="DL1076" s="485"/>
      <c r="DM1076" s="485"/>
      <c r="DN1076" s="485"/>
      <c r="DO1076" s="485"/>
      <c r="DP1076" s="485"/>
      <c r="DQ1076" s="485"/>
      <c r="DR1076" s="485"/>
      <c r="DS1076" s="485"/>
      <c r="DT1076" s="485"/>
      <c r="DU1076" s="485"/>
      <c r="DV1076" s="485"/>
      <c r="DW1076" s="485"/>
      <c r="DX1076" s="485"/>
      <c r="DY1076" s="485"/>
      <c r="DZ1076" s="485"/>
      <c r="EA1076" s="485"/>
      <c r="EB1076" s="485"/>
      <c r="EC1076" s="485"/>
      <c r="ED1076" s="485"/>
      <c r="EE1076" s="485"/>
      <c r="EF1076" s="485"/>
      <c r="EG1076" s="485"/>
      <c r="EH1076" s="485"/>
      <c r="EI1076" s="485"/>
      <c r="EJ1076" s="485"/>
      <c r="EK1076" s="485"/>
      <c r="EL1076" s="485"/>
      <c r="EM1076" s="485"/>
      <c r="EN1076" s="485"/>
      <c r="EO1076" s="485"/>
      <c r="EP1076" s="485"/>
    </row>
    <row r="1077" spans="1:146">
      <c r="A1077" s="485"/>
      <c r="B1077" s="485"/>
      <c r="C1077" s="485"/>
      <c r="D1077" s="485"/>
      <c r="E1077" s="485"/>
      <c r="F1077" s="485"/>
      <c r="G1077" s="485"/>
      <c r="H1077" s="485"/>
      <c r="I1077" s="485"/>
      <c r="J1077" s="485"/>
      <c r="K1077" s="485"/>
      <c r="L1077" s="485"/>
      <c r="M1077" s="485"/>
      <c r="P1077" s="485"/>
      <c r="Q1077" s="485"/>
      <c r="R1077" s="485"/>
      <c r="S1077" s="485"/>
      <c r="T1077" s="485"/>
      <c r="U1077" s="485"/>
      <c r="V1077" s="485"/>
      <c r="W1077" s="485"/>
      <c r="X1077" s="485"/>
      <c r="Y1077" s="485"/>
      <c r="Z1077" s="485"/>
      <c r="AA1077" s="485"/>
      <c r="AB1077" s="485"/>
      <c r="AC1077" s="485"/>
      <c r="AD1077" s="485"/>
      <c r="AE1077" s="485"/>
      <c r="AF1077" s="485"/>
      <c r="AG1077" s="485"/>
      <c r="AH1077" s="485"/>
      <c r="AI1077" s="485"/>
      <c r="AJ1077" s="485"/>
      <c r="AK1077" s="485"/>
      <c r="AL1077" s="485"/>
      <c r="AM1077" s="485"/>
      <c r="AN1077" s="485"/>
      <c r="AO1077" s="485"/>
      <c r="AP1077" s="485"/>
      <c r="AQ1077" s="485"/>
      <c r="AR1077" s="485"/>
      <c r="AS1077" s="485"/>
      <c r="AT1077" s="485"/>
      <c r="AU1077" s="485"/>
      <c r="AV1077" s="485"/>
      <c r="AW1077" s="485"/>
      <c r="AX1077" s="485"/>
      <c r="AY1077" s="485"/>
      <c r="AZ1077" s="485"/>
      <c r="BA1077" s="485"/>
      <c r="BB1077" s="485"/>
      <c r="BC1077" s="485"/>
      <c r="BD1077" s="485"/>
      <c r="BE1077" s="485"/>
      <c r="BF1077" s="485"/>
      <c r="BG1077" s="485"/>
      <c r="BH1077" s="485"/>
      <c r="BI1077" s="485"/>
      <c r="BJ1077" s="485"/>
      <c r="BK1077" s="485"/>
      <c r="BL1077" s="485"/>
      <c r="BM1077" s="485"/>
      <c r="BN1077" s="485"/>
      <c r="BO1077" s="485"/>
      <c r="BP1077" s="485"/>
      <c r="BQ1077" s="485"/>
      <c r="BR1077" s="485"/>
      <c r="BS1077" s="485"/>
      <c r="BT1077" s="485"/>
      <c r="BU1077" s="485"/>
      <c r="BV1077" s="485"/>
      <c r="BW1077" s="485"/>
      <c r="BX1077" s="485"/>
      <c r="BY1077" s="485"/>
      <c r="BZ1077" s="485"/>
      <c r="CA1077" s="485"/>
      <c r="CB1077" s="485"/>
      <c r="CC1077" s="485"/>
      <c r="CD1077" s="485"/>
      <c r="CE1077" s="485"/>
      <c r="CF1077" s="485"/>
      <c r="CG1077" s="485"/>
      <c r="CH1077" s="485"/>
      <c r="CI1077" s="485"/>
      <c r="CJ1077" s="485"/>
      <c r="CK1077" s="485"/>
      <c r="CL1077" s="485"/>
      <c r="CM1077" s="485"/>
      <c r="CN1077" s="485"/>
      <c r="CO1077" s="485"/>
      <c r="CP1077" s="485"/>
      <c r="CQ1077" s="485"/>
      <c r="CR1077" s="485"/>
      <c r="CS1077" s="485"/>
      <c r="CT1077" s="485"/>
      <c r="CU1077" s="485"/>
      <c r="CV1077" s="485"/>
      <c r="CW1077" s="485"/>
      <c r="CX1077" s="485"/>
      <c r="CY1077" s="485"/>
      <c r="CZ1077" s="485"/>
      <c r="DA1077" s="485"/>
      <c r="DB1077" s="485"/>
      <c r="DC1077" s="485"/>
      <c r="DD1077" s="485"/>
      <c r="DE1077" s="485"/>
      <c r="DF1077" s="485"/>
      <c r="DG1077" s="485"/>
      <c r="DH1077" s="485"/>
      <c r="DI1077" s="485"/>
      <c r="DJ1077" s="485"/>
      <c r="DK1077" s="485"/>
      <c r="DL1077" s="485"/>
      <c r="DM1077" s="485"/>
      <c r="DN1077" s="485"/>
      <c r="DO1077" s="485"/>
      <c r="DP1077" s="485"/>
      <c r="DQ1077" s="485"/>
      <c r="DR1077" s="485"/>
      <c r="DS1077" s="485"/>
      <c r="DT1077" s="485"/>
      <c r="DU1077" s="485"/>
      <c r="DV1077" s="485"/>
      <c r="DW1077" s="485"/>
      <c r="DX1077" s="485"/>
      <c r="DY1077" s="485"/>
      <c r="DZ1077" s="485"/>
      <c r="EA1077" s="485"/>
      <c r="EB1077" s="485"/>
      <c r="EC1077" s="485"/>
      <c r="ED1077" s="485"/>
      <c r="EE1077" s="485"/>
      <c r="EF1077" s="485"/>
      <c r="EG1077" s="485"/>
      <c r="EH1077" s="485"/>
      <c r="EI1077" s="485"/>
      <c r="EJ1077" s="485"/>
      <c r="EK1077" s="485"/>
      <c r="EL1077" s="485"/>
      <c r="EM1077" s="485"/>
      <c r="EN1077" s="485"/>
      <c r="EO1077" s="485"/>
      <c r="EP1077" s="485"/>
    </row>
    <row r="1078" spans="1:146">
      <c r="A1078" s="485"/>
      <c r="B1078" s="485"/>
      <c r="C1078" s="485"/>
      <c r="D1078" s="485"/>
      <c r="E1078" s="485"/>
      <c r="F1078" s="485"/>
      <c r="G1078" s="485"/>
      <c r="H1078" s="485"/>
      <c r="I1078" s="485"/>
      <c r="J1078" s="485"/>
      <c r="K1078" s="485"/>
      <c r="L1078" s="485"/>
      <c r="M1078" s="485"/>
      <c r="P1078" s="485"/>
      <c r="Q1078" s="485"/>
      <c r="R1078" s="485"/>
      <c r="S1078" s="485"/>
      <c r="T1078" s="485"/>
      <c r="U1078" s="485"/>
      <c r="V1078" s="485"/>
      <c r="W1078" s="485"/>
      <c r="X1078" s="485"/>
      <c r="Y1078" s="485"/>
      <c r="Z1078" s="485"/>
      <c r="AA1078" s="485"/>
      <c r="AB1078" s="485"/>
      <c r="AC1078" s="485"/>
      <c r="AD1078" s="485"/>
      <c r="AE1078" s="485"/>
      <c r="AF1078" s="485"/>
      <c r="AG1078" s="485"/>
      <c r="AH1078" s="485"/>
      <c r="AI1078" s="485"/>
      <c r="AJ1078" s="485"/>
      <c r="AK1078" s="485"/>
      <c r="AL1078" s="485"/>
      <c r="AM1078" s="485"/>
      <c r="AN1078" s="485"/>
      <c r="AO1078" s="485"/>
      <c r="AP1078" s="485"/>
      <c r="AQ1078" s="485"/>
      <c r="AR1078" s="485"/>
      <c r="AS1078" s="485"/>
      <c r="AT1078" s="485"/>
      <c r="AU1078" s="485"/>
      <c r="AV1078" s="485"/>
      <c r="AW1078" s="485"/>
      <c r="AX1078" s="485"/>
      <c r="AY1078" s="485"/>
      <c r="AZ1078" s="485"/>
      <c r="BA1078" s="485"/>
      <c r="BB1078" s="485"/>
      <c r="BC1078" s="485"/>
      <c r="BD1078" s="485"/>
      <c r="BE1078" s="485"/>
      <c r="BF1078" s="485"/>
      <c r="BG1078" s="485"/>
      <c r="BH1078" s="485"/>
      <c r="BI1078" s="485"/>
      <c r="BJ1078" s="485"/>
      <c r="BK1078" s="485"/>
      <c r="BL1078" s="485"/>
      <c r="BM1078" s="485"/>
      <c r="BN1078" s="485"/>
      <c r="BO1078" s="485"/>
      <c r="BP1078" s="485"/>
      <c r="BQ1078" s="485"/>
      <c r="BR1078" s="485"/>
      <c r="BS1078" s="485"/>
      <c r="BT1078" s="485"/>
      <c r="BU1078" s="485"/>
      <c r="BV1078" s="485"/>
      <c r="BW1078" s="485"/>
      <c r="BX1078" s="485"/>
      <c r="BY1078" s="485"/>
      <c r="BZ1078" s="485"/>
      <c r="CA1078" s="485"/>
      <c r="CB1078" s="485"/>
      <c r="CC1078" s="485"/>
      <c r="CD1078" s="485"/>
      <c r="CE1078" s="485"/>
      <c r="CF1078" s="485"/>
      <c r="CG1078" s="485"/>
      <c r="CH1078" s="485"/>
      <c r="CI1078" s="485"/>
      <c r="CJ1078" s="485"/>
      <c r="CK1078" s="485"/>
      <c r="CL1078" s="485"/>
      <c r="CM1078" s="485"/>
      <c r="CN1078" s="485"/>
      <c r="CO1078" s="485"/>
      <c r="CP1078" s="485"/>
      <c r="CQ1078" s="485"/>
      <c r="CR1078" s="485"/>
      <c r="CS1078" s="485"/>
      <c r="CT1078" s="485"/>
      <c r="CU1078" s="485"/>
      <c r="CV1078" s="485"/>
      <c r="CW1078" s="485"/>
      <c r="CX1078" s="485"/>
      <c r="CY1078" s="485"/>
      <c r="CZ1078" s="485"/>
      <c r="DA1078" s="485"/>
      <c r="DB1078" s="485"/>
      <c r="DC1078" s="485"/>
      <c r="DD1078" s="485"/>
      <c r="DE1078" s="485"/>
      <c r="DF1078" s="485"/>
      <c r="DG1078" s="485"/>
      <c r="DH1078" s="485"/>
      <c r="DI1078" s="485"/>
      <c r="DJ1078" s="485"/>
      <c r="DK1078" s="485"/>
      <c r="DL1078" s="485"/>
      <c r="DM1078" s="485"/>
      <c r="DN1078" s="485"/>
      <c r="DO1078" s="485"/>
      <c r="DP1078" s="485"/>
      <c r="DQ1078" s="485"/>
      <c r="DR1078" s="485"/>
      <c r="DS1078" s="485"/>
      <c r="DT1078" s="485"/>
      <c r="DU1078" s="485"/>
      <c r="DV1078" s="485"/>
      <c r="DW1078" s="485"/>
      <c r="DX1078" s="485"/>
      <c r="DY1078" s="485"/>
      <c r="DZ1078" s="485"/>
      <c r="EA1078" s="485"/>
      <c r="EB1078" s="485"/>
      <c r="EC1078" s="485"/>
      <c r="ED1078" s="485"/>
      <c r="EE1078" s="485"/>
      <c r="EF1078" s="485"/>
      <c r="EG1078" s="485"/>
      <c r="EH1078" s="485"/>
      <c r="EI1078" s="485"/>
      <c r="EJ1078" s="485"/>
      <c r="EK1078" s="485"/>
      <c r="EL1078" s="485"/>
      <c r="EM1078" s="485"/>
      <c r="EN1078" s="485"/>
      <c r="EO1078" s="485"/>
      <c r="EP1078" s="485"/>
    </row>
    <row r="1079" spans="1:146">
      <c r="A1079" s="485"/>
      <c r="B1079" s="485"/>
      <c r="C1079" s="485"/>
      <c r="D1079" s="485"/>
      <c r="E1079" s="485"/>
      <c r="F1079" s="485"/>
      <c r="G1079" s="485"/>
      <c r="H1079" s="485"/>
      <c r="I1079" s="485"/>
      <c r="J1079" s="485"/>
      <c r="K1079" s="485"/>
      <c r="L1079" s="485"/>
      <c r="M1079" s="485"/>
      <c r="P1079" s="485"/>
      <c r="Q1079" s="485"/>
      <c r="R1079" s="485"/>
      <c r="S1079" s="485"/>
      <c r="T1079" s="485"/>
      <c r="U1079" s="485"/>
      <c r="V1079" s="485"/>
      <c r="W1079" s="485"/>
      <c r="X1079" s="485"/>
      <c r="Y1079" s="485"/>
      <c r="Z1079" s="485"/>
      <c r="AA1079" s="485"/>
      <c r="AB1079" s="485"/>
      <c r="AC1079" s="485"/>
      <c r="AD1079" s="485"/>
      <c r="AE1079" s="485"/>
      <c r="AF1079" s="485"/>
      <c r="AG1079" s="485"/>
      <c r="AH1079" s="485"/>
      <c r="AI1079" s="485"/>
      <c r="AJ1079" s="485"/>
      <c r="AK1079" s="485"/>
      <c r="AL1079" s="485"/>
      <c r="AM1079" s="485"/>
      <c r="AN1079" s="485"/>
      <c r="AO1079" s="485"/>
      <c r="AP1079" s="485"/>
      <c r="AQ1079" s="485"/>
      <c r="AR1079" s="485"/>
      <c r="AS1079" s="485"/>
      <c r="AT1079" s="485"/>
      <c r="AU1079" s="485"/>
      <c r="AV1079" s="485"/>
      <c r="AW1079" s="485"/>
      <c r="AX1079" s="485"/>
      <c r="AY1079" s="485"/>
      <c r="AZ1079" s="485"/>
      <c r="BA1079" s="485"/>
      <c r="BB1079" s="485"/>
      <c r="BC1079" s="485"/>
      <c r="BD1079" s="485"/>
      <c r="BE1079" s="485"/>
      <c r="BF1079" s="485"/>
      <c r="BG1079" s="485"/>
      <c r="BH1079" s="485"/>
      <c r="BI1079" s="485"/>
      <c r="BJ1079" s="485"/>
      <c r="BK1079" s="485"/>
      <c r="BL1079" s="485"/>
      <c r="BM1079" s="485"/>
      <c r="BN1079" s="485"/>
      <c r="BO1079" s="485"/>
      <c r="BP1079" s="485"/>
      <c r="BQ1079" s="485"/>
      <c r="BR1079" s="485"/>
      <c r="BS1079" s="485"/>
      <c r="BT1079" s="485"/>
      <c r="BU1079" s="485"/>
      <c r="BV1079" s="485"/>
      <c r="BW1079" s="485"/>
      <c r="BX1079" s="485"/>
      <c r="BY1079" s="485"/>
      <c r="BZ1079" s="485"/>
      <c r="CA1079" s="485"/>
      <c r="CB1079" s="485"/>
      <c r="CC1079" s="485"/>
      <c r="CD1079" s="485"/>
      <c r="CE1079" s="485"/>
      <c r="CF1079" s="485"/>
      <c r="CG1079" s="485"/>
      <c r="CH1079" s="485"/>
      <c r="CI1079" s="485"/>
      <c r="CJ1079" s="485"/>
      <c r="CK1079" s="485"/>
      <c r="CL1079" s="485"/>
      <c r="CM1079" s="485"/>
      <c r="CN1079" s="485"/>
      <c r="CO1079" s="485"/>
      <c r="CP1079" s="485"/>
      <c r="CQ1079" s="485"/>
      <c r="CR1079" s="485"/>
      <c r="CS1079" s="485"/>
      <c r="CT1079" s="485"/>
      <c r="CU1079" s="485"/>
      <c r="CV1079" s="485"/>
      <c r="CW1079" s="485"/>
      <c r="CX1079" s="485"/>
      <c r="CY1079" s="485"/>
      <c r="CZ1079" s="485"/>
      <c r="DA1079" s="485"/>
      <c r="DB1079" s="485"/>
      <c r="DC1079" s="485"/>
      <c r="DD1079" s="485"/>
      <c r="DE1079" s="485"/>
      <c r="DF1079" s="485"/>
      <c r="DG1079" s="485"/>
      <c r="DH1079" s="485"/>
      <c r="DI1079" s="485"/>
      <c r="DJ1079" s="485"/>
      <c r="DK1079" s="485"/>
      <c r="DL1079" s="485"/>
      <c r="DM1079" s="485"/>
      <c r="DN1079" s="485"/>
      <c r="DO1079" s="485"/>
      <c r="DP1079" s="485"/>
      <c r="DQ1079" s="485"/>
      <c r="DR1079" s="485"/>
      <c r="DS1079" s="485"/>
      <c r="DT1079" s="485"/>
      <c r="DU1079" s="485"/>
      <c r="DV1079" s="485"/>
      <c r="DW1079" s="485"/>
      <c r="DX1079" s="485"/>
      <c r="DY1079" s="485"/>
      <c r="DZ1079" s="485"/>
      <c r="EA1079" s="485"/>
      <c r="EB1079" s="485"/>
      <c r="EC1079" s="485"/>
      <c r="ED1079" s="485"/>
      <c r="EE1079" s="485"/>
      <c r="EF1079" s="485"/>
      <c r="EG1079" s="485"/>
      <c r="EH1079" s="485"/>
      <c r="EI1079" s="485"/>
      <c r="EJ1079" s="485"/>
      <c r="EK1079" s="485"/>
      <c r="EL1079" s="485"/>
      <c r="EM1079" s="485"/>
      <c r="EN1079" s="485"/>
      <c r="EO1079" s="485"/>
      <c r="EP1079" s="485"/>
    </row>
    <row r="1080" spans="1:146">
      <c r="A1080" s="485"/>
      <c r="B1080" s="485"/>
      <c r="C1080" s="485"/>
      <c r="D1080" s="485"/>
      <c r="E1080" s="485"/>
      <c r="F1080" s="485"/>
      <c r="G1080" s="485"/>
      <c r="H1080" s="485"/>
      <c r="I1080" s="485"/>
      <c r="J1080" s="485"/>
      <c r="K1080" s="485"/>
      <c r="L1080" s="485"/>
      <c r="M1080" s="485"/>
      <c r="P1080" s="485"/>
      <c r="Q1080" s="485"/>
      <c r="R1080" s="485"/>
      <c r="S1080" s="485"/>
      <c r="T1080" s="485"/>
      <c r="U1080" s="485"/>
      <c r="V1080" s="485"/>
      <c r="W1080" s="485"/>
      <c r="X1080" s="485"/>
      <c r="Y1080" s="485"/>
      <c r="Z1080" s="485"/>
      <c r="AA1080" s="485"/>
      <c r="AB1080" s="485"/>
      <c r="AC1080" s="485"/>
      <c r="AD1080" s="485"/>
      <c r="AE1080" s="485"/>
      <c r="AF1080" s="485"/>
      <c r="AG1080" s="485"/>
      <c r="AH1080" s="485"/>
      <c r="AI1080" s="485"/>
      <c r="AJ1080" s="485"/>
      <c r="AK1080" s="485"/>
      <c r="AL1080" s="485"/>
      <c r="AM1080" s="485"/>
      <c r="AN1080" s="485"/>
      <c r="AO1080" s="485"/>
      <c r="AP1080" s="485"/>
      <c r="AQ1080" s="485"/>
      <c r="AR1080" s="485"/>
      <c r="AS1080" s="485"/>
      <c r="AT1080" s="485"/>
      <c r="AU1080" s="485"/>
      <c r="AV1080" s="485"/>
      <c r="AW1080" s="485"/>
      <c r="AX1080" s="485"/>
      <c r="AY1080" s="485"/>
      <c r="AZ1080" s="485"/>
      <c r="BA1080" s="485"/>
      <c r="BB1080" s="485"/>
      <c r="BC1080" s="485"/>
      <c r="BD1080" s="485"/>
      <c r="BE1080" s="485"/>
      <c r="BF1080" s="485"/>
      <c r="BG1080" s="485"/>
      <c r="BH1080" s="485"/>
      <c r="BI1080" s="485"/>
      <c r="BJ1080" s="485"/>
      <c r="BK1080" s="485"/>
      <c r="BL1080" s="485"/>
      <c r="BM1080" s="485"/>
      <c r="BN1080" s="485"/>
      <c r="BO1080" s="485"/>
      <c r="BP1080" s="485"/>
      <c r="BQ1080" s="485"/>
      <c r="BR1080" s="485"/>
      <c r="BS1080" s="485"/>
      <c r="BT1080" s="485"/>
      <c r="BU1080" s="485"/>
      <c r="BV1080" s="485"/>
      <c r="BW1080" s="485"/>
      <c r="BX1080" s="485"/>
      <c r="BY1080" s="485"/>
      <c r="BZ1080" s="485"/>
      <c r="CA1080" s="485"/>
      <c r="CB1080" s="485"/>
      <c r="CC1080" s="485"/>
      <c r="CD1080" s="485"/>
      <c r="CE1080" s="485"/>
      <c r="CF1080" s="485"/>
      <c r="CG1080" s="485"/>
      <c r="CH1080" s="485"/>
      <c r="CI1080" s="485"/>
      <c r="CJ1080" s="485"/>
      <c r="CK1080" s="485"/>
      <c r="CL1080" s="485"/>
      <c r="CM1080" s="485"/>
      <c r="CN1080" s="485"/>
      <c r="CO1080" s="485"/>
      <c r="CP1080" s="485"/>
      <c r="CQ1080" s="485"/>
      <c r="CR1080" s="485"/>
      <c r="CS1080" s="485"/>
      <c r="CT1080" s="485"/>
      <c r="CU1080" s="485"/>
      <c r="CV1080" s="485"/>
      <c r="CW1080" s="485"/>
      <c r="CX1080" s="485"/>
      <c r="CY1080" s="485"/>
      <c r="CZ1080" s="485"/>
      <c r="DA1080" s="485"/>
      <c r="DB1080" s="485"/>
      <c r="DC1080" s="485"/>
      <c r="DD1080" s="485"/>
      <c r="DE1080" s="485"/>
      <c r="DF1080" s="485"/>
      <c r="DG1080" s="485"/>
      <c r="DH1080" s="485"/>
      <c r="DI1080" s="485"/>
      <c r="DJ1080" s="485"/>
      <c r="DK1080" s="485"/>
      <c r="DL1080" s="485"/>
      <c r="DM1080" s="485"/>
      <c r="DN1080" s="485"/>
      <c r="DO1080" s="485"/>
      <c r="DP1080" s="485"/>
      <c r="DQ1080" s="485"/>
      <c r="DR1080" s="485"/>
      <c r="DS1080" s="485"/>
      <c r="DT1080" s="485"/>
      <c r="DU1080" s="485"/>
      <c r="DV1080" s="485"/>
      <c r="DW1080" s="485"/>
      <c r="DX1080" s="485"/>
      <c r="DY1080" s="485"/>
      <c r="DZ1080" s="485"/>
      <c r="EA1080" s="485"/>
      <c r="EB1080" s="485"/>
      <c r="EC1080" s="485"/>
      <c r="ED1080" s="485"/>
      <c r="EE1080" s="485"/>
      <c r="EF1080" s="485"/>
      <c r="EG1080" s="485"/>
      <c r="EH1080" s="485"/>
      <c r="EI1080" s="485"/>
      <c r="EJ1080" s="485"/>
      <c r="EK1080" s="485"/>
      <c r="EL1080" s="485"/>
      <c r="EM1080" s="485"/>
      <c r="EN1080" s="485"/>
      <c r="EO1080" s="485"/>
      <c r="EP1080" s="485"/>
    </row>
    <row r="1081" spans="1:146">
      <c r="A1081" s="485"/>
      <c r="B1081" s="485"/>
      <c r="C1081" s="485"/>
      <c r="D1081" s="485"/>
      <c r="E1081" s="485"/>
      <c r="F1081" s="485"/>
      <c r="G1081" s="485"/>
      <c r="H1081" s="485"/>
      <c r="I1081" s="485"/>
      <c r="J1081" s="485"/>
      <c r="K1081" s="485"/>
      <c r="L1081" s="485"/>
      <c r="M1081" s="485"/>
      <c r="P1081" s="485"/>
      <c r="Q1081" s="485"/>
      <c r="R1081" s="485"/>
      <c r="S1081" s="485"/>
      <c r="T1081" s="485"/>
      <c r="U1081" s="485"/>
      <c r="V1081" s="485"/>
      <c r="W1081" s="485"/>
      <c r="X1081" s="485"/>
      <c r="Y1081" s="485"/>
      <c r="Z1081" s="485"/>
      <c r="AA1081" s="485"/>
      <c r="AB1081" s="485"/>
      <c r="AC1081" s="485"/>
      <c r="AD1081" s="485"/>
      <c r="AE1081" s="485"/>
      <c r="AF1081" s="485"/>
      <c r="AG1081" s="485"/>
      <c r="AH1081" s="485"/>
      <c r="AI1081" s="485"/>
      <c r="AJ1081" s="485"/>
      <c r="AK1081" s="485"/>
      <c r="AL1081" s="485"/>
      <c r="AM1081" s="485"/>
      <c r="AN1081" s="485"/>
      <c r="AO1081" s="485"/>
      <c r="AP1081" s="485"/>
      <c r="AQ1081" s="485"/>
      <c r="AR1081" s="485"/>
      <c r="AS1081" s="485"/>
      <c r="AT1081" s="485"/>
      <c r="AU1081" s="485"/>
      <c r="AV1081" s="485"/>
      <c r="AW1081" s="485"/>
      <c r="AX1081" s="485"/>
      <c r="AY1081" s="485"/>
      <c r="AZ1081" s="485"/>
      <c r="BA1081" s="485"/>
      <c r="BB1081" s="485"/>
      <c r="BC1081" s="485"/>
      <c r="BD1081" s="485"/>
      <c r="BE1081" s="485"/>
      <c r="BF1081" s="485"/>
      <c r="BG1081" s="485"/>
      <c r="BH1081" s="485"/>
      <c r="BI1081" s="485"/>
      <c r="BJ1081" s="485"/>
      <c r="BK1081" s="485"/>
      <c r="BL1081" s="485"/>
      <c r="BM1081" s="485"/>
      <c r="BN1081" s="485"/>
      <c r="BO1081" s="485"/>
      <c r="BP1081" s="485"/>
      <c r="BQ1081" s="485"/>
      <c r="BR1081" s="485"/>
      <c r="BS1081" s="485"/>
      <c r="BT1081" s="485"/>
      <c r="BU1081" s="485"/>
      <c r="BV1081" s="485"/>
      <c r="BW1081" s="485"/>
      <c r="BX1081" s="485"/>
      <c r="BY1081" s="485"/>
      <c r="BZ1081" s="485"/>
      <c r="CA1081" s="485"/>
      <c r="CB1081" s="485"/>
      <c r="CC1081" s="485"/>
      <c r="CD1081" s="485"/>
      <c r="CE1081" s="485"/>
      <c r="CF1081" s="485"/>
      <c r="CG1081" s="485"/>
      <c r="CH1081" s="485"/>
      <c r="CI1081" s="485"/>
      <c r="CJ1081" s="485"/>
      <c r="CK1081" s="485"/>
      <c r="CL1081" s="485"/>
      <c r="CM1081" s="485"/>
      <c r="CN1081" s="485"/>
      <c r="CO1081" s="485"/>
      <c r="CP1081" s="485"/>
      <c r="CQ1081" s="485"/>
      <c r="CR1081" s="485"/>
      <c r="CS1081" s="485"/>
      <c r="CT1081" s="485"/>
      <c r="CU1081" s="485"/>
      <c r="CV1081" s="485"/>
      <c r="CW1081" s="485"/>
      <c r="CX1081" s="485"/>
      <c r="CY1081" s="485"/>
      <c r="CZ1081" s="485"/>
      <c r="DA1081" s="485"/>
      <c r="DB1081" s="485"/>
      <c r="DC1081" s="485"/>
      <c r="DD1081" s="485"/>
      <c r="DE1081" s="485"/>
      <c r="DF1081" s="485"/>
      <c r="DG1081" s="485"/>
      <c r="DH1081" s="485"/>
      <c r="DI1081" s="485"/>
      <c r="DJ1081" s="485"/>
      <c r="DK1081" s="485"/>
      <c r="DL1081" s="485"/>
      <c r="DM1081" s="485"/>
      <c r="DN1081" s="485"/>
      <c r="DO1081" s="485"/>
      <c r="DP1081" s="485"/>
      <c r="DQ1081" s="485"/>
      <c r="DR1081" s="485"/>
      <c r="DS1081" s="485"/>
      <c r="DT1081" s="485"/>
      <c r="DU1081" s="485"/>
      <c r="DV1081" s="485"/>
      <c r="DW1081" s="485"/>
      <c r="DX1081" s="485"/>
      <c r="DY1081" s="485"/>
      <c r="DZ1081" s="485"/>
      <c r="EA1081" s="485"/>
      <c r="EB1081" s="485"/>
      <c r="EC1081" s="485"/>
      <c r="ED1081" s="485"/>
      <c r="EE1081" s="485"/>
      <c r="EF1081" s="485"/>
      <c r="EG1081" s="485"/>
      <c r="EH1081" s="485"/>
      <c r="EI1081" s="485"/>
      <c r="EJ1081" s="485"/>
      <c r="EK1081" s="485"/>
      <c r="EL1081" s="485"/>
      <c r="EM1081" s="485"/>
      <c r="EN1081" s="485"/>
      <c r="EO1081" s="485"/>
      <c r="EP1081" s="485"/>
    </row>
    <row r="1082" spans="1:146">
      <c r="A1082" s="485"/>
      <c r="B1082" s="485"/>
      <c r="C1082" s="485"/>
      <c r="D1082" s="485"/>
      <c r="E1082" s="485"/>
      <c r="F1082" s="485"/>
      <c r="G1082" s="485"/>
      <c r="H1082" s="485"/>
      <c r="I1082" s="485"/>
      <c r="J1082" s="485"/>
      <c r="K1082" s="485"/>
      <c r="L1082" s="485"/>
      <c r="M1082" s="485"/>
      <c r="P1082" s="485"/>
      <c r="Q1082" s="485"/>
      <c r="R1082" s="485"/>
      <c r="S1082" s="485"/>
      <c r="T1082" s="485"/>
      <c r="U1082" s="485"/>
      <c r="V1082" s="485"/>
      <c r="W1082" s="485"/>
      <c r="X1082" s="485"/>
      <c r="Y1082" s="485"/>
      <c r="Z1082" s="485"/>
      <c r="AA1082" s="485"/>
      <c r="AB1082" s="485"/>
      <c r="AC1082" s="485"/>
      <c r="AD1082" s="485"/>
      <c r="AE1082" s="485"/>
      <c r="AF1082" s="485"/>
      <c r="AG1082" s="485"/>
      <c r="AH1082" s="485"/>
      <c r="AI1082" s="485"/>
      <c r="AJ1082" s="485"/>
      <c r="AK1082" s="485"/>
      <c r="AL1082" s="485"/>
      <c r="AM1082" s="485"/>
      <c r="AN1082" s="485"/>
      <c r="AO1082" s="485"/>
      <c r="AP1082" s="485"/>
      <c r="AQ1082" s="485"/>
      <c r="AR1082" s="485"/>
      <c r="AS1082" s="485"/>
      <c r="AT1082" s="485"/>
      <c r="AU1082" s="485"/>
      <c r="AV1082" s="485"/>
      <c r="AW1082" s="485"/>
      <c r="AX1082" s="485"/>
      <c r="AY1082" s="485"/>
      <c r="AZ1082" s="485"/>
      <c r="BA1082" s="485"/>
      <c r="BB1082" s="485"/>
      <c r="BC1082" s="485"/>
      <c r="BD1082" s="485"/>
      <c r="BE1082" s="485"/>
      <c r="BF1082" s="485"/>
      <c r="BG1082" s="485"/>
      <c r="BH1082" s="485"/>
      <c r="BI1082" s="485"/>
      <c r="BJ1082" s="485"/>
      <c r="BK1082" s="485"/>
      <c r="BL1082" s="485"/>
      <c r="BM1082" s="485"/>
      <c r="BN1082" s="485"/>
      <c r="BO1082" s="485"/>
      <c r="BP1082" s="485"/>
      <c r="BQ1082" s="485"/>
      <c r="BR1082" s="485"/>
      <c r="BS1082" s="485"/>
      <c r="BT1082" s="485"/>
      <c r="BU1082" s="485"/>
      <c r="BV1082" s="485"/>
      <c r="BW1082" s="485"/>
      <c r="BX1082" s="485"/>
      <c r="BY1082" s="485"/>
      <c r="BZ1082" s="485"/>
      <c r="CA1082" s="485"/>
      <c r="CB1082" s="485"/>
      <c r="CC1082" s="485"/>
      <c r="CD1082" s="485"/>
      <c r="CE1082" s="485"/>
      <c r="CF1082" s="485"/>
      <c r="CG1082" s="485"/>
      <c r="CH1082" s="485"/>
      <c r="CI1082" s="485"/>
      <c r="CJ1082" s="485"/>
      <c r="CK1082" s="485"/>
      <c r="CL1082" s="485"/>
      <c r="CM1082" s="485"/>
      <c r="CN1082" s="485"/>
      <c r="CO1082" s="485"/>
      <c r="CP1082" s="485"/>
      <c r="CQ1082" s="485"/>
      <c r="CR1082" s="485"/>
      <c r="CS1082" s="485"/>
      <c r="CT1082" s="485"/>
      <c r="CU1082" s="485"/>
      <c r="CV1082" s="485"/>
      <c r="CW1082" s="485"/>
      <c r="CX1082" s="485"/>
      <c r="CY1082" s="485"/>
      <c r="CZ1082" s="485"/>
      <c r="DA1082" s="485"/>
      <c r="DB1082" s="485"/>
      <c r="DC1082" s="485"/>
      <c r="DD1082" s="485"/>
      <c r="DE1082" s="485"/>
      <c r="DF1082" s="485"/>
      <c r="DG1082" s="485"/>
      <c r="DH1082" s="485"/>
      <c r="DI1082" s="485"/>
      <c r="DJ1082" s="485"/>
      <c r="DK1082" s="485"/>
      <c r="DL1082" s="485"/>
      <c r="DM1082" s="485"/>
      <c r="DN1082" s="485"/>
      <c r="DO1082" s="485"/>
      <c r="DP1082" s="485"/>
      <c r="DQ1082" s="485"/>
      <c r="DR1082" s="485"/>
      <c r="DS1082" s="485"/>
      <c r="DT1082" s="485"/>
      <c r="DU1082" s="485"/>
      <c r="DV1082" s="485"/>
      <c r="DW1082" s="485"/>
      <c r="DX1082" s="485"/>
      <c r="DY1082" s="485"/>
      <c r="DZ1082" s="485"/>
      <c r="EA1082" s="485"/>
      <c r="EB1082" s="485"/>
      <c r="EC1082" s="485"/>
      <c r="ED1082" s="485"/>
      <c r="EE1082" s="485"/>
      <c r="EF1082" s="485"/>
      <c r="EG1082" s="485"/>
      <c r="EH1082" s="485"/>
      <c r="EI1082" s="485"/>
      <c r="EJ1082" s="485"/>
      <c r="EK1082" s="485"/>
      <c r="EL1082" s="485"/>
      <c r="EM1082" s="485"/>
      <c r="EN1082" s="485"/>
      <c r="EO1082" s="485"/>
      <c r="EP1082" s="485"/>
    </row>
    <row r="1083" spans="1:146">
      <c r="A1083" s="485"/>
      <c r="B1083" s="485"/>
      <c r="C1083" s="485"/>
      <c r="D1083" s="485"/>
      <c r="E1083" s="485"/>
      <c r="F1083" s="485"/>
      <c r="G1083" s="485"/>
      <c r="H1083" s="485"/>
      <c r="I1083" s="485"/>
      <c r="J1083" s="485"/>
      <c r="K1083" s="485"/>
      <c r="L1083" s="485"/>
      <c r="M1083" s="485"/>
      <c r="P1083" s="485"/>
      <c r="Q1083" s="485"/>
      <c r="R1083" s="485"/>
      <c r="S1083" s="485"/>
      <c r="T1083" s="485"/>
      <c r="U1083" s="485"/>
      <c r="V1083" s="485"/>
      <c r="W1083" s="485"/>
      <c r="X1083" s="485"/>
      <c r="Y1083" s="485"/>
      <c r="Z1083" s="485"/>
      <c r="AA1083" s="485"/>
      <c r="AB1083" s="485"/>
      <c r="AC1083" s="485"/>
      <c r="AD1083" s="485"/>
      <c r="AE1083" s="485"/>
      <c r="AF1083" s="485"/>
      <c r="AG1083" s="485"/>
      <c r="AH1083" s="485"/>
      <c r="AI1083" s="485"/>
      <c r="AJ1083" s="485"/>
      <c r="AK1083" s="485"/>
      <c r="AL1083" s="485"/>
      <c r="AM1083" s="485"/>
      <c r="AN1083" s="485"/>
      <c r="AO1083" s="485"/>
      <c r="AP1083" s="485"/>
      <c r="AQ1083" s="485"/>
      <c r="AR1083" s="485"/>
      <c r="AS1083" s="485"/>
      <c r="AT1083" s="485"/>
      <c r="AU1083" s="485"/>
      <c r="AV1083" s="485"/>
      <c r="AW1083" s="485"/>
      <c r="AX1083" s="485"/>
      <c r="AY1083" s="485"/>
      <c r="AZ1083" s="485"/>
      <c r="BA1083" s="485"/>
      <c r="BB1083" s="485"/>
      <c r="BC1083" s="485"/>
      <c r="BD1083" s="485"/>
      <c r="BE1083" s="485"/>
      <c r="BF1083" s="485"/>
      <c r="BG1083" s="485"/>
      <c r="BH1083" s="485"/>
      <c r="BI1083" s="485"/>
      <c r="BJ1083" s="485"/>
      <c r="BK1083" s="485"/>
      <c r="BL1083" s="485"/>
      <c r="BM1083" s="485"/>
      <c r="BN1083" s="485"/>
      <c r="BO1083" s="485"/>
      <c r="BP1083" s="485"/>
      <c r="BQ1083" s="485"/>
      <c r="BR1083" s="485"/>
      <c r="BS1083" s="485"/>
      <c r="BT1083" s="485"/>
      <c r="BU1083" s="485"/>
      <c r="BV1083" s="485"/>
      <c r="BW1083" s="485"/>
      <c r="BX1083" s="485"/>
      <c r="BY1083" s="485"/>
      <c r="BZ1083" s="485"/>
      <c r="CA1083" s="485"/>
      <c r="CB1083" s="485"/>
      <c r="CC1083" s="485"/>
      <c r="CD1083" s="485"/>
      <c r="CE1083" s="485"/>
      <c r="CF1083" s="485"/>
      <c r="CG1083" s="485"/>
      <c r="CH1083" s="485"/>
      <c r="CI1083" s="485"/>
      <c r="CJ1083" s="485"/>
      <c r="CK1083" s="485"/>
      <c r="CL1083" s="485"/>
      <c r="CM1083" s="485"/>
      <c r="CN1083" s="485"/>
      <c r="CO1083" s="485"/>
      <c r="CP1083" s="485"/>
      <c r="CQ1083" s="485"/>
      <c r="CR1083" s="485"/>
      <c r="CS1083" s="485"/>
      <c r="CT1083" s="485"/>
      <c r="CU1083" s="485"/>
      <c r="CV1083" s="485"/>
      <c r="CW1083" s="485"/>
      <c r="CX1083" s="485"/>
      <c r="CY1083" s="485"/>
      <c r="CZ1083" s="485"/>
      <c r="DA1083" s="485"/>
      <c r="DB1083" s="485"/>
      <c r="DC1083" s="485"/>
      <c r="DD1083" s="485"/>
      <c r="DE1083" s="485"/>
      <c r="DF1083" s="485"/>
      <c r="DG1083" s="485"/>
      <c r="DH1083" s="485"/>
      <c r="DI1083" s="485"/>
      <c r="DJ1083" s="485"/>
      <c r="DK1083" s="485"/>
      <c r="DL1083" s="485"/>
      <c r="DM1083" s="485"/>
      <c r="DN1083" s="485"/>
      <c r="DO1083" s="485"/>
      <c r="DP1083" s="485"/>
      <c r="DQ1083" s="485"/>
      <c r="DR1083" s="485"/>
      <c r="DS1083" s="485"/>
      <c r="DT1083" s="485"/>
      <c r="DU1083" s="485"/>
      <c r="DV1083" s="485"/>
      <c r="DW1083" s="485"/>
      <c r="DX1083" s="485"/>
      <c r="DY1083" s="485"/>
      <c r="DZ1083" s="485"/>
      <c r="EA1083" s="485"/>
      <c r="EB1083" s="485"/>
      <c r="EC1083" s="485"/>
      <c r="ED1083" s="485"/>
      <c r="EE1083" s="485"/>
      <c r="EF1083" s="485"/>
      <c r="EG1083" s="485"/>
      <c r="EH1083" s="485"/>
      <c r="EI1083" s="485"/>
      <c r="EJ1083" s="485"/>
      <c r="EK1083" s="485"/>
      <c r="EL1083" s="485"/>
      <c r="EM1083" s="485"/>
      <c r="EN1083" s="485"/>
      <c r="EO1083" s="485"/>
      <c r="EP1083" s="485"/>
    </row>
    <row r="1084" spans="1:146">
      <c r="A1084" s="485"/>
      <c r="B1084" s="485"/>
      <c r="C1084" s="485"/>
      <c r="D1084" s="485"/>
      <c r="E1084" s="485"/>
      <c r="F1084" s="485"/>
      <c r="G1084" s="485"/>
      <c r="H1084" s="485"/>
      <c r="I1084" s="485"/>
      <c r="J1084" s="485"/>
      <c r="K1084" s="485"/>
      <c r="L1084" s="485"/>
      <c r="M1084" s="485"/>
      <c r="P1084" s="485"/>
      <c r="Q1084" s="485"/>
      <c r="R1084" s="485"/>
      <c r="S1084" s="485"/>
      <c r="T1084" s="485"/>
      <c r="U1084" s="485"/>
      <c r="V1084" s="485"/>
      <c r="W1084" s="485"/>
      <c r="X1084" s="485"/>
      <c r="Y1084" s="485"/>
      <c r="Z1084" s="485"/>
      <c r="AA1084" s="485"/>
      <c r="AB1084" s="485"/>
      <c r="AC1084" s="485"/>
      <c r="AD1084" s="485"/>
      <c r="AE1084" s="485"/>
      <c r="AF1084" s="485"/>
      <c r="AG1084" s="485"/>
      <c r="AH1084" s="485"/>
      <c r="AI1084" s="485"/>
      <c r="AJ1084" s="485"/>
      <c r="AK1084" s="485"/>
      <c r="AL1084" s="485"/>
      <c r="AM1084" s="485"/>
      <c r="AN1084" s="485"/>
      <c r="AO1084" s="485"/>
      <c r="AP1084" s="485"/>
      <c r="AQ1084" s="485"/>
      <c r="AR1084" s="485"/>
      <c r="AS1084" s="485"/>
      <c r="AT1084" s="485"/>
      <c r="AU1084" s="485"/>
      <c r="AV1084" s="485"/>
      <c r="AW1084" s="485"/>
      <c r="AX1084" s="485"/>
      <c r="AY1084" s="485"/>
      <c r="AZ1084" s="485"/>
      <c r="BA1084" s="485"/>
      <c r="BB1084" s="485"/>
      <c r="BC1084" s="485"/>
      <c r="BD1084" s="485"/>
      <c r="BE1084" s="485"/>
      <c r="BF1084" s="485"/>
      <c r="BG1084" s="485"/>
      <c r="BH1084" s="485"/>
      <c r="BI1084" s="485"/>
      <c r="BJ1084" s="485"/>
      <c r="BK1084" s="485"/>
      <c r="BL1084" s="485"/>
      <c r="BM1084" s="485"/>
      <c r="BN1084" s="485"/>
      <c r="BO1084" s="485"/>
      <c r="BP1084" s="485"/>
      <c r="BQ1084" s="485"/>
      <c r="BR1084" s="485"/>
      <c r="BS1084" s="485"/>
      <c r="BT1084" s="485"/>
      <c r="BU1084" s="485"/>
      <c r="BV1084" s="485"/>
      <c r="BW1084" s="485"/>
      <c r="BX1084" s="485"/>
      <c r="BY1084" s="485"/>
      <c r="BZ1084" s="485"/>
      <c r="CA1084" s="485"/>
      <c r="CB1084" s="485"/>
      <c r="CC1084" s="485"/>
      <c r="CD1084" s="485"/>
      <c r="CE1084" s="485"/>
      <c r="CF1084" s="485"/>
      <c r="CG1084" s="485"/>
      <c r="CH1084" s="485"/>
      <c r="CI1084" s="485"/>
      <c r="CJ1084" s="485"/>
      <c r="CK1084" s="485"/>
      <c r="CL1084" s="485"/>
      <c r="CM1084" s="485"/>
      <c r="CN1084" s="485"/>
      <c r="CO1084" s="485"/>
      <c r="CP1084" s="485"/>
      <c r="CQ1084" s="485"/>
      <c r="CR1084" s="485"/>
      <c r="CS1084" s="485"/>
      <c r="CT1084" s="485"/>
      <c r="CU1084" s="485"/>
      <c r="CV1084" s="485"/>
      <c r="CW1084" s="485"/>
      <c r="CX1084" s="485"/>
      <c r="CY1084" s="485"/>
      <c r="CZ1084" s="485"/>
      <c r="DA1084" s="485"/>
      <c r="DB1084" s="485"/>
      <c r="DC1084" s="485"/>
      <c r="DD1084" s="485"/>
      <c r="DE1084" s="485"/>
      <c r="DF1084" s="485"/>
      <c r="DG1084" s="485"/>
      <c r="DH1084" s="485"/>
      <c r="DI1084" s="485"/>
      <c r="DJ1084" s="485"/>
      <c r="DK1084" s="485"/>
      <c r="DL1084" s="485"/>
      <c r="DM1084" s="485"/>
      <c r="DN1084" s="485"/>
      <c r="DO1084" s="485"/>
      <c r="DP1084" s="485"/>
      <c r="DQ1084" s="485"/>
      <c r="DR1084" s="485"/>
      <c r="DS1084" s="485"/>
      <c r="DT1084" s="485"/>
      <c r="DU1084" s="485"/>
      <c r="DV1084" s="485"/>
      <c r="DW1084" s="485"/>
      <c r="DX1084" s="485"/>
      <c r="DY1084" s="485"/>
      <c r="DZ1084" s="485"/>
      <c r="EA1084" s="485"/>
      <c r="EB1084" s="485"/>
      <c r="EC1084" s="485"/>
      <c r="ED1084" s="485"/>
      <c r="EE1084" s="485"/>
      <c r="EF1084" s="485"/>
      <c r="EG1084" s="485"/>
      <c r="EH1084" s="485"/>
      <c r="EI1084" s="485"/>
      <c r="EJ1084" s="485"/>
      <c r="EK1084" s="485"/>
      <c r="EL1084" s="485"/>
      <c r="EM1084" s="485"/>
      <c r="EN1084" s="485"/>
      <c r="EO1084" s="485"/>
      <c r="EP1084" s="485"/>
    </row>
    <row r="1085" spans="1:146">
      <c r="A1085" s="485"/>
      <c r="B1085" s="485"/>
      <c r="C1085" s="485"/>
      <c r="D1085" s="485"/>
      <c r="E1085" s="485"/>
      <c r="F1085" s="485"/>
      <c r="G1085" s="485"/>
      <c r="H1085" s="485"/>
      <c r="I1085" s="485"/>
      <c r="J1085" s="485"/>
      <c r="K1085" s="485"/>
      <c r="L1085" s="485"/>
      <c r="M1085" s="485"/>
      <c r="P1085" s="485"/>
      <c r="Q1085" s="485"/>
      <c r="R1085" s="485"/>
      <c r="S1085" s="485"/>
      <c r="T1085" s="485"/>
      <c r="U1085" s="485"/>
      <c r="V1085" s="485"/>
      <c r="W1085" s="485"/>
      <c r="X1085" s="485"/>
      <c r="Y1085" s="485"/>
      <c r="Z1085" s="485"/>
      <c r="AA1085" s="485"/>
      <c r="AB1085" s="485"/>
      <c r="AC1085" s="485"/>
      <c r="AD1085" s="485"/>
      <c r="AE1085" s="485"/>
      <c r="AF1085" s="485"/>
      <c r="AG1085" s="485"/>
      <c r="AH1085" s="485"/>
      <c r="AI1085" s="485"/>
      <c r="AJ1085" s="485"/>
      <c r="AK1085" s="485"/>
      <c r="AL1085" s="485"/>
      <c r="AM1085" s="485"/>
      <c r="AN1085" s="485"/>
      <c r="AO1085" s="485"/>
      <c r="AP1085" s="485"/>
      <c r="AQ1085" s="485"/>
      <c r="AR1085" s="485"/>
      <c r="AS1085" s="485"/>
      <c r="AT1085" s="485"/>
      <c r="AU1085" s="485"/>
      <c r="AV1085" s="485"/>
      <c r="AW1085" s="485"/>
      <c r="AX1085" s="485"/>
      <c r="AY1085" s="485"/>
      <c r="AZ1085" s="485"/>
      <c r="BA1085" s="485"/>
      <c r="BB1085" s="485"/>
      <c r="BC1085" s="485"/>
      <c r="BD1085" s="485"/>
      <c r="BE1085" s="485"/>
      <c r="BF1085" s="485"/>
      <c r="BG1085" s="485"/>
      <c r="BH1085" s="485"/>
      <c r="BI1085" s="485"/>
      <c r="BJ1085" s="485"/>
      <c r="BK1085" s="485"/>
      <c r="BL1085" s="485"/>
      <c r="BM1085" s="485"/>
      <c r="BN1085" s="485"/>
      <c r="BO1085" s="485"/>
      <c r="BP1085" s="485"/>
      <c r="BQ1085" s="485"/>
      <c r="BR1085" s="485"/>
      <c r="BS1085" s="485"/>
      <c r="BT1085" s="485"/>
      <c r="BU1085" s="485"/>
      <c r="BV1085" s="485"/>
      <c r="BW1085" s="485"/>
      <c r="BX1085" s="485"/>
      <c r="BY1085" s="485"/>
      <c r="BZ1085" s="485"/>
      <c r="CA1085" s="485"/>
      <c r="CB1085" s="485"/>
      <c r="CC1085" s="485"/>
      <c r="CD1085" s="485"/>
      <c r="CE1085" s="485"/>
      <c r="CF1085" s="485"/>
      <c r="CG1085" s="485"/>
      <c r="CH1085" s="485"/>
      <c r="CI1085" s="485"/>
      <c r="CJ1085" s="485"/>
      <c r="CK1085" s="485"/>
      <c r="CL1085" s="485"/>
      <c r="CM1085" s="485"/>
      <c r="CN1085" s="485"/>
      <c r="CO1085" s="485"/>
      <c r="CP1085" s="485"/>
      <c r="CQ1085" s="485"/>
      <c r="CR1085" s="485"/>
      <c r="CS1085" s="485"/>
      <c r="CT1085" s="485"/>
      <c r="CU1085" s="485"/>
      <c r="CV1085" s="485"/>
      <c r="CW1085" s="485"/>
      <c r="CX1085" s="485"/>
      <c r="CY1085" s="485"/>
      <c r="CZ1085" s="485"/>
      <c r="DA1085" s="485"/>
      <c r="DB1085" s="485"/>
      <c r="DC1085" s="485"/>
      <c r="DD1085" s="485"/>
      <c r="DE1085" s="485"/>
      <c r="DF1085" s="485"/>
      <c r="DG1085" s="485"/>
      <c r="DH1085" s="485"/>
      <c r="DI1085" s="485"/>
      <c r="DJ1085" s="485"/>
      <c r="DK1085" s="485"/>
      <c r="DL1085" s="485"/>
      <c r="DM1085" s="485"/>
      <c r="DN1085" s="485"/>
      <c r="DO1085" s="485"/>
      <c r="DP1085" s="485"/>
      <c r="DQ1085" s="485"/>
      <c r="DR1085" s="485"/>
      <c r="DS1085" s="485"/>
      <c r="DT1085" s="485"/>
      <c r="DU1085" s="485"/>
      <c r="DV1085" s="485"/>
      <c r="DW1085" s="485"/>
      <c r="DX1085" s="485"/>
      <c r="DY1085" s="485"/>
      <c r="DZ1085" s="485"/>
      <c r="EA1085" s="485"/>
      <c r="EB1085" s="485"/>
      <c r="EC1085" s="485"/>
      <c r="ED1085" s="485"/>
      <c r="EE1085" s="485"/>
      <c r="EF1085" s="485"/>
      <c r="EG1085" s="485"/>
      <c r="EH1085" s="485"/>
      <c r="EI1085" s="485"/>
      <c r="EJ1085" s="485"/>
      <c r="EK1085" s="485"/>
      <c r="EL1085" s="485"/>
      <c r="EM1085" s="485"/>
      <c r="EN1085" s="485"/>
      <c r="EO1085" s="485"/>
      <c r="EP1085" s="485"/>
    </row>
    <row r="1086" spans="1:146">
      <c r="A1086" s="485"/>
      <c r="B1086" s="485"/>
      <c r="C1086" s="485"/>
      <c r="D1086" s="485"/>
      <c r="E1086" s="485"/>
      <c r="F1086" s="485"/>
      <c r="G1086" s="485"/>
      <c r="H1086" s="485"/>
      <c r="I1086" s="485"/>
      <c r="J1086" s="485"/>
      <c r="K1086" s="485"/>
      <c r="L1086" s="485"/>
      <c r="M1086" s="485"/>
      <c r="P1086" s="485"/>
      <c r="Q1086" s="485"/>
      <c r="R1086" s="485"/>
      <c r="S1086" s="485"/>
      <c r="T1086" s="485"/>
      <c r="U1086" s="485"/>
      <c r="V1086" s="485"/>
      <c r="W1086" s="485"/>
      <c r="X1086" s="485"/>
      <c r="Y1086" s="485"/>
      <c r="Z1086" s="485"/>
      <c r="AA1086" s="485"/>
      <c r="AB1086" s="485"/>
      <c r="AC1086" s="485"/>
      <c r="AD1086" s="485"/>
      <c r="AE1086" s="485"/>
      <c r="AF1086" s="485"/>
      <c r="AG1086" s="485"/>
      <c r="AH1086" s="485"/>
      <c r="AI1086" s="485"/>
      <c r="AJ1086" s="485"/>
      <c r="AK1086" s="485"/>
      <c r="AL1086" s="485"/>
      <c r="AM1086" s="485"/>
      <c r="AN1086" s="485"/>
      <c r="AO1086" s="485"/>
      <c r="AP1086" s="485"/>
      <c r="AQ1086" s="485"/>
      <c r="AR1086" s="485"/>
      <c r="AS1086" s="485"/>
      <c r="AT1086" s="485"/>
      <c r="AU1086" s="485"/>
      <c r="AV1086" s="485"/>
      <c r="AW1086" s="485"/>
      <c r="AX1086" s="485"/>
      <c r="AY1086" s="485"/>
      <c r="AZ1086" s="485"/>
      <c r="BA1086" s="485"/>
      <c r="BB1086" s="485"/>
      <c r="BC1086" s="485"/>
      <c r="BD1086" s="485"/>
      <c r="BE1086" s="485"/>
      <c r="BF1086" s="485"/>
      <c r="BG1086" s="485"/>
      <c r="BH1086" s="485"/>
      <c r="BI1086" s="485"/>
      <c r="BJ1086" s="485"/>
      <c r="BK1086" s="485"/>
      <c r="BL1086" s="485"/>
      <c r="BM1086" s="485"/>
      <c r="BN1086" s="485"/>
      <c r="BO1086" s="485"/>
      <c r="BP1086" s="485"/>
      <c r="BQ1086" s="485"/>
      <c r="BR1086" s="485"/>
      <c r="BS1086" s="485"/>
      <c r="BT1086" s="485"/>
      <c r="BU1086" s="485"/>
      <c r="BV1086" s="485"/>
      <c r="BW1086" s="485"/>
      <c r="BX1086" s="485"/>
      <c r="BY1086" s="485"/>
      <c r="BZ1086" s="485"/>
      <c r="CA1086" s="485"/>
      <c r="CB1086" s="485"/>
      <c r="CC1086" s="485"/>
      <c r="CD1086" s="485"/>
      <c r="CE1086" s="485"/>
      <c r="CF1086" s="485"/>
      <c r="CG1086" s="485"/>
      <c r="CH1086" s="485"/>
      <c r="CI1086" s="485"/>
      <c r="CJ1086" s="485"/>
      <c r="CK1086" s="485"/>
      <c r="CL1086" s="485"/>
      <c r="CM1086" s="485"/>
      <c r="CN1086" s="485"/>
      <c r="CO1086" s="485"/>
      <c r="CP1086" s="485"/>
      <c r="CQ1086" s="485"/>
      <c r="CR1086" s="485"/>
      <c r="CS1086" s="485"/>
      <c r="CT1086" s="485"/>
      <c r="CU1086" s="485"/>
      <c r="CV1086" s="485"/>
      <c r="CW1086" s="485"/>
      <c r="CX1086" s="485"/>
      <c r="CY1086" s="485"/>
      <c r="CZ1086" s="485"/>
      <c r="DA1086" s="485"/>
      <c r="DB1086" s="485"/>
      <c r="DC1086" s="485"/>
      <c r="DD1086" s="485"/>
      <c r="DE1086" s="485"/>
      <c r="DF1086" s="485"/>
      <c r="DG1086" s="485"/>
      <c r="DH1086" s="485"/>
      <c r="DI1086" s="485"/>
      <c r="DJ1086" s="485"/>
      <c r="DK1086" s="485"/>
      <c r="DL1086" s="485"/>
      <c r="DM1086" s="485"/>
      <c r="DN1086" s="485"/>
      <c r="DO1086" s="485"/>
      <c r="DP1086" s="485"/>
      <c r="DQ1086" s="485"/>
      <c r="DR1086" s="485"/>
      <c r="DS1086" s="485"/>
      <c r="DT1086" s="485"/>
      <c r="DU1086" s="485"/>
      <c r="DV1086" s="485"/>
      <c r="DW1086" s="485"/>
      <c r="DX1086" s="485"/>
      <c r="DY1086" s="485"/>
      <c r="DZ1086" s="485"/>
      <c r="EA1086" s="485"/>
      <c r="EB1086" s="485"/>
      <c r="EC1086" s="485"/>
      <c r="ED1086" s="485"/>
      <c r="EE1086" s="485"/>
      <c r="EF1086" s="485"/>
      <c r="EG1086" s="485"/>
      <c r="EH1086" s="485"/>
      <c r="EI1086" s="485"/>
      <c r="EJ1086" s="485"/>
      <c r="EK1086" s="485"/>
      <c r="EL1086" s="485"/>
      <c r="EM1086" s="485"/>
      <c r="EN1086" s="485"/>
      <c r="EO1086" s="485"/>
      <c r="EP1086" s="485"/>
    </row>
    <row r="1087" spans="1:146">
      <c r="A1087" s="485"/>
      <c r="B1087" s="485"/>
      <c r="C1087" s="485"/>
      <c r="D1087" s="485"/>
      <c r="E1087" s="485"/>
      <c r="F1087" s="485"/>
      <c r="G1087" s="485"/>
      <c r="H1087" s="485"/>
      <c r="I1087" s="485"/>
      <c r="J1087" s="485"/>
      <c r="K1087" s="485"/>
      <c r="L1087" s="485"/>
      <c r="M1087" s="485"/>
      <c r="P1087" s="485"/>
      <c r="Q1087" s="485"/>
      <c r="R1087" s="485"/>
      <c r="S1087" s="485"/>
      <c r="T1087" s="485"/>
      <c r="U1087" s="485"/>
      <c r="V1087" s="485"/>
      <c r="W1087" s="485"/>
      <c r="X1087" s="485"/>
      <c r="Y1087" s="485"/>
      <c r="Z1087" s="485"/>
      <c r="AA1087" s="485"/>
      <c r="AB1087" s="485"/>
      <c r="AC1087" s="485"/>
      <c r="AD1087" s="485"/>
      <c r="AE1087" s="485"/>
      <c r="AF1087" s="485"/>
      <c r="AG1087" s="485"/>
      <c r="AH1087" s="485"/>
      <c r="AI1087" s="485"/>
      <c r="AJ1087" s="485"/>
      <c r="AK1087" s="485"/>
      <c r="AL1087" s="485"/>
      <c r="AM1087" s="485"/>
      <c r="AN1087" s="485"/>
      <c r="AO1087" s="485"/>
      <c r="AP1087" s="485"/>
      <c r="AQ1087" s="485"/>
      <c r="AR1087" s="485"/>
      <c r="AS1087" s="485"/>
      <c r="AT1087" s="485"/>
      <c r="AU1087" s="485"/>
      <c r="AV1087" s="485"/>
      <c r="AW1087" s="485"/>
      <c r="AX1087" s="485"/>
      <c r="AY1087" s="485"/>
      <c r="AZ1087" s="485"/>
      <c r="BA1087" s="485"/>
      <c r="BB1087" s="485"/>
      <c r="BC1087" s="485"/>
      <c r="BD1087" s="485"/>
      <c r="BE1087" s="485"/>
      <c r="BF1087" s="485"/>
      <c r="BG1087" s="485"/>
      <c r="BH1087" s="485"/>
      <c r="BI1087" s="485"/>
      <c r="BJ1087" s="485"/>
      <c r="BK1087" s="485"/>
      <c r="BL1087" s="485"/>
      <c r="BM1087" s="485"/>
      <c r="BN1087" s="485"/>
      <c r="BO1087" s="485"/>
      <c r="BP1087" s="485"/>
      <c r="BQ1087" s="485"/>
      <c r="BR1087" s="485"/>
      <c r="BS1087" s="485"/>
      <c r="BT1087" s="485"/>
      <c r="BU1087" s="485"/>
      <c r="BV1087" s="485"/>
      <c r="BW1087" s="485"/>
      <c r="BX1087" s="485"/>
      <c r="BY1087" s="485"/>
      <c r="BZ1087" s="485"/>
      <c r="CA1087" s="485"/>
      <c r="CB1087" s="485"/>
      <c r="CC1087" s="485"/>
      <c r="CD1087" s="485"/>
      <c r="CE1087" s="485"/>
      <c r="CF1087" s="485"/>
      <c r="CG1087" s="485"/>
      <c r="CH1087" s="485"/>
      <c r="CI1087" s="485"/>
      <c r="CJ1087" s="485"/>
      <c r="CK1087" s="485"/>
      <c r="CL1087" s="485"/>
      <c r="CM1087" s="485"/>
      <c r="CN1087" s="485"/>
      <c r="CO1087" s="485"/>
      <c r="CP1087" s="485"/>
      <c r="CQ1087" s="485"/>
      <c r="CR1087" s="485"/>
      <c r="CS1087" s="485"/>
      <c r="CT1087" s="485"/>
      <c r="CU1087" s="485"/>
      <c r="CV1087" s="485"/>
      <c r="CW1087" s="485"/>
      <c r="CX1087" s="485"/>
      <c r="CY1087" s="485"/>
      <c r="CZ1087" s="485"/>
      <c r="DA1087" s="485"/>
      <c r="DB1087" s="485"/>
      <c r="DC1087" s="485"/>
      <c r="DD1087" s="485"/>
      <c r="DE1087" s="485"/>
      <c r="DF1087" s="485"/>
      <c r="DG1087" s="485"/>
      <c r="DH1087" s="485"/>
      <c r="DI1087" s="485"/>
      <c r="DJ1087" s="485"/>
      <c r="DK1087" s="485"/>
      <c r="DL1087" s="485"/>
      <c r="DM1087" s="485"/>
      <c r="DN1087" s="485"/>
      <c r="DO1087" s="485"/>
      <c r="DP1087" s="485"/>
      <c r="DQ1087" s="485"/>
      <c r="DR1087" s="485"/>
      <c r="DS1087" s="485"/>
      <c r="DT1087" s="485"/>
      <c r="DU1087" s="485"/>
      <c r="DV1087" s="485"/>
      <c r="DW1087" s="485"/>
      <c r="DX1087" s="485"/>
      <c r="DY1087" s="485"/>
      <c r="DZ1087" s="485"/>
      <c r="EA1087" s="485"/>
      <c r="EB1087" s="485"/>
      <c r="EC1087" s="485"/>
      <c r="ED1087" s="485"/>
      <c r="EE1087" s="485"/>
      <c r="EF1087" s="485"/>
      <c r="EG1087" s="485"/>
      <c r="EH1087" s="485"/>
      <c r="EI1087" s="485"/>
      <c r="EJ1087" s="485"/>
      <c r="EK1087" s="485"/>
      <c r="EL1087" s="485"/>
      <c r="EM1087" s="485"/>
      <c r="EN1087" s="485"/>
      <c r="EO1087" s="485"/>
      <c r="EP1087" s="485"/>
    </row>
    <row r="1088" spans="1:146">
      <c r="A1088" s="485"/>
      <c r="B1088" s="485"/>
      <c r="C1088" s="485"/>
      <c r="D1088" s="485"/>
      <c r="E1088" s="485"/>
      <c r="F1088" s="485"/>
      <c r="G1088" s="485"/>
      <c r="H1088" s="485"/>
      <c r="I1088" s="485"/>
      <c r="J1088" s="485"/>
      <c r="K1088" s="485"/>
      <c r="L1088" s="485"/>
      <c r="M1088" s="485"/>
      <c r="P1088" s="485"/>
      <c r="Q1088" s="485"/>
      <c r="R1088" s="485"/>
      <c r="S1088" s="485"/>
      <c r="T1088" s="485"/>
      <c r="U1088" s="485"/>
      <c r="V1088" s="485"/>
      <c r="W1088" s="485"/>
      <c r="X1088" s="485"/>
      <c r="Y1088" s="485"/>
      <c r="Z1088" s="485"/>
      <c r="AA1088" s="485"/>
      <c r="AB1088" s="485"/>
      <c r="AC1088" s="485"/>
      <c r="AD1088" s="485"/>
      <c r="AE1088" s="485"/>
      <c r="AF1088" s="485"/>
      <c r="AG1088" s="485"/>
      <c r="AH1088" s="485"/>
      <c r="AI1088" s="485"/>
      <c r="AJ1088" s="485"/>
      <c r="AK1088" s="485"/>
      <c r="AL1088" s="485"/>
      <c r="AM1088" s="485"/>
      <c r="AN1088" s="485"/>
      <c r="AO1088" s="485"/>
      <c r="AP1088" s="485"/>
      <c r="AQ1088" s="485"/>
      <c r="AR1088" s="485"/>
      <c r="AS1088" s="485"/>
      <c r="AT1088" s="485"/>
      <c r="AU1088" s="485"/>
      <c r="AV1088" s="485"/>
      <c r="AW1088" s="485"/>
      <c r="AX1088" s="485"/>
      <c r="AY1088" s="485"/>
      <c r="AZ1088" s="485"/>
      <c r="BA1088" s="485"/>
      <c r="BB1088" s="485"/>
      <c r="BC1088" s="485"/>
      <c r="BD1088" s="485"/>
      <c r="BE1088" s="485"/>
      <c r="BF1088" s="485"/>
      <c r="BG1088" s="485"/>
      <c r="BH1088" s="485"/>
      <c r="BI1088" s="485"/>
      <c r="BJ1088" s="485"/>
      <c r="BK1088" s="485"/>
      <c r="BL1088" s="485"/>
      <c r="BM1088" s="485"/>
      <c r="BN1088" s="485"/>
      <c r="BO1088" s="485"/>
      <c r="BP1088" s="485"/>
      <c r="BQ1088" s="485"/>
      <c r="BR1088" s="485"/>
      <c r="BS1088" s="485"/>
      <c r="BT1088" s="485"/>
      <c r="BU1088" s="485"/>
      <c r="BV1088" s="485"/>
      <c r="BW1088" s="485"/>
      <c r="BX1088" s="485"/>
      <c r="BY1088" s="485"/>
      <c r="BZ1088" s="485"/>
      <c r="CA1088" s="485"/>
      <c r="CB1088" s="485"/>
      <c r="CC1088" s="485"/>
      <c r="CD1088" s="485"/>
      <c r="CE1088" s="485"/>
      <c r="CF1088" s="485"/>
      <c r="CG1088" s="485"/>
      <c r="CH1088" s="485"/>
      <c r="CI1088" s="485"/>
      <c r="CJ1088" s="485"/>
      <c r="CK1088" s="485"/>
      <c r="CL1088" s="485"/>
      <c r="CM1088" s="485"/>
      <c r="CN1088" s="485"/>
      <c r="CO1088" s="485"/>
      <c r="CP1088" s="485"/>
      <c r="CQ1088" s="485"/>
      <c r="CR1088" s="485"/>
      <c r="CS1088" s="485"/>
      <c r="CT1088" s="485"/>
      <c r="CU1088" s="485"/>
      <c r="CV1088" s="485"/>
      <c r="CW1088" s="485"/>
      <c r="CX1088" s="485"/>
      <c r="CY1088" s="485"/>
      <c r="CZ1088" s="485"/>
      <c r="DA1088" s="485"/>
      <c r="DB1088" s="485"/>
      <c r="DC1088" s="485"/>
      <c r="DD1088" s="485"/>
      <c r="DE1088" s="485"/>
      <c r="DF1088" s="485"/>
      <c r="DG1088" s="485"/>
      <c r="DH1088" s="485"/>
      <c r="DI1088" s="485"/>
      <c r="DJ1088" s="485"/>
      <c r="DK1088" s="485"/>
      <c r="DL1088" s="485"/>
      <c r="DM1088" s="485"/>
      <c r="DN1088" s="485"/>
      <c r="DO1088" s="485"/>
      <c r="DP1088" s="485"/>
      <c r="DQ1088" s="485"/>
      <c r="DR1088" s="485"/>
      <c r="DS1088" s="485"/>
      <c r="DT1088" s="485"/>
      <c r="DU1088" s="485"/>
      <c r="DV1088" s="485"/>
      <c r="DW1088" s="485"/>
      <c r="DX1088" s="485"/>
      <c r="DY1088" s="485"/>
      <c r="DZ1088" s="485"/>
      <c r="EA1088" s="485"/>
      <c r="EB1088" s="485"/>
      <c r="EC1088" s="485"/>
      <c r="ED1088" s="485"/>
      <c r="EE1088" s="485"/>
      <c r="EF1088" s="485"/>
      <c r="EG1088" s="485"/>
      <c r="EH1088" s="485"/>
      <c r="EI1088" s="485"/>
      <c r="EJ1088" s="485"/>
      <c r="EK1088" s="485"/>
      <c r="EL1088" s="485"/>
      <c r="EM1088" s="485"/>
      <c r="EN1088" s="485"/>
      <c r="EO1088" s="485"/>
      <c r="EP1088" s="485"/>
    </row>
    <row r="1089" spans="1:146">
      <c r="A1089" s="485"/>
      <c r="B1089" s="485"/>
      <c r="C1089" s="485"/>
      <c r="D1089" s="485"/>
      <c r="E1089" s="485"/>
      <c r="F1089" s="485"/>
      <c r="G1089" s="485"/>
      <c r="H1089" s="485"/>
      <c r="I1089" s="485"/>
      <c r="J1089" s="485"/>
      <c r="K1089" s="485"/>
      <c r="L1089" s="485"/>
      <c r="M1089" s="485"/>
      <c r="P1089" s="485"/>
      <c r="Q1089" s="485"/>
      <c r="R1089" s="485"/>
      <c r="S1089" s="485"/>
      <c r="T1089" s="485"/>
      <c r="U1089" s="485"/>
      <c r="V1089" s="485"/>
      <c r="W1089" s="485"/>
      <c r="X1089" s="485"/>
      <c r="Y1089" s="485"/>
      <c r="Z1089" s="485"/>
      <c r="AA1089" s="485"/>
      <c r="AB1089" s="485"/>
      <c r="AC1089" s="485"/>
      <c r="AD1089" s="485"/>
      <c r="AE1089" s="485"/>
      <c r="AF1089" s="485"/>
      <c r="AG1089" s="485"/>
      <c r="AH1089" s="485"/>
      <c r="AI1089" s="485"/>
      <c r="AJ1089" s="485"/>
      <c r="AK1089" s="485"/>
      <c r="AL1089" s="485"/>
      <c r="AM1089" s="485"/>
      <c r="AN1089" s="485"/>
      <c r="AO1089" s="485"/>
      <c r="AP1089" s="485"/>
      <c r="AQ1089" s="485"/>
      <c r="AR1089" s="485"/>
      <c r="AS1089" s="485"/>
      <c r="AT1089" s="485"/>
      <c r="AU1089" s="485"/>
      <c r="AV1089" s="485"/>
      <c r="AW1089" s="485"/>
      <c r="AX1089" s="485"/>
      <c r="AY1089" s="485"/>
      <c r="AZ1089" s="485"/>
      <c r="BA1089" s="485"/>
      <c r="BB1089" s="485"/>
      <c r="BC1089" s="485"/>
      <c r="BD1089" s="485"/>
      <c r="BE1089" s="485"/>
      <c r="BF1089" s="485"/>
      <c r="BG1089" s="485"/>
      <c r="BH1089" s="485"/>
      <c r="BI1089" s="485"/>
      <c r="BJ1089" s="485"/>
      <c r="BK1089" s="485"/>
      <c r="BL1089" s="485"/>
      <c r="BM1089" s="485"/>
      <c r="BN1089" s="485"/>
      <c r="BO1089" s="485"/>
      <c r="BP1089" s="485"/>
      <c r="BQ1089" s="485"/>
      <c r="BR1089" s="485"/>
      <c r="BS1089" s="485"/>
      <c r="BT1089" s="485"/>
      <c r="BU1089" s="485"/>
      <c r="BV1089" s="485"/>
      <c r="BW1089" s="485"/>
      <c r="BX1089" s="485"/>
      <c r="BY1089" s="485"/>
      <c r="BZ1089" s="485"/>
      <c r="CA1089" s="485"/>
      <c r="CB1089" s="485"/>
      <c r="CC1089" s="485"/>
      <c r="CD1089" s="485"/>
      <c r="CE1089" s="485"/>
      <c r="CF1089" s="485"/>
      <c r="CG1089" s="485"/>
      <c r="CH1089" s="485"/>
      <c r="CI1089" s="485"/>
      <c r="CJ1089" s="485"/>
      <c r="CK1089" s="485"/>
      <c r="CL1089" s="485"/>
      <c r="CM1089" s="485"/>
      <c r="CN1089" s="485"/>
      <c r="CO1089" s="485"/>
      <c r="CP1089" s="485"/>
      <c r="CQ1089" s="485"/>
      <c r="CR1089" s="485"/>
      <c r="CS1089" s="485"/>
      <c r="CT1089" s="485"/>
      <c r="CU1089" s="485"/>
      <c r="CV1089" s="485"/>
      <c r="CW1089" s="485"/>
      <c r="CX1089" s="485"/>
      <c r="CY1089" s="485"/>
      <c r="CZ1089" s="485"/>
      <c r="DA1089" s="485"/>
      <c r="DB1089" s="485"/>
      <c r="DC1089" s="485"/>
      <c r="DD1089" s="485"/>
      <c r="DE1089" s="485"/>
      <c r="DF1089" s="485"/>
      <c r="DG1089" s="485"/>
      <c r="DH1089" s="485"/>
      <c r="DI1089" s="485"/>
      <c r="DJ1089" s="485"/>
      <c r="DK1089" s="485"/>
      <c r="DL1089" s="485"/>
      <c r="DM1089" s="485"/>
      <c r="DN1089" s="485"/>
      <c r="DO1089" s="485"/>
      <c r="DP1089" s="485"/>
      <c r="DQ1089" s="485"/>
      <c r="DR1089" s="485"/>
      <c r="DS1089" s="485"/>
      <c r="DT1089" s="485"/>
      <c r="DU1089" s="485"/>
      <c r="DV1089" s="485"/>
      <c r="DW1089" s="485"/>
      <c r="DX1089" s="485"/>
      <c r="DY1089" s="485"/>
      <c r="DZ1089" s="485"/>
      <c r="EA1089" s="485"/>
      <c r="EB1089" s="485"/>
      <c r="EC1089" s="485"/>
      <c r="ED1089" s="485"/>
      <c r="EE1089" s="485"/>
      <c r="EF1089" s="485"/>
      <c r="EG1089" s="485"/>
      <c r="EH1089" s="485"/>
      <c r="EI1089" s="485"/>
      <c r="EJ1089" s="485"/>
      <c r="EK1089" s="485"/>
      <c r="EL1089" s="485"/>
      <c r="EM1089" s="485"/>
      <c r="EN1089" s="485"/>
      <c r="EO1089" s="485"/>
      <c r="EP1089" s="485"/>
    </row>
    <row r="1090" spans="1:146">
      <c r="A1090" s="485"/>
      <c r="B1090" s="485"/>
      <c r="C1090" s="485"/>
      <c r="D1090" s="485"/>
      <c r="E1090" s="485"/>
      <c r="F1090" s="485"/>
      <c r="G1090" s="485"/>
      <c r="H1090" s="485"/>
      <c r="I1090" s="485"/>
      <c r="J1090" s="485"/>
      <c r="K1090" s="485"/>
      <c r="L1090" s="485"/>
      <c r="M1090" s="485"/>
      <c r="P1090" s="485"/>
      <c r="Q1090" s="485"/>
      <c r="R1090" s="485"/>
      <c r="S1090" s="485"/>
      <c r="T1090" s="485"/>
      <c r="U1090" s="485"/>
      <c r="V1090" s="485"/>
      <c r="W1090" s="485"/>
      <c r="X1090" s="485"/>
      <c r="Y1090" s="485"/>
      <c r="Z1090" s="485"/>
      <c r="AA1090" s="485"/>
      <c r="AB1090" s="485"/>
      <c r="AC1090" s="485"/>
      <c r="AD1090" s="485"/>
      <c r="AE1090" s="485"/>
      <c r="AF1090" s="485"/>
      <c r="AG1090" s="485"/>
      <c r="AH1090" s="485"/>
      <c r="AI1090" s="485"/>
      <c r="AJ1090" s="485"/>
      <c r="AK1090" s="485"/>
      <c r="AL1090" s="485"/>
      <c r="AM1090" s="485"/>
      <c r="AN1090" s="485"/>
      <c r="AO1090" s="485"/>
      <c r="AP1090" s="485"/>
      <c r="AQ1090" s="485"/>
      <c r="AR1090" s="485"/>
      <c r="AS1090" s="485"/>
      <c r="AT1090" s="485"/>
      <c r="AU1090" s="485"/>
      <c r="AV1090" s="485"/>
      <c r="AW1090" s="485"/>
      <c r="AX1090" s="485"/>
      <c r="AY1090" s="485"/>
      <c r="AZ1090" s="485"/>
      <c r="BA1090" s="485"/>
      <c r="BB1090" s="485"/>
      <c r="BC1090" s="485"/>
      <c r="BD1090" s="485"/>
      <c r="BE1090" s="485"/>
      <c r="BF1090" s="485"/>
      <c r="BG1090" s="485"/>
      <c r="BH1090" s="485"/>
      <c r="BI1090" s="485"/>
      <c r="BJ1090" s="485"/>
      <c r="BK1090" s="485"/>
      <c r="BL1090" s="485"/>
      <c r="BM1090" s="485"/>
      <c r="BN1090" s="485"/>
      <c r="BO1090" s="485"/>
      <c r="BP1090" s="485"/>
      <c r="BQ1090" s="485"/>
      <c r="BR1090" s="485"/>
      <c r="BS1090" s="485"/>
      <c r="BT1090" s="485"/>
      <c r="BU1090" s="485"/>
      <c r="BV1090" s="485"/>
      <c r="BW1090" s="485"/>
      <c r="BX1090" s="485"/>
      <c r="BY1090" s="485"/>
      <c r="BZ1090" s="485"/>
      <c r="CA1090" s="485"/>
      <c r="CB1090" s="485"/>
      <c r="CC1090" s="485"/>
      <c r="CD1090" s="485"/>
      <c r="CE1090" s="485"/>
      <c r="CF1090" s="485"/>
      <c r="CG1090" s="485"/>
      <c r="CH1090" s="485"/>
      <c r="CI1090" s="485"/>
      <c r="CJ1090" s="485"/>
      <c r="CK1090" s="485"/>
      <c r="CL1090" s="485"/>
      <c r="CM1090" s="485"/>
      <c r="CN1090" s="485"/>
      <c r="CO1090" s="485"/>
      <c r="CP1090" s="485"/>
      <c r="CQ1090" s="485"/>
      <c r="CR1090" s="485"/>
      <c r="CS1090" s="485"/>
      <c r="CT1090" s="485"/>
      <c r="CU1090" s="485"/>
      <c r="CV1090" s="485"/>
      <c r="CW1090" s="485"/>
      <c r="CX1090" s="485"/>
      <c r="CY1090" s="485"/>
      <c r="CZ1090" s="485"/>
      <c r="DA1090" s="485"/>
      <c r="DB1090" s="485"/>
      <c r="DC1090" s="485"/>
      <c r="DD1090" s="485"/>
      <c r="DE1090" s="485"/>
      <c r="DF1090" s="485"/>
      <c r="DG1090" s="485"/>
      <c r="DH1090" s="485"/>
      <c r="DI1090" s="485"/>
      <c r="DJ1090" s="485"/>
      <c r="DK1090" s="485"/>
      <c r="DL1090" s="485"/>
      <c r="DM1090" s="485"/>
      <c r="DN1090" s="485"/>
      <c r="DO1090" s="485"/>
      <c r="DP1090" s="485"/>
      <c r="DQ1090" s="485"/>
      <c r="DR1090" s="485"/>
      <c r="DS1090" s="485"/>
      <c r="DT1090" s="485"/>
      <c r="DU1090" s="485"/>
      <c r="DV1090" s="485"/>
      <c r="DW1090" s="485"/>
      <c r="DX1090" s="485"/>
      <c r="DY1090" s="485"/>
      <c r="DZ1090" s="485"/>
      <c r="EA1090" s="485"/>
      <c r="EB1090" s="485"/>
      <c r="EC1090" s="485"/>
      <c r="ED1090" s="485"/>
      <c r="EE1090" s="485"/>
      <c r="EF1090" s="485"/>
      <c r="EG1090" s="485"/>
      <c r="EH1090" s="485"/>
      <c r="EI1090" s="485"/>
      <c r="EJ1090" s="485"/>
      <c r="EK1090" s="485"/>
      <c r="EL1090" s="485"/>
      <c r="EM1090" s="485"/>
      <c r="EN1090" s="485"/>
      <c r="EO1090" s="485"/>
      <c r="EP1090" s="485"/>
    </row>
    <row r="1091" spans="1:146">
      <c r="A1091" s="485"/>
      <c r="B1091" s="485"/>
      <c r="C1091" s="485"/>
      <c r="D1091" s="485"/>
      <c r="E1091" s="485"/>
      <c r="F1091" s="485"/>
      <c r="G1091" s="485"/>
      <c r="H1091" s="485"/>
      <c r="I1091" s="485"/>
      <c r="J1091" s="485"/>
      <c r="K1091" s="485"/>
      <c r="L1091" s="485"/>
      <c r="M1091" s="485"/>
      <c r="P1091" s="485"/>
      <c r="Q1091" s="485"/>
      <c r="R1091" s="485"/>
      <c r="S1091" s="485"/>
      <c r="T1091" s="485"/>
      <c r="U1091" s="485"/>
      <c r="V1091" s="485"/>
      <c r="W1091" s="485"/>
      <c r="X1091" s="485"/>
      <c r="Y1091" s="485"/>
      <c r="Z1091" s="485"/>
      <c r="AA1091" s="485"/>
      <c r="AB1091" s="485"/>
      <c r="AC1091" s="485"/>
      <c r="AD1091" s="485"/>
      <c r="AE1091" s="485"/>
      <c r="AF1091" s="485"/>
      <c r="AG1091" s="485"/>
      <c r="AH1091" s="485"/>
      <c r="AI1091" s="485"/>
      <c r="AJ1091" s="485"/>
      <c r="AK1091" s="485"/>
      <c r="AL1091" s="485"/>
      <c r="AM1091" s="485"/>
      <c r="AN1091" s="485"/>
      <c r="AO1091" s="485"/>
      <c r="AP1091" s="485"/>
      <c r="AQ1091" s="485"/>
      <c r="AR1091" s="485"/>
      <c r="AS1091" s="485"/>
      <c r="AT1091" s="485"/>
      <c r="AU1091" s="485"/>
      <c r="AV1091" s="485"/>
      <c r="AW1091" s="485"/>
      <c r="AX1091" s="485"/>
      <c r="AY1091" s="485"/>
      <c r="AZ1091" s="485"/>
      <c r="BA1091" s="485"/>
      <c r="BB1091" s="485"/>
      <c r="BC1091" s="485"/>
      <c r="BD1091" s="485"/>
      <c r="BE1091" s="485"/>
      <c r="BF1091" s="485"/>
      <c r="BG1091" s="485"/>
      <c r="BH1091" s="485"/>
      <c r="BI1091" s="485"/>
      <c r="BJ1091" s="485"/>
      <c r="BK1091" s="485"/>
      <c r="BL1091" s="485"/>
      <c r="BM1091" s="485"/>
      <c r="BN1091" s="485"/>
      <c r="BO1091" s="485"/>
      <c r="BP1091" s="485"/>
      <c r="BQ1091" s="485"/>
      <c r="BR1091" s="485"/>
      <c r="BS1091" s="485"/>
      <c r="BT1091" s="485"/>
      <c r="BU1091" s="485"/>
      <c r="BV1091" s="485"/>
      <c r="BW1091" s="485"/>
      <c r="BX1091" s="485"/>
      <c r="BY1091" s="485"/>
      <c r="BZ1091" s="485"/>
      <c r="CA1091" s="485"/>
      <c r="CB1091" s="485"/>
      <c r="CC1091" s="485"/>
      <c r="CD1091" s="485"/>
      <c r="CE1091" s="485"/>
      <c r="CF1091" s="485"/>
      <c r="CG1091" s="485"/>
      <c r="CH1091" s="485"/>
      <c r="CI1091" s="485"/>
      <c r="CJ1091" s="485"/>
      <c r="CK1091" s="485"/>
      <c r="CL1091" s="485"/>
      <c r="CM1091" s="485"/>
      <c r="CN1091" s="485"/>
      <c r="CO1091" s="485"/>
      <c r="CP1091" s="485"/>
      <c r="CQ1091" s="485"/>
      <c r="CR1091" s="485"/>
      <c r="CS1091" s="485"/>
      <c r="CT1091" s="485"/>
      <c r="CU1091" s="485"/>
      <c r="CV1091" s="485"/>
      <c r="CW1091" s="485"/>
      <c r="CX1091" s="485"/>
      <c r="CY1091" s="485"/>
      <c r="CZ1091" s="485"/>
      <c r="DA1091" s="485"/>
      <c r="DB1091" s="485"/>
      <c r="DC1091" s="485"/>
      <c r="DD1091" s="485"/>
      <c r="DE1091" s="485"/>
      <c r="DF1091" s="485"/>
      <c r="DG1091" s="485"/>
      <c r="DH1091" s="485"/>
      <c r="DI1091" s="485"/>
      <c r="DJ1091" s="485"/>
      <c r="DK1091" s="485"/>
      <c r="DL1091" s="485"/>
      <c r="DM1091" s="485"/>
      <c r="DN1091" s="485"/>
      <c r="DO1091" s="485"/>
      <c r="DP1091" s="485"/>
      <c r="DQ1091" s="485"/>
      <c r="DR1091" s="485"/>
      <c r="DS1091" s="485"/>
      <c r="DT1091" s="485"/>
      <c r="DU1091" s="485"/>
      <c r="DV1091" s="485"/>
      <c r="DW1091" s="485"/>
      <c r="DX1091" s="485"/>
      <c r="DY1091" s="485"/>
      <c r="DZ1091" s="485"/>
      <c r="EA1091" s="485"/>
      <c r="EB1091" s="485"/>
      <c r="EC1091" s="485"/>
      <c r="ED1091" s="485"/>
      <c r="EE1091" s="485"/>
      <c r="EF1091" s="485"/>
      <c r="EG1091" s="485"/>
      <c r="EH1091" s="485"/>
      <c r="EI1091" s="485"/>
      <c r="EJ1091" s="485"/>
      <c r="EK1091" s="485"/>
      <c r="EL1091" s="485"/>
      <c r="EM1091" s="485"/>
      <c r="EN1091" s="485"/>
      <c r="EO1091" s="485"/>
      <c r="EP1091" s="485"/>
    </row>
    <row r="1092" spans="1:146">
      <c r="A1092" s="485"/>
      <c r="B1092" s="485"/>
      <c r="C1092" s="485"/>
      <c r="D1092" s="485"/>
      <c r="E1092" s="485"/>
      <c r="F1092" s="485"/>
      <c r="G1092" s="485"/>
      <c r="H1092" s="485"/>
      <c r="I1092" s="485"/>
      <c r="J1092" s="485"/>
      <c r="K1092" s="485"/>
      <c r="L1092" s="485"/>
      <c r="M1092" s="485"/>
      <c r="P1092" s="485"/>
      <c r="Q1092" s="485"/>
      <c r="R1092" s="485"/>
      <c r="S1092" s="485"/>
      <c r="T1092" s="485"/>
      <c r="U1092" s="485"/>
      <c r="V1092" s="485"/>
      <c r="W1092" s="485"/>
      <c r="X1092" s="485"/>
      <c r="Y1092" s="485"/>
      <c r="Z1092" s="485"/>
      <c r="AA1092" s="485"/>
      <c r="AB1092" s="485"/>
      <c r="AC1092" s="485"/>
      <c r="AD1092" s="485"/>
      <c r="AE1092" s="485"/>
      <c r="AF1092" s="485"/>
      <c r="AG1092" s="485"/>
      <c r="AH1092" s="485"/>
      <c r="AI1092" s="485"/>
      <c r="AJ1092" s="485"/>
      <c r="AK1092" s="485"/>
      <c r="AL1092" s="485"/>
      <c r="AM1092" s="485"/>
      <c r="AN1092" s="485"/>
      <c r="AO1092" s="485"/>
      <c r="AP1092" s="485"/>
      <c r="AQ1092" s="485"/>
      <c r="AR1092" s="485"/>
      <c r="AS1092" s="485"/>
      <c r="AT1092" s="485"/>
      <c r="AU1092" s="485"/>
      <c r="AV1092" s="485"/>
      <c r="AW1092" s="485"/>
      <c r="AX1092" s="485"/>
      <c r="AY1092" s="485"/>
      <c r="AZ1092" s="485"/>
      <c r="BA1092" s="485"/>
      <c r="BB1092" s="485"/>
      <c r="BC1092" s="485"/>
      <c r="BD1092" s="485"/>
      <c r="BE1092" s="485"/>
      <c r="BF1092" s="485"/>
      <c r="BG1092" s="485"/>
      <c r="BH1092" s="485"/>
      <c r="BI1092" s="485"/>
      <c r="BJ1092" s="485"/>
      <c r="BK1092" s="485"/>
      <c r="BL1092" s="485"/>
      <c r="BM1092" s="485"/>
      <c r="BN1092" s="485"/>
      <c r="BO1092" s="485"/>
      <c r="BP1092" s="485"/>
      <c r="BQ1092" s="485"/>
      <c r="BR1092" s="485"/>
      <c r="BS1092" s="485"/>
      <c r="BT1092" s="485"/>
      <c r="BU1092" s="485"/>
      <c r="BV1092" s="485"/>
      <c r="BW1092" s="485"/>
      <c r="BX1092" s="485"/>
      <c r="BY1092" s="485"/>
      <c r="BZ1092" s="485"/>
      <c r="CA1092" s="485"/>
      <c r="CB1092" s="485"/>
      <c r="CC1092" s="485"/>
      <c r="CD1092" s="485"/>
      <c r="CE1092" s="485"/>
      <c r="CF1092" s="485"/>
      <c r="CG1092" s="485"/>
      <c r="CH1092" s="485"/>
      <c r="CI1092" s="485"/>
      <c r="CJ1092" s="485"/>
      <c r="CK1092" s="485"/>
      <c r="CL1092" s="485"/>
      <c r="CM1092" s="485"/>
      <c r="CN1092" s="485"/>
      <c r="CO1092" s="485"/>
      <c r="CP1092" s="485"/>
      <c r="CQ1092" s="485"/>
      <c r="CR1092" s="485"/>
      <c r="CS1092" s="485"/>
      <c r="CT1092" s="485"/>
      <c r="CU1092" s="485"/>
      <c r="CV1092" s="485"/>
      <c r="CW1092" s="485"/>
      <c r="CX1092" s="485"/>
      <c r="CY1092" s="485"/>
      <c r="CZ1092" s="485"/>
      <c r="DA1092" s="485"/>
      <c r="DB1092" s="485"/>
      <c r="DC1092" s="485"/>
      <c r="DD1092" s="485"/>
      <c r="DE1092" s="485"/>
      <c r="DF1092" s="485"/>
      <c r="DG1092" s="485"/>
      <c r="DH1092" s="485"/>
      <c r="DI1092" s="485"/>
      <c r="DJ1092" s="485"/>
      <c r="DK1092" s="485"/>
      <c r="DL1092" s="485"/>
      <c r="DM1092" s="485"/>
      <c r="DN1092" s="485"/>
      <c r="DO1092" s="485"/>
      <c r="DP1092" s="485"/>
      <c r="DQ1092" s="485"/>
      <c r="DR1092" s="485"/>
      <c r="DS1092" s="485"/>
      <c r="DT1092" s="485"/>
      <c r="DU1092" s="485"/>
      <c r="DV1092" s="485"/>
      <c r="DW1092" s="485"/>
      <c r="DX1092" s="485"/>
      <c r="DY1092" s="485"/>
      <c r="DZ1092" s="485"/>
      <c r="EA1092" s="485"/>
      <c r="EB1092" s="485"/>
      <c r="EC1092" s="485"/>
      <c r="ED1092" s="485"/>
      <c r="EE1092" s="485"/>
      <c r="EF1092" s="485"/>
      <c r="EG1092" s="485"/>
      <c r="EH1092" s="485"/>
      <c r="EI1092" s="485"/>
      <c r="EJ1092" s="485"/>
      <c r="EK1092" s="485"/>
      <c r="EL1092" s="485"/>
      <c r="EM1092" s="485"/>
      <c r="EN1092" s="485"/>
      <c r="EO1092" s="485"/>
      <c r="EP1092" s="485"/>
    </row>
    <row r="1093" spans="1:146">
      <c r="A1093" s="485"/>
      <c r="B1093" s="485"/>
      <c r="C1093" s="485"/>
      <c r="D1093" s="485"/>
      <c r="E1093" s="485"/>
      <c r="F1093" s="485"/>
      <c r="G1093" s="485"/>
      <c r="H1093" s="485"/>
      <c r="I1093" s="485"/>
      <c r="J1093" s="485"/>
      <c r="K1093" s="485"/>
      <c r="L1093" s="485"/>
      <c r="M1093" s="485"/>
      <c r="P1093" s="485"/>
      <c r="Q1093" s="485"/>
      <c r="R1093" s="485"/>
      <c r="S1093" s="485"/>
      <c r="T1093" s="485"/>
      <c r="U1093" s="485"/>
      <c r="V1093" s="485"/>
      <c r="W1093" s="485"/>
      <c r="X1093" s="485"/>
      <c r="Y1093" s="485"/>
      <c r="Z1093" s="485"/>
      <c r="AA1093" s="485"/>
      <c r="AB1093" s="485"/>
      <c r="AC1093" s="485"/>
      <c r="AD1093" s="485"/>
      <c r="AE1093" s="485"/>
      <c r="AF1093" s="485"/>
      <c r="AG1093" s="485"/>
      <c r="AH1093" s="485"/>
      <c r="AI1093" s="485"/>
      <c r="AJ1093" s="485"/>
      <c r="AK1093" s="485"/>
      <c r="AL1093" s="485"/>
      <c r="AM1093" s="485"/>
      <c r="AN1093" s="485"/>
      <c r="AO1093" s="485"/>
      <c r="AP1093" s="485"/>
      <c r="AQ1093" s="485"/>
      <c r="AR1093" s="485"/>
      <c r="AS1093" s="485"/>
      <c r="AT1093" s="485"/>
      <c r="AU1093" s="485"/>
      <c r="AV1093" s="485"/>
      <c r="AW1093" s="485"/>
      <c r="AX1093" s="485"/>
      <c r="AY1093" s="485"/>
      <c r="AZ1093" s="485"/>
      <c r="BA1093" s="485"/>
      <c r="BB1093" s="485"/>
      <c r="BC1093" s="485"/>
      <c r="BD1093" s="485"/>
      <c r="BE1093" s="485"/>
      <c r="BF1093" s="485"/>
      <c r="BG1093" s="485"/>
      <c r="BH1093" s="485"/>
      <c r="BI1093" s="485"/>
      <c r="BJ1093" s="485"/>
      <c r="BK1093" s="485"/>
      <c r="BL1093" s="485"/>
      <c r="BM1093" s="485"/>
      <c r="BN1093" s="485"/>
      <c r="BO1093" s="485"/>
      <c r="BP1093" s="485"/>
      <c r="BQ1093" s="485"/>
      <c r="BR1093" s="485"/>
      <c r="BS1093" s="485"/>
      <c r="BT1093" s="485"/>
      <c r="BU1093" s="485"/>
      <c r="BV1093" s="485"/>
      <c r="BW1093" s="485"/>
      <c r="BX1093" s="485"/>
      <c r="BY1093" s="485"/>
      <c r="BZ1093" s="485"/>
      <c r="CA1093" s="485"/>
      <c r="CB1093" s="485"/>
      <c r="CC1093" s="485"/>
      <c r="CD1093" s="485"/>
      <c r="CE1093" s="485"/>
      <c r="CF1093" s="485"/>
      <c r="CG1093" s="485"/>
      <c r="CH1093" s="485"/>
      <c r="CI1093" s="485"/>
      <c r="CJ1093" s="485"/>
      <c r="CK1093" s="485"/>
      <c r="CL1093" s="485"/>
      <c r="CM1093" s="485"/>
      <c r="CN1093" s="485"/>
      <c r="CO1093" s="485"/>
      <c r="CP1093" s="485"/>
      <c r="CQ1093" s="485"/>
      <c r="CR1093" s="485"/>
      <c r="CS1093" s="485"/>
      <c r="CT1093" s="485"/>
      <c r="CU1093" s="485"/>
      <c r="CV1093" s="485"/>
      <c r="CW1093" s="485"/>
      <c r="CX1093" s="485"/>
      <c r="CY1093" s="485"/>
      <c r="CZ1093" s="485"/>
      <c r="DA1093" s="485"/>
      <c r="DB1093" s="485"/>
      <c r="DC1093" s="485"/>
      <c r="DD1093" s="485"/>
      <c r="DE1093" s="485"/>
      <c r="DF1093" s="485"/>
      <c r="DG1093" s="485"/>
      <c r="DH1093" s="485"/>
      <c r="DI1093" s="485"/>
      <c r="DJ1093" s="485"/>
      <c r="DK1093" s="485"/>
      <c r="DL1093" s="485"/>
      <c r="DM1093" s="485"/>
      <c r="DN1093" s="485"/>
      <c r="DO1093" s="485"/>
      <c r="DP1093" s="485"/>
      <c r="DQ1093" s="485"/>
      <c r="DR1093" s="485"/>
      <c r="DS1093" s="485"/>
      <c r="DT1093" s="485"/>
      <c r="DU1093" s="485"/>
      <c r="DV1093" s="485"/>
      <c r="DW1093" s="485"/>
      <c r="DX1093" s="485"/>
      <c r="DY1093" s="485"/>
      <c r="DZ1093" s="485"/>
      <c r="EA1093" s="485"/>
      <c r="EB1093" s="485"/>
      <c r="EC1093" s="485"/>
      <c r="ED1093" s="485"/>
      <c r="EE1093" s="485"/>
      <c r="EF1093" s="485"/>
      <c r="EG1093" s="485"/>
      <c r="EH1093" s="485"/>
      <c r="EI1093" s="485"/>
      <c r="EJ1093" s="485"/>
      <c r="EK1093" s="485"/>
      <c r="EL1093" s="485"/>
      <c r="EM1093" s="485"/>
      <c r="EN1093" s="485"/>
      <c r="EO1093" s="485"/>
      <c r="EP1093" s="485"/>
    </row>
    <row r="1094" spans="1:146">
      <c r="A1094" s="485"/>
      <c r="B1094" s="485"/>
      <c r="C1094" s="485"/>
      <c r="D1094" s="485"/>
      <c r="E1094" s="485"/>
      <c r="F1094" s="485"/>
      <c r="G1094" s="485"/>
      <c r="H1094" s="485"/>
      <c r="I1094" s="485"/>
      <c r="J1094" s="485"/>
      <c r="K1094" s="485"/>
      <c r="L1094" s="485"/>
      <c r="M1094" s="485"/>
      <c r="P1094" s="485"/>
      <c r="Q1094" s="485"/>
      <c r="R1094" s="485"/>
      <c r="S1094" s="485"/>
      <c r="T1094" s="485"/>
      <c r="U1094" s="485"/>
      <c r="V1094" s="485"/>
      <c r="W1094" s="485"/>
      <c r="X1094" s="485"/>
      <c r="Y1094" s="485"/>
      <c r="Z1094" s="485"/>
      <c r="AA1094" s="485"/>
      <c r="AB1094" s="485"/>
      <c r="AC1094" s="485"/>
      <c r="AD1094" s="485"/>
      <c r="AE1094" s="485"/>
      <c r="AF1094" s="485"/>
      <c r="AG1094" s="485"/>
      <c r="AH1094" s="485"/>
      <c r="AI1094" s="485"/>
      <c r="AJ1094" s="485"/>
      <c r="AK1094" s="485"/>
      <c r="AL1094" s="485"/>
      <c r="AM1094" s="485"/>
      <c r="AN1094" s="485"/>
      <c r="AO1094" s="485"/>
      <c r="AP1094" s="485"/>
      <c r="AQ1094" s="485"/>
      <c r="AR1094" s="485"/>
      <c r="AS1094" s="485"/>
      <c r="AT1094" s="485"/>
      <c r="AU1094" s="485"/>
      <c r="AV1094" s="485"/>
      <c r="AW1094" s="485"/>
      <c r="AX1094" s="485"/>
      <c r="AY1094" s="485"/>
      <c r="AZ1094" s="485"/>
      <c r="BA1094" s="485"/>
      <c r="BB1094" s="485"/>
      <c r="BC1094" s="485"/>
      <c r="BD1094" s="485"/>
      <c r="BE1094" s="485"/>
      <c r="BF1094" s="485"/>
      <c r="BG1094" s="485"/>
      <c r="BH1094" s="485"/>
      <c r="BI1094" s="485"/>
      <c r="BJ1094" s="485"/>
      <c r="BK1094" s="485"/>
      <c r="BL1094" s="485"/>
      <c r="BM1094" s="485"/>
      <c r="BN1094" s="485"/>
      <c r="BO1094" s="485"/>
      <c r="BP1094" s="485"/>
      <c r="BQ1094" s="485"/>
      <c r="BR1094" s="485"/>
      <c r="BS1094" s="485"/>
      <c r="BT1094" s="485"/>
      <c r="BU1094" s="485"/>
      <c r="BV1094" s="485"/>
      <c r="BW1094" s="485"/>
      <c r="BX1094" s="485"/>
      <c r="BY1094" s="485"/>
      <c r="BZ1094" s="485"/>
      <c r="CA1094" s="485"/>
      <c r="CB1094" s="485"/>
      <c r="CC1094" s="485"/>
      <c r="CD1094" s="485"/>
      <c r="CE1094" s="485"/>
      <c r="CF1094" s="485"/>
      <c r="CG1094" s="485"/>
      <c r="CH1094" s="485"/>
      <c r="CI1094" s="485"/>
      <c r="CJ1094" s="485"/>
      <c r="CK1094" s="485"/>
      <c r="CL1094" s="485"/>
      <c r="CM1094" s="485"/>
      <c r="CN1094" s="485"/>
      <c r="CO1094" s="485"/>
      <c r="CP1094" s="485"/>
      <c r="CQ1094" s="485"/>
      <c r="CR1094" s="485"/>
      <c r="CS1094" s="485"/>
      <c r="CT1094" s="485"/>
      <c r="CU1094" s="485"/>
      <c r="CV1094" s="485"/>
      <c r="CW1094" s="485"/>
      <c r="CX1094" s="485"/>
      <c r="CY1094" s="485"/>
      <c r="CZ1094" s="485"/>
      <c r="DA1094" s="485"/>
      <c r="DB1094" s="485"/>
      <c r="DC1094" s="485"/>
      <c r="DD1094" s="485"/>
      <c r="DE1094" s="485"/>
      <c r="DF1094" s="485"/>
      <c r="DG1094" s="485"/>
      <c r="DH1094" s="485"/>
      <c r="DI1094" s="485"/>
      <c r="DJ1094" s="485"/>
      <c r="DK1094" s="485"/>
      <c r="DL1094" s="485"/>
      <c r="DM1094" s="485"/>
      <c r="DN1094" s="485"/>
      <c r="DO1094" s="485"/>
      <c r="DP1094" s="485"/>
      <c r="DQ1094" s="485"/>
      <c r="DR1094" s="485"/>
      <c r="DS1094" s="485"/>
      <c r="DT1094" s="485"/>
      <c r="DU1094" s="485"/>
      <c r="DV1094" s="485"/>
      <c r="DW1094" s="485"/>
      <c r="DX1094" s="485"/>
      <c r="DY1094" s="485"/>
      <c r="DZ1094" s="485"/>
      <c r="EA1094" s="485"/>
      <c r="EB1094" s="485"/>
      <c r="EC1094" s="485"/>
      <c r="ED1094" s="485"/>
      <c r="EE1094" s="485"/>
      <c r="EF1094" s="485"/>
      <c r="EG1094" s="485"/>
      <c r="EH1094" s="485"/>
      <c r="EI1094" s="485"/>
      <c r="EJ1094" s="485"/>
      <c r="EK1094" s="485"/>
      <c r="EL1094" s="485"/>
      <c r="EM1094" s="485"/>
      <c r="EN1094" s="485"/>
      <c r="EO1094" s="485"/>
      <c r="EP1094" s="485"/>
    </row>
    <row r="1095" spans="1:146">
      <c r="A1095" s="485"/>
      <c r="B1095" s="485"/>
      <c r="C1095" s="485"/>
      <c r="D1095" s="485"/>
      <c r="E1095" s="485"/>
      <c r="F1095" s="485"/>
      <c r="G1095" s="485"/>
      <c r="H1095" s="485"/>
      <c r="I1095" s="485"/>
      <c r="J1095" s="485"/>
      <c r="K1095" s="485"/>
      <c r="L1095" s="485"/>
      <c r="M1095" s="485"/>
      <c r="P1095" s="485"/>
      <c r="Q1095" s="485"/>
      <c r="R1095" s="485"/>
      <c r="S1095" s="485"/>
      <c r="T1095" s="485"/>
      <c r="U1095" s="485"/>
      <c r="V1095" s="485"/>
      <c r="W1095" s="485"/>
      <c r="X1095" s="485"/>
      <c r="Y1095" s="485"/>
      <c r="Z1095" s="485"/>
      <c r="AA1095" s="485"/>
      <c r="AB1095" s="485"/>
      <c r="AC1095" s="485"/>
      <c r="AD1095" s="485"/>
      <c r="AE1095" s="485"/>
      <c r="AF1095" s="485"/>
      <c r="AG1095" s="485"/>
      <c r="AH1095" s="485"/>
      <c r="AI1095" s="485"/>
      <c r="AJ1095" s="485"/>
      <c r="AK1095" s="485"/>
      <c r="AL1095" s="485"/>
      <c r="AM1095" s="485"/>
      <c r="AN1095" s="485"/>
      <c r="AO1095" s="485"/>
      <c r="AP1095" s="485"/>
      <c r="AQ1095" s="485"/>
      <c r="AR1095" s="485"/>
      <c r="AS1095" s="485"/>
      <c r="AT1095" s="485"/>
      <c r="AU1095" s="485"/>
      <c r="AV1095" s="485"/>
      <c r="AW1095" s="485"/>
      <c r="AX1095" s="485"/>
      <c r="AY1095" s="485"/>
      <c r="AZ1095" s="485"/>
      <c r="BA1095" s="485"/>
      <c r="BB1095" s="485"/>
      <c r="BC1095" s="485"/>
      <c r="BD1095" s="485"/>
      <c r="BE1095" s="485"/>
      <c r="BF1095" s="485"/>
      <c r="BG1095" s="485"/>
      <c r="BH1095" s="485"/>
      <c r="BI1095" s="485"/>
      <c r="BJ1095" s="485"/>
      <c r="BK1095" s="485"/>
      <c r="BL1095" s="485"/>
      <c r="BM1095" s="485"/>
      <c r="BN1095" s="485"/>
      <c r="BO1095" s="485"/>
      <c r="BP1095" s="485"/>
      <c r="BQ1095" s="485"/>
      <c r="BR1095" s="485"/>
      <c r="BS1095" s="485"/>
      <c r="BT1095" s="485"/>
      <c r="BU1095" s="485"/>
      <c r="BV1095" s="485"/>
      <c r="BW1095" s="485"/>
      <c r="BX1095" s="485"/>
      <c r="BY1095" s="485"/>
      <c r="BZ1095" s="485"/>
      <c r="CA1095" s="485"/>
      <c r="CB1095" s="485"/>
      <c r="CC1095" s="485"/>
      <c r="CD1095" s="485"/>
      <c r="CE1095" s="485"/>
      <c r="CF1095" s="485"/>
      <c r="CG1095" s="485"/>
      <c r="CH1095" s="485"/>
      <c r="CI1095" s="485"/>
      <c r="CJ1095" s="485"/>
      <c r="CK1095" s="485"/>
      <c r="CL1095" s="485"/>
      <c r="CM1095" s="485"/>
      <c r="CN1095" s="485"/>
      <c r="CO1095" s="485"/>
      <c r="CP1095" s="485"/>
      <c r="CQ1095" s="485"/>
      <c r="CR1095" s="485"/>
      <c r="CS1095" s="485"/>
      <c r="CT1095" s="485"/>
      <c r="CU1095" s="485"/>
      <c r="CV1095" s="485"/>
      <c r="CW1095" s="485"/>
      <c r="CX1095" s="485"/>
      <c r="CY1095" s="485"/>
      <c r="CZ1095" s="485"/>
      <c r="DA1095" s="485"/>
      <c r="DB1095" s="485"/>
      <c r="DC1095" s="485"/>
      <c r="DD1095" s="485"/>
      <c r="DE1095" s="485"/>
      <c r="DF1095" s="485"/>
      <c r="DG1095" s="485"/>
      <c r="DH1095" s="485"/>
      <c r="DI1095" s="485"/>
      <c r="DJ1095" s="485"/>
      <c r="DK1095" s="485"/>
      <c r="DL1095" s="485"/>
      <c r="DM1095" s="485"/>
      <c r="DN1095" s="485"/>
      <c r="DO1095" s="485"/>
      <c r="DP1095" s="485"/>
      <c r="DQ1095" s="485"/>
      <c r="DR1095" s="485"/>
      <c r="DS1095" s="485"/>
      <c r="DT1095" s="485"/>
      <c r="DU1095" s="485"/>
      <c r="DV1095" s="485"/>
      <c r="DW1095" s="485"/>
      <c r="DX1095" s="485"/>
      <c r="DY1095" s="485"/>
      <c r="DZ1095" s="485"/>
      <c r="EA1095" s="485"/>
      <c r="EB1095" s="485"/>
      <c r="EC1095" s="485"/>
      <c r="ED1095" s="485"/>
      <c r="EE1095" s="485"/>
      <c r="EF1095" s="485"/>
      <c r="EG1095" s="485"/>
      <c r="EH1095" s="485"/>
      <c r="EI1095" s="485"/>
      <c r="EJ1095" s="485"/>
      <c r="EK1095" s="485"/>
      <c r="EL1095" s="485"/>
      <c r="EM1095" s="485"/>
      <c r="EN1095" s="485"/>
      <c r="EO1095" s="485"/>
      <c r="EP1095" s="485"/>
    </row>
    <row r="1096" spans="1:146">
      <c r="A1096" s="485"/>
      <c r="B1096" s="485"/>
      <c r="C1096" s="485"/>
      <c r="D1096" s="485"/>
      <c r="E1096" s="485"/>
      <c r="F1096" s="485"/>
      <c r="G1096" s="485"/>
      <c r="H1096" s="485"/>
      <c r="I1096" s="485"/>
      <c r="J1096" s="485"/>
      <c r="K1096" s="485"/>
      <c r="L1096" s="485"/>
      <c r="M1096" s="485"/>
      <c r="P1096" s="485"/>
      <c r="Q1096" s="485"/>
      <c r="R1096" s="485"/>
      <c r="S1096" s="485"/>
      <c r="T1096" s="485"/>
      <c r="U1096" s="485"/>
      <c r="V1096" s="485"/>
      <c r="W1096" s="485"/>
      <c r="X1096" s="485"/>
      <c r="Y1096" s="485"/>
      <c r="Z1096" s="485"/>
      <c r="AA1096" s="485"/>
      <c r="AB1096" s="485"/>
      <c r="AC1096" s="485"/>
      <c r="AD1096" s="485"/>
      <c r="AE1096" s="485"/>
      <c r="AF1096" s="485"/>
      <c r="AG1096" s="485"/>
      <c r="AH1096" s="485"/>
      <c r="AI1096" s="485"/>
      <c r="AJ1096" s="485"/>
      <c r="AK1096" s="485"/>
      <c r="AL1096" s="485"/>
      <c r="AM1096" s="485"/>
      <c r="AN1096" s="485"/>
      <c r="AO1096" s="485"/>
      <c r="AP1096" s="485"/>
      <c r="AQ1096" s="485"/>
      <c r="AR1096" s="485"/>
      <c r="AS1096" s="485"/>
      <c r="AT1096" s="485"/>
      <c r="AU1096" s="485"/>
      <c r="AV1096" s="485"/>
      <c r="AW1096" s="485"/>
      <c r="AX1096" s="485"/>
      <c r="AY1096" s="485"/>
      <c r="AZ1096" s="485"/>
      <c r="BA1096" s="485"/>
      <c r="BB1096" s="485"/>
      <c r="BC1096" s="485"/>
      <c r="BD1096" s="485"/>
      <c r="BE1096" s="485"/>
      <c r="BF1096" s="485"/>
      <c r="BG1096" s="485"/>
      <c r="BH1096" s="485"/>
      <c r="BI1096" s="485"/>
      <c r="BJ1096" s="485"/>
      <c r="BK1096" s="485"/>
      <c r="BL1096" s="485"/>
      <c r="BM1096" s="485"/>
      <c r="BN1096" s="485"/>
      <c r="BO1096" s="485"/>
      <c r="BP1096" s="485"/>
      <c r="BQ1096" s="485"/>
      <c r="BR1096" s="485"/>
      <c r="BS1096" s="485"/>
      <c r="BT1096" s="485"/>
      <c r="BU1096" s="485"/>
      <c r="BV1096" s="485"/>
      <c r="BW1096" s="485"/>
      <c r="BX1096" s="485"/>
      <c r="BY1096" s="485"/>
      <c r="BZ1096" s="485"/>
      <c r="CA1096" s="485"/>
      <c r="CB1096" s="485"/>
      <c r="CC1096" s="485"/>
      <c r="CD1096" s="485"/>
      <c r="CE1096" s="485"/>
      <c r="CF1096" s="485"/>
      <c r="CG1096" s="485"/>
      <c r="CH1096" s="485"/>
      <c r="CI1096" s="485"/>
      <c r="CJ1096" s="485"/>
      <c r="CK1096" s="485"/>
      <c r="CL1096" s="485"/>
      <c r="CM1096" s="485"/>
      <c r="CN1096" s="485"/>
      <c r="CO1096" s="485"/>
      <c r="CP1096" s="485"/>
      <c r="CQ1096" s="485"/>
      <c r="CR1096" s="485"/>
      <c r="CS1096" s="485"/>
      <c r="CT1096" s="485"/>
      <c r="CU1096" s="485"/>
      <c r="CV1096" s="485"/>
      <c r="CW1096" s="485"/>
      <c r="CX1096" s="485"/>
      <c r="CY1096" s="485"/>
      <c r="CZ1096" s="485"/>
      <c r="DA1096" s="485"/>
      <c r="DB1096" s="485"/>
      <c r="DC1096" s="485"/>
      <c r="DD1096" s="485"/>
      <c r="DE1096" s="485"/>
      <c r="DF1096" s="485"/>
      <c r="DG1096" s="485"/>
      <c r="DH1096" s="485"/>
      <c r="DI1096" s="485"/>
      <c r="DJ1096" s="485"/>
      <c r="DK1096" s="485"/>
      <c r="DL1096" s="485"/>
      <c r="DM1096" s="485"/>
      <c r="DN1096" s="485"/>
      <c r="DO1096" s="485"/>
      <c r="DP1096" s="485"/>
      <c r="DQ1096" s="485"/>
      <c r="DR1096" s="485"/>
      <c r="DS1096" s="485"/>
      <c r="DT1096" s="485"/>
      <c r="DU1096" s="485"/>
      <c r="DV1096" s="485"/>
      <c r="DW1096" s="485"/>
      <c r="DX1096" s="485"/>
      <c r="DY1096" s="485"/>
      <c r="DZ1096" s="485"/>
      <c r="EA1096" s="485"/>
      <c r="EB1096" s="485"/>
      <c r="EC1096" s="485"/>
      <c r="ED1096" s="485"/>
      <c r="EE1096" s="485"/>
      <c r="EF1096" s="485"/>
      <c r="EG1096" s="485"/>
      <c r="EH1096" s="485"/>
      <c r="EI1096" s="485"/>
      <c r="EJ1096" s="485"/>
      <c r="EK1096" s="485"/>
      <c r="EL1096" s="485"/>
      <c r="EM1096" s="485"/>
      <c r="EN1096" s="485"/>
      <c r="EO1096" s="485"/>
      <c r="EP1096" s="485"/>
    </row>
    <row r="1097" spans="1:146">
      <c r="A1097" s="485"/>
      <c r="B1097" s="485"/>
      <c r="C1097" s="485"/>
      <c r="D1097" s="485"/>
      <c r="E1097" s="485"/>
      <c r="F1097" s="485"/>
      <c r="G1097" s="485"/>
      <c r="H1097" s="485"/>
      <c r="I1097" s="485"/>
      <c r="J1097" s="485"/>
      <c r="K1097" s="485"/>
      <c r="L1097" s="485"/>
      <c r="M1097" s="485"/>
      <c r="P1097" s="485"/>
      <c r="Q1097" s="485"/>
      <c r="R1097" s="485"/>
      <c r="S1097" s="485"/>
      <c r="T1097" s="485"/>
      <c r="U1097" s="485"/>
      <c r="V1097" s="485"/>
      <c r="W1097" s="485"/>
      <c r="X1097" s="485"/>
      <c r="Y1097" s="485"/>
      <c r="Z1097" s="485"/>
      <c r="AA1097" s="485"/>
      <c r="AB1097" s="485"/>
      <c r="AC1097" s="485"/>
      <c r="AD1097" s="485"/>
      <c r="AE1097" s="485"/>
      <c r="AF1097" s="485"/>
      <c r="AG1097" s="485"/>
      <c r="AH1097" s="485"/>
      <c r="AI1097" s="485"/>
      <c r="AJ1097" s="485"/>
      <c r="AK1097" s="485"/>
      <c r="AL1097" s="485"/>
      <c r="AM1097" s="485"/>
      <c r="AN1097" s="485"/>
      <c r="AO1097" s="485"/>
      <c r="AP1097" s="485"/>
      <c r="AQ1097" s="485"/>
      <c r="AR1097" s="485"/>
      <c r="AS1097" s="485"/>
      <c r="AT1097" s="485"/>
      <c r="AU1097" s="485"/>
      <c r="AV1097" s="485"/>
      <c r="AW1097" s="485"/>
      <c r="AX1097" s="485"/>
      <c r="AY1097" s="485"/>
      <c r="AZ1097" s="485"/>
      <c r="BA1097" s="485"/>
      <c r="BB1097" s="485"/>
      <c r="BC1097" s="485"/>
      <c r="BD1097" s="485"/>
      <c r="BE1097" s="485"/>
      <c r="BF1097" s="485"/>
      <c r="BG1097" s="485"/>
      <c r="BH1097" s="485"/>
      <c r="BI1097" s="485"/>
      <c r="BJ1097" s="485"/>
      <c r="BK1097" s="485"/>
      <c r="BL1097" s="485"/>
      <c r="BM1097" s="485"/>
      <c r="BN1097" s="485"/>
      <c r="BO1097" s="485"/>
      <c r="BP1097" s="485"/>
      <c r="BQ1097" s="485"/>
      <c r="BR1097" s="485"/>
      <c r="BS1097" s="485"/>
      <c r="BT1097" s="485"/>
      <c r="BU1097" s="485"/>
      <c r="BV1097" s="485"/>
      <c r="BW1097" s="485"/>
      <c r="BX1097" s="485"/>
      <c r="BY1097" s="485"/>
      <c r="BZ1097" s="485"/>
      <c r="CA1097" s="485"/>
      <c r="CB1097" s="485"/>
      <c r="CC1097" s="485"/>
      <c r="CD1097" s="485"/>
      <c r="CE1097" s="485"/>
      <c r="CF1097" s="485"/>
      <c r="CG1097" s="485"/>
      <c r="CH1097" s="485"/>
      <c r="CI1097" s="485"/>
      <c r="CJ1097" s="485"/>
      <c r="CK1097" s="485"/>
      <c r="CL1097" s="485"/>
      <c r="CM1097" s="485"/>
      <c r="CN1097" s="485"/>
      <c r="CO1097" s="485"/>
      <c r="CP1097" s="485"/>
      <c r="CQ1097" s="485"/>
      <c r="CR1097" s="485"/>
      <c r="CS1097" s="485"/>
      <c r="CT1097" s="485"/>
      <c r="CU1097" s="485"/>
      <c r="CV1097" s="485"/>
      <c r="CW1097" s="485"/>
      <c r="CX1097" s="485"/>
      <c r="CY1097" s="485"/>
      <c r="CZ1097" s="485"/>
      <c r="DA1097" s="485"/>
      <c r="DB1097" s="485"/>
      <c r="DC1097" s="485"/>
      <c r="DD1097" s="485"/>
      <c r="DE1097" s="485"/>
      <c r="DF1097" s="485"/>
      <c r="DG1097" s="485"/>
      <c r="DH1097" s="485"/>
      <c r="DI1097" s="485"/>
      <c r="DJ1097" s="485"/>
      <c r="DK1097" s="485"/>
      <c r="DL1097" s="485"/>
      <c r="DM1097" s="485"/>
      <c r="DN1097" s="485"/>
      <c r="DO1097" s="485"/>
      <c r="DP1097" s="485"/>
      <c r="DQ1097" s="485"/>
      <c r="DR1097" s="485"/>
      <c r="DS1097" s="485"/>
      <c r="DT1097" s="485"/>
      <c r="DU1097" s="485"/>
      <c r="DV1097" s="485"/>
      <c r="DW1097" s="485"/>
      <c r="DX1097" s="485"/>
      <c r="DY1097" s="485"/>
      <c r="DZ1097" s="485"/>
      <c r="EA1097" s="485"/>
      <c r="EB1097" s="485"/>
      <c r="EC1097" s="485"/>
      <c r="ED1097" s="485"/>
      <c r="EE1097" s="485"/>
      <c r="EF1097" s="485"/>
      <c r="EG1097" s="485"/>
      <c r="EH1097" s="485"/>
      <c r="EI1097" s="485"/>
      <c r="EJ1097" s="485"/>
      <c r="EK1097" s="485"/>
      <c r="EL1097" s="485"/>
      <c r="EM1097" s="485"/>
      <c r="EN1097" s="485"/>
      <c r="EO1097" s="485"/>
      <c r="EP1097" s="485"/>
    </row>
    <row r="1098" spans="1:146">
      <c r="A1098" s="485"/>
      <c r="B1098" s="485"/>
      <c r="C1098" s="485"/>
      <c r="D1098" s="485"/>
      <c r="E1098" s="485"/>
      <c r="F1098" s="485"/>
      <c r="G1098" s="485"/>
      <c r="H1098" s="485"/>
      <c r="I1098" s="485"/>
      <c r="J1098" s="485"/>
      <c r="K1098" s="485"/>
      <c r="L1098" s="485"/>
      <c r="M1098" s="485"/>
      <c r="P1098" s="485"/>
      <c r="Q1098" s="485"/>
      <c r="R1098" s="485"/>
      <c r="S1098" s="485"/>
      <c r="T1098" s="485"/>
      <c r="U1098" s="485"/>
      <c r="V1098" s="485"/>
      <c r="W1098" s="485"/>
      <c r="X1098" s="485"/>
      <c r="Y1098" s="485"/>
      <c r="Z1098" s="485"/>
      <c r="AA1098" s="485"/>
      <c r="AB1098" s="485"/>
      <c r="AC1098" s="485"/>
      <c r="AD1098" s="485"/>
      <c r="AE1098" s="485"/>
      <c r="AF1098" s="485"/>
      <c r="AG1098" s="485"/>
      <c r="AH1098" s="485"/>
      <c r="AI1098" s="485"/>
      <c r="AJ1098" s="485"/>
      <c r="AK1098" s="485"/>
      <c r="AL1098" s="485"/>
      <c r="AM1098" s="485"/>
      <c r="AN1098" s="485"/>
      <c r="AO1098" s="485"/>
      <c r="AP1098" s="485"/>
      <c r="AQ1098" s="485"/>
      <c r="AR1098" s="485"/>
      <c r="AS1098" s="485"/>
      <c r="AT1098" s="485"/>
      <c r="AU1098" s="485"/>
      <c r="AV1098" s="485"/>
      <c r="AW1098" s="485"/>
      <c r="AX1098" s="485"/>
      <c r="AY1098" s="485"/>
      <c r="AZ1098" s="485"/>
      <c r="BA1098" s="485"/>
      <c r="BB1098" s="485"/>
      <c r="BC1098" s="485"/>
      <c r="BD1098" s="485"/>
      <c r="BE1098" s="485"/>
      <c r="BF1098" s="485"/>
      <c r="BG1098" s="485"/>
      <c r="BH1098" s="485"/>
      <c r="BI1098" s="485"/>
      <c r="BJ1098" s="485"/>
      <c r="BK1098" s="485"/>
      <c r="BL1098" s="485"/>
      <c r="BM1098" s="485"/>
      <c r="BN1098" s="485"/>
      <c r="BO1098" s="485"/>
      <c r="BP1098" s="485"/>
      <c r="BQ1098" s="485"/>
      <c r="BR1098" s="485"/>
      <c r="BS1098" s="485"/>
      <c r="BT1098" s="485"/>
      <c r="BU1098" s="485"/>
      <c r="BV1098" s="485"/>
      <c r="BW1098" s="485"/>
      <c r="BX1098" s="485"/>
      <c r="BY1098" s="485"/>
      <c r="BZ1098" s="485"/>
      <c r="CA1098" s="485"/>
      <c r="CB1098" s="485"/>
      <c r="CC1098" s="485"/>
      <c r="CD1098" s="485"/>
      <c r="CE1098" s="485"/>
      <c r="CF1098" s="485"/>
      <c r="CG1098" s="485"/>
      <c r="CH1098" s="485"/>
      <c r="CI1098" s="485"/>
      <c r="CJ1098" s="485"/>
      <c r="CK1098" s="485"/>
      <c r="CL1098" s="485"/>
      <c r="CM1098" s="485"/>
      <c r="CN1098" s="485"/>
      <c r="CO1098" s="485"/>
      <c r="CP1098" s="485"/>
      <c r="CQ1098" s="485"/>
      <c r="CR1098" s="485"/>
      <c r="CS1098" s="485"/>
      <c r="CT1098" s="485"/>
      <c r="CU1098" s="485"/>
      <c r="CV1098" s="485"/>
      <c r="CW1098" s="485"/>
      <c r="CX1098" s="485"/>
      <c r="CY1098" s="485"/>
      <c r="CZ1098" s="485"/>
      <c r="DA1098" s="485"/>
      <c r="DB1098" s="485"/>
      <c r="DC1098" s="485"/>
      <c r="DD1098" s="485"/>
      <c r="DE1098" s="485"/>
      <c r="DF1098" s="485"/>
      <c r="DG1098" s="485"/>
      <c r="DH1098" s="485"/>
      <c r="DI1098" s="485"/>
      <c r="DJ1098" s="485"/>
      <c r="DK1098" s="485"/>
      <c r="DL1098" s="485"/>
      <c r="DM1098" s="485"/>
      <c r="DN1098" s="485"/>
      <c r="DO1098" s="485"/>
      <c r="DP1098" s="485"/>
      <c r="DQ1098" s="485"/>
      <c r="DR1098" s="485"/>
      <c r="DS1098" s="485"/>
      <c r="DT1098" s="485"/>
      <c r="DU1098" s="485"/>
      <c r="DV1098" s="485"/>
      <c r="DW1098" s="485"/>
      <c r="DX1098" s="485"/>
      <c r="DY1098" s="485"/>
      <c r="DZ1098" s="485"/>
      <c r="EA1098" s="485"/>
      <c r="EB1098" s="485"/>
      <c r="EC1098" s="485"/>
      <c r="ED1098" s="485"/>
      <c r="EE1098" s="485"/>
      <c r="EF1098" s="485"/>
      <c r="EG1098" s="485"/>
      <c r="EH1098" s="485"/>
      <c r="EI1098" s="485"/>
      <c r="EJ1098" s="485"/>
      <c r="EK1098" s="485"/>
      <c r="EL1098" s="485"/>
      <c r="EM1098" s="485"/>
      <c r="EN1098" s="485"/>
      <c r="EO1098" s="485"/>
      <c r="EP1098" s="485"/>
    </row>
    <row r="1099" spans="1:146">
      <c r="A1099" s="485"/>
      <c r="B1099" s="485"/>
      <c r="C1099" s="485"/>
      <c r="D1099" s="485"/>
      <c r="E1099" s="485"/>
      <c r="F1099" s="485"/>
      <c r="G1099" s="485"/>
      <c r="H1099" s="485"/>
      <c r="I1099" s="485"/>
      <c r="J1099" s="485"/>
      <c r="K1099" s="485"/>
      <c r="L1099" s="485"/>
      <c r="M1099" s="485"/>
      <c r="P1099" s="485"/>
      <c r="Q1099" s="485"/>
      <c r="R1099" s="485"/>
      <c r="S1099" s="485"/>
      <c r="T1099" s="485"/>
      <c r="U1099" s="485"/>
      <c r="V1099" s="485"/>
      <c r="W1099" s="485"/>
      <c r="X1099" s="485"/>
      <c r="Y1099" s="485"/>
      <c r="Z1099" s="485"/>
      <c r="AA1099" s="485"/>
      <c r="AB1099" s="485"/>
      <c r="AC1099" s="485"/>
      <c r="AD1099" s="485"/>
      <c r="AE1099" s="485"/>
      <c r="AF1099" s="485"/>
      <c r="AG1099" s="485"/>
      <c r="AH1099" s="485"/>
      <c r="AI1099" s="485"/>
      <c r="AJ1099" s="485"/>
      <c r="AK1099" s="485"/>
      <c r="AL1099" s="485"/>
      <c r="AM1099" s="485"/>
      <c r="AN1099" s="485"/>
      <c r="AO1099" s="485"/>
      <c r="AP1099" s="485"/>
      <c r="AQ1099" s="485"/>
      <c r="AR1099" s="485"/>
      <c r="AS1099" s="485"/>
      <c r="AT1099" s="485"/>
      <c r="AU1099" s="485"/>
      <c r="AV1099" s="485"/>
      <c r="AW1099" s="485"/>
      <c r="AX1099" s="485"/>
      <c r="AY1099" s="485"/>
      <c r="AZ1099" s="485"/>
      <c r="BA1099" s="485"/>
      <c r="BB1099" s="485"/>
      <c r="BC1099" s="485"/>
      <c r="BD1099" s="485"/>
      <c r="BE1099" s="485"/>
      <c r="BF1099" s="485"/>
      <c r="BG1099" s="485"/>
      <c r="BH1099" s="485"/>
      <c r="BI1099" s="485"/>
      <c r="BJ1099" s="485"/>
      <c r="BK1099" s="485"/>
      <c r="BL1099" s="485"/>
      <c r="BM1099" s="485"/>
      <c r="BN1099" s="485"/>
      <c r="BO1099" s="485"/>
      <c r="BP1099" s="485"/>
      <c r="BQ1099" s="485"/>
      <c r="BR1099" s="485"/>
      <c r="BS1099" s="485"/>
      <c r="BT1099" s="485"/>
      <c r="BU1099" s="485"/>
      <c r="BV1099" s="485"/>
      <c r="BW1099" s="485"/>
      <c r="BX1099" s="485"/>
      <c r="BY1099" s="485"/>
      <c r="BZ1099" s="485"/>
      <c r="CA1099" s="485"/>
      <c r="CB1099" s="485"/>
      <c r="CC1099" s="485"/>
      <c r="CD1099" s="485"/>
      <c r="CE1099" s="485"/>
      <c r="CF1099" s="485"/>
      <c r="CG1099" s="485"/>
      <c r="CH1099" s="485"/>
      <c r="CI1099" s="485"/>
      <c r="CJ1099" s="485"/>
      <c r="CK1099" s="485"/>
      <c r="CL1099" s="485"/>
      <c r="CM1099" s="485"/>
      <c r="CN1099" s="485"/>
      <c r="CO1099" s="485"/>
      <c r="CP1099" s="485"/>
      <c r="CQ1099" s="485"/>
      <c r="CR1099" s="485"/>
      <c r="CS1099" s="485"/>
      <c r="CT1099" s="485"/>
      <c r="CU1099" s="485"/>
      <c r="CV1099" s="485"/>
      <c r="CW1099" s="485"/>
      <c r="CX1099" s="485"/>
      <c r="CY1099" s="485"/>
      <c r="CZ1099" s="485"/>
      <c r="DA1099" s="485"/>
      <c r="DB1099" s="485"/>
      <c r="DC1099" s="485"/>
      <c r="DD1099" s="485"/>
      <c r="DE1099" s="485"/>
      <c r="DF1099" s="485"/>
      <c r="DG1099" s="485"/>
      <c r="DH1099" s="485"/>
      <c r="DI1099" s="485"/>
      <c r="DJ1099" s="485"/>
      <c r="DK1099" s="485"/>
      <c r="DL1099" s="485"/>
      <c r="DM1099" s="485"/>
      <c r="DN1099" s="485"/>
      <c r="DO1099" s="485"/>
      <c r="DP1099" s="485"/>
      <c r="DQ1099" s="485"/>
      <c r="DR1099" s="485"/>
      <c r="DS1099" s="485"/>
      <c r="DT1099" s="485"/>
      <c r="DU1099" s="485"/>
      <c r="DV1099" s="485"/>
      <c r="DW1099" s="485"/>
      <c r="DX1099" s="485"/>
      <c r="DY1099" s="485"/>
      <c r="DZ1099" s="485"/>
      <c r="EA1099" s="485"/>
      <c r="EB1099" s="485"/>
      <c r="EC1099" s="485"/>
      <c r="ED1099" s="485"/>
      <c r="EE1099" s="485"/>
      <c r="EF1099" s="485"/>
      <c r="EG1099" s="485"/>
      <c r="EH1099" s="485"/>
      <c r="EI1099" s="485"/>
      <c r="EJ1099" s="485"/>
      <c r="EK1099" s="485"/>
      <c r="EL1099" s="485"/>
      <c r="EM1099" s="485"/>
      <c r="EN1099" s="485"/>
      <c r="EO1099" s="485"/>
      <c r="EP1099" s="485"/>
    </row>
    <row r="1100" spans="1:146">
      <c r="A1100" s="485"/>
      <c r="B1100" s="485"/>
      <c r="C1100" s="485"/>
      <c r="D1100" s="485"/>
      <c r="E1100" s="485"/>
      <c r="F1100" s="485"/>
      <c r="G1100" s="485"/>
      <c r="H1100" s="485"/>
      <c r="I1100" s="485"/>
      <c r="J1100" s="485"/>
      <c r="K1100" s="485"/>
      <c r="L1100" s="485"/>
      <c r="M1100" s="485"/>
      <c r="P1100" s="485"/>
      <c r="Q1100" s="485"/>
      <c r="R1100" s="485"/>
      <c r="S1100" s="485"/>
      <c r="T1100" s="485"/>
      <c r="U1100" s="485"/>
      <c r="V1100" s="485"/>
      <c r="W1100" s="485"/>
      <c r="X1100" s="485"/>
      <c r="Y1100" s="485"/>
      <c r="Z1100" s="485"/>
      <c r="AA1100" s="485"/>
      <c r="AB1100" s="485"/>
      <c r="AC1100" s="485"/>
      <c r="AD1100" s="485"/>
      <c r="AE1100" s="485"/>
      <c r="AF1100" s="485"/>
      <c r="AG1100" s="485"/>
      <c r="AH1100" s="485"/>
      <c r="AI1100" s="485"/>
      <c r="AJ1100" s="485"/>
      <c r="AK1100" s="485"/>
      <c r="AL1100" s="485"/>
      <c r="AM1100" s="485"/>
      <c r="AN1100" s="485"/>
      <c r="AO1100" s="485"/>
      <c r="AP1100" s="485"/>
      <c r="AQ1100" s="485"/>
      <c r="AR1100" s="485"/>
      <c r="AS1100" s="485"/>
      <c r="AT1100" s="485"/>
      <c r="AU1100" s="485"/>
      <c r="AV1100" s="485"/>
      <c r="AW1100" s="485"/>
      <c r="AX1100" s="485"/>
      <c r="AY1100" s="485"/>
      <c r="AZ1100" s="485"/>
      <c r="BA1100" s="485"/>
      <c r="BB1100" s="485"/>
      <c r="BC1100" s="485"/>
      <c r="BD1100" s="485"/>
      <c r="BE1100" s="485"/>
      <c r="BF1100" s="485"/>
      <c r="BG1100" s="485"/>
      <c r="BH1100" s="485"/>
      <c r="BI1100" s="485"/>
      <c r="BJ1100" s="485"/>
      <c r="BK1100" s="485"/>
      <c r="BL1100" s="485"/>
      <c r="BM1100" s="485"/>
      <c r="BN1100" s="485"/>
      <c r="BO1100" s="485"/>
      <c r="BP1100" s="485"/>
      <c r="BQ1100" s="485"/>
      <c r="BR1100" s="485"/>
      <c r="BS1100" s="485"/>
      <c r="BT1100" s="485"/>
      <c r="BU1100" s="485"/>
      <c r="BV1100" s="485"/>
      <c r="BW1100" s="485"/>
      <c r="BX1100" s="485"/>
      <c r="BY1100" s="485"/>
      <c r="BZ1100" s="485"/>
      <c r="CA1100" s="485"/>
      <c r="CB1100" s="485"/>
      <c r="CC1100" s="485"/>
      <c r="CD1100" s="485"/>
      <c r="CE1100" s="485"/>
      <c r="CF1100" s="485"/>
      <c r="CG1100" s="485"/>
      <c r="CH1100" s="485"/>
      <c r="CI1100" s="485"/>
      <c r="CJ1100" s="485"/>
      <c r="CK1100" s="485"/>
      <c r="CL1100" s="485"/>
      <c r="CM1100" s="485"/>
      <c r="CN1100" s="485"/>
      <c r="CO1100" s="485"/>
      <c r="CP1100" s="485"/>
      <c r="CQ1100" s="485"/>
      <c r="CR1100" s="485"/>
      <c r="CS1100" s="485"/>
      <c r="CT1100" s="485"/>
      <c r="CU1100" s="485"/>
      <c r="CV1100" s="485"/>
      <c r="CW1100" s="485"/>
      <c r="CX1100" s="485"/>
      <c r="CY1100" s="485"/>
      <c r="CZ1100" s="485"/>
      <c r="DA1100" s="485"/>
      <c r="DB1100" s="485"/>
      <c r="DC1100" s="485"/>
      <c r="DD1100" s="485"/>
      <c r="DE1100" s="485"/>
      <c r="DF1100" s="485"/>
      <c r="DG1100" s="485"/>
      <c r="DH1100" s="485"/>
      <c r="DI1100" s="485"/>
      <c r="DJ1100" s="485"/>
      <c r="DK1100" s="485"/>
      <c r="DL1100" s="485"/>
      <c r="DM1100" s="485"/>
      <c r="DN1100" s="485"/>
      <c r="DO1100" s="485"/>
      <c r="DP1100" s="485"/>
      <c r="DQ1100" s="485"/>
      <c r="DR1100" s="485"/>
      <c r="DS1100" s="485"/>
      <c r="DT1100" s="485"/>
      <c r="DU1100" s="485"/>
      <c r="DV1100" s="485"/>
      <c r="DW1100" s="485"/>
      <c r="DX1100" s="485"/>
      <c r="DY1100" s="485"/>
      <c r="DZ1100" s="485"/>
      <c r="EA1100" s="485"/>
      <c r="EB1100" s="485"/>
      <c r="EC1100" s="485"/>
      <c r="ED1100" s="485"/>
      <c r="EE1100" s="485"/>
      <c r="EF1100" s="485"/>
      <c r="EG1100" s="485"/>
      <c r="EH1100" s="485"/>
      <c r="EI1100" s="485"/>
      <c r="EJ1100" s="485"/>
      <c r="EK1100" s="485"/>
      <c r="EL1100" s="485"/>
      <c r="EM1100" s="485"/>
      <c r="EN1100" s="485"/>
      <c r="EO1100" s="485"/>
      <c r="EP1100" s="485"/>
    </row>
    <row r="1101" spans="1:146">
      <c r="A1101" s="485"/>
      <c r="B1101" s="485"/>
      <c r="C1101" s="485"/>
      <c r="D1101" s="485"/>
      <c r="E1101" s="485"/>
      <c r="F1101" s="485"/>
      <c r="G1101" s="485"/>
      <c r="H1101" s="485"/>
      <c r="I1101" s="485"/>
      <c r="J1101" s="485"/>
      <c r="K1101" s="485"/>
      <c r="L1101" s="485"/>
      <c r="M1101" s="485"/>
      <c r="P1101" s="485"/>
      <c r="Q1101" s="485"/>
      <c r="R1101" s="485"/>
      <c r="S1101" s="485"/>
      <c r="T1101" s="485"/>
      <c r="U1101" s="485"/>
      <c r="V1101" s="485"/>
      <c r="W1101" s="485"/>
      <c r="X1101" s="485"/>
      <c r="Y1101" s="485"/>
      <c r="Z1101" s="485"/>
      <c r="AA1101" s="485"/>
      <c r="AB1101" s="485"/>
      <c r="AC1101" s="485"/>
      <c r="AD1101" s="485"/>
      <c r="AE1101" s="485"/>
      <c r="AF1101" s="485"/>
      <c r="AG1101" s="485"/>
      <c r="AH1101" s="485"/>
      <c r="AI1101" s="485"/>
      <c r="AJ1101" s="485"/>
      <c r="AK1101" s="485"/>
      <c r="AL1101" s="485"/>
      <c r="AM1101" s="485"/>
      <c r="AN1101" s="485"/>
      <c r="AO1101" s="485"/>
      <c r="AP1101" s="485"/>
      <c r="AQ1101" s="485"/>
      <c r="AR1101" s="485"/>
      <c r="AS1101" s="485"/>
      <c r="AT1101" s="485"/>
      <c r="AU1101" s="485"/>
      <c r="AV1101" s="485"/>
      <c r="AW1101" s="485"/>
      <c r="AX1101" s="485"/>
      <c r="AY1101" s="485"/>
      <c r="AZ1101" s="485"/>
      <c r="BA1101" s="485"/>
      <c r="BB1101" s="485"/>
      <c r="BC1101" s="485"/>
      <c r="BD1101" s="485"/>
      <c r="BE1101" s="485"/>
      <c r="BF1101" s="485"/>
      <c r="BG1101" s="485"/>
      <c r="BH1101" s="485"/>
      <c r="BI1101" s="485"/>
      <c r="BJ1101" s="485"/>
      <c r="BK1101" s="485"/>
      <c r="BL1101" s="485"/>
      <c r="BM1101" s="485"/>
      <c r="BN1101" s="485"/>
      <c r="BO1101" s="485"/>
      <c r="BP1101" s="485"/>
      <c r="BQ1101" s="485"/>
      <c r="BR1101" s="485"/>
      <c r="BS1101" s="485"/>
      <c r="BT1101" s="485"/>
      <c r="BU1101" s="485"/>
      <c r="BV1101" s="485"/>
      <c r="BW1101" s="485"/>
      <c r="BX1101" s="485"/>
      <c r="BY1101" s="485"/>
      <c r="BZ1101" s="485"/>
      <c r="CA1101" s="485"/>
      <c r="CB1101" s="485"/>
      <c r="CC1101" s="485"/>
      <c r="CD1101" s="485"/>
      <c r="CE1101" s="485"/>
      <c r="CF1101" s="485"/>
      <c r="CG1101" s="485"/>
      <c r="CH1101" s="485"/>
      <c r="CI1101" s="485"/>
      <c r="CJ1101" s="485"/>
      <c r="CK1101" s="485"/>
      <c r="CL1101" s="485"/>
      <c r="CM1101" s="485"/>
      <c r="CN1101" s="485"/>
      <c r="CO1101" s="485"/>
      <c r="CP1101" s="485"/>
      <c r="CQ1101" s="485"/>
      <c r="CR1101" s="485"/>
      <c r="CS1101" s="485"/>
      <c r="CT1101" s="485"/>
      <c r="CU1101" s="485"/>
      <c r="CV1101" s="485"/>
      <c r="CW1101" s="485"/>
      <c r="CX1101" s="485"/>
      <c r="CY1101" s="485"/>
      <c r="CZ1101" s="485"/>
      <c r="DA1101" s="485"/>
      <c r="DB1101" s="485"/>
      <c r="DC1101" s="485"/>
      <c r="DD1101" s="485"/>
      <c r="DE1101" s="485"/>
      <c r="DF1101" s="485"/>
      <c r="DG1101" s="485"/>
      <c r="DH1101" s="485"/>
      <c r="DI1101" s="485"/>
      <c r="DJ1101" s="485"/>
      <c r="DK1101" s="485"/>
      <c r="DL1101" s="485"/>
      <c r="DM1101" s="485"/>
      <c r="DN1101" s="485"/>
      <c r="DO1101" s="485"/>
      <c r="DP1101" s="485"/>
      <c r="DQ1101" s="485"/>
      <c r="DR1101" s="485"/>
      <c r="DS1101" s="485"/>
      <c r="DT1101" s="485"/>
      <c r="DU1101" s="485"/>
      <c r="DV1101" s="485"/>
      <c r="DW1101" s="485"/>
      <c r="DX1101" s="485"/>
      <c r="DY1101" s="485"/>
      <c r="DZ1101" s="485"/>
      <c r="EA1101" s="485"/>
      <c r="EB1101" s="485"/>
      <c r="EC1101" s="485"/>
      <c r="ED1101" s="485"/>
      <c r="EE1101" s="485"/>
      <c r="EF1101" s="485"/>
      <c r="EG1101" s="485"/>
      <c r="EH1101" s="485"/>
      <c r="EI1101" s="485"/>
      <c r="EJ1101" s="485"/>
      <c r="EK1101" s="485"/>
      <c r="EL1101" s="485"/>
      <c r="EM1101" s="485"/>
      <c r="EN1101" s="485"/>
      <c r="EO1101" s="485"/>
      <c r="EP1101" s="485"/>
    </row>
    <row r="1102" spans="1:146">
      <c r="A1102" s="485"/>
      <c r="B1102" s="485"/>
      <c r="C1102" s="485"/>
      <c r="D1102" s="485"/>
      <c r="E1102" s="485"/>
      <c r="F1102" s="485"/>
      <c r="G1102" s="485"/>
      <c r="H1102" s="485"/>
      <c r="I1102" s="485"/>
      <c r="J1102" s="485"/>
      <c r="K1102" s="485"/>
      <c r="L1102" s="485"/>
      <c r="M1102" s="485"/>
      <c r="P1102" s="485"/>
      <c r="Q1102" s="485"/>
      <c r="R1102" s="485"/>
      <c r="S1102" s="485"/>
      <c r="T1102" s="485"/>
      <c r="U1102" s="485"/>
      <c r="V1102" s="485"/>
      <c r="W1102" s="485"/>
      <c r="X1102" s="485"/>
      <c r="Y1102" s="485"/>
      <c r="Z1102" s="485"/>
      <c r="AA1102" s="485"/>
      <c r="AB1102" s="485"/>
      <c r="AC1102" s="485"/>
      <c r="AD1102" s="485"/>
      <c r="AE1102" s="485"/>
      <c r="AF1102" s="485"/>
      <c r="AG1102" s="485"/>
      <c r="AH1102" s="485"/>
      <c r="AI1102" s="485"/>
      <c r="AJ1102" s="485"/>
      <c r="AK1102" s="485"/>
      <c r="AL1102" s="485"/>
      <c r="AM1102" s="485"/>
      <c r="AN1102" s="485"/>
      <c r="AO1102" s="485"/>
      <c r="AP1102" s="485"/>
      <c r="AQ1102" s="485"/>
      <c r="AR1102" s="485"/>
      <c r="AS1102" s="485"/>
      <c r="AT1102" s="485"/>
      <c r="AU1102" s="485"/>
      <c r="AV1102" s="485"/>
      <c r="AW1102" s="485"/>
      <c r="AX1102" s="485"/>
      <c r="AY1102" s="485"/>
      <c r="AZ1102" s="485"/>
      <c r="BA1102" s="485"/>
      <c r="BB1102" s="485"/>
      <c r="BC1102" s="485"/>
      <c r="BD1102" s="485"/>
      <c r="BE1102" s="485"/>
      <c r="BF1102" s="485"/>
      <c r="BG1102" s="485"/>
      <c r="BH1102" s="485"/>
      <c r="BI1102" s="485"/>
      <c r="BJ1102" s="485"/>
      <c r="BK1102" s="485"/>
      <c r="BL1102" s="485"/>
      <c r="BM1102" s="485"/>
      <c r="BN1102" s="485"/>
      <c r="BO1102" s="485"/>
      <c r="BP1102" s="485"/>
      <c r="BQ1102" s="485"/>
      <c r="BR1102" s="485"/>
      <c r="BS1102" s="485"/>
      <c r="BT1102" s="485"/>
      <c r="BU1102" s="485"/>
      <c r="BV1102" s="485"/>
      <c r="BW1102" s="485"/>
      <c r="BX1102" s="485"/>
      <c r="BY1102" s="485"/>
      <c r="BZ1102" s="485"/>
      <c r="CA1102" s="485"/>
      <c r="CB1102" s="485"/>
      <c r="CC1102" s="485"/>
      <c r="CD1102" s="485"/>
      <c r="CE1102" s="485"/>
      <c r="CF1102" s="485"/>
      <c r="CG1102" s="485"/>
      <c r="CH1102" s="485"/>
      <c r="CI1102" s="485"/>
      <c r="CJ1102" s="485"/>
      <c r="CK1102" s="485"/>
      <c r="CL1102" s="485"/>
      <c r="CM1102" s="485"/>
      <c r="CN1102" s="485"/>
      <c r="CO1102" s="485"/>
      <c r="CP1102" s="485"/>
      <c r="CQ1102" s="485"/>
      <c r="CR1102" s="485"/>
      <c r="CS1102" s="485"/>
      <c r="CT1102" s="485"/>
      <c r="CU1102" s="485"/>
      <c r="CV1102" s="485"/>
      <c r="CW1102" s="485"/>
      <c r="CX1102" s="485"/>
      <c r="CY1102" s="485"/>
      <c r="CZ1102" s="485"/>
      <c r="DA1102" s="485"/>
      <c r="DB1102" s="485"/>
      <c r="DC1102" s="485"/>
      <c r="DD1102" s="485"/>
      <c r="DE1102" s="485"/>
      <c r="DF1102" s="485"/>
      <c r="DG1102" s="485"/>
      <c r="DH1102" s="485"/>
      <c r="DI1102" s="485"/>
      <c r="DJ1102" s="485"/>
      <c r="DK1102" s="485"/>
      <c r="DL1102" s="485"/>
      <c r="DM1102" s="485"/>
      <c r="DN1102" s="485"/>
      <c r="DO1102" s="485"/>
      <c r="DP1102" s="485"/>
      <c r="DQ1102" s="485"/>
      <c r="DR1102" s="485"/>
      <c r="DS1102" s="485"/>
      <c r="DT1102" s="485"/>
      <c r="DU1102" s="485"/>
      <c r="DV1102" s="485"/>
      <c r="DW1102" s="485"/>
      <c r="DX1102" s="485"/>
      <c r="DY1102" s="485"/>
      <c r="DZ1102" s="485"/>
      <c r="EA1102" s="485"/>
      <c r="EB1102" s="485"/>
      <c r="EC1102" s="485"/>
      <c r="ED1102" s="485"/>
      <c r="EE1102" s="485"/>
      <c r="EF1102" s="485"/>
      <c r="EG1102" s="485"/>
      <c r="EH1102" s="485"/>
      <c r="EI1102" s="485"/>
      <c r="EJ1102" s="485"/>
      <c r="EK1102" s="485"/>
      <c r="EL1102" s="485"/>
      <c r="EM1102" s="485"/>
      <c r="EN1102" s="485"/>
      <c r="EO1102" s="485"/>
      <c r="EP1102" s="485"/>
    </row>
    <row r="1103" spans="1:146">
      <c r="A1103" s="485"/>
      <c r="B1103" s="485"/>
      <c r="C1103" s="485"/>
      <c r="D1103" s="485"/>
      <c r="E1103" s="485"/>
      <c r="F1103" s="485"/>
      <c r="G1103" s="485"/>
      <c r="H1103" s="485"/>
      <c r="I1103" s="485"/>
      <c r="J1103" s="485"/>
      <c r="K1103" s="485"/>
      <c r="L1103" s="485"/>
      <c r="M1103" s="485"/>
      <c r="P1103" s="485"/>
      <c r="Q1103" s="485"/>
      <c r="R1103" s="485"/>
      <c r="S1103" s="485"/>
      <c r="T1103" s="485"/>
      <c r="U1103" s="485"/>
      <c r="V1103" s="485"/>
      <c r="W1103" s="485"/>
      <c r="X1103" s="485"/>
      <c r="Y1103" s="485"/>
      <c r="Z1103" s="485"/>
      <c r="AA1103" s="485"/>
      <c r="AB1103" s="485"/>
      <c r="AC1103" s="485"/>
      <c r="AD1103" s="485"/>
      <c r="AE1103" s="485"/>
      <c r="AF1103" s="485"/>
      <c r="AG1103" s="485"/>
      <c r="AH1103" s="485"/>
      <c r="AI1103" s="485"/>
      <c r="AJ1103" s="485"/>
      <c r="AK1103" s="485"/>
      <c r="AL1103" s="485"/>
      <c r="AM1103" s="485"/>
      <c r="AN1103" s="485"/>
      <c r="AO1103" s="485"/>
      <c r="AP1103" s="485"/>
      <c r="AQ1103" s="485"/>
      <c r="AR1103" s="485"/>
      <c r="AS1103" s="485"/>
      <c r="AT1103" s="485"/>
      <c r="AU1103" s="485"/>
      <c r="AV1103" s="485"/>
      <c r="AW1103" s="485"/>
      <c r="AX1103" s="485"/>
      <c r="AY1103" s="485"/>
      <c r="AZ1103" s="485"/>
      <c r="BA1103" s="485"/>
      <c r="BB1103" s="485"/>
      <c r="BC1103" s="485"/>
      <c r="BD1103" s="485"/>
      <c r="BE1103" s="485"/>
      <c r="BF1103" s="485"/>
      <c r="BG1103" s="485"/>
      <c r="BH1103" s="485"/>
      <c r="BI1103" s="485"/>
      <c r="BJ1103" s="485"/>
      <c r="BK1103" s="485"/>
      <c r="BL1103" s="485"/>
      <c r="BM1103" s="485"/>
      <c r="BN1103" s="485"/>
      <c r="BO1103" s="485"/>
      <c r="BP1103" s="485"/>
      <c r="BQ1103" s="485"/>
      <c r="BR1103" s="485"/>
      <c r="BS1103" s="485"/>
      <c r="BT1103" s="485"/>
      <c r="BU1103" s="485"/>
      <c r="BV1103" s="485"/>
      <c r="BW1103" s="485"/>
      <c r="BX1103" s="485"/>
      <c r="BY1103" s="485"/>
      <c r="BZ1103" s="485"/>
      <c r="CA1103" s="485"/>
      <c r="CB1103" s="485"/>
      <c r="CC1103" s="485"/>
      <c r="CD1103" s="485"/>
      <c r="CE1103" s="485"/>
      <c r="CF1103" s="485"/>
      <c r="CG1103" s="485"/>
      <c r="CH1103" s="485"/>
      <c r="CI1103" s="485"/>
      <c r="CJ1103" s="485"/>
      <c r="CK1103" s="485"/>
      <c r="CL1103" s="485"/>
      <c r="CM1103" s="485"/>
      <c r="CN1103" s="485"/>
      <c r="CO1103" s="485"/>
      <c r="CP1103" s="485"/>
      <c r="CQ1103" s="485"/>
      <c r="CR1103" s="485"/>
      <c r="CS1103" s="485"/>
      <c r="CT1103" s="485"/>
      <c r="CU1103" s="485"/>
      <c r="CV1103" s="485"/>
      <c r="CW1103" s="485"/>
      <c r="CX1103" s="485"/>
      <c r="CY1103" s="485"/>
      <c r="CZ1103" s="485"/>
      <c r="DA1103" s="485"/>
      <c r="DB1103" s="485"/>
      <c r="DC1103" s="485"/>
      <c r="DD1103" s="485"/>
      <c r="DE1103" s="485"/>
      <c r="DF1103" s="485"/>
      <c r="DG1103" s="485"/>
      <c r="DH1103" s="485"/>
      <c r="DI1103" s="485"/>
      <c r="DJ1103" s="485"/>
      <c r="DK1103" s="485"/>
      <c r="DL1103" s="485"/>
      <c r="DM1103" s="485"/>
      <c r="DN1103" s="485"/>
      <c r="DO1103" s="485"/>
      <c r="DP1103" s="485"/>
      <c r="DQ1103" s="485"/>
      <c r="DR1103" s="485"/>
      <c r="DS1103" s="485"/>
      <c r="DT1103" s="485"/>
      <c r="DU1103" s="485"/>
      <c r="DV1103" s="485"/>
      <c r="DW1103" s="485"/>
      <c r="DX1103" s="485"/>
      <c r="DY1103" s="485"/>
      <c r="DZ1103" s="485"/>
      <c r="EA1103" s="485"/>
      <c r="EB1103" s="485"/>
      <c r="EC1103" s="485"/>
      <c r="ED1103" s="485"/>
      <c r="EE1103" s="485"/>
      <c r="EF1103" s="485"/>
      <c r="EG1103" s="485"/>
      <c r="EH1103" s="485"/>
      <c r="EI1103" s="485"/>
      <c r="EJ1103" s="485"/>
      <c r="EK1103" s="485"/>
      <c r="EL1103" s="485"/>
      <c r="EM1103" s="485"/>
      <c r="EN1103" s="485"/>
      <c r="EO1103" s="485"/>
      <c r="EP1103" s="485"/>
    </row>
    <row r="1104" spans="1:146">
      <c r="A1104" s="485"/>
      <c r="B1104" s="485"/>
      <c r="C1104" s="485"/>
      <c r="D1104" s="485"/>
      <c r="E1104" s="485"/>
      <c r="F1104" s="485"/>
      <c r="G1104" s="485"/>
      <c r="H1104" s="485"/>
      <c r="I1104" s="485"/>
      <c r="J1104" s="485"/>
      <c r="K1104" s="485"/>
      <c r="L1104" s="485"/>
      <c r="M1104" s="485"/>
      <c r="P1104" s="485"/>
      <c r="Q1104" s="485"/>
      <c r="R1104" s="485"/>
      <c r="S1104" s="485"/>
      <c r="T1104" s="485"/>
      <c r="U1104" s="485"/>
      <c r="V1104" s="485"/>
      <c r="W1104" s="485"/>
      <c r="X1104" s="485"/>
      <c r="Y1104" s="485"/>
      <c r="Z1104" s="485"/>
      <c r="AA1104" s="485"/>
      <c r="AB1104" s="485"/>
      <c r="AC1104" s="485"/>
      <c r="AD1104" s="485"/>
      <c r="AE1104" s="485"/>
      <c r="AF1104" s="485"/>
      <c r="AG1104" s="485"/>
      <c r="AH1104" s="485"/>
      <c r="AI1104" s="485"/>
      <c r="AJ1104" s="485"/>
      <c r="AK1104" s="485"/>
      <c r="AL1104" s="485"/>
      <c r="AM1104" s="485"/>
      <c r="AN1104" s="485"/>
      <c r="AO1104" s="485"/>
      <c r="AP1104" s="485"/>
      <c r="AQ1104" s="485"/>
      <c r="AR1104" s="485"/>
      <c r="AS1104" s="485"/>
      <c r="AT1104" s="485"/>
      <c r="AU1104" s="485"/>
      <c r="AV1104" s="485"/>
      <c r="AW1104" s="485"/>
      <c r="AX1104" s="485"/>
      <c r="AY1104" s="485"/>
      <c r="AZ1104" s="485"/>
      <c r="BA1104" s="485"/>
      <c r="BB1104" s="485"/>
      <c r="BC1104" s="485"/>
      <c r="BD1104" s="485"/>
      <c r="BE1104" s="485"/>
      <c r="BF1104" s="485"/>
      <c r="BG1104" s="485"/>
      <c r="BH1104" s="485"/>
      <c r="BI1104" s="485"/>
      <c r="BJ1104" s="485"/>
      <c r="BK1104" s="485"/>
      <c r="BL1104" s="485"/>
      <c r="BM1104" s="485"/>
      <c r="BN1104" s="485"/>
      <c r="BO1104" s="485"/>
      <c r="BP1104" s="485"/>
      <c r="BQ1104" s="485"/>
      <c r="BR1104" s="485"/>
      <c r="BS1104" s="485"/>
      <c r="BT1104" s="485"/>
      <c r="BU1104" s="485"/>
      <c r="BV1104" s="485"/>
      <c r="BW1104" s="485"/>
      <c r="BX1104" s="485"/>
      <c r="BY1104" s="485"/>
      <c r="BZ1104" s="485"/>
      <c r="CA1104" s="485"/>
      <c r="CB1104" s="485"/>
      <c r="CC1104" s="485"/>
      <c r="CD1104" s="485"/>
      <c r="CE1104" s="485"/>
      <c r="CF1104" s="485"/>
      <c r="CG1104" s="485"/>
      <c r="CH1104" s="485"/>
      <c r="CI1104" s="485"/>
      <c r="CJ1104" s="485"/>
      <c r="CK1104" s="485"/>
      <c r="CL1104" s="485"/>
      <c r="CM1104" s="485"/>
      <c r="CN1104" s="485"/>
      <c r="CO1104" s="485"/>
      <c r="CP1104" s="485"/>
      <c r="CQ1104" s="485"/>
      <c r="CR1104" s="485"/>
      <c r="CS1104" s="485"/>
      <c r="CT1104" s="485"/>
      <c r="CU1104" s="485"/>
      <c r="CV1104" s="485"/>
      <c r="CW1104" s="485"/>
      <c r="CX1104" s="485"/>
      <c r="CY1104" s="485"/>
      <c r="CZ1104" s="485"/>
      <c r="DA1104" s="485"/>
      <c r="DB1104" s="485"/>
      <c r="DC1104" s="485"/>
      <c r="DD1104" s="485"/>
      <c r="DE1104" s="485"/>
      <c r="DF1104" s="485"/>
      <c r="DG1104" s="485"/>
      <c r="DH1104" s="485"/>
      <c r="DI1104" s="485"/>
      <c r="DJ1104" s="485"/>
      <c r="DK1104" s="485"/>
      <c r="DL1104" s="485"/>
      <c r="DM1104" s="485"/>
      <c r="DN1104" s="485"/>
      <c r="DO1104" s="485"/>
      <c r="DP1104" s="485"/>
      <c r="DQ1104" s="485"/>
      <c r="DR1104" s="485"/>
      <c r="DS1104" s="485"/>
      <c r="DT1104" s="485"/>
      <c r="DU1104" s="485"/>
      <c r="DV1104" s="485"/>
      <c r="DW1104" s="485"/>
      <c r="DX1104" s="485"/>
      <c r="DY1104" s="485"/>
      <c r="DZ1104" s="485"/>
      <c r="EA1104" s="485"/>
      <c r="EB1104" s="485"/>
      <c r="EC1104" s="485"/>
      <c r="ED1104" s="485"/>
      <c r="EE1104" s="485"/>
      <c r="EF1104" s="485"/>
      <c r="EG1104" s="485"/>
      <c r="EH1104" s="485"/>
      <c r="EI1104" s="485"/>
      <c r="EJ1104" s="485"/>
      <c r="EK1104" s="485"/>
      <c r="EL1104" s="485"/>
      <c r="EM1104" s="485"/>
      <c r="EN1104" s="485"/>
      <c r="EO1104" s="485"/>
      <c r="EP1104" s="485"/>
    </row>
    <row r="1105" spans="1:146">
      <c r="A1105" s="485"/>
      <c r="B1105" s="485"/>
      <c r="C1105" s="485"/>
      <c r="D1105" s="485"/>
      <c r="E1105" s="485"/>
      <c r="F1105" s="485"/>
      <c r="G1105" s="485"/>
      <c r="H1105" s="485"/>
      <c r="I1105" s="485"/>
      <c r="J1105" s="485"/>
      <c r="K1105" s="485"/>
      <c r="L1105" s="485"/>
      <c r="M1105" s="485"/>
      <c r="P1105" s="485"/>
      <c r="Q1105" s="485"/>
      <c r="R1105" s="485"/>
      <c r="S1105" s="485"/>
      <c r="T1105" s="485"/>
      <c r="U1105" s="485"/>
      <c r="V1105" s="485"/>
      <c r="W1105" s="485"/>
      <c r="X1105" s="485"/>
      <c r="Y1105" s="485"/>
      <c r="Z1105" s="485"/>
      <c r="AA1105" s="485"/>
      <c r="AB1105" s="485"/>
      <c r="AC1105" s="485"/>
      <c r="AD1105" s="485"/>
      <c r="AE1105" s="485"/>
      <c r="AF1105" s="485"/>
      <c r="AG1105" s="485"/>
      <c r="AH1105" s="485"/>
      <c r="AI1105" s="485"/>
      <c r="AJ1105" s="485"/>
      <c r="AK1105" s="485"/>
      <c r="AL1105" s="485"/>
      <c r="AM1105" s="485"/>
      <c r="AN1105" s="485"/>
      <c r="AO1105" s="485"/>
      <c r="AP1105" s="485"/>
      <c r="AQ1105" s="485"/>
      <c r="AR1105" s="485"/>
      <c r="AS1105" s="485"/>
      <c r="AT1105" s="485"/>
      <c r="AU1105" s="485"/>
      <c r="AV1105" s="485"/>
      <c r="AW1105" s="485"/>
      <c r="AX1105" s="485"/>
      <c r="AY1105" s="485"/>
      <c r="AZ1105" s="485"/>
      <c r="BA1105" s="485"/>
      <c r="BB1105" s="485"/>
      <c r="BC1105" s="485"/>
      <c r="BD1105" s="485"/>
      <c r="BE1105" s="485"/>
      <c r="BF1105" s="485"/>
      <c r="BG1105" s="485"/>
      <c r="BH1105" s="485"/>
      <c r="BI1105" s="485"/>
      <c r="BJ1105" s="485"/>
      <c r="BK1105" s="485"/>
      <c r="BL1105" s="485"/>
      <c r="BM1105" s="485"/>
      <c r="BN1105" s="485"/>
      <c r="BO1105" s="485"/>
      <c r="BP1105" s="485"/>
      <c r="BQ1105" s="485"/>
      <c r="BR1105" s="485"/>
      <c r="BS1105" s="485"/>
      <c r="BT1105" s="485"/>
      <c r="BU1105" s="485"/>
      <c r="BV1105" s="485"/>
      <c r="BW1105" s="485"/>
      <c r="BX1105" s="485"/>
      <c r="BY1105" s="485"/>
      <c r="BZ1105" s="485"/>
      <c r="CA1105" s="485"/>
      <c r="CB1105" s="485"/>
      <c r="CC1105" s="485"/>
      <c r="CD1105" s="485"/>
      <c r="CE1105" s="485"/>
      <c r="CF1105" s="485"/>
      <c r="CG1105" s="485"/>
      <c r="CH1105" s="485"/>
      <c r="CI1105" s="485"/>
      <c r="CJ1105" s="485"/>
      <c r="CK1105" s="485"/>
      <c r="CL1105" s="485"/>
      <c r="CM1105" s="485"/>
      <c r="CN1105" s="485"/>
      <c r="CO1105" s="485"/>
      <c r="CP1105" s="485"/>
      <c r="CQ1105" s="485"/>
      <c r="CR1105" s="485"/>
      <c r="CS1105" s="485"/>
      <c r="CT1105" s="485"/>
      <c r="CU1105" s="485"/>
      <c r="CV1105" s="485"/>
      <c r="CW1105" s="485"/>
      <c r="CX1105" s="485"/>
      <c r="CY1105" s="485"/>
      <c r="CZ1105" s="485"/>
      <c r="DA1105" s="485"/>
      <c r="DB1105" s="485"/>
      <c r="DC1105" s="485"/>
      <c r="DD1105" s="485"/>
      <c r="DE1105" s="485"/>
      <c r="DF1105" s="485"/>
      <c r="DG1105" s="485"/>
      <c r="DH1105" s="485"/>
      <c r="DI1105" s="485"/>
      <c r="DJ1105" s="485"/>
      <c r="DK1105" s="485"/>
      <c r="DL1105" s="485"/>
      <c r="DM1105" s="485"/>
      <c r="DN1105" s="485"/>
      <c r="DO1105" s="485"/>
      <c r="DP1105" s="485"/>
      <c r="DQ1105" s="485"/>
      <c r="DR1105" s="485"/>
      <c r="DS1105" s="485"/>
      <c r="DT1105" s="485"/>
      <c r="DU1105" s="485"/>
      <c r="DV1105" s="485"/>
      <c r="DW1105" s="485"/>
      <c r="DX1105" s="485"/>
      <c r="DY1105" s="485"/>
      <c r="DZ1105" s="485"/>
      <c r="EA1105" s="485"/>
      <c r="EB1105" s="485"/>
      <c r="EC1105" s="485"/>
      <c r="ED1105" s="485"/>
      <c r="EE1105" s="485"/>
      <c r="EF1105" s="485"/>
      <c r="EG1105" s="485"/>
      <c r="EH1105" s="485"/>
      <c r="EI1105" s="485"/>
      <c r="EJ1105" s="485"/>
      <c r="EK1105" s="485"/>
      <c r="EL1105" s="485"/>
      <c r="EM1105" s="485"/>
      <c r="EN1105" s="485"/>
      <c r="EO1105" s="485"/>
      <c r="EP1105" s="485"/>
    </row>
    <row r="1106" spans="1:146">
      <c r="A1106" s="485"/>
      <c r="B1106" s="485"/>
      <c r="C1106" s="485"/>
      <c r="D1106" s="485"/>
      <c r="E1106" s="485"/>
      <c r="F1106" s="485"/>
      <c r="G1106" s="485"/>
      <c r="H1106" s="485"/>
      <c r="I1106" s="485"/>
      <c r="J1106" s="485"/>
      <c r="K1106" s="485"/>
      <c r="L1106" s="485"/>
      <c r="M1106" s="485"/>
      <c r="P1106" s="485"/>
      <c r="Q1106" s="485"/>
      <c r="R1106" s="485"/>
      <c r="S1106" s="485"/>
      <c r="T1106" s="485"/>
      <c r="U1106" s="485"/>
      <c r="V1106" s="485"/>
      <c r="W1106" s="485"/>
      <c r="X1106" s="485"/>
      <c r="Y1106" s="485"/>
      <c r="Z1106" s="485"/>
      <c r="AA1106" s="485"/>
      <c r="AB1106" s="485"/>
      <c r="AC1106" s="485"/>
      <c r="AD1106" s="485"/>
      <c r="AE1106" s="485"/>
      <c r="AF1106" s="485"/>
      <c r="AG1106" s="485"/>
      <c r="AH1106" s="485"/>
      <c r="AI1106" s="485"/>
      <c r="AJ1106" s="485"/>
      <c r="AK1106" s="485"/>
      <c r="AL1106" s="485"/>
      <c r="AM1106" s="485"/>
      <c r="AN1106" s="485"/>
      <c r="AO1106" s="485"/>
      <c r="AP1106" s="485"/>
      <c r="AQ1106" s="485"/>
      <c r="AR1106" s="485"/>
      <c r="AS1106" s="485"/>
      <c r="AT1106" s="485"/>
      <c r="AU1106" s="485"/>
      <c r="AV1106" s="485"/>
      <c r="AW1106" s="485"/>
      <c r="AX1106" s="485"/>
      <c r="AY1106" s="485"/>
      <c r="AZ1106" s="485"/>
      <c r="BA1106" s="485"/>
      <c r="BB1106" s="485"/>
      <c r="BC1106" s="485"/>
      <c r="BD1106" s="485"/>
      <c r="BE1106" s="485"/>
      <c r="BF1106" s="485"/>
      <c r="BG1106" s="485"/>
      <c r="BH1106" s="485"/>
      <c r="BI1106" s="485"/>
      <c r="BJ1106" s="485"/>
      <c r="BK1106" s="485"/>
      <c r="BL1106" s="485"/>
      <c r="BM1106" s="485"/>
      <c r="BN1106" s="485"/>
      <c r="BO1106" s="485"/>
      <c r="BP1106" s="485"/>
      <c r="BQ1106" s="485"/>
      <c r="BR1106" s="485"/>
      <c r="BS1106" s="485"/>
      <c r="BT1106" s="485"/>
      <c r="BU1106" s="485"/>
      <c r="BV1106" s="485"/>
      <c r="BW1106" s="485"/>
      <c r="BX1106" s="485"/>
      <c r="BY1106" s="485"/>
      <c r="BZ1106" s="485"/>
      <c r="CA1106" s="485"/>
      <c r="CB1106" s="485"/>
      <c r="CC1106" s="485"/>
      <c r="CD1106" s="485"/>
      <c r="CE1106" s="485"/>
      <c r="CF1106" s="485"/>
      <c r="CG1106" s="485"/>
      <c r="CH1106" s="485"/>
      <c r="CI1106" s="485"/>
      <c r="CJ1106" s="485"/>
      <c r="CK1106" s="485"/>
      <c r="CL1106" s="485"/>
      <c r="CM1106" s="485"/>
      <c r="CN1106" s="485"/>
      <c r="CO1106" s="485"/>
      <c r="CP1106" s="485"/>
      <c r="CQ1106" s="485"/>
      <c r="CR1106" s="485"/>
      <c r="CS1106" s="485"/>
      <c r="CT1106" s="485"/>
      <c r="CU1106" s="485"/>
      <c r="CV1106" s="485"/>
      <c r="CW1106" s="485"/>
      <c r="CX1106" s="485"/>
      <c r="CY1106" s="485"/>
      <c r="CZ1106" s="485"/>
      <c r="DA1106" s="485"/>
      <c r="DB1106" s="485"/>
      <c r="DC1106" s="485"/>
      <c r="DD1106" s="485"/>
      <c r="DE1106" s="485"/>
      <c r="DF1106" s="485"/>
      <c r="DG1106" s="485"/>
      <c r="DH1106" s="485"/>
      <c r="DI1106" s="485"/>
      <c r="DJ1106" s="485"/>
      <c r="DK1106" s="485"/>
      <c r="DL1106" s="485"/>
      <c r="DM1106" s="485"/>
      <c r="DN1106" s="485"/>
      <c r="DO1106" s="485"/>
      <c r="DP1106" s="485"/>
      <c r="DQ1106" s="485"/>
      <c r="DR1106" s="485"/>
      <c r="DS1106" s="485"/>
      <c r="DT1106" s="485"/>
      <c r="DU1106" s="485"/>
      <c r="DV1106" s="485"/>
      <c r="DW1106" s="485"/>
      <c r="DX1106" s="485"/>
      <c r="DY1106" s="485"/>
      <c r="DZ1106" s="485"/>
      <c r="EA1106" s="485"/>
      <c r="EB1106" s="485"/>
      <c r="EC1106" s="485"/>
      <c r="ED1106" s="485"/>
      <c r="EE1106" s="485"/>
      <c r="EF1106" s="485"/>
      <c r="EG1106" s="485"/>
      <c r="EH1106" s="485"/>
      <c r="EI1106" s="485"/>
      <c r="EJ1106" s="485"/>
      <c r="EK1106" s="485"/>
      <c r="EL1106" s="485"/>
      <c r="EM1106" s="485"/>
      <c r="EN1106" s="485"/>
      <c r="EO1106" s="485"/>
      <c r="EP1106" s="485"/>
    </row>
    <row r="1107" spans="1:146">
      <c r="A1107" s="485"/>
      <c r="B1107" s="485"/>
      <c r="C1107" s="485"/>
      <c r="D1107" s="485"/>
      <c r="E1107" s="485"/>
      <c r="F1107" s="485"/>
      <c r="G1107" s="485"/>
      <c r="H1107" s="485"/>
      <c r="I1107" s="485"/>
      <c r="J1107" s="485"/>
      <c r="K1107" s="485"/>
      <c r="L1107" s="485"/>
      <c r="M1107" s="485"/>
      <c r="P1107" s="485"/>
      <c r="Q1107" s="485"/>
      <c r="R1107" s="485"/>
      <c r="S1107" s="485"/>
      <c r="T1107" s="485"/>
      <c r="U1107" s="485"/>
      <c r="V1107" s="485"/>
      <c r="W1107" s="485"/>
      <c r="X1107" s="485"/>
      <c r="Y1107" s="485"/>
      <c r="Z1107" s="485"/>
      <c r="AA1107" s="485"/>
      <c r="AB1107" s="485"/>
      <c r="AC1107" s="485"/>
      <c r="AD1107" s="485"/>
      <c r="AE1107" s="485"/>
      <c r="AF1107" s="485"/>
      <c r="AG1107" s="485"/>
      <c r="AH1107" s="485"/>
      <c r="AI1107" s="485"/>
      <c r="AJ1107" s="485"/>
      <c r="AK1107" s="485"/>
      <c r="AL1107" s="485"/>
      <c r="AM1107" s="485"/>
      <c r="AN1107" s="485"/>
      <c r="AO1107" s="485"/>
      <c r="AP1107" s="485"/>
      <c r="AQ1107" s="485"/>
      <c r="AR1107" s="485"/>
      <c r="AS1107" s="485"/>
      <c r="AT1107" s="485"/>
      <c r="AU1107" s="485"/>
      <c r="AV1107" s="485"/>
      <c r="AW1107" s="485"/>
      <c r="AX1107" s="485"/>
      <c r="AY1107" s="485"/>
      <c r="AZ1107" s="485"/>
      <c r="BA1107" s="485"/>
      <c r="BB1107" s="485"/>
      <c r="BC1107" s="485"/>
      <c r="BD1107" s="485"/>
      <c r="BE1107" s="485"/>
      <c r="BF1107" s="485"/>
      <c r="BG1107" s="485"/>
      <c r="BH1107" s="485"/>
      <c r="BI1107" s="485"/>
      <c r="BJ1107" s="485"/>
      <c r="BK1107" s="485"/>
      <c r="BL1107" s="485"/>
      <c r="BM1107" s="485"/>
      <c r="BN1107" s="485"/>
      <c r="BO1107" s="485"/>
      <c r="BP1107" s="485"/>
      <c r="BQ1107" s="485"/>
      <c r="BR1107" s="485"/>
      <c r="BS1107" s="485"/>
      <c r="BT1107" s="485"/>
      <c r="BU1107" s="485"/>
      <c r="BV1107" s="485"/>
      <c r="BW1107" s="485"/>
      <c r="BX1107" s="485"/>
      <c r="BY1107" s="485"/>
      <c r="BZ1107" s="485"/>
      <c r="CA1107" s="485"/>
      <c r="CB1107" s="485"/>
      <c r="CC1107" s="485"/>
      <c r="CD1107" s="485"/>
      <c r="CE1107" s="485"/>
      <c r="CF1107" s="485"/>
      <c r="CG1107" s="485"/>
      <c r="CH1107" s="485"/>
      <c r="CI1107" s="485"/>
      <c r="CJ1107" s="485"/>
      <c r="CK1107" s="485"/>
      <c r="CL1107" s="485"/>
      <c r="CM1107" s="485"/>
      <c r="CN1107" s="485"/>
      <c r="CO1107" s="485"/>
      <c r="CP1107" s="485"/>
      <c r="CQ1107" s="485"/>
      <c r="CR1107" s="485"/>
      <c r="CS1107" s="485"/>
      <c r="CT1107" s="485"/>
      <c r="CU1107" s="485"/>
      <c r="CV1107" s="485"/>
      <c r="CW1107" s="485"/>
      <c r="CX1107" s="485"/>
      <c r="CY1107" s="485"/>
      <c r="CZ1107" s="485"/>
      <c r="DA1107" s="485"/>
      <c r="DB1107" s="485"/>
      <c r="DC1107" s="485"/>
      <c r="DD1107" s="485"/>
      <c r="DE1107" s="485"/>
      <c r="DF1107" s="485"/>
      <c r="DG1107" s="485"/>
      <c r="DH1107" s="485"/>
      <c r="DI1107" s="485"/>
      <c r="DJ1107" s="485"/>
      <c r="DK1107" s="485"/>
      <c r="DL1107" s="485"/>
      <c r="DM1107" s="485"/>
      <c r="DN1107" s="485"/>
      <c r="DO1107" s="485"/>
      <c r="DP1107" s="485"/>
      <c r="DQ1107" s="485"/>
      <c r="DR1107" s="485"/>
      <c r="DS1107" s="485"/>
      <c r="DT1107" s="485"/>
      <c r="DU1107" s="485"/>
      <c r="DV1107" s="485"/>
      <c r="DW1107" s="485"/>
      <c r="DX1107" s="485"/>
      <c r="DY1107" s="485"/>
      <c r="DZ1107" s="485"/>
      <c r="EA1107" s="485"/>
      <c r="EB1107" s="485"/>
      <c r="EC1107" s="485"/>
      <c r="ED1107" s="485"/>
      <c r="EE1107" s="485"/>
      <c r="EF1107" s="485"/>
      <c r="EG1107" s="485"/>
      <c r="EH1107" s="485"/>
      <c r="EI1107" s="485"/>
      <c r="EJ1107" s="485"/>
      <c r="EK1107" s="485"/>
      <c r="EL1107" s="485"/>
      <c r="EM1107" s="485"/>
      <c r="EN1107" s="485"/>
      <c r="EO1107" s="485"/>
      <c r="EP1107" s="485"/>
    </row>
    <row r="1108" spans="1:146">
      <c r="A1108" s="485"/>
      <c r="B1108" s="485"/>
      <c r="C1108" s="485"/>
      <c r="D1108" s="485"/>
      <c r="E1108" s="485"/>
      <c r="F1108" s="485"/>
      <c r="G1108" s="485"/>
      <c r="H1108" s="485"/>
      <c r="I1108" s="485"/>
      <c r="J1108" s="485"/>
      <c r="K1108" s="485"/>
      <c r="L1108" s="485"/>
      <c r="M1108" s="485"/>
      <c r="P1108" s="485"/>
      <c r="Q1108" s="485"/>
      <c r="R1108" s="485"/>
      <c r="S1108" s="485"/>
      <c r="T1108" s="485"/>
      <c r="U1108" s="485"/>
      <c r="V1108" s="485"/>
      <c r="W1108" s="485"/>
      <c r="X1108" s="485"/>
      <c r="Y1108" s="485"/>
      <c r="Z1108" s="485"/>
      <c r="AA1108" s="485"/>
      <c r="AB1108" s="485"/>
      <c r="AC1108" s="485"/>
      <c r="AD1108" s="485"/>
      <c r="AE1108" s="485"/>
      <c r="AF1108" s="485"/>
      <c r="AG1108" s="485"/>
      <c r="AH1108" s="485"/>
      <c r="AI1108" s="485"/>
      <c r="AJ1108" s="485"/>
      <c r="AK1108" s="485"/>
      <c r="AL1108" s="485"/>
      <c r="AM1108" s="485"/>
      <c r="AN1108" s="485"/>
      <c r="AO1108" s="485"/>
      <c r="AP1108" s="485"/>
      <c r="AQ1108" s="485"/>
      <c r="AR1108" s="485"/>
      <c r="AS1108" s="485"/>
      <c r="AT1108" s="485"/>
      <c r="AU1108" s="485"/>
      <c r="AV1108" s="485"/>
      <c r="AW1108" s="485"/>
      <c r="AX1108" s="485"/>
      <c r="AY1108" s="485"/>
      <c r="AZ1108" s="485"/>
      <c r="BA1108" s="485"/>
      <c r="BB1108" s="485"/>
      <c r="BC1108" s="485"/>
      <c r="BD1108" s="485"/>
      <c r="BE1108" s="485"/>
      <c r="BF1108" s="485"/>
      <c r="BG1108" s="485"/>
      <c r="BH1108" s="485"/>
      <c r="BI1108" s="485"/>
      <c r="BJ1108" s="485"/>
      <c r="BK1108" s="485"/>
      <c r="BL1108" s="485"/>
      <c r="BM1108" s="485"/>
      <c r="BN1108" s="485"/>
      <c r="BO1108" s="485"/>
      <c r="BP1108" s="485"/>
      <c r="BQ1108" s="485"/>
      <c r="BR1108" s="485"/>
      <c r="BS1108" s="485"/>
      <c r="BT1108" s="485"/>
      <c r="BU1108" s="485"/>
      <c r="BV1108" s="485"/>
      <c r="BW1108" s="485"/>
      <c r="BX1108" s="485"/>
      <c r="BY1108" s="485"/>
      <c r="BZ1108" s="485"/>
      <c r="CA1108" s="485"/>
      <c r="CB1108" s="485"/>
      <c r="CC1108" s="485"/>
      <c r="CD1108" s="485"/>
      <c r="CE1108" s="485"/>
      <c r="CF1108" s="485"/>
      <c r="CG1108" s="485"/>
      <c r="CH1108" s="485"/>
      <c r="CI1108" s="485"/>
      <c r="CJ1108" s="485"/>
      <c r="CK1108" s="485"/>
      <c r="CL1108" s="485"/>
      <c r="CM1108" s="485"/>
      <c r="CN1108" s="485"/>
      <c r="CO1108" s="485"/>
      <c r="CP1108" s="485"/>
      <c r="CQ1108" s="485"/>
      <c r="CR1108" s="485"/>
      <c r="CS1108" s="485"/>
      <c r="CT1108" s="485"/>
      <c r="CU1108" s="485"/>
      <c r="CV1108" s="485"/>
      <c r="CW1108" s="485"/>
      <c r="CX1108" s="485"/>
      <c r="CY1108" s="485"/>
      <c r="CZ1108" s="485"/>
      <c r="DA1108" s="485"/>
      <c r="DB1108" s="485"/>
      <c r="DC1108" s="485"/>
      <c r="DD1108" s="485"/>
      <c r="DE1108" s="485"/>
      <c r="DF1108" s="485"/>
      <c r="DG1108" s="485"/>
      <c r="DH1108" s="485"/>
      <c r="DI1108" s="485"/>
      <c r="DJ1108" s="485"/>
      <c r="DK1108" s="485"/>
      <c r="DL1108" s="485"/>
      <c r="DM1108" s="485"/>
      <c r="DN1108" s="485"/>
      <c r="DO1108" s="485"/>
      <c r="DP1108" s="485"/>
      <c r="DQ1108" s="485"/>
      <c r="DR1108" s="485"/>
      <c r="DS1108" s="485"/>
      <c r="DT1108" s="485"/>
      <c r="DU1108" s="485"/>
      <c r="DV1108" s="485"/>
      <c r="DW1108" s="485"/>
      <c r="DX1108" s="485"/>
      <c r="DY1108" s="485"/>
      <c r="DZ1108" s="485"/>
      <c r="EA1108" s="485"/>
      <c r="EB1108" s="485"/>
      <c r="EC1108" s="485"/>
      <c r="ED1108" s="485"/>
      <c r="EE1108" s="485"/>
      <c r="EF1108" s="485"/>
      <c r="EG1108" s="485"/>
      <c r="EH1108" s="485"/>
      <c r="EI1108" s="485"/>
      <c r="EJ1108" s="485"/>
      <c r="EK1108" s="485"/>
      <c r="EL1108" s="485"/>
      <c r="EM1108" s="485"/>
      <c r="EN1108" s="485"/>
      <c r="EO1108" s="485"/>
      <c r="EP1108" s="485"/>
    </row>
    <row r="1109" spans="1:146">
      <c r="A1109" s="485"/>
      <c r="B1109" s="485"/>
      <c r="C1109" s="485"/>
      <c r="D1109" s="485"/>
      <c r="E1109" s="485"/>
      <c r="F1109" s="485"/>
      <c r="G1109" s="485"/>
      <c r="H1109" s="485"/>
      <c r="I1109" s="485"/>
      <c r="J1109" s="485"/>
      <c r="K1109" s="485"/>
      <c r="L1109" s="485"/>
      <c r="M1109" s="485"/>
      <c r="P1109" s="485"/>
      <c r="Q1109" s="485"/>
      <c r="R1109" s="485"/>
      <c r="S1109" s="485"/>
      <c r="T1109" s="485"/>
      <c r="U1109" s="485"/>
      <c r="V1109" s="485"/>
      <c r="W1109" s="485"/>
      <c r="X1109" s="485"/>
      <c r="Y1109" s="485"/>
      <c r="Z1109" s="485"/>
      <c r="AA1109" s="485"/>
      <c r="AB1109" s="485"/>
      <c r="AC1109" s="485"/>
      <c r="AD1109" s="485"/>
      <c r="AE1109" s="485"/>
      <c r="AF1109" s="485"/>
      <c r="AG1109" s="485"/>
      <c r="AH1109" s="485"/>
      <c r="AI1109" s="485"/>
      <c r="AJ1109" s="485"/>
      <c r="AK1109" s="485"/>
      <c r="AL1109" s="485"/>
      <c r="AM1109" s="485"/>
      <c r="AN1109" s="485"/>
      <c r="AO1109" s="485"/>
      <c r="AP1109" s="485"/>
      <c r="AQ1109" s="485"/>
      <c r="AR1109" s="485"/>
      <c r="AS1109" s="485"/>
      <c r="AT1109" s="485"/>
      <c r="AU1109" s="485"/>
      <c r="AV1109" s="485"/>
      <c r="AW1109" s="485"/>
      <c r="AX1109" s="485"/>
      <c r="AY1109" s="485"/>
      <c r="AZ1109" s="485"/>
      <c r="BA1109" s="485"/>
      <c r="BB1109" s="485"/>
      <c r="BC1109" s="485"/>
      <c r="BD1109" s="485"/>
      <c r="BE1109" s="485"/>
      <c r="BF1109" s="485"/>
      <c r="BG1109" s="485"/>
      <c r="BH1109" s="485"/>
      <c r="BI1109" s="485"/>
      <c r="BJ1109" s="485"/>
      <c r="BK1109" s="485"/>
      <c r="BL1109" s="485"/>
      <c r="BM1109" s="485"/>
      <c r="BN1109" s="485"/>
      <c r="BO1109" s="485"/>
      <c r="BP1109" s="485"/>
      <c r="BQ1109" s="485"/>
      <c r="BR1109" s="485"/>
      <c r="BS1109" s="485"/>
      <c r="BT1109" s="485"/>
      <c r="BU1109" s="485"/>
      <c r="BV1109" s="485"/>
      <c r="BW1109" s="485"/>
      <c r="BX1109" s="485"/>
      <c r="BY1109" s="485"/>
      <c r="BZ1109" s="485"/>
      <c r="CA1109" s="485"/>
      <c r="CB1109" s="485"/>
      <c r="CC1109" s="485"/>
      <c r="CD1109" s="485"/>
      <c r="CE1109" s="485"/>
      <c r="CF1109" s="485"/>
      <c r="CG1109" s="485"/>
      <c r="CH1109" s="485"/>
      <c r="CI1109" s="485"/>
      <c r="CJ1109" s="485"/>
      <c r="CK1109" s="485"/>
      <c r="CL1109" s="485"/>
      <c r="CM1109" s="485"/>
      <c r="CN1109" s="485"/>
      <c r="CO1109" s="485"/>
      <c r="CP1109" s="485"/>
      <c r="CQ1109" s="485"/>
      <c r="CR1109" s="485"/>
      <c r="CS1109" s="485"/>
      <c r="CT1109" s="485"/>
      <c r="CU1109" s="485"/>
      <c r="CV1109" s="485"/>
      <c r="CW1109" s="485"/>
      <c r="CX1109" s="485"/>
      <c r="CY1109" s="485"/>
      <c r="CZ1109" s="485"/>
      <c r="DA1109" s="485"/>
      <c r="DB1109" s="485"/>
      <c r="DC1109" s="485"/>
      <c r="DD1109" s="485"/>
      <c r="DE1109" s="485"/>
      <c r="DF1109" s="485"/>
      <c r="DG1109" s="485"/>
      <c r="DH1109" s="485"/>
      <c r="DI1109" s="485"/>
      <c r="DJ1109" s="485"/>
      <c r="DK1109" s="485"/>
      <c r="DL1109" s="485"/>
      <c r="DM1109" s="485"/>
      <c r="DN1109" s="485"/>
      <c r="DO1109" s="485"/>
      <c r="DP1109" s="485"/>
      <c r="DQ1109" s="485"/>
      <c r="DR1109" s="485"/>
      <c r="DS1109" s="485"/>
      <c r="DT1109" s="485"/>
      <c r="DU1109" s="485"/>
      <c r="DV1109" s="485"/>
      <c r="DW1109" s="485"/>
      <c r="DX1109" s="485"/>
      <c r="DY1109" s="485"/>
      <c r="DZ1109" s="485"/>
      <c r="EA1109" s="485"/>
      <c r="EB1109" s="485"/>
      <c r="EC1109" s="485"/>
      <c r="ED1109" s="485"/>
      <c r="EE1109" s="485"/>
      <c r="EF1109" s="485"/>
      <c r="EG1109" s="485"/>
      <c r="EH1109" s="485"/>
      <c r="EI1109" s="485"/>
      <c r="EJ1109" s="485"/>
      <c r="EK1109" s="485"/>
      <c r="EL1109" s="485"/>
      <c r="EM1109" s="485"/>
      <c r="EN1109" s="485"/>
      <c r="EO1109" s="485"/>
      <c r="EP1109" s="485"/>
    </row>
    <row r="1110" spans="1:146">
      <c r="A1110" s="485"/>
      <c r="B1110" s="485"/>
      <c r="C1110" s="485"/>
      <c r="D1110" s="485"/>
      <c r="E1110" s="485"/>
      <c r="F1110" s="485"/>
      <c r="G1110" s="485"/>
      <c r="H1110" s="485"/>
      <c r="I1110" s="485"/>
      <c r="J1110" s="485"/>
      <c r="K1110" s="485"/>
      <c r="L1110" s="485"/>
      <c r="M1110" s="485"/>
      <c r="P1110" s="485"/>
      <c r="Q1110" s="485"/>
      <c r="R1110" s="485"/>
      <c r="S1110" s="485"/>
      <c r="T1110" s="485"/>
      <c r="U1110" s="485"/>
      <c r="V1110" s="485"/>
      <c r="W1110" s="485"/>
      <c r="X1110" s="485"/>
      <c r="Y1110" s="485"/>
      <c r="Z1110" s="485"/>
      <c r="AA1110" s="485"/>
      <c r="AB1110" s="485"/>
      <c r="AC1110" s="485"/>
      <c r="AD1110" s="485"/>
      <c r="AE1110" s="485"/>
      <c r="AF1110" s="485"/>
      <c r="AG1110" s="485"/>
      <c r="AH1110" s="485"/>
      <c r="AI1110" s="485"/>
      <c r="AJ1110" s="485"/>
      <c r="AK1110" s="485"/>
      <c r="AL1110" s="485"/>
      <c r="AM1110" s="485"/>
      <c r="AN1110" s="485"/>
      <c r="AO1110" s="485"/>
      <c r="AP1110" s="485"/>
      <c r="AQ1110" s="485"/>
      <c r="AR1110" s="485"/>
      <c r="AS1110" s="485"/>
      <c r="AT1110" s="485"/>
      <c r="AU1110" s="485"/>
      <c r="AV1110" s="485"/>
      <c r="AW1110" s="485"/>
      <c r="AX1110" s="485"/>
      <c r="AY1110" s="485"/>
      <c r="AZ1110" s="485"/>
      <c r="BA1110" s="485"/>
      <c r="BB1110" s="485"/>
      <c r="BC1110" s="485"/>
      <c r="BD1110" s="485"/>
      <c r="BE1110" s="485"/>
      <c r="BF1110" s="485"/>
      <c r="BG1110" s="485"/>
      <c r="BH1110" s="485"/>
      <c r="BI1110" s="485"/>
      <c r="BJ1110" s="485"/>
      <c r="BK1110" s="485"/>
      <c r="BL1110" s="485"/>
      <c r="BM1110" s="485"/>
      <c r="BN1110" s="485"/>
      <c r="BO1110" s="485"/>
      <c r="BP1110" s="485"/>
      <c r="BQ1110" s="485"/>
      <c r="BR1110" s="485"/>
      <c r="BS1110" s="485"/>
      <c r="BT1110" s="485"/>
      <c r="BU1110" s="485"/>
      <c r="BV1110" s="485"/>
      <c r="BW1110" s="485"/>
      <c r="BX1110" s="485"/>
      <c r="BY1110" s="485"/>
      <c r="BZ1110" s="485"/>
      <c r="CA1110" s="485"/>
      <c r="CB1110" s="485"/>
      <c r="CC1110" s="485"/>
      <c r="CD1110" s="485"/>
      <c r="CE1110" s="485"/>
      <c r="CF1110" s="485"/>
      <c r="CG1110" s="485"/>
      <c r="CH1110" s="485"/>
      <c r="CI1110" s="485"/>
      <c r="CJ1110" s="485"/>
      <c r="CK1110" s="485"/>
      <c r="CL1110" s="485"/>
      <c r="CM1110" s="485"/>
      <c r="CN1110" s="485"/>
      <c r="CO1110" s="485"/>
      <c r="CP1110" s="485"/>
      <c r="CQ1110" s="485"/>
      <c r="CR1110" s="485"/>
      <c r="CS1110" s="485"/>
      <c r="CT1110" s="485"/>
      <c r="CU1110" s="485"/>
      <c r="CV1110" s="485"/>
      <c r="CW1110" s="485"/>
      <c r="CX1110" s="485"/>
      <c r="CY1110" s="485"/>
      <c r="CZ1110" s="485"/>
      <c r="DA1110" s="485"/>
      <c r="DB1110" s="485"/>
      <c r="DC1110" s="485"/>
      <c r="DD1110" s="485"/>
      <c r="DE1110" s="485"/>
      <c r="DF1110" s="485"/>
      <c r="DG1110" s="485"/>
      <c r="DH1110" s="485"/>
      <c r="DI1110" s="485"/>
      <c r="DJ1110" s="485"/>
      <c r="DK1110" s="485"/>
      <c r="DL1110" s="485"/>
      <c r="DM1110" s="485"/>
      <c r="DN1110" s="485"/>
      <c r="DO1110" s="485"/>
      <c r="DP1110" s="485"/>
      <c r="DQ1110" s="485"/>
      <c r="DR1110" s="485"/>
      <c r="DS1110" s="485"/>
      <c r="DT1110" s="485"/>
      <c r="DU1110" s="485"/>
      <c r="DV1110" s="485"/>
      <c r="DW1110" s="485"/>
      <c r="DX1110" s="485"/>
      <c r="DY1110" s="485"/>
      <c r="DZ1110" s="485"/>
      <c r="EA1110" s="485"/>
      <c r="EB1110" s="485"/>
      <c r="EC1110" s="485"/>
      <c r="ED1110" s="485"/>
      <c r="EE1110" s="485"/>
      <c r="EF1110" s="485"/>
      <c r="EG1110" s="485"/>
      <c r="EH1110" s="485"/>
      <c r="EI1110" s="485"/>
      <c r="EJ1110" s="485"/>
      <c r="EK1110" s="485"/>
      <c r="EL1110" s="485"/>
      <c r="EM1110" s="485"/>
      <c r="EN1110" s="485"/>
      <c r="EO1110" s="485"/>
      <c r="EP1110" s="485"/>
    </row>
    <row r="1111" spans="1:146">
      <c r="A1111" s="485"/>
      <c r="B1111" s="485"/>
      <c r="C1111" s="485"/>
      <c r="D1111" s="485"/>
      <c r="E1111" s="485"/>
      <c r="F1111" s="485"/>
      <c r="G1111" s="485"/>
      <c r="H1111" s="485"/>
      <c r="I1111" s="485"/>
      <c r="J1111" s="485"/>
      <c r="K1111" s="485"/>
      <c r="L1111" s="485"/>
      <c r="M1111" s="485"/>
      <c r="P1111" s="485"/>
      <c r="Q1111" s="485"/>
      <c r="R1111" s="485"/>
      <c r="S1111" s="485"/>
      <c r="T1111" s="485"/>
      <c r="U1111" s="485"/>
      <c r="V1111" s="485"/>
      <c r="W1111" s="485"/>
      <c r="X1111" s="485"/>
      <c r="Y1111" s="485"/>
      <c r="Z1111" s="485"/>
      <c r="AA1111" s="485"/>
      <c r="AB1111" s="485"/>
      <c r="AC1111" s="485"/>
      <c r="AD1111" s="485"/>
      <c r="AE1111" s="485"/>
      <c r="AF1111" s="485"/>
      <c r="AG1111" s="485"/>
      <c r="AH1111" s="485"/>
      <c r="AI1111" s="485"/>
      <c r="AJ1111" s="485"/>
      <c r="AK1111" s="485"/>
      <c r="AL1111" s="485"/>
      <c r="AM1111" s="485"/>
      <c r="AN1111" s="485"/>
      <c r="AO1111" s="485"/>
      <c r="AP1111" s="485"/>
      <c r="AQ1111" s="485"/>
      <c r="AR1111" s="485"/>
      <c r="AS1111" s="485"/>
      <c r="AT1111" s="485"/>
      <c r="AU1111" s="485"/>
      <c r="AV1111" s="485"/>
      <c r="AW1111" s="485"/>
      <c r="AX1111" s="485"/>
      <c r="AY1111" s="485"/>
      <c r="AZ1111" s="485"/>
      <c r="BA1111" s="485"/>
      <c r="BB1111" s="485"/>
      <c r="BC1111" s="485"/>
      <c r="BD1111" s="485"/>
      <c r="BE1111" s="485"/>
      <c r="BF1111" s="485"/>
      <c r="BG1111" s="485"/>
      <c r="BH1111" s="485"/>
      <c r="BI1111" s="485"/>
      <c r="BJ1111" s="485"/>
      <c r="BK1111" s="485"/>
      <c r="BL1111" s="485"/>
      <c r="BM1111" s="485"/>
      <c r="BN1111" s="485"/>
      <c r="BO1111" s="485"/>
      <c r="BP1111" s="485"/>
      <c r="BQ1111" s="485"/>
      <c r="BR1111" s="485"/>
      <c r="BS1111" s="485"/>
      <c r="BT1111" s="485"/>
      <c r="BU1111" s="485"/>
      <c r="BV1111" s="485"/>
      <c r="BW1111" s="485"/>
      <c r="BX1111" s="485"/>
      <c r="BY1111" s="485"/>
      <c r="BZ1111" s="485"/>
      <c r="CA1111" s="485"/>
      <c r="CB1111" s="485"/>
      <c r="CC1111" s="485"/>
      <c r="CD1111" s="485"/>
      <c r="CE1111" s="485"/>
      <c r="CF1111" s="485"/>
      <c r="CG1111" s="485"/>
      <c r="CH1111" s="485"/>
      <c r="CI1111" s="485"/>
      <c r="CJ1111" s="485"/>
      <c r="CK1111" s="485"/>
      <c r="CL1111" s="485"/>
      <c r="CM1111" s="485"/>
      <c r="CN1111" s="485"/>
      <c r="CO1111" s="485"/>
      <c r="CP1111" s="485"/>
      <c r="CQ1111" s="485"/>
      <c r="CR1111" s="485"/>
      <c r="CS1111" s="485"/>
      <c r="CT1111" s="485"/>
      <c r="CU1111" s="485"/>
      <c r="CV1111" s="485"/>
      <c r="CW1111" s="485"/>
      <c r="CX1111" s="485"/>
      <c r="CY1111" s="485"/>
      <c r="CZ1111" s="485"/>
      <c r="DA1111" s="485"/>
      <c r="DB1111" s="485"/>
      <c r="DC1111" s="485"/>
      <c r="DD1111" s="485"/>
      <c r="DE1111" s="485"/>
      <c r="DF1111" s="485"/>
      <c r="DG1111" s="485"/>
      <c r="DH1111" s="485"/>
      <c r="DI1111" s="485"/>
      <c r="DJ1111" s="485"/>
      <c r="DK1111" s="485"/>
      <c r="DL1111" s="485"/>
      <c r="DM1111" s="485"/>
      <c r="DN1111" s="485"/>
      <c r="DO1111" s="485"/>
      <c r="DP1111" s="485"/>
      <c r="DQ1111" s="485"/>
      <c r="DR1111" s="485"/>
      <c r="DS1111" s="485"/>
      <c r="DT1111" s="485"/>
      <c r="DU1111" s="485"/>
      <c r="DV1111" s="485"/>
      <c r="DW1111" s="485"/>
      <c r="DX1111" s="485"/>
      <c r="DY1111" s="485"/>
      <c r="DZ1111" s="485"/>
      <c r="EA1111" s="485"/>
      <c r="EB1111" s="485"/>
      <c r="EC1111" s="485"/>
      <c r="ED1111" s="485"/>
      <c r="EE1111" s="485"/>
      <c r="EF1111" s="485"/>
      <c r="EG1111" s="485"/>
      <c r="EH1111" s="485"/>
      <c r="EI1111" s="485"/>
      <c r="EJ1111" s="485"/>
      <c r="EK1111" s="485"/>
      <c r="EL1111" s="485"/>
      <c r="EM1111" s="485"/>
      <c r="EN1111" s="485"/>
      <c r="EO1111" s="485"/>
      <c r="EP1111" s="485"/>
    </row>
    <row r="1112" spans="1:146">
      <c r="A1112" s="485"/>
      <c r="B1112" s="485"/>
      <c r="C1112" s="485"/>
      <c r="D1112" s="485"/>
      <c r="E1112" s="485"/>
      <c r="F1112" s="485"/>
      <c r="G1112" s="485"/>
      <c r="H1112" s="485"/>
      <c r="I1112" s="485"/>
      <c r="J1112" s="485"/>
      <c r="K1112" s="485"/>
      <c r="L1112" s="485"/>
      <c r="M1112" s="485"/>
      <c r="P1112" s="485"/>
      <c r="Q1112" s="485"/>
      <c r="R1112" s="485"/>
      <c r="S1112" s="485"/>
      <c r="T1112" s="485"/>
      <c r="U1112" s="485"/>
      <c r="V1112" s="485"/>
      <c r="W1112" s="485"/>
      <c r="X1112" s="485"/>
      <c r="Y1112" s="485"/>
      <c r="Z1112" s="485"/>
      <c r="AA1112" s="485"/>
      <c r="AB1112" s="485"/>
      <c r="AC1112" s="485"/>
      <c r="AD1112" s="485"/>
      <c r="AE1112" s="485"/>
      <c r="AF1112" s="485"/>
      <c r="AG1112" s="485"/>
      <c r="AH1112" s="485"/>
      <c r="AI1112" s="485"/>
      <c r="AJ1112" s="485"/>
      <c r="AK1112" s="485"/>
      <c r="AL1112" s="485"/>
      <c r="AM1112" s="485"/>
      <c r="AN1112" s="485"/>
      <c r="AO1112" s="485"/>
      <c r="AP1112" s="485"/>
      <c r="AQ1112" s="485"/>
      <c r="AR1112" s="485"/>
      <c r="AS1112" s="485"/>
      <c r="AT1112" s="485"/>
      <c r="AU1112" s="485"/>
      <c r="AV1112" s="485"/>
      <c r="AW1112" s="485"/>
      <c r="AX1112" s="485"/>
      <c r="AY1112" s="485"/>
      <c r="AZ1112" s="485"/>
      <c r="BA1112" s="485"/>
      <c r="BB1112" s="485"/>
      <c r="BC1112" s="485"/>
      <c r="BD1112" s="485"/>
      <c r="BE1112" s="485"/>
      <c r="BF1112" s="485"/>
      <c r="BG1112" s="485"/>
      <c r="BH1112" s="485"/>
      <c r="BI1112" s="485"/>
      <c r="BJ1112" s="485"/>
      <c r="BK1112" s="485"/>
      <c r="BL1112" s="485"/>
      <c r="BM1112" s="485"/>
      <c r="BN1112" s="485"/>
      <c r="BO1112" s="485"/>
      <c r="BP1112" s="485"/>
      <c r="BQ1112" s="485"/>
      <c r="BR1112" s="485"/>
      <c r="BS1112" s="485"/>
      <c r="BT1112" s="485"/>
      <c r="BU1112" s="485"/>
      <c r="BV1112" s="485"/>
      <c r="BW1112" s="485"/>
      <c r="BX1112" s="485"/>
      <c r="BY1112" s="485"/>
      <c r="BZ1112" s="485"/>
      <c r="CA1112" s="485"/>
      <c r="CB1112" s="485"/>
      <c r="CC1112" s="485"/>
      <c r="CD1112" s="485"/>
      <c r="CE1112" s="485"/>
      <c r="CF1112" s="485"/>
      <c r="CG1112" s="485"/>
      <c r="CH1112" s="485"/>
      <c r="CI1112" s="485"/>
      <c r="CJ1112" s="485"/>
      <c r="CK1112" s="485"/>
      <c r="CL1112" s="485"/>
      <c r="CM1112" s="485"/>
      <c r="CN1112" s="485"/>
      <c r="CO1112" s="485"/>
      <c r="CP1112" s="485"/>
      <c r="CQ1112" s="485"/>
      <c r="CR1112" s="485"/>
      <c r="CS1112" s="485"/>
      <c r="CT1112" s="485"/>
      <c r="CU1112" s="485"/>
      <c r="CV1112" s="485"/>
      <c r="CW1112" s="485"/>
      <c r="CX1112" s="485"/>
      <c r="CY1112" s="485"/>
      <c r="CZ1112" s="485"/>
      <c r="DA1112" s="485"/>
      <c r="DB1112" s="485"/>
      <c r="DC1112" s="485"/>
      <c r="DD1112" s="485"/>
      <c r="DE1112" s="485"/>
      <c r="DF1112" s="485"/>
      <c r="DG1112" s="485"/>
      <c r="DH1112" s="485"/>
      <c r="DI1112" s="485"/>
      <c r="DJ1112" s="485"/>
      <c r="DK1112" s="485"/>
      <c r="DL1112" s="485"/>
      <c r="DM1112" s="485"/>
      <c r="DN1112" s="485"/>
      <c r="DO1112" s="485"/>
      <c r="DP1112" s="485"/>
      <c r="DQ1112" s="485"/>
      <c r="DR1112" s="485"/>
      <c r="DS1112" s="485"/>
      <c r="DT1112" s="485"/>
      <c r="DU1112" s="485"/>
      <c r="DV1112" s="485"/>
      <c r="DW1112" s="485"/>
      <c r="DX1112" s="485"/>
      <c r="DY1112" s="485"/>
      <c r="DZ1112" s="485"/>
      <c r="EA1112" s="485"/>
      <c r="EB1112" s="485"/>
      <c r="EC1112" s="485"/>
      <c r="ED1112" s="485"/>
      <c r="EE1112" s="485"/>
      <c r="EF1112" s="485"/>
      <c r="EG1112" s="485"/>
      <c r="EH1112" s="485"/>
      <c r="EI1112" s="485"/>
      <c r="EJ1112" s="485"/>
      <c r="EK1112" s="485"/>
      <c r="EL1112" s="485"/>
      <c r="EM1112" s="485"/>
      <c r="EN1112" s="485"/>
      <c r="EO1112" s="485"/>
      <c r="EP1112" s="485"/>
    </row>
    <row r="1113" spans="1:146">
      <c r="A1113" s="485"/>
      <c r="B1113" s="485"/>
      <c r="C1113" s="485"/>
      <c r="D1113" s="485"/>
      <c r="E1113" s="485"/>
      <c r="F1113" s="485"/>
      <c r="G1113" s="485"/>
      <c r="H1113" s="485"/>
      <c r="I1113" s="485"/>
      <c r="J1113" s="485"/>
      <c r="K1113" s="485"/>
      <c r="L1113" s="485"/>
      <c r="M1113" s="485"/>
      <c r="P1113" s="485"/>
      <c r="Q1113" s="485"/>
      <c r="R1113" s="485"/>
      <c r="S1113" s="485"/>
      <c r="T1113" s="485"/>
      <c r="U1113" s="485"/>
      <c r="V1113" s="485"/>
      <c r="W1113" s="485"/>
      <c r="X1113" s="485"/>
      <c r="Y1113" s="485"/>
      <c r="Z1113" s="485"/>
      <c r="AA1113" s="485"/>
      <c r="AB1113" s="485"/>
      <c r="AC1113" s="485"/>
      <c r="AD1113" s="485"/>
      <c r="AE1113" s="485"/>
      <c r="AF1113" s="485"/>
      <c r="AG1113" s="485"/>
      <c r="AH1113" s="485"/>
      <c r="AI1113" s="485"/>
      <c r="AJ1113" s="485"/>
      <c r="AK1113" s="485"/>
      <c r="AL1113" s="485"/>
      <c r="AM1113" s="485"/>
      <c r="AN1113" s="485"/>
      <c r="AO1113" s="485"/>
      <c r="AP1113" s="485"/>
      <c r="AQ1113" s="485"/>
      <c r="AR1113" s="485"/>
      <c r="AS1113" s="485"/>
      <c r="AT1113" s="485"/>
      <c r="AU1113" s="485"/>
      <c r="AV1113" s="485"/>
      <c r="AW1113" s="485"/>
      <c r="AX1113" s="485"/>
      <c r="AY1113" s="485"/>
      <c r="AZ1113" s="485"/>
      <c r="BA1113" s="485"/>
      <c r="BB1113" s="485"/>
      <c r="BC1113" s="485"/>
      <c r="BD1113" s="485"/>
      <c r="BE1113" s="485"/>
      <c r="BF1113" s="485"/>
      <c r="BG1113" s="485"/>
      <c r="BH1113" s="485"/>
      <c r="BI1113" s="485"/>
      <c r="BJ1113" s="485"/>
      <c r="BK1113" s="485"/>
      <c r="BL1113" s="485"/>
      <c r="BM1113" s="485"/>
      <c r="BN1113" s="485"/>
      <c r="BO1113" s="485"/>
      <c r="BP1113" s="485"/>
      <c r="BQ1113" s="485"/>
      <c r="BR1113" s="485"/>
      <c r="BS1113" s="485"/>
      <c r="BT1113" s="485"/>
      <c r="BU1113" s="485"/>
      <c r="BV1113" s="485"/>
      <c r="BW1113" s="485"/>
      <c r="BX1113" s="485"/>
      <c r="BY1113" s="485"/>
      <c r="BZ1113" s="485"/>
      <c r="CA1113" s="485"/>
      <c r="CB1113" s="485"/>
      <c r="CC1113" s="485"/>
      <c r="CD1113" s="485"/>
      <c r="CE1113" s="485"/>
      <c r="CF1113" s="485"/>
      <c r="CG1113" s="485"/>
      <c r="CH1113" s="485"/>
      <c r="CI1113" s="485"/>
      <c r="CJ1113" s="485"/>
      <c r="CK1113" s="485"/>
      <c r="CL1113" s="485"/>
      <c r="CM1113" s="485"/>
      <c r="CN1113" s="485"/>
      <c r="CO1113" s="485"/>
      <c r="CP1113" s="485"/>
      <c r="CQ1113" s="485"/>
      <c r="CR1113" s="485"/>
      <c r="CS1113" s="485"/>
      <c r="CT1113" s="485"/>
      <c r="CU1113" s="485"/>
      <c r="CV1113" s="485"/>
      <c r="CW1113" s="485"/>
      <c r="CX1113" s="485"/>
      <c r="CY1113" s="485"/>
      <c r="CZ1113" s="485"/>
      <c r="DA1113" s="485"/>
      <c r="DB1113" s="485"/>
      <c r="DC1113" s="485"/>
      <c r="DD1113" s="485"/>
      <c r="DE1113" s="485"/>
      <c r="DF1113" s="485"/>
      <c r="DG1113" s="485"/>
      <c r="DH1113" s="485"/>
      <c r="DI1113" s="485"/>
      <c r="DJ1113" s="485"/>
      <c r="DK1113" s="485"/>
      <c r="DL1113" s="485"/>
      <c r="DM1113" s="485"/>
      <c r="DN1113" s="485"/>
      <c r="DO1113" s="485"/>
      <c r="DP1113" s="485"/>
      <c r="DQ1113" s="485"/>
      <c r="DR1113" s="485"/>
      <c r="DS1113" s="485"/>
      <c r="DT1113" s="485"/>
      <c r="DU1113" s="485"/>
      <c r="DV1113" s="485"/>
      <c r="DW1113" s="485"/>
      <c r="DX1113" s="485"/>
      <c r="DY1113" s="485"/>
      <c r="DZ1113" s="485"/>
      <c r="EA1113" s="485"/>
      <c r="EB1113" s="485"/>
      <c r="EC1113" s="485"/>
      <c r="ED1113" s="485"/>
      <c r="EE1113" s="485"/>
      <c r="EF1113" s="485"/>
      <c r="EG1113" s="485"/>
      <c r="EH1113" s="485"/>
      <c r="EI1113" s="485"/>
      <c r="EJ1113" s="485"/>
      <c r="EK1113" s="485"/>
      <c r="EL1113" s="485"/>
      <c r="EM1113" s="485"/>
      <c r="EN1113" s="485"/>
      <c r="EO1113" s="485"/>
      <c r="EP1113" s="485"/>
    </row>
    <row r="1114" spans="1:146">
      <c r="A1114" s="485"/>
      <c r="B1114" s="485"/>
      <c r="C1114" s="485"/>
      <c r="D1114" s="485"/>
      <c r="E1114" s="485"/>
      <c r="F1114" s="485"/>
      <c r="G1114" s="485"/>
      <c r="H1114" s="485"/>
      <c r="I1114" s="485"/>
      <c r="J1114" s="485"/>
      <c r="K1114" s="485"/>
      <c r="L1114" s="485"/>
      <c r="M1114" s="485"/>
      <c r="P1114" s="485"/>
      <c r="Q1114" s="485"/>
      <c r="R1114" s="485"/>
      <c r="S1114" s="485"/>
      <c r="T1114" s="485"/>
      <c r="U1114" s="485"/>
      <c r="V1114" s="485"/>
      <c r="W1114" s="485"/>
      <c r="X1114" s="485"/>
      <c r="Y1114" s="485"/>
      <c r="Z1114" s="485"/>
      <c r="AA1114" s="485"/>
      <c r="AB1114" s="485"/>
      <c r="AC1114" s="485"/>
      <c r="AD1114" s="485"/>
      <c r="AE1114" s="485"/>
      <c r="AF1114" s="485"/>
      <c r="AG1114" s="485"/>
      <c r="AH1114" s="485"/>
      <c r="AI1114" s="485"/>
      <c r="AJ1114" s="485"/>
      <c r="AK1114" s="485"/>
      <c r="AL1114" s="485"/>
      <c r="AM1114" s="485"/>
      <c r="AN1114" s="485"/>
      <c r="AO1114" s="485"/>
      <c r="AP1114" s="485"/>
      <c r="AQ1114" s="485"/>
      <c r="AR1114" s="485"/>
      <c r="AS1114" s="485"/>
      <c r="AT1114" s="485"/>
      <c r="AU1114" s="485"/>
      <c r="AV1114" s="485"/>
      <c r="AW1114" s="485"/>
      <c r="AX1114" s="485"/>
      <c r="AY1114" s="485"/>
      <c r="AZ1114" s="485"/>
      <c r="BA1114" s="485"/>
      <c r="BB1114" s="485"/>
      <c r="BC1114" s="485"/>
      <c r="BD1114" s="485"/>
      <c r="BE1114" s="485"/>
      <c r="BF1114" s="485"/>
      <c r="BG1114" s="485"/>
      <c r="BH1114" s="485"/>
      <c r="BI1114" s="485"/>
      <c r="BJ1114" s="485"/>
      <c r="BK1114" s="485"/>
      <c r="BL1114" s="485"/>
      <c r="BM1114" s="485"/>
      <c r="BN1114" s="485"/>
      <c r="BO1114" s="485"/>
      <c r="BP1114" s="485"/>
      <c r="BQ1114" s="485"/>
      <c r="BR1114" s="485"/>
      <c r="BS1114" s="485"/>
      <c r="BT1114" s="485"/>
      <c r="BU1114" s="485"/>
      <c r="BV1114" s="485"/>
      <c r="BW1114" s="485"/>
      <c r="BX1114" s="485"/>
      <c r="BY1114" s="485"/>
      <c r="BZ1114" s="485"/>
      <c r="CA1114" s="485"/>
      <c r="CB1114" s="485"/>
      <c r="CC1114" s="485"/>
      <c r="CD1114" s="485"/>
      <c r="CE1114" s="485"/>
      <c r="CF1114" s="485"/>
      <c r="CG1114" s="485"/>
      <c r="CH1114" s="485"/>
      <c r="CI1114" s="485"/>
      <c r="CJ1114" s="485"/>
      <c r="CK1114" s="485"/>
      <c r="CL1114" s="485"/>
      <c r="CM1114" s="485"/>
      <c r="CN1114" s="485"/>
      <c r="CO1114" s="485"/>
      <c r="CP1114" s="485"/>
      <c r="CQ1114" s="485"/>
      <c r="CR1114" s="485"/>
      <c r="CS1114" s="485"/>
      <c r="CT1114" s="485"/>
      <c r="CU1114" s="485"/>
      <c r="CV1114" s="485"/>
      <c r="CW1114" s="485"/>
      <c r="CX1114" s="485"/>
      <c r="CY1114" s="485"/>
      <c r="CZ1114" s="485"/>
      <c r="DA1114" s="485"/>
      <c r="DB1114" s="485"/>
      <c r="DC1114" s="485"/>
      <c r="DD1114" s="485"/>
      <c r="DE1114" s="485"/>
      <c r="DF1114" s="485"/>
      <c r="DG1114" s="485"/>
      <c r="DH1114" s="485"/>
      <c r="DI1114" s="485"/>
      <c r="DJ1114" s="485"/>
      <c r="DK1114" s="485"/>
      <c r="DL1114" s="485"/>
      <c r="DM1114" s="485"/>
      <c r="DN1114" s="485"/>
      <c r="DO1114" s="485"/>
      <c r="DP1114" s="485"/>
      <c r="DQ1114" s="485"/>
      <c r="DR1114" s="485"/>
      <c r="DS1114" s="485"/>
      <c r="DT1114" s="485"/>
      <c r="DU1114" s="485"/>
      <c r="DV1114" s="485"/>
      <c r="DW1114" s="485"/>
      <c r="DX1114" s="485"/>
      <c r="DY1114" s="485"/>
      <c r="DZ1114" s="485"/>
      <c r="EA1114" s="485"/>
      <c r="EB1114" s="485"/>
      <c r="EC1114" s="485"/>
      <c r="ED1114" s="485"/>
      <c r="EE1114" s="485"/>
      <c r="EF1114" s="485"/>
      <c r="EG1114" s="485"/>
      <c r="EH1114" s="485"/>
      <c r="EI1114" s="485"/>
      <c r="EJ1114" s="485"/>
      <c r="EK1114" s="485"/>
      <c r="EL1114" s="485"/>
      <c r="EM1114" s="485"/>
      <c r="EN1114" s="485"/>
      <c r="EO1114" s="485"/>
      <c r="EP1114" s="485"/>
    </row>
    <row r="1115" spans="1:146">
      <c r="A1115" s="485"/>
      <c r="B1115" s="485"/>
      <c r="C1115" s="485"/>
      <c r="D1115" s="485"/>
      <c r="E1115" s="485"/>
      <c r="F1115" s="485"/>
      <c r="G1115" s="485"/>
      <c r="H1115" s="485"/>
      <c r="I1115" s="485"/>
      <c r="J1115" s="485"/>
      <c r="K1115" s="485"/>
      <c r="L1115" s="485"/>
      <c r="M1115" s="485"/>
      <c r="P1115" s="485"/>
      <c r="Q1115" s="485"/>
      <c r="R1115" s="485"/>
      <c r="S1115" s="485"/>
      <c r="T1115" s="485"/>
      <c r="U1115" s="485"/>
      <c r="V1115" s="485"/>
      <c r="W1115" s="485"/>
      <c r="X1115" s="485"/>
      <c r="Y1115" s="485"/>
      <c r="Z1115" s="485"/>
      <c r="AA1115" s="485"/>
      <c r="AB1115" s="485"/>
      <c r="AC1115" s="485"/>
      <c r="AD1115" s="485"/>
      <c r="AE1115" s="485"/>
      <c r="AF1115" s="485"/>
      <c r="AG1115" s="485"/>
      <c r="AH1115" s="485"/>
      <c r="AI1115" s="485"/>
      <c r="AJ1115" s="485"/>
      <c r="AK1115" s="485"/>
      <c r="AL1115" s="485"/>
      <c r="AM1115" s="485"/>
      <c r="AN1115" s="485"/>
      <c r="AO1115" s="485"/>
      <c r="AP1115" s="485"/>
      <c r="AQ1115" s="485"/>
      <c r="AR1115" s="485"/>
      <c r="AS1115" s="485"/>
      <c r="AT1115" s="485"/>
      <c r="AU1115" s="485"/>
      <c r="AV1115" s="485"/>
      <c r="AW1115" s="485"/>
      <c r="AX1115" s="485"/>
      <c r="AY1115" s="485"/>
      <c r="AZ1115" s="485"/>
      <c r="BA1115" s="485"/>
      <c r="BB1115" s="485"/>
      <c r="BC1115" s="485"/>
      <c r="BD1115" s="485"/>
      <c r="BE1115" s="485"/>
      <c r="BF1115" s="485"/>
      <c r="BG1115" s="485"/>
      <c r="BH1115" s="485"/>
      <c r="BI1115" s="485"/>
      <c r="BJ1115" s="485"/>
      <c r="BK1115" s="485"/>
      <c r="BL1115" s="485"/>
      <c r="BM1115" s="485"/>
      <c r="BN1115" s="485"/>
      <c r="BO1115" s="485"/>
      <c r="BP1115" s="485"/>
      <c r="BQ1115" s="485"/>
      <c r="BR1115" s="485"/>
      <c r="BS1115" s="485"/>
      <c r="BT1115" s="485"/>
      <c r="BU1115" s="485"/>
      <c r="BV1115" s="485"/>
      <c r="BW1115" s="485"/>
      <c r="BX1115" s="485"/>
      <c r="BY1115" s="485"/>
      <c r="BZ1115" s="485"/>
      <c r="CA1115" s="485"/>
      <c r="CB1115" s="485"/>
      <c r="CC1115" s="485"/>
      <c r="CD1115" s="485"/>
      <c r="CE1115" s="485"/>
      <c r="CF1115" s="485"/>
      <c r="CG1115" s="485"/>
      <c r="CH1115" s="485"/>
      <c r="CI1115" s="485"/>
      <c r="CJ1115" s="485"/>
      <c r="CK1115" s="485"/>
      <c r="CL1115" s="485"/>
      <c r="CM1115" s="485"/>
      <c r="CN1115" s="485"/>
      <c r="CO1115" s="485"/>
      <c r="CP1115" s="485"/>
      <c r="CQ1115" s="485"/>
      <c r="CR1115" s="485"/>
      <c r="CS1115" s="485"/>
      <c r="CT1115" s="485"/>
      <c r="CU1115" s="485"/>
      <c r="CV1115" s="485"/>
      <c r="CW1115" s="485"/>
      <c r="CX1115" s="485"/>
      <c r="CY1115" s="485"/>
      <c r="CZ1115" s="485"/>
      <c r="DA1115" s="485"/>
      <c r="DB1115" s="485"/>
      <c r="DC1115" s="485"/>
      <c r="DD1115" s="485"/>
      <c r="DE1115" s="485"/>
      <c r="DF1115" s="485"/>
      <c r="DG1115" s="485"/>
      <c r="DH1115" s="485"/>
      <c r="DI1115" s="485"/>
      <c r="DJ1115" s="485"/>
      <c r="DK1115" s="485"/>
      <c r="DL1115" s="485"/>
      <c r="DM1115" s="485"/>
      <c r="DN1115" s="485"/>
      <c r="DO1115" s="485"/>
      <c r="DP1115" s="485"/>
      <c r="DQ1115" s="485"/>
      <c r="DR1115" s="485"/>
      <c r="DS1115" s="485"/>
      <c r="DT1115" s="485"/>
      <c r="DU1115" s="485"/>
      <c r="DV1115" s="485"/>
      <c r="DW1115" s="485"/>
      <c r="DX1115" s="485"/>
      <c r="DY1115" s="485"/>
      <c r="DZ1115" s="485"/>
      <c r="EA1115" s="485"/>
      <c r="EB1115" s="485"/>
      <c r="EC1115" s="485"/>
      <c r="ED1115" s="485"/>
      <c r="EE1115" s="485"/>
      <c r="EF1115" s="485"/>
      <c r="EG1115" s="485"/>
      <c r="EH1115" s="485"/>
      <c r="EI1115" s="485"/>
      <c r="EJ1115" s="485"/>
      <c r="EK1115" s="485"/>
      <c r="EL1115" s="485"/>
      <c r="EM1115" s="485"/>
      <c r="EN1115" s="485"/>
      <c r="EO1115" s="485"/>
      <c r="EP1115" s="485"/>
    </row>
    <row r="1116" spans="1:146">
      <c r="A1116" s="485"/>
      <c r="B1116" s="485"/>
      <c r="C1116" s="485"/>
      <c r="D1116" s="485"/>
      <c r="E1116" s="485"/>
      <c r="F1116" s="485"/>
      <c r="G1116" s="485"/>
      <c r="H1116" s="485"/>
      <c r="I1116" s="485"/>
      <c r="J1116" s="485"/>
      <c r="K1116" s="485"/>
      <c r="L1116" s="485"/>
      <c r="M1116" s="485"/>
      <c r="P1116" s="485"/>
      <c r="Q1116" s="485"/>
      <c r="R1116" s="485"/>
      <c r="S1116" s="485"/>
      <c r="T1116" s="485"/>
      <c r="U1116" s="485"/>
      <c r="V1116" s="485"/>
      <c r="W1116" s="485"/>
      <c r="X1116" s="485"/>
      <c r="Y1116" s="485"/>
      <c r="Z1116" s="485"/>
      <c r="AA1116" s="485"/>
      <c r="AB1116" s="485"/>
      <c r="AC1116" s="485"/>
      <c r="AD1116" s="485"/>
      <c r="AE1116" s="485"/>
      <c r="AF1116" s="485"/>
      <c r="AG1116" s="485"/>
      <c r="AH1116" s="485"/>
      <c r="AI1116" s="485"/>
      <c r="AJ1116" s="485"/>
      <c r="AK1116" s="485"/>
      <c r="AL1116" s="485"/>
      <c r="AM1116" s="485"/>
      <c r="AN1116" s="485"/>
      <c r="AO1116" s="485"/>
      <c r="AP1116" s="485"/>
      <c r="AQ1116" s="485"/>
      <c r="AR1116" s="485"/>
      <c r="AS1116" s="485"/>
      <c r="AT1116" s="485"/>
      <c r="AU1116" s="485"/>
      <c r="AV1116" s="485"/>
      <c r="AW1116" s="485"/>
      <c r="AX1116" s="485"/>
      <c r="AY1116" s="485"/>
      <c r="AZ1116" s="485"/>
      <c r="BA1116" s="485"/>
      <c r="BB1116" s="485"/>
      <c r="BC1116" s="485"/>
      <c r="BD1116" s="485"/>
      <c r="BE1116" s="485"/>
      <c r="BF1116" s="485"/>
      <c r="BG1116" s="485"/>
      <c r="BH1116" s="485"/>
      <c r="BI1116" s="485"/>
      <c r="BJ1116" s="485"/>
      <c r="BK1116" s="485"/>
      <c r="BL1116" s="485"/>
      <c r="BM1116" s="485"/>
      <c r="BN1116" s="485"/>
      <c r="BO1116" s="485"/>
      <c r="BP1116" s="485"/>
      <c r="BQ1116" s="485"/>
      <c r="BR1116" s="485"/>
      <c r="BS1116" s="485"/>
      <c r="BT1116" s="485"/>
      <c r="BU1116" s="485"/>
      <c r="BV1116" s="485"/>
      <c r="BW1116" s="485"/>
      <c r="BX1116" s="485"/>
      <c r="BY1116" s="485"/>
      <c r="BZ1116" s="485"/>
      <c r="CA1116" s="485"/>
      <c r="CB1116" s="485"/>
      <c r="CC1116" s="485"/>
      <c r="CD1116" s="485"/>
      <c r="CE1116" s="485"/>
      <c r="CF1116" s="485"/>
      <c r="CG1116" s="485"/>
      <c r="CH1116" s="485"/>
      <c r="CI1116" s="485"/>
      <c r="CJ1116" s="485"/>
      <c r="CK1116" s="485"/>
      <c r="CL1116" s="485"/>
      <c r="CM1116" s="485"/>
      <c r="CN1116" s="485"/>
      <c r="CO1116" s="485"/>
      <c r="CP1116" s="485"/>
      <c r="CQ1116" s="485"/>
      <c r="CR1116" s="485"/>
      <c r="CS1116" s="485"/>
      <c r="CT1116" s="485"/>
      <c r="CU1116" s="485"/>
      <c r="CV1116" s="485"/>
      <c r="CW1116" s="485"/>
      <c r="CX1116" s="485"/>
      <c r="CY1116" s="485"/>
      <c r="CZ1116" s="485"/>
      <c r="DA1116" s="485"/>
      <c r="DB1116" s="485"/>
      <c r="DC1116" s="485"/>
      <c r="DD1116" s="485"/>
      <c r="DE1116" s="485"/>
      <c r="DF1116" s="485"/>
      <c r="DG1116" s="485"/>
      <c r="DH1116" s="485"/>
      <c r="DI1116" s="485"/>
      <c r="DJ1116" s="485"/>
      <c r="DK1116" s="485"/>
      <c r="DL1116" s="485"/>
      <c r="DM1116" s="485"/>
      <c r="DN1116" s="485"/>
      <c r="DO1116" s="485"/>
      <c r="DP1116" s="485"/>
      <c r="DQ1116" s="485"/>
      <c r="DR1116" s="485"/>
      <c r="DS1116" s="485"/>
      <c r="DT1116" s="485"/>
      <c r="DU1116" s="485"/>
      <c r="DV1116" s="485"/>
      <c r="DW1116" s="485"/>
      <c r="DX1116" s="485"/>
      <c r="DY1116" s="485"/>
      <c r="DZ1116" s="485"/>
      <c r="EA1116" s="485"/>
      <c r="EB1116" s="485"/>
      <c r="EC1116" s="485"/>
      <c r="ED1116" s="485"/>
      <c r="EE1116" s="485"/>
      <c r="EF1116" s="485"/>
      <c r="EG1116" s="485"/>
      <c r="EH1116" s="485"/>
      <c r="EI1116" s="485"/>
      <c r="EJ1116" s="485"/>
      <c r="EK1116" s="485"/>
      <c r="EL1116" s="485"/>
      <c r="EM1116" s="485"/>
      <c r="EN1116" s="485"/>
      <c r="EO1116" s="485"/>
      <c r="EP1116" s="485"/>
    </row>
    <row r="1117" spans="1:146">
      <c r="A1117" s="485"/>
      <c r="B1117" s="485"/>
      <c r="C1117" s="485"/>
      <c r="D1117" s="485"/>
      <c r="E1117" s="485"/>
      <c r="F1117" s="485"/>
      <c r="G1117" s="485"/>
      <c r="H1117" s="485"/>
      <c r="I1117" s="485"/>
      <c r="J1117" s="485"/>
      <c r="K1117" s="485"/>
      <c r="L1117" s="485"/>
      <c r="M1117" s="485"/>
      <c r="P1117" s="485"/>
      <c r="Q1117" s="485"/>
      <c r="R1117" s="485"/>
      <c r="S1117" s="485"/>
      <c r="T1117" s="485"/>
      <c r="U1117" s="485"/>
      <c r="V1117" s="485"/>
      <c r="W1117" s="485"/>
      <c r="X1117" s="485"/>
      <c r="Y1117" s="485"/>
      <c r="Z1117" s="485"/>
      <c r="AA1117" s="485"/>
      <c r="AB1117" s="485"/>
      <c r="AC1117" s="485"/>
      <c r="AD1117" s="485"/>
      <c r="AE1117" s="485"/>
      <c r="AF1117" s="485"/>
      <c r="AG1117" s="485"/>
      <c r="AH1117" s="485"/>
      <c r="AI1117" s="485"/>
      <c r="AJ1117" s="485"/>
      <c r="AK1117" s="485"/>
      <c r="AL1117" s="485"/>
      <c r="AM1117" s="485"/>
      <c r="AN1117" s="485"/>
      <c r="AO1117" s="485"/>
      <c r="AP1117" s="485"/>
      <c r="AQ1117" s="485"/>
      <c r="AR1117" s="485"/>
      <c r="AS1117" s="485"/>
      <c r="AT1117" s="485"/>
      <c r="AU1117" s="485"/>
      <c r="AV1117" s="485"/>
      <c r="AW1117" s="485"/>
      <c r="AX1117" s="485"/>
      <c r="AY1117" s="485"/>
      <c r="AZ1117" s="485"/>
      <c r="BA1117" s="485"/>
      <c r="BB1117" s="485"/>
      <c r="BC1117" s="485"/>
      <c r="BD1117" s="485"/>
      <c r="BE1117" s="485"/>
      <c r="BF1117" s="485"/>
      <c r="BG1117" s="485"/>
      <c r="BH1117" s="485"/>
      <c r="BI1117" s="485"/>
      <c r="BJ1117" s="485"/>
      <c r="BK1117" s="485"/>
      <c r="BL1117" s="485"/>
      <c r="BM1117" s="485"/>
      <c r="BN1117" s="485"/>
      <c r="BO1117" s="485"/>
      <c r="BP1117" s="485"/>
      <c r="BQ1117" s="485"/>
      <c r="BR1117" s="485"/>
      <c r="BS1117" s="485"/>
      <c r="BT1117" s="485"/>
      <c r="BU1117" s="485"/>
      <c r="BV1117" s="485"/>
      <c r="BW1117" s="485"/>
      <c r="BX1117" s="485"/>
      <c r="BY1117" s="485"/>
      <c r="BZ1117" s="485"/>
      <c r="CA1117" s="485"/>
      <c r="CB1117" s="485"/>
      <c r="CC1117" s="485"/>
      <c r="CD1117" s="485"/>
      <c r="CE1117" s="485"/>
      <c r="CF1117" s="485"/>
      <c r="CG1117" s="485"/>
      <c r="CH1117" s="485"/>
      <c r="CI1117" s="485"/>
      <c r="CJ1117" s="485"/>
      <c r="CK1117" s="485"/>
      <c r="CL1117" s="485"/>
      <c r="CM1117" s="485"/>
      <c r="CN1117" s="485"/>
      <c r="CO1117" s="485"/>
      <c r="CP1117" s="485"/>
      <c r="CQ1117" s="485"/>
      <c r="CR1117" s="485"/>
      <c r="CS1117" s="485"/>
      <c r="CT1117" s="485"/>
      <c r="CU1117" s="485"/>
      <c r="CV1117" s="485"/>
      <c r="CW1117" s="485"/>
      <c r="CX1117" s="485"/>
      <c r="CY1117" s="485"/>
      <c r="CZ1117" s="485"/>
      <c r="DA1117" s="485"/>
      <c r="DB1117" s="485"/>
      <c r="DC1117" s="485"/>
      <c r="DD1117" s="485"/>
      <c r="DE1117" s="485"/>
      <c r="DF1117" s="485"/>
      <c r="DG1117" s="485"/>
      <c r="DH1117" s="485"/>
      <c r="DI1117" s="485"/>
      <c r="DJ1117" s="485"/>
      <c r="DK1117" s="485"/>
      <c r="DL1117" s="485"/>
      <c r="DM1117" s="485"/>
      <c r="DN1117" s="485"/>
      <c r="DO1117" s="485"/>
      <c r="DP1117" s="485"/>
      <c r="DQ1117" s="485"/>
      <c r="DR1117" s="485"/>
      <c r="DS1117" s="485"/>
      <c r="DT1117" s="485"/>
      <c r="DU1117" s="485"/>
      <c r="DV1117" s="485"/>
      <c r="DW1117" s="485"/>
      <c r="DX1117" s="485"/>
      <c r="DY1117" s="485"/>
      <c r="DZ1117" s="485"/>
      <c r="EA1117" s="485"/>
      <c r="EB1117" s="485"/>
      <c r="EC1117" s="485"/>
      <c r="ED1117" s="485"/>
      <c r="EE1117" s="485"/>
      <c r="EF1117" s="485"/>
      <c r="EG1117" s="485"/>
      <c r="EH1117" s="485"/>
      <c r="EI1117" s="485"/>
      <c r="EJ1117" s="485"/>
      <c r="EK1117" s="485"/>
      <c r="EL1117" s="485"/>
      <c r="EM1117" s="485"/>
      <c r="EN1117" s="485"/>
      <c r="EO1117" s="485"/>
      <c r="EP1117" s="485"/>
    </row>
    <row r="1118" spans="1:146">
      <c r="A1118" s="485"/>
      <c r="B1118" s="485"/>
      <c r="C1118" s="485"/>
      <c r="D1118" s="485"/>
      <c r="E1118" s="485"/>
      <c r="F1118" s="485"/>
      <c r="G1118" s="485"/>
      <c r="H1118" s="485"/>
      <c r="I1118" s="485"/>
      <c r="J1118" s="485"/>
      <c r="K1118" s="485"/>
      <c r="L1118" s="485"/>
      <c r="M1118" s="485"/>
      <c r="P1118" s="485"/>
      <c r="Q1118" s="485"/>
      <c r="R1118" s="485"/>
      <c r="S1118" s="485"/>
      <c r="T1118" s="485"/>
      <c r="U1118" s="485"/>
      <c r="V1118" s="485"/>
      <c r="W1118" s="485"/>
      <c r="X1118" s="485"/>
      <c r="Y1118" s="485"/>
      <c r="Z1118" s="485"/>
      <c r="AA1118" s="485"/>
      <c r="AB1118" s="485"/>
      <c r="AC1118" s="485"/>
      <c r="AD1118" s="485"/>
      <c r="AE1118" s="485"/>
      <c r="AF1118" s="485"/>
      <c r="AG1118" s="485"/>
      <c r="AH1118" s="485"/>
      <c r="AI1118" s="485"/>
      <c r="AJ1118" s="485"/>
      <c r="AK1118" s="485"/>
      <c r="AL1118" s="485"/>
      <c r="AM1118" s="485"/>
      <c r="AN1118" s="485"/>
      <c r="AO1118" s="485"/>
      <c r="AP1118" s="485"/>
      <c r="AQ1118" s="485"/>
      <c r="AR1118" s="485"/>
      <c r="AS1118" s="485"/>
      <c r="AT1118" s="485"/>
      <c r="AU1118" s="485"/>
      <c r="AV1118" s="485"/>
      <c r="AW1118" s="485"/>
      <c r="AX1118" s="485"/>
      <c r="AY1118" s="485"/>
      <c r="AZ1118" s="485"/>
      <c r="BA1118" s="485"/>
      <c r="BB1118" s="485"/>
      <c r="BC1118" s="485"/>
      <c r="BD1118" s="485"/>
      <c r="BE1118" s="485"/>
      <c r="BF1118" s="485"/>
      <c r="BG1118" s="485"/>
      <c r="BH1118" s="485"/>
      <c r="BI1118" s="485"/>
      <c r="BJ1118" s="485"/>
      <c r="BK1118" s="485"/>
      <c r="BL1118" s="485"/>
      <c r="BM1118" s="485"/>
      <c r="BN1118" s="485"/>
      <c r="BO1118" s="485"/>
      <c r="BP1118" s="485"/>
      <c r="BQ1118" s="485"/>
      <c r="BR1118" s="485"/>
      <c r="BS1118" s="485"/>
      <c r="BT1118" s="485"/>
      <c r="BU1118" s="485"/>
      <c r="BV1118" s="485"/>
      <c r="BW1118" s="485"/>
      <c r="BX1118" s="485"/>
      <c r="BY1118" s="485"/>
      <c r="BZ1118" s="485"/>
      <c r="CA1118" s="485"/>
      <c r="CB1118" s="485"/>
      <c r="CC1118" s="485"/>
      <c r="CD1118" s="485"/>
      <c r="CE1118" s="485"/>
      <c r="CF1118" s="485"/>
      <c r="CG1118" s="485"/>
      <c r="CH1118" s="485"/>
      <c r="CI1118" s="485"/>
      <c r="CJ1118" s="485"/>
      <c r="CK1118" s="485"/>
      <c r="CL1118" s="485"/>
      <c r="CM1118" s="485"/>
      <c r="CN1118" s="485"/>
      <c r="CO1118" s="485"/>
      <c r="CP1118" s="485"/>
      <c r="CQ1118" s="485"/>
      <c r="CR1118" s="485"/>
      <c r="CS1118" s="485"/>
      <c r="CT1118" s="485"/>
      <c r="CU1118" s="485"/>
      <c r="CV1118" s="485"/>
      <c r="CW1118" s="485"/>
      <c r="CX1118" s="485"/>
      <c r="CY1118" s="485"/>
      <c r="CZ1118" s="485"/>
      <c r="DA1118" s="485"/>
      <c r="DB1118" s="485"/>
      <c r="DC1118" s="485"/>
      <c r="DD1118" s="485"/>
      <c r="DE1118" s="485"/>
      <c r="DF1118" s="485"/>
      <c r="DG1118" s="485"/>
      <c r="DH1118" s="485"/>
      <c r="DI1118" s="485"/>
      <c r="DJ1118" s="485"/>
      <c r="DK1118" s="485"/>
      <c r="DL1118" s="485"/>
      <c r="DM1118" s="485"/>
      <c r="DN1118" s="485"/>
      <c r="DO1118" s="485"/>
      <c r="DP1118" s="485"/>
      <c r="DQ1118" s="485"/>
      <c r="DR1118" s="485"/>
      <c r="DS1118" s="485"/>
      <c r="DT1118" s="485"/>
      <c r="DU1118" s="485"/>
      <c r="DV1118" s="485"/>
      <c r="DW1118" s="485"/>
      <c r="DX1118" s="485"/>
      <c r="DY1118" s="485"/>
      <c r="DZ1118" s="485"/>
      <c r="EA1118" s="485"/>
      <c r="EB1118" s="485"/>
      <c r="EC1118" s="485"/>
      <c r="ED1118" s="485"/>
      <c r="EE1118" s="485"/>
      <c r="EF1118" s="485"/>
      <c r="EG1118" s="485"/>
      <c r="EH1118" s="485"/>
      <c r="EI1118" s="485"/>
      <c r="EJ1118" s="485"/>
      <c r="EK1118" s="485"/>
      <c r="EL1118" s="485"/>
      <c r="EM1118" s="485"/>
      <c r="EN1118" s="485"/>
      <c r="EO1118" s="485"/>
      <c r="EP1118" s="485"/>
    </row>
    <row r="1119" spans="1:146">
      <c r="A1119" s="485"/>
      <c r="B1119" s="485"/>
      <c r="C1119" s="485"/>
      <c r="D1119" s="485"/>
      <c r="E1119" s="485"/>
      <c r="F1119" s="485"/>
      <c r="G1119" s="485"/>
      <c r="H1119" s="485"/>
      <c r="I1119" s="485"/>
      <c r="J1119" s="485"/>
      <c r="K1119" s="485"/>
      <c r="L1119" s="485"/>
      <c r="M1119" s="485"/>
      <c r="P1119" s="485"/>
      <c r="Q1119" s="485"/>
      <c r="R1119" s="485"/>
      <c r="S1119" s="485"/>
      <c r="T1119" s="485"/>
      <c r="U1119" s="485"/>
      <c r="V1119" s="485"/>
      <c r="W1119" s="485"/>
      <c r="X1119" s="485"/>
      <c r="Y1119" s="485"/>
      <c r="Z1119" s="485"/>
      <c r="AA1119" s="485"/>
      <c r="AB1119" s="485"/>
      <c r="AC1119" s="485"/>
      <c r="AD1119" s="485"/>
      <c r="AE1119" s="485"/>
      <c r="AF1119" s="485"/>
      <c r="AG1119" s="485"/>
      <c r="AH1119" s="485"/>
      <c r="AI1119" s="485"/>
      <c r="AJ1119" s="485"/>
      <c r="AK1119" s="485"/>
      <c r="AL1119" s="485"/>
      <c r="AM1119" s="485"/>
      <c r="AN1119" s="485"/>
      <c r="AO1119" s="485"/>
      <c r="AP1119" s="485"/>
      <c r="AQ1119" s="485"/>
      <c r="AR1119" s="485"/>
      <c r="AS1119" s="485"/>
      <c r="AT1119" s="485"/>
      <c r="AU1119" s="485"/>
      <c r="AV1119" s="485"/>
      <c r="AW1119" s="485"/>
      <c r="AX1119" s="485"/>
      <c r="AY1119" s="485"/>
      <c r="AZ1119" s="485"/>
      <c r="BA1119" s="485"/>
      <c r="BB1119" s="485"/>
      <c r="BC1119" s="485"/>
      <c r="BD1119" s="485"/>
      <c r="BE1119" s="485"/>
      <c r="BF1119" s="485"/>
      <c r="BG1119" s="485"/>
      <c r="BH1119" s="485"/>
      <c r="BI1119" s="485"/>
      <c r="BJ1119" s="485"/>
      <c r="BK1119" s="485"/>
      <c r="BL1119" s="485"/>
      <c r="BM1119" s="485"/>
      <c r="BN1119" s="485"/>
      <c r="BO1119" s="485"/>
      <c r="BP1119" s="485"/>
      <c r="BQ1119" s="485"/>
      <c r="BR1119" s="485"/>
      <c r="BS1119" s="485"/>
      <c r="BT1119" s="485"/>
      <c r="BU1119" s="485"/>
      <c r="BV1119" s="485"/>
      <c r="BW1119" s="485"/>
      <c r="BX1119" s="485"/>
      <c r="BY1119" s="485"/>
      <c r="BZ1119" s="485"/>
      <c r="CA1119" s="485"/>
      <c r="CB1119" s="485"/>
      <c r="CC1119" s="485"/>
      <c r="CD1119" s="485"/>
      <c r="CE1119" s="485"/>
      <c r="CF1119" s="485"/>
      <c r="CG1119" s="485"/>
      <c r="CH1119" s="485"/>
      <c r="CI1119" s="485"/>
      <c r="CJ1119" s="485"/>
      <c r="CK1119" s="485"/>
      <c r="CL1119" s="485"/>
      <c r="CM1119" s="485"/>
      <c r="CN1119" s="485"/>
      <c r="CO1119" s="485"/>
      <c r="CP1119" s="485"/>
      <c r="CQ1119" s="485"/>
      <c r="CR1119" s="485"/>
      <c r="CS1119" s="485"/>
      <c r="CT1119" s="485"/>
      <c r="CU1119" s="485"/>
      <c r="CV1119" s="485"/>
      <c r="CW1119" s="485"/>
      <c r="CX1119" s="485"/>
      <c r="CY1119" s="485"/>
      <c r="CZ1119" s="485"/>
      <c r="DA1119" s="485"/>
      <c r="DB1119" s="485"/>
      <c r="DC1119" s="485"/>
      <c r="DD1119" s="485"/>
      <c r="DE1119" s="485"/>
      <c r="DF1119" s="485"/>
      <c r="DG1119" s="485"/>
      <c r="DH1119" s="485"/>
      <c r="DI1119" s="485"/>
      <c r="DJ1119" s="485"/>
      <c r="DK1119" s="485"/>
      <c r="DL1119" s="485"/>
      <c r="DM1119" s="485"/>
      <c r="DN1119" s="485"/>
      <c r="DO1119" s="485"/>
      <c r="DP1119" s="485"/>
      <c r="DQ1119" s="485"/>
      <c r="DR1119" s="485"/>
      <c r="DS1119" s="485"/>
      <c r="DT1119" s="485"/>
      <c r="DU1119" s="485"/>
      <c r="DV1119" s="485"/>
      <c r="DW1119" s="485"/>
      <c r="DX1119" s="485"/>
      <c r="DY1119" s="485"/>
      <c r="DZ1119" s="485"/>
      <c r="EA1119" s="485"/>
      <c r="EB1119" s="485"/>
      <c r="EC1119" s="485"/>
      <c r="ED1119" s="485"/>
      <c r="EE1119" s="485"/>
      <c r="EF1119" s="485"/>
      <c r="EG1119" s="485"/>
      <c r="EH1119" s="485"/>
      <c r="EI1119" s="485"/>
      <c r="EJ1119" s="485"/>
      <c r="EK1119" s="485"/>
      <c r="EL1119" s="485"/>
      <c r="EM1119" s="485"/>
      <c r="EN1119" s="485"/>
      <c r="EO1119" s="485"/>
      <c r="EP1119" s="485"/>
    </row>
    <row r="1120" spans="1:146">
      <c r="A1120" s="485"/>
      <c r="B1120" s="485"/>
      <c r="C1120" s="485"/>
      <c r="D1120" s="485"/>
      <c r="E1120" s="485"/>
      <c r="F1120" s="485"/>
      <c r="G1120" s="485"/>
      <c r="H1120" s="485"/>
      <c r="I1120" s="485"/>
      <c r="J1120" s="485"/>
      <c r="K1120" s="485"/>
      <c r="L1120" s="485"/>
      <c r="M1120" s="485"/>
      <c r="P1120" s="485"/>
      <c r="Q1120" s="485"/>
      <c r="R1120" s="485"/>
      <c r="S1120" s="485"/>
      <c r="T1120" s="485"/>
      <c r="U1120" s="485"/>
      <c r="V1120" s="485"/>
      <c r="W1120" s="485"/>
      <c r="X1120" s="485"/>
      <c r="Y1120" s="485"/>
      <c r="Z1120" s="485"/>
      <c r="AA1120" s="485"/>
      <c r="AB1120" s="485"/>
      <c r="AC1120" s="485"/>
      <c r="AD1120" s="485"/>
      <c r="AE1120" s="485"/>
      <c r="AF1120" s="485"/>
      <c r="AG1120" s="485"/>
      <c r="AH1120" s="485"/>
      <c r="AI1120" s="485"/>
      <c r="AJ1120" s="485"/>
      <c r="AK1120" s="485"/>
      <c r="AL1120" s="485"/>
      <c r="AM1120" s="485"/>
      <c r="AN1120" s="485"/>
      <c r="AO1120" s="485"/>
      <c r="AP1120" s="485"/>
      <c r="AQ1120" s="485"/>
      <c r="AR1120" s="485"/>
      <c r="AS1120" s="485"/>
      <c r="AT1120" s="485"/>
      <c r="AU1120" s="485"/>
      <c r="AV1120" s="485"/>
      <c r="AW1120" s="485"/>
      <c r="AX1120" s="485"/>
      <c r="AY1120" s="485"/>
      <c r="AZ1120" s="485"/>
      <c r="BA1120" s="485"/>
      <c r="BB1120" s="485"/>
      <c r="BC1120" s="485"/>
      <c r="BD1120" s="485"/>
      <c r="BE1120" s="485"/>
      <c r="BF1120" s="485"/>
      <c r="BG1120" s="485"/>
      <c r="BH1120" s="485"/>
      <c r="BI1120" s="485"/>
      <c r="BJ1120" s="485"/>
      <c r="BK1120" s="485"/>
      <c r="BL1120" s="485"/>
      <c r="BM1120" s="485"/>
      <c r="BN1120" s="485"/>
      <c r="BO1120" s="485"/>
      <c r="BP1120" s="485"/>
      <c r="BQ1120" s="485"/>
      <c r="BR1120" s="485"/>
      <c r="BS1120" s="485"/>
      <c r="BT1120" s="485"/>
      <c r="BU1120" s="485"/>
      <c r="BV1120" s="485"/>
      <c r="BW1120" s="485"/>
      <c r="BX1120" s="485"/>
      <c r="BY1120" s="485"/>
      <c r="BZ1120" s="485"/>
      <c r="CA1120" s="485"/>
      <c r="CB1120" s="485"/>
      <c r="CC1120" s="485"/>
      <c r="CD1120" s="485"/>
      <c r="CE1120" s="485"/>
      <c r="CF1120" s="485"/>
      <c r="CG1120" s="485"/>
      <c r="CH1120" s="485"/>
      <c r="CI1120" s="485"/>
      <c r="CJ1120" s="485"/>
      <c r="CK1120" s="485"/>
      <c r="CL1120" s="485"/>
      <c r="CM1120" s="485"/>
      <c r="CN1120" s="485"/>
      <c r="CO1120" s="485"/>
      <c r="CP1120" s="485"/>
      <c r="CQ1120" s="485"/>
      <c r="CR1120" s="485"/>
      <c r="CS1120" s="485"/>
      <c r="CT1120" s="485"/>
      <c r="CU1120" s="485"/>
      <c r="CV1120" s="485"/>
      <c r="CW1120" s="485"/>
      <c r="CX1120" s="485"/>
      <c r="CY1120" s="485"/>
      <c r="CZ1120" s="485"/>
      <c r="DA1120" s="485"/>
      <c r="DB1120" s="485"/>
      <c r="DC1120" s="485"/>
      <c r="DD1120" s="485"/>
      <c r="DE1120" s="485"/>
      <c r="DF1120" s="485"/>
      <c r="DG1120" s="485"/>
      <c r="DH1120" s="485"/>
      <c r="DI1120" s="485"/>
      <c r="DJ1120" s="485"/>
      <c r="DK1120" s="485"/>
      <c r="DL1120" s="485"/>
      <c r="DM1120" s="485"/>
      <c r="DN1120" s="485"/>
      <c r="DO1120" s="485"/>
      <c r="DP1120" s="485"/>
      <c r="DQ1120" s="485"/>
      <c r="DR1120" s="485"/>
      <c r="DS1120" s="485"/>
      <c r="DT1120" s="485"/>
      <c r="DU1120" s="485"/>
      <c r="DV1120" s="485"/>
      <c r="DW1120" s="485"/>
      <c r="DX1120" s="485"/>
      <c r="DY1120" s="485"/>
      <c r="DZ1120" s="485"/>
      <c r="EA1120" s="485"/>
      <c r="EB1120" s="485"/>
      <c r="EC1120" s="485"/>
      <c r="ED1120" s="485"/>
      <c r="EE1120" s="485"/>
      <c r="EF1120" s="485"/>
      <c r="EG1120" s="485"/>
      <c r="EH1120" s="485"/>
      <c r="EI1120" s="485"/>
      <c r="EJ1120" s="485"/>
      <c r="EK1120" s="485"/>
      <c r="EL1120" s="485"/>
      <c r="EM1120" s="485"/>
      <c r="EN1120" s="485"/>
      <c r="EO1120" s="485"/>
      <c r="EP1120" s="485"/>
    </row>
    <row r="1121" spans="1:146">
      <c r="A1121" s="485"/>
      <c r="B1121" s="485"/>
      <c r="C1121" s="485"/>
      <c r="D1121" s="485"/>
      <c r="E1121" s="485"/>
      <c r="F1121" s="485"/>
      <c r="G1121" s="485"/>
      <c r="H1121" s="485"/>
      <c r="I1121" s="485"/>
      <c r="J1121" s="485"/>
      <c r="K1121" s="485"/>
      <c r="L1121" s="485"/>
      <c r="M1121" s="485"/>
      <c r="P1121" s="485"/>
      <c r="Q1121" s="485"/>
      <c r="R1121" s="485"/>
      <c r="S1121" s="485"/>
      <c r="T1121" s="485"/>
      <c r="U1121" s="485"/>
      <c r="V1121" s="485"/>
      <c r="W1121" s="485"/>
      <c r="X1121" s="485"/>
      <c r="Y1121" s="485"/>
      <c r="Z1121" s="485"/>
      <c r="AA1121" s="485"/>
      <c r="AB1121" s="485"/>
      <c r="AC1121" s="485"/>
      <c r="AD1121" s="485"/>
      <c r="AE1121" s="485"/>
      <c r="AF1121" s="485"/>
      <c r="AG1121" s="485"/>
      <c r="AH1121" s="485"/>
      <c r="AI1121" s="485"/>
      <c r="AJ1121" s="485"/>
      <c r="AK1121" s="485"/>
      <c r="AL1121" s="485"/>
      <c r="AM1121" s="485"/>
      <c r="AN1121" s="485"/>
      <c r="AO1121" s="485"/>
      <c r="AP1121" s="485"/>
      <c r="AQ1121" s="485"/>
      <c r="AR1121" s="485"/>
      <c r="AS1121" s="485"/>
      <c r="AT1121" s="485"/>
      <c r="AU1121" s="485"/>
      <c r="AV1121" s="485"/>
      <c r="AW1121" s="485"/>
      <c r="AX1121" s="485"/>
      <c r="AY1121" s="485"/>
      <c r="AZ1121" s="485"/>
      <c r="BA1121" s="485"/>
      <c r="BB1121" s="485"/>
      <c r="BC1121" s="485"/>
      <c r="BD1121" s="485"/>
      <c r="BE1121" s="485"/>
      <c r="BF1121" s="485"/>
      <c r="BG1121" s="485"/>
      <c r="BH1121" s="485"/>
      <c r="BI1121" s="485"/>
      <c r="BJ1121" s="485"/>
      <c r="BK1121" s="485"/>
      <c r="BL1121" s="485"/>
      <c r="BM1121" s="485"/>
      <c r="BN1121" s="485"/>
      <c r="BO1121" s="485"/>
      <c r="BP1121" s="485"/>
      <c r="BQ1121" s="485"/>
      <c r="BR1121" s="485"/>
      <c r="BS1121" s="485"/>
      <c r="BT1121" s="485"/>
      <c r="BU1121" s="485"/>
      <c r="BV1121" s="485"/>
      <c r="BW1121" s="485"/>
      <c r="BX1121" s="485"/>
      <c r="BY1121" s="485"/>
      <c r="BZ1121" s="485"/>
      <c r="CA1121" s="485"/>
      <c r="CB1121" s="485"/>
      <c r="CC1121" s="485"/>
      <c r="CD1121" s="485"/>
      <c r="CE1121" s="485"/>
      <c r="CF1121" s="485"/>
      <c r="CG1121" s="485"/>
      <c r="CH1121" s="485"/>
      <c r="CI1121" s="485"/>
      <c r="CJ1121" s="485"/>
      <c r="CK1121" s="485"/>
      <c r="CL1121" s="485"/>
      <c r="CM1121" s="485"/>
      <c r="CN1121" s="485"/>
      <c r="CO1121" s="485"/>
      <c r="CP1121" s="485"/>
      <c r="CQ1121" s="485"/>
      <c r="CR1121" s="485"/>
      <c r="CS1121" s="485"/>
      <c r="CT1121" s="485"/>
      <c r="CU1121" s="485"/>
      <c r="CV1121" s="485"/>
      <c r="CW1121" s="485"/>
      <c r="CX1121" s="485"/>
      <c r="CY1121" s="485"/>
      <c r="CZ1121" s="485"/>
      <c r="DA1121" s="485"/>
      <c r="DB1121" s="485"/>
      <c r="DC1121" s="485"/>
      <c r="DD1121" s="485"/>
      <c r="DE1121" s="485"/>
      <c r="DF1121" s="485"/>
      <c r="DG1121" s="485"/>
      <c r="DH1121" s="485"/>
      <c r="DI1121" s="485"/>
      <c r="DJ1121" s="485"/>
      <c r="DK1121" s="485"/>
      <c r="DL1121" s="485"/>
      <c r="DM1121" s="485"/>
      <c r="DN1121" s="485"/>
      <c r="DO1121" s="485"/>
      <c r="DP1121" s="485"/>
      <c r="DQ1121" s="485"/>
      <c r="DR1121" s="485"/>
      <c r="DS1121" s="485"/>
      <c r="DT1121" s="485"/>
      <c r="DU1121" s="485"/>
      <c r="DV1121" s="485"/>
      <c r="DW1121" s="485"/>
      <c r="DX1121" s="485"/>
      <c r="DY1121" s="485"/>
      <c r="DZ1121" s="485"/>
      <c r="EA1121" s="485"/>
      <c r="EB1121" s="485"/>
      <c r="EC1121" s="485"/>
      <c r="ED1121" s="485"/>
      <c r="EE1121" s="485"/>
      <c r="EF1121" s="485"/>
      <c r="EG1121" s="485"/>
      <c r="EH1121" s="485"/>
      <c r="EI1121" s="485"/>
      <c r="EJ1121" s="485"/>
      <c r="EK1121" s="485"/>
      <c r="EL1121" s="485"/>
      <c r="EM1121" s="485"/>
      <c r="EN1121" s="485"/>
      <c r="EO1121" s="485"/>
      <c r="EP1121" s="485"/>
    </row>
    <row r="1122" spans="1:146">
      <c r="A1122" s="485"/>
      <c r="B1122" s="485"/>
      <c r="C1122" s="485"/>
      <c r="D1122" s="485"/>
      <c r="E1122" s="485"/>
      <c r="F1122" s="485"/>
      <c r="G1122" s="485"/>
      <c r="H1122" s="485"/>
      <c r="I1122" s="485"/>
      <c r="J1122" s="485"/>
      <c r="K1122" s="485"/>
      <c r="L1122" s="485"/>
      <c r="M1122" s="485"/>
      <c r="P1122" s="485"/>
      <c r="Q1122" s="485"/>
      <c r="R1122" s="485"/>
      <c r="S1122" s="485"/>
      <c r="T1122" s="485"/>
      <c r="U1122" s="485"/>
      <c r="V1122" s="485"/>
      <c r="W1122" s="485"/>
      <c r="X1122" s="485"/>
      <c r="Y1122" s="485"/>
      <c r="Z1122" s="485"/>
      <c r="AA1122" s="485"/>
      <c r="AB1122" s="485"/>
      <c r="AC1122" s="485"/>
      <c r="AD1122" s="485"/>
      <c r="AE1122" s="485"/>
      <c r="AF1122" s="485"/>
      <c r="AG1122" s="485"/>
      <c r="AH1122" s="485"/>
      <c r="AI1122" s="485"/>
      <c r="AJ1122" s="485"/>
      <c r="AK1122" s="485"/>
      <c r="AL1122" s="485"/>
      <c r="AM1122" s="485"/>
      <c r="AN1122" s="485"/>
      <c r="AO1122" s="485"/>
      <c r="AP1122" s="485"/>
      <c r="AQ1122" s="485"/>
      <c r="AR1122" s="485"/>
      <c r="AS1122" s="485"/>
      <c r="AT1122" s="485"/>
      <c r="AU1122" s="485"/>
      <c r="AV1122" s="485"/>
      <c r="AW1122" s="485"/>
      <c r="AX1122" s="485"/>
      <c r="AY1122" s="485"/>
      <c r="AZ1122" s="485"/>
      <c r="BA1122" s="485"/>
      <c r="BB1122" s="485"/>
      <c r="BC1122" s="485"/>
      <c r="BD1122" s="485"/>
      <c r="BE1122" s="485"/>
      <c r="BF1122" s="485"/>
      <c r="BG1122" s="485"/>
      <c r="BH1122" s="485"/>
      <c r="BI1122" s="485"/>
      <c r="BJ1122" s="485"/>
      <c r="BK1122" s="485"/>
      <c r="BL1122" s="485"/>
      <c r="BM1122" s="485"/>
      <c r="BN1122" s="485"/>
      <c r="BO1122" s="485"/>
      <c r="BP1122" s="485"/>
      <c r="BQ1122" s="485"/>
      <c r="BR1122" s="485"/>
      <c r="BS1122" s="485"/>
      <c r="BT1122" s="485"/>
      <c r="BU1122" s="485"/>
      <c r="BV1122" s="485"/>
      <c r="BW1122" s="485"/>
      <c r="BX1122" s="485"/>
      <c r="BY1122" s="485"/>
      <c r="BZ1122" s="485"/>
      <c r="CA1122" s="485"/>
      <c r="CB1122" s="485"/>
      <c r="CC1122" s="485"/>
      <c r="CD1122" s="485"/>
      <c r="CE1122" s="485"/>
      <c r="CF1122" s="485"/>
      <c r="CG1122" s="485"/>
      <c r="CH1122" s="485"/>
      <c r="CI1122" s="485"/>
      <c r="CJ1122" s="485"/>
      <c r="CK1122" s="485"/>
      <c r="CL1122" s="485"/>
      <c r="CM1122" s="485"/>
      <c r="CN1122" s="485"/>
      <c r="CO1122" s="485"/>
      <c r="CP1122" s="485"/>
      <c r="CQ1122" s="485"/>
      <c r="CR1122" s="485"/>
      <c r="CS1122" s="485"/>
      <c r="CT1122" s="485"/>
      <c r="CU1122" s="485"/>
      <c r="CV1122" s="485"/>
      <c r="CW1122" s="485"/>
      <c r="CX1122" s="485"/>
      <c r="CY1122" s="485"/>
      <c r="CZ1122" s="485"/>
      <c r="DA1122" s="485"/>
      <c r="DB1122" s="485"/>
      <c r="DC1122" s="485"/>
      <c r="DD1122" s="485"/>
      <c r="DE1122" s="485"/>
      <c r="DF1122" s="485"/>
      <c r="DG1122" s="485"/>
      <c r="DH1122" s="485"/>
      <c r="DI1122" s="485"/>
      <c r="DJ1122" s="485"/>
      <c r="DK1122" s="485"/>
      <c r="DL1122" s="485"/>
      <c r="DM1122" s="485"/>
      <c r="DN1122" s="485"/>
      <c r="DO1122" s="485"/>
      <c r="DP1122" s="485"/>
      <c r="DQ1122" s="485"/>
      <c r="DR1122" s="485"/>
      <c r="DS1122" s="485"/>
      <c r="DT1122" s="485"/>
      <c r="DU1122" s="485"/>
      <c r="DV1122" s="485"/>
      <c r="DW1122" s="485"/>
      <c r="DX1122" s="485"/>
      <c r="DY1122" s="485"/>
      <c r="DZ1122" s="485"/>
      <c r="EA1122" s="485"/>
      <c r="EB1122" s="485"/>
      <c r="EC1122" s="485"/>
      <c r="ED1122" s="485"/>
      <c r="EE1122" s="485"/>
      <c r="EF1122" s="485"/>
      <c r="EG1122" s="485"/>
      <c r="EH1122" s="485"/>
      <c r="EI1122" s="485"/>
      <c r="EJ1122" s="485"/>
      <c r="EK1122" s="485"/>
      <c r="EL1122" s="485"/>
      <c r="EM1122" s="485"/>
      <c r="EN1122" s="485"/>
      <c r="EO1122" s="485"/>
      <c r="EP1122" s="485"/>
    </row>
    <row r="1123" spans="1:146">
      <c r="A1123" s="485"/>
      <c r="B1123" s="485"/>
      <c r="C1123" s="485"/>
      <c r="D1123" s="485"/>
      <c r="E1123" s="485"/>
      <c r="F1123" s="485"/>
      <c r="G1123" s="485"/>
      <c r="H1123" s="485"/>
      <c r="I1123" s="485"/>
      <c r="J1123" s="485"/>
      <c r="K1123" s="485"/>
      <c r="L1123" s="485"/>
      <c r="M1123" s="485"/>
      <c r="P1123" s="485"/>
      <c r="Q1123" s="485"/>
      <c r="R1123" s="485"/>
      <c r="S1123" s="485"/>
      <c r="T1123" s="485"/>
      <c r="U1123" s="485"/>
      <c r="V1123" s="485"/>
      <c r="W1123" s="485"/>
      <c r="X1123" s="485"/>
      <c r="Y1123" s="485"/>
      <c r="Z1123" s="485"/>
      <c r="AA1123" s="485"/>
      <c r="AB1123" s="485"/>
      <c r="AC1123" s="485"/>
      <c r="AD1123" s="485"/>
      <c r="AE1123" s="485"/>
      <c r="AF1123" s="485"/>
      <c r="AG1123" s="485"/>
      <c r="AH1123" s="485"/>
      <c r="AI1123" s="485"/>
      <c r="AJ1123" s="485"/>
      <c r="AK1123" s="485"/>
      <c r="AL1123" s="485"/>
      <c r="AM1123" s="485"/>
      <c r="AN1123" s="485"/>
      <c r="AO1123" s="485"/>
      <c r="AP1123" s="485"/>
      <c r="AQ1123" s="485"/>
      <c r="AR1123" s="485"/>
      <c r="AS1123" s="485"/>
      <c r="AT1123" s="485"/>
      <c r="AU1123" s="485"/>
      <c r="AV1123" s="485"/>
      <c r="AW1123" s="485"/>
      <c r="AX1123" s="485"/>
      <c r="AY1123" s="485"/>
      <c r="AZ1123" s="485"/>
      <c r="BA1123" s="485"/>
      <c r="BB1123" s="485"/>
      <c r="BC1123" s="485"/>
      <c r="BD1123" s="485"/>
      <c r="BE1123" s="485"/>
      <c r="BF1123" s="485"/>
      <c r="BG1123" s="485"/>
      <c r="BH1123" s="485"/>
      <c r="BI1123" s="485"/>
      <c r="BJ1123" s="485"/>
      <c r="BK1123" s="485"/>
      <c r="BL1123" s="485"/>
      <c r="BM1123" s="485"/>
      <c r="BN1123" s="485"/>
      <c r="BO1123" s="485"/>
      <c r="BP1123" s="485"/>
      <c r="BQ1123" s="485"/>
      <c r="BR1123" s="485"/>
      <c r="BS1123" s="485"/>
      <c r="BT1123" s="485"/>
      <c r="BU1123" s="485"/>
      <c r="BV1123" s="485"/>
      <c r="BW1123" s="485"/>
      <c r="BX1123" s="485"/>
      <c r="BY1123" s="485"/>
      <c r="BZ1123" s="485"/>
      <c r="CA1123" s="485"/>
      <c r="CB1123" s="485"/>
      <c r="CC1123" s="485"/>
      <c r="CD1123" s="485"/>
      <c r="CE1123" s="485"/>
      <c r="CF1123" s="485"/>
      <c r="CG1123" s="485"/>
      <c r="CH1123" s="485"/>
      <c r="CI1123" s="485"/>
      <c r="CJ1123" s="485"/>
      <c r="CK1123" s="485"/>
      <c r="CL1123" s="485"/>
      <c r="CM1123" s="485"/>
      <c r="CN1123" s="485"/>
      <c r="CO1123" s="485"/>
      <c r="CP1123" s="485"/>
      <c r="CQ1123" s="485"/>
      <c r="CR1123" s="485"/>
      <c r="CS1123" s="485"/>
      <c r="CT1123" s="485"/>
      <c r="CU1123" s="485"/>
      <c r="CV1123" s="485"/>
      <c r="CW1123" s="485"/>
      <c r="CX1123" s="485"/>
      <c r="CY1123" s="485"/>
      <c r="CZ1123" s="485"/>
      <c r="DA1123" s="485"/>
      <c r="DB1123" s="485"/>
      <c r="DC1123" s="485"/>
      <c r="DD1123" s="485"/>
      <c r="DE1123" s="485"/>
      <c r="DF1123" s="485"/>
      <c r="DG1123" s="485"/>
      <c r="DH1123" s="485"/>
      <c r="DI1123" s="485"/>
      <c r="DJ1123" s="485"/>
      <c r="DK1123" s="485"/>
      <c r="DL1123" s="485"/>
      <c r="DM1123" s="485"/>
      <c r="DN1123" s="485"/>
      <c r="DO1123" s="485"/>
      <c r="DP1123" s="485"/>
      <c r="DQ1123" s="485"/>
      <c r="DR1123" s="485"/>
      <c r="DS1123" s="485"/>
      <c r="DT1123" s="485"/>
      <c r="DU1123" s="485"/>
      <c r="DV1123" s="485"/>
      <c r="DW1123" s="485"/>
      <c r="DX1123" s="485"/>
      <c r="DY1123" s="485"/>
      <c r="DZ1123" s="485"/>
      <c r="EA1123" s="485"/>
      <c r="EB1123" s="485"/>
      <c r="EC1123" s="485"/>
      <c r="ED1123" s="485"/>
      <c r="EE1123" s="485"/>
      <c r="EF1123" s="485"/>
      <c r="EG1123" s="485"/>
      <c r="EH1123" s="485"/>
      <c r="EI1123" s="485"/>
      <c r="EJ1123" s="485"/>
      <c r="EK1123" s="485"/>
      <c r="EL1123" s="485"/>
      <c r="EM1123" s="485"/>
      <c r="EN1123" s="485"/>
      <c r="EO1123" s="485"/>
      <c r="EP1123" s="485"/>
    </row>
    <row r="1124" spans="1:146">
      <c r="A1124" s="485"/>
      <c r="B1124" s="485"/>
      <c r="C1124" s="485"/>
      <c r="D1124" s="485"/>
      <c r="E1124" s="485"/>
      <c r="F1124" s="485"/>
      <c r="G1124" s="485"/>
      <c r="H1124" s="485"/>
      <c r="I1124" s="485"/>
      <c r="J1124" s="485"/>
      <c r="K1124" s="485"/>
      <c r="L1124" s="485"/>
      <c r="M1124" s="485"/>
      <c r="P1124" s="485"/>
      <c r="Q1124" s="485"/>
      <c r="R1124" s="485"/>
      <c r="S1124" s="485"/>
      <c r="T1124" s="485"/>
      <c r="U1124" s="485"/>
      <c r="V1124" s="485"/>
      <c r="W1124" s="485"/>
      <c r="X1124" s="485"/>
      <c r="Y1124" s="485"/>
      <c r="Z1124" s="485"/>
      <c r="AA1124" s="485"/>
      <c r="AB1124" s="485"/>
      <c r="AC1124" s="485"/>
      <c r="AD1124" s="485"/>
      <c r="AE1124" s="485"/>
      <c r="AF1124" s="485"/>
      <c r="AG1124" s="485"/>
      <c r="AH1124" s="485"/>
      <c r="AI1124" s="485"/>
      <c r="AJ1124" s="485"/>
      <c r="AK1124" s="485"/>
      <c r="AL1124" s="485"/>
      <c r="AM1124" s="485"/>
      <c r="AN1124" s="485"/>
      <c r="AO1124" s="485"/>
      <c r="AP1124" s="485"/>
      <c r="AQ1124" s="485"/>
      <c r="AR1124" s="485"/>
      <c r="AS1124" s="485"/>
      <c r="AT1124" s="485"/>
      <c r="AU1124" s="485"/>
      <c r="AV1124" s="485"/>
      <c r="AW1124" s="485"/>
      <c r="AX1124" s="485"/>
      <c r="AY1124" s="485"/>
      <c r="AZ1124" s="485"/>
      <c r="BA1124" s="485"/>
      <c r="BB1124" s="485"/>
      <c r="BC1124" s="485"/>
      <c r="BD1124" s="485"/>
      <c r="BE1124" s="485"/>
      <c r="BF1124" s="485"/>
      <c r="BG1124" s="485"/>
      <c r="BH1124" s="485"/>
      <c r="BI1124" s="485"/>
      <c r="BJ1124" s="485"/>
      <c r="BK1124" s="485"/>
      <c r="BL1124" s="485"/>
      <c r="BM1124" s="485"/>
      <c r="BN1124" s="485"/>
      <c r="BO1124" s="485"/>
      <c r="BP1124" s="485"/>
      <c r="BQ1124" s="485"/>
      <c r="BR1124" s="485"/>
      <c r="BS1124" s="485"/>
      <c r="BT1124" s="485"/>
      <c r="BU1124" s="485"/>
      <c r="BV1124" s="485"/>
      <c r="BW1124" s="485"/>
      <c r="BX1124" s="485"/>
      <c r="BY1124" s="485"/>
      <c r="BZ1124" s="485"/>
      <c r="CA1124" s="485"/>
      <c r="CB1124" s="485"/>
      <c r="CC1124" s="485"/>
      <c r="CD1124" s="485"/>
      <c r="CE1124" s="485"/>
      <c r="CF1124" s="485"/>
      <c r="CG1124" s="485"/>
      <c r="CH1124" s="485"/>
      <c r="CI1124" s="485"/>
      <c r="CJ1124" s="485"/>
      <c r="CK1124" s="485"/>
      <c r="CL1124" s="485"/>
      <c r="CM1124" s="485"/>
      <c r="CN1124" s="485"/>
      <c r="CO1124" s="485"/>
      <c r="CP1124" s="485"/>
      <c r="CQ1124" s="485"/>
      <c r="CR1124" s="485"/>
      <c r="CS1124" s="485"/>
      <c r="CT1124" s="485"/>
      <c r="CU1124" s="485"/>
      <c r="CV1124" s="485"/>
      <c r="CW1124" s="485"/>
      <c r="CX1124" s="485"/>
      <c r="CY1124" s="485"/>
      <c r="CZ1124" s="485"/>
      <c r="DA1124" s="485"/>
      <c r="DB1124" s="485"/>
      <c r="DC1124" s="485"/>
      <c r="DD1124" s="485"/>
      <c r="DE1124" s="485"/>
      <c r="DF1124" s="485"/>
      <c r="DG1124" s="485"/>
      <c r="DH1124" s="485"/>
      <c r="DI1124" s="485"/>
      <c r="DJ1124" s="485"/>
      <c r="DK1124" s="485"/>
      <c r="DL1124" s="485"/>
      <c r="DM1124" s="485"/>
      <c r="DN1124" s="485"/>
      <c r="DO1124" s="485"/>
      <c r="DP1124" s="485"/>
      <c r="DQ1124" s="485"/>
      <c r="DR1124" s="485"/>
      <c r="DS1124" s="485"/>
      <c r="DT1124" s="485"/>
      <c r="DU1124" s="485"/>
      <c r="DV1124" s="485"/>
      <c r="DW1124" s="485"/>
      <c r="DX1124" s="485"/>
      <c r="DY1124" s="485"/>
      <c r="DZ1124" s="485"/>
      <c r="EA1124" s="485"/>
      <c r="EB1124" s="485"/>
      <c r="EC1124" s="485"/>
      <c r="ED1124" s="485"/>
      <c r="EE1124" s="485"/>
      <c r="EF1124" s="485"/>
      <c r="EG1124" s="485"/>
      <c r="EH1124" s="485"/>
      <c r="EI1124" s="485"/>
      <c r="EJ1124" s="485"/>
      <c r="EK1124" s="485"/>
      <c r="EL1124" s="485"/>
      <c r="EM1124" s="485"/>
      <c r="EN1124" s="485"/>
      <c r="EO1124" s="485"/>
      <c r="EP1124" s="485"/>
    </row>
    <row r="1125" spans="1:146">
      <c r="A1125" s="485"/>
      <c r="B1125" s="485"/>
      <c r="C1125" s="485"/>
      <c r="D1125" s="485"/>
      <c r="E1125" s="485"/>
      <c r="F1125" s="485"/>
      <c r="G1125" s="485"/>
      <c r="H1125" s="485"/>
      <c r="I1125" s="485"/>
      <c r="J1125" s="485"/>
      <c r="K1125" s="485"/>
      <c r="L1125" s="485"/>
      <c r="M1125" s="485"/>
      <c r="P1125" s="485"/>
      <c r="Q1125" s="485"/>
      <c r="R1125" s="485"/>
      <c r="S1125" s="485"/>
      <c r="T1125" s="485"/>
      <c r="U1125" s="485"/>
      <c r="V1125" s="485"/>
      <c r="W1125" s="485"/>
      <c r="X1125" s="485"/>
      <c r="Y1125" s="485"/>
      <c r="Z1125" s="485"/>
      <c r="AA1125" s="485"/>
      <c r="AB1125" s="485"/>
      <c r="AC1125" s="485"/>
      <c r="AD1125" s="485"/>
      <c r="AE1125" s="485"/>
      <c r="AF1125" s="485"/>
      <c r="AG1125" s="485"/>
      <c r="AH1125" s="485"/>
      <c r="AI1125" s="485"/>
      <c r="AJ1125" s="485"/>
      <c r="AK1125" s="485"/>
      <c r="AL1125" s="485"/>
      <c r="AM1125" s="485"/>
      <c r="AN1125" s="485"/>
      <c r="AO1125" s="485"/>
      <c r="AP1125" s="485"/>
      <c r="AQ1125" s="485"/>
      <c r="AR1125" s="485"/>
      <c r="AS1125" s="485"/>
      <c r="AT1125" s="485"/>
      <c r="AU1125" s="485"/>
      <c r="AV1125" s="485"/>
      <c r="AW1125" s="485"/>
      <c r="AX1125" s="485"/>
      <c r="AY1125" s="485"/>
      <c r="AZ1125" s="485"/>
      <c r="BA1125" s="485"/>
      <c r="BB1125" s="485"/>
      <c r="BC1125" s="485"/>
      <c r="BD1125" s="485"/>
      <c r="BE1125" s="485"/>
      <c r="BF1125" s="485"/>
      <c r="BG1125" s="485"/>
      <c r="BH1125" s="485"/>
      <c r="BI1125" s="485"/>
      <c r="BJ1125" s="485"/>
      <c r="BK1125" s="485"/>
      <c r="BL1125" s="485"/>
      <c r="BM1125" s="485"/>
      <c r="BN1125" s="485"/>
      <c r="BO1125" s="485"/>
      <c r="BP1125" s="485"/>
      <c r="BQ1125" s="485"/>
      <c r="BR1125" s="485"/>
      <c r="BS1125" s="485"/>
      <c r="BT1125" s="485"/>
      <c r="BU1125" s="485"/>
      <c r="BV1125" s="485"/>
      <c r="BW1125" s="485"/>
      <c r="BX1125" s="485"/>
      <c r="BY1125" s="485"/>
      <c r="BZ1125" s="485"/>
      <c r="CA1125" s="485"/>
      <c r="CB1125" s="485"/>
      <c r="CC1125" s="485"/>
      <c r="CD1125" s="485"/>
      <c r="CE1125" s="485"/>
      <c r="CF1125" s="485"/>
      <c r="CG1125" s="485"/>
      <c r="CH1125" s="485"/>
      <c r="CI1125" s="485"/>
      <c r="CJ1125" s="485"/>
      <c r="CK1125" s="485"/>
      <c r="CL1125" s="485"/>
      <c r="CM1125" s="485"/>
      <c r="CN1125" s="485"/>
      <c r="CO1125" s="485"/>
      <c r="CP1125" s="485"/>
      <c r="CQ1125" s="485"/>
      <c r="CR1125" s="485"/>
      <c r="CS1125" s="485"/>
      <c r="CT1125" s="485"/>
      <c r="CU1125" s="485"/>
      <c r="CV1125" s="485"/>
      <c r="CW1125" s="485"/>
      <c r="CX1125" s="485"/>
      <c r="CY1125" s="485"/>
      <c r="CZ1125" s="485"/>
      <c r="DA1125" s="485"/>
      <c r="DB1125" s="485"/>
      <c r="DC1125" s="485"/>
      <c r="DD1125" s="485"/>
      <c r="DE1125" s="485"/>
      <c r="DF1125" s="485"/>
      <c r="DG1125" s="485"/>
      <c r="DH1125" s="485"/>
      <c r="DI1125" s="485"/>
      <c r="DJ1125" s="485"/>
      <c r="DK1125" s="485"/>
      <c r="DL1125" s="485"/>
      <c r="DM1125" s="485"/>
      <c r="DN1125" s="485"/>
      <c r="DO1125" s="485"/>
      <c r="DP1125" s="485"/>
      <c r="DQ1125" s="485"/>
      <c r="DR1125" s="485"/>
      <c r="DS1125" s="485"/>
      <c r="DT1125" s="485"/>
      <c r="DU1125" s="485"/>
      <c r="DV1125" s="485"/>
      <c r="DW1125" s="485"/>
      <c r="DX1125" s="485"/>
      <c r="DY1125" s="485"/>
      <c r="DZ1125" s="485"/>
      <c r="EA1125" s="485"/>
      <c r="EB1125" s="485"/>
      <c r="EC1125" s="485"/>
      <c r="ED1125" s="485"/>
      <c r="EE1125" s="485"/>
      <c r="EF1125" s="485"/>
      <c r="EG1125" s="485"/>
      <c r="EH1125" s="485"/>
      <c r="EI1125" s="485"/>
      <c r="EJ1125" s="485"/>
      <c r="EK1125" s="485"/>
      <c r="EL1125" s="485"/>
      <c r="EM1125" s="485"/>
      <c r="EN1125" s="485"/>
      <c r="EO1125" s="485"/>
      <c r="EP1125" s="485"/>
    </row>
    <row r="1126" spans="1:146">
      <c r="A1126" s="485"/>
      <c r="B1126" s="485"/>
      <c r="C1126" s="485"/>
      <c r="D1126" s="485"/>
      <c r="E1126" s="485"/>
      <c r="F1126" s="485"/>
      <c r="G1126" s="485"/>
      <c r="H1126" s="485"/>
      <c r="I1126" s="485"/>
      <c r="J1126" s="485"/>
      <c r="K1126" s="485"/>
      <c r="L1126" s="485"/>
      <c r="M1126" s="485"/>
      <c r="P1126" s="485"/>
      <c r="Q1126" s="485"/>
      <c r="R1126" s="485"/>
      <c r="S1126" s="485"/>
      <c r="T1126" s="485"/>
      <c r="U1126" s="485"/>
      <c r="V1126" s="485"/>
      <c r="W1126" s="485"/>
      <c r="X1126" s="485"/>
      <c r="Y1126" s="485"/>
      <c r="Z1126" s="485"/>
      <c r="AA1126" s="485"/>
      <c r="AB1126" s="485"/>
      <c r="AC1126" s="485"/>
      <c r="AD1126" s="485"/>
      <c r="AE1126" s="485"/>
      <c r="AF1126" s="485"/>
      <c r="AG1126" s="485"/>
      <c r="AH1126" s="485"/>
      <c r="AI1126" s="485"/>
      <c r="AJ1126" s="485"/>
      <c r="AK1126" s="485"/>
      <c r="AL1126" s="485"/>
      <c r="AM1126" s="485"/>
      <c r="AN1126" s="485"/>
      <c r="AO1126" s="485"/>
      <c r="AP1126" s="485"/>
      <c r="AQ1126" s="485"/>
      <c r="AR1126" s="485"/>
      <c r="AS1126" s="485"/>
      <c r="AT1126" s="485"/>
      <c r="AU1126" s="485"/>
      <c r="AV1126" s="485"/>
      <c r="AW1126" s="485"/>
      <c r="AX1126" s="485"/>
      <c r="AY1126" s="485"/>
      <c r="AZ1126" s="485"/>
      <c r="BA1126" s="485"/>
      <c r="BB1126" s="485"/>
      <c r="BC1126" s="485"/>
      <c r="BD1126" s="485"/>
      <c r="BE1126" s="485"/>
      <c r="BF1126" s="485"/>
      <c r="BG1126" s="485"/>
      <c r="BH1126" s="485"/>
      <c r="BI1126" s="485"/>
      <c r="BJ1126" s="485"/>
      <c r="BK1126" s="485"/>
      <c r="BL1126" s="485"/>
      <c r="BM1126" s="485"/>
      <c r="BN1126" s="485"/>
      <c r="BO1126" s="485"/>
      <c r="BP1126" s="485"/>
      <c r="BQ1126" s="485"/>
      <c r="BR1126" s="485"/>
      <c r="BS1126" s="485"/>
      <c r="BT1126" s="485"/>
      <c r="BU1126" s="485"/>
      <c r="BV1126" s="485"/>
      <c r="BW1126" s="485"/>
      <c r="BX1126" s="485"/>
      <c r="BY1126" s="485"/>
      <c r="BZ1126" s="485"/>
      <c r="CA1126" s="485"/>
      <c r="CB1126" s="485"/>
      <c r="CC1126" s="485"/>
      <c r="CD1126" s="485"/>
      <c r="CE1126" s="485"/>
      <c r="CF1126" s="485"/>
      <c r="CG1126" s="485"/>
      <c r="CH1126" s="485"/>
      <c r="CI1126" s="485"/>
      <c r="CJ1126" s="485"/>
      <c r="CK1126" s="485"/>
      <c r="CL1126" s="485"/>
      <c r="CM1126" s="485"/>
      <c r="CN1126" s="485"/>
      <c r="CO1126" s="485"/>
      <c r="CP1126" s="485"/>
      <c r="CQ1126" s="485"/>
      <c r="CR1126" s="485"/>
      <c r="CS1126" s="485"/>
      <c r="CT1126" s="485"/>
      <c r="CU1126" s="485"/>
      <c r="CV1126" s="485"/>
      <c r="CW1126" s="485"/>
      <c r="CX1126" s="485"/>
      <c r="CY1126" s="485"/>
      <c r="CZ1126" s="485"/>
      <c r="DA1126" s="485"/>
      <c r="DB1126" s="485"/>
      <c r="DC1126" s="485"/>
      <c r="DD1126" s="485"/>
      <c r="DE1126" s="485"/>
      <c r="DF1126" s="485"/>
      <c r="DG1126" s="485"/>
      <c r="DH1126" s="485"/>
      <c r="DI1126" s="485"/>
      <c r="DJ1126" s="485"/>
      <c r="DK1126" s="485"/>
      <c r="DL1126" s="485"/>
      <c r="DM1126" s="485"/>
      <c r="DN1126" s="485"/>
      <c r="DO1126" s="485"/>
      <c r="DP1126" s="485"/>
      <c r="DQ1126" s="485"/>
      <c r="DR1126" s="485"/>
      <c r="DS1126" s="485"/>
      <c r="DT1126" s="485"/>
      <c r="DU1126" s="485"/>
      <c r="DV1126" s="485"/>
      <c r="DW1126" s="485"/>
      <c r="DX1126" s="485"/>
      <c r="DY1126" s="485"/>
      <c r="DZ1126" s="485"/>
      <c r="EA1126" s="485"/>
      <c r="EB1126" s="485"/>
      <c r="EC1126" s="485"/>
      <c r="ED1126" s="485"/>
      <c r="EE1126" s="485"/>
      <c r="EF1126" s="485"/>
      <c r="EG1126" s="485"/>
      <c r="EH1126" s="485"/>
      <c r="EI1126" s="485"/>
      <c r="EJ1126" s="485"/>
      <c r="EK1126" s="485"/>
      <c r="EL1126" s="485"/>
      <c r="EM1126" s="485"/>
      <c r="EN1126" s="485"/>
      <c r="EO1126" s="485"/>
      <c r="EP1126" s="485"/>
    </row>
    <row r="1127" spans="1:146">
      <c r="A1127" s="485"/>
      <c r="B1127" s="485"/>
      <c r="C1127" s="485"/>
      <c r="D1127" s="485"/>
      <c r="E1127" s="485"/>
      <c r="F1127" s="485"/>
      <c r="G1127" s="485"/>
      <c r="H1127" s="485"/>
      <c r="I1127" s="485"/>
      <c r="J1127" s="485"/>
      <c r="K1127" s="485"/>
      <c r="L1127" s="485"/>
      <c r="M1127" s="485"/>
      <c r="P1127" s="485"/>
      <c r="Q1127" s="485"/>
      <c r="R1127" s="485"/>
      <c r="S1127" s="485"/>
      <c r="T1127" s="485"/>
      <c r="U1127" s="485"/>
      <c r="V1127" s="485"/>
      <c r="W1127" s="485"/>
      <c r="X1127" s="485"/>
      <c r="Y1127" s="485"/>
      <c r="Z1127" s="485"/>
      <c r="AA1127" s="485"/>
      <c r="AB1127" s="485"/>
      <c r="AC1127" s="485"/>
      <c r="AD1127" s="485"/>
      <c r="AE1127" s="485"/>
      <c r="AF1127" s="485"/>
      <c r="AG1127" s="485"/>
      <c r="AH1127" s="485"/>
      <c r="AI1127" s="485"/>
      <c r="AJ1127" s="485"/>
      <c r="AK1127" s="485"/>
      <c r="AL1127" s="485"/>
      <c r="AM1127" s="485"/>
      <c r="AN1127" s="485"/>
      <c r="AO1127" s="485"/>
      <c r="AP1127" s="485"/>
      <c r="AQ1127" s="485"/>
      <c r="AR1127" s="485"/>
      <c r="AS1127" s="485"/>
      <c r="AT1127" s="485"/>
      <c r="AU1127" s="485"/>
      <c r="AV1127" s="485"/>
      <c r="AW1127" s="485"/>
      <c r="AX1127" s="485"/>
      <c r="AY1127" s="485"/>
      <c r="AZ1127" s="485"/>
      <c r="BA1127" s="485"/>
      <c r="BB1127" s="485"/>
      <c r="BC1127" s="485"/>
      <c r="BD1127" s="485"/>
      <c r="BE1127" s="485"/>
      <c r="BF1127" s="485"/>
      <c r="BG1127" s="485"/>
      <c r="BH1127" s="485"/>
      <c r="BI1127" s="485"/>
      <c r="BJ1127" s="485"/>
      <c r="BK1127" s="485"/>
      <c r="BL1127" s="485"/>
      <c r="BM1127" s="485"/>
      <c r="BN1127" s="485"/>
      <c r="BO1127" s="485"/>
      <c r="BP1127" s="485"/>
      <c r="BQ1127" s="485"/>
      <c r="BR1127" s="485"/>
      <c r="BS1127" s="485"/>
      <c r="BT1127" s="485"/>
      <c r="BU1127" s="485"/>
      <c r="BV1127" s="485"/>
      <c r="BW1127" s="485"/>
      <c r="BX1127" s="485"/>
      <c r="BY1127" s="485"/>
      <c r="BZ1127" s="485"/>
      <c r="CA1127" s="485"/>
      <c r="CB1127" s="485"/>
      <c r="CC1127" s="485"/>
      <c r="CD1127" s="485"/>
      <c r="CE1127" s="485"/>
      <c r="CF1127" s="485"/>
      <c r="CG1127" s="485"/>
      <c r="CH1127" s="485"/>
      <c r="CI1127" s="485"/>
      <c r="CJ1127" s="485"/>
      <c r="CK1127" s="485"/>
      <c r="CL1127" s="485"/>
      <c r="CM1127" s="485"/>
      <c r="CN1127" s="485"/>
      <c r="CO1127" s="485"/>
      <c r="CP1127" s="485"/>
      <c r="CQ1127" s="485"/>
      <c r="CR1127" s="485"/>
      <c r="CS1127" s="485"/>
      <c r="CT1127" s="485"/>
      <c r="CU1127" s="485"/>
      <c r="CV1127" s="485"/>
      <c r="CW1127" s="485"/>
      <c r="CX1127" s="485"/>
      <c r="CY1127" s="485"/>
      <c r="CZ1127" s="485"/>
      <c r="DA1127" s="485"/>
      <c r="DB1127" s="485"/>
      <c r="DC1127" s="485"/>
      <c r="DD1127" s="485"/>
      <c r="DE1127" s="485"/>
      <c r="DF1127" s="485"/>
      <c r="DG1127" s="485"/>
      <c r="DH1127" s="485"/>
      <c r="DI1127" s="485"/>
      <c r="DJ1127" s="485"/>
      <c r="DK1127" s="485"/>
      <c r="DL1127" s="485"/>
      <c r="DM1127" s="485"/>
      <c r="DN1127" s="485"/>
      <c r="DO1127" s="485"/>
      <c r="DP1127" s="485"/>
      <c r="DQ1127" s="485"/>
      <c r="DR1127" s="485"/>
      <c r="DS1127" s="485"/>
      <c r="DT1127" s="485"/>
      <c r="DU1127" s="485"/>
      <c r="DV1127" s="485"/>
      <c r="DW1127" s="485"/>
      <c r="DX1127" s="485"/>
      <c r="DY1127" s="485"/>
      <c r="DZ1127" s="485"/>
      <c r="EA1127" s="485"/>
      <c r="EB1127" s="485"/>
      <c r="EC1127" s="485"/>
      <c r="ED1127" s="485"/>
      <c r="EE1127" s="485"/>
      <c r="EF1127" s="485"/>
      <c r="EG1127" s="485"/>
      <c r="EH1127" s="485"/>
      <c r="EI1127" s="485"/>
      <c r="EJ1127" s="485"/>
      <c r="EK1127" s="485"/>
      <c r="EL1127" s="485"/>
      <c r="EM1127" s="485"/>
      <c r="EN1127" s="485"/>
      <c r="EO1127" s="485"/>
      <c r="EP1127" s="485"/>
    </row>
    <row r="1128" spans="1:146">
      <c r="A1128" s="485"/>
      <c r="B1128" s="485"/>
      <c r="C1128" s="485"/>
      <c r="D1128" s="485"/>
      <c r="E1128" s="485"/>
      <c r="F1128" s="485"/>
      <c r="G1128" s="485"/>
      <c r="H1128" s="485"/>
      <c r="I1128" s="485"/>
      <c r="J1128" s="485"/>
      <c r="K1128" s="485"/>
      <c r="L1128" s="485"/>
      <c r="M1128" s="485"/>
      <c r="P1128" s="485"/>
      <c r="Q1128" s="485"/>
      <c r="R1128" s="485"/>
      <c r="S1128" s="485"/>
      <c r="T1128" s="485"/>
      <c r="U1128" s="485"/>
      <c r="V1128" s="485"/>
      <c r="W1128" s="485"/>
      <c r="X1128" s="485"/>
      <c r="Y1128" s="485"/>
      <c r="Z1128" s="485"/>
      <c r="AA1128" s="485"/>
      <c r="AB1128" s="485"/>
      <c r="AC1128" s="485"/>
      <c r="AD1128" s="485"/>
      <c r="AE1128" s="485"/>
      <c r="AF1128" s="485"/>
      <c r="AG1128" s="485"/>
      <c r="AH1128" s="485"/>
      <c r="AI1128" s="485"/>
      <c r="AJ1128" s="485"/>
      <c r="AK1128" s="485"/>
      <c r="AL1128" s="485"/>
      <c r="AM1128" s="485"/>
      <c r="AN1128" s="485"/>
      <c r="AO1128" s="485"/>
      <c r="AP1128" s="485"/>
      <c r="AQ1128" s="485"/>
      <c r="AR1128" s="485"/>
      <c r="AS1128" s="485"/>
      <c r="AT1128" s="485"/>
      <c r="AU1128" s="485"/>
      <c r="AV1128" s="485"/>
      <c r="AW1128" s="485"/>
      <c r="AX1128" s="485"/>
      <c r="AY1128" s="485"/>
      <c r="AZ1128" s="485"/>
      <c r="BA1128" s="485"/>
      <c r="BB1128" s="485"/>
      <c r="BC1128" s="485"/>
      <c r="BD1128" s="485"/>
      <c r="BE1128" s="485"/>
      <c r="BF1128" s="485"/>
      <c r="BG1128" s="485"/>
      <c r="BH1128" s="485"/>
      <c r="BI1128" s="485"/>
      <c r="BJ1128" s="485"/>
      <c r="BK1128" s="485"/>
      <c r="BL1128" s="485"/>
      <c r="BM1128" s="485"/>
      <c r="BN1128" s="485"/>
      <c r="BO1128" s="485"/>
      <c r="BP1128" s="485"/>
      <c r="BQ1128" s="485"/>
      <c r="BR1128" s="485"/>
      <c r="BS1128" s="485"/>
      <c r="BT1128" s="485"/>
      <c r="BU1128" s="485"/>
      <c r="BV1128" s="485"/>
      <c r="BW1128" s="485"/>
      <c r="BX1128" s="485"/>
      <c r="BY1128" s="485"/>
      <c r="BZ1128" s="485"/>
      <c r="CA1128" s="485"/>
      <c r="CB1128" s="485"/>
      <c r="CC1128" s="485"/>
      <c r="CD1128" s="485"/>
      <c r="CE1128" s="485"/>
      <c r="CF1128" s="485"/>
      <c r="CG1128" s="485"/>
      <c r="CH1128" s="485"/>
      <c r="CI1128" s="485"/>
      <c r="CJ1128" s="485"/>
      <c r="CK1128" s="485"/>
      <c r="CL1128" s="485"/>
      <c r="CM1128" s="485"/>
      <c r="CN1128" s="485"/>
      <c r="CO1128" s="485"/>
      <c r="CP1128" s="485"/>
      <c r="CQ1128" s="485"/>
      <c r="CR1128" s="485"/>
      <c r="CS1128" s="485"/>
      <c r="CT1128" s="485"/>
      <c r="CU1128" s="485"/>
      <c r="CV1128" s="485"/>
      <c r="CW1128" s="485"/>
      <c r="CX1128" s="485"/>
      <c r="CY1128" s="485"/>
      <c r="CZ1128" s="485"/>
      <c r="DA1128" s="485"/>
      <c r="DB1128" s="485"/>
      <c r="DC1128" s="485"/>
      <c r="DD1128" s="485"/>
      <c r="DE1128" s="485"/>
      <c r="DF1128" s="485"/>
      <c r="DG1128" s="485"/>
      <c r="DH1128" s="485"/>
      <c r="DI1128" s="485"/>
      <c r="DJ1128" s="485"/>
      <c r="DK1128" s="485"/>
      <c r="DL1128" s="485"/>
      <c r="DM1128" s="485"/>
      <c r="DN1128" s="485"/>
      <c r="DO1128" s="485"/>
      <c r="DP1128" s="485"/>
      <c r="DQ1128" s="485"/>
      <c r="DR1128" s="485"/>
      <c r="DS1128" s="485"/>
      <c r="DT1128" s="485"/>
      <c r="DU1128" s="485"/>
      <c r="DV1128" s="485"/>
      <c r="DW1128" s="485"/>
      <c r="DX1128" s="485"/>
      <c r="DY1128" s="485"/>
      <c r="DZ1128" s="485"/>
      <c r="EA1128" s="485"/>
      <c r="EB1128" s="485"/>
      <c r="EC1128" s="485"/>
      <c r="ED1128" s="485"/>
      <c r="EE1128" s="485"/>
      <c r="EF1128" s="485"/>
      <c r="EG1128" s="485"/>
      <c r="EH1128" s="485"/>
      <c r="EI1128" s="485"/>
      <c r="EJ1128" s="485"/>
      <c r="EK1128" s="485"/>
      <c r="EL1128" s="485"/>
      <c r="EM1128" s="485"/>
      <c r="EN1128" s="485"/>
      <c r="EO1128" s="485"/>
      <c r="EP1128" s="485"/>
    </row>
    <row r="1129" spans="1:146">
      <c r="A1129" s="485"/>
      <c r="B1129" s="485"/>
      <c r="C1129" s="485"/>
      <c r="D1129" s="485"/>
      <c r="E1129" s="485"/>
      <c r="F1129" s="485"/>
      <c r="G1129" s="485"/>
      <c r="H1129" s="485"/>
      <c r="I1129" s="485"/>
      <c r="J1129" s="485"/>
      <c r="K1129" s="485"/>
      <c r="L1129" s="485"/>
      <c r="M1129" s="485"/>
      <c r="P1129" s="485"/>
      <c r="Q1129" s="485"/>
      <c r="R1129" s="485"/>
      <c r="S1129" s="485"/>
      <c r="T1129" s="485"/>
      <c r="U1129" s="485"/>
      <c r="V1129" s="485"/>
      <c r="W1129" s="485"/>
      <c r="X1129" s="485"/>
      <c r="Y1129" s="485"/>
      <c r="Z1129" s="485"/>
      <c r="AA1129" s="485"/>
      <c r="AB1129" s="485"/>
      <c r="AC1129" s="485"/>
      <c r="AD1129" s="485"/>
      <c r="AE1129" s="485"/>
      <c r="AF1129" s="485"/>
      <c r="AG1129" s="485"/>
      <c r="AH1129" s="485"/>
      <c r="AI1129" s="485"/>
      <c r="AJ1129" s="485"/>
      <c r="AK1129" s="485"/>
      <c r="AL1129" s="485"/>
      <c r="AM1129" s="485"/>
      <c r="AN1129" s="485"/>
      <c r="AO1129" s="485"/>
      <c r="AP1129" s="485"/>
      <c r="AQ1129" s="485"/>
      <c r="AR1129" s="485"/>
      <c r="AS1129" s="485"/>
      <c r="AT1129" s="485"/>
      <c r="AU1129" s="485"/>
      <c r="AV1129" s="485"/>
      <c r="AW1129" s="485"/>
      <c r="AX1129" s="485"/>
      <c r="AY1129" s="485"/>
      <c r="AZ1129" s="485"/>
      <c r="BA1129" s="485"/>
      <c r="BB1129" s="485"/>
      <c r="BC1129" s="485"/>
      <c r="BD1129" s="485"/>
      <c r="BE1129" s="485"/>
      <c r="BF1129" s="485"/>
      <c r="BG1129" s="485"/>
      <c r="BH1129" s="485"/>
      <c r="BI1129" s="485"/>
      <c r="BJ1129" s="485"/>
      <c r="BK1129" s="485"/>
      <c r="BL1129" s="485"/>
      <c r="BM1129" s="485"/>
      <c r="BN1129" s="485"/>
      <c r="BO1129" s="485"/>
      <c r="BP1129" s="485"/>
      <c r="BQ1129" s="485"/>
      <c r="BR1129" s="485"/>
      <c r="BS1129" s="485"/>
      <c r="BT1129" s="485"/>
      <c r="BU1129" s="485"/>
      <c r="BV1129" s="485"/>
      <c r="BW1129" s="485"/>
      <c r="BX1129" s="485"/>
      <c r="BY1129" s="485"/>
      <c r="BZ1129" s="485"/>
      <c r="CA1129" s="485"/>
      <c r="CB1129" s="485"/>
      <c r="CC1129" s="485"/>
      <c r="CD1129" s="485"/>
      <c r="CE1129" s="485"/>
      <c r="CF1129" s="485"/>
      <c r="CG1129" s="485"/>
      <c r="CH1129" s="485"/>
      <c r="CI1129" s="485"/>
      <c r="CJ1129" s="485"/>
      <c r="CK1129" s="485"/>
      <c r="CL1129" s="485"/>
      <c r="CM1129" s="485"/>
      <c r="CN1129" s="485"/>
      <c r="CO1129" s="485"/>
      <c r="CP1129" s="485"/>
      <c r="CQ1129" s="485"/>
      <c r="CR1129" s="485"/>
      <c r="CS1129" s="485"/>
      <c r="CT1129" s="485"/>
      <c r="CU1129" s="485"/>
      <c r="CV1129" s="485"/>
      <c r="CW1129" s="485"/>
      <c r="CX1129" s="485"/>
      <c r="CY1129" s="485"/>
      <c r="CZ1129" s="485"/>
      <c r="DA1129" s="485"/>
      <c r="DB1129" s="485"/>
      <c r="DC1129" s="485"/>
      <c r="DD1129" s="485"/>
      <c r="DE1129" s="485"/>
      <c r="DF1129" s="485"/>
      <c r="DG1129" s="485"/>
      <c r="DH1129" s="485"/>
      <c r="DI1129" s="485"/>
      <c r="DJ1129" s="485"/>
      <c r="DK1129" s="485"/>
      <c r="DL1129" s="485"/>
      <c r="DM1129" s="485"/>
      <c r="DN1129" s="485"/>
      <c r="DO1129" s="485"/>
      <c r="DP1129" s="485"/>
      <c r="DQ1129" s="485"/>
      <c r="DR1129" s="485"/>
      <c r="DS1129" s="485"/>
      <c r="DT1129" s="485"/>
      <c r="DU1129" s="485"/>
      <c r="DV1129" s="485"/>
      <c r="DW1129" s="485"/>
      <c r="DX1129" s="485"/>
      <c r="DY1129" s="485"/>
      <c r="DZ1129" s="485"/>
      <c r="EA1129" s="485"/>
      <c r="EB1129" s="485"/>
      <c r="EC1129" s="485"/>
      <c r="ED1129" s="485"/>
      <c r="EE1129" s="485"/>
      <c r="EF1129" s="485"/>
      <c r="EG1129" s="485"/>
      <c r="EH1129" s="485"/>
      <c r="EI1129" s="485"/>
      <c r="EJ1129" s="485"/>
      <c r="EK1129" s="485"/>
      <c r="EL1129" s="485"/>
      <c r="EM1129" s="485"/>
      <c r="EN1129" s="485"/>
      <c r="EO1129" s="485"/>
      <c r="EP1129" s="485"/>
    </row>
    <row r="1130" spans="1:146">
      <c r="A1130" s="485"/>
      <c r="B1130" s="485"/>
      <c r="C1130" s="485"/>
      <c r="D1130" s="485"/>
      <c r="E1130" s="485"/>
      <c r="F1130" s="485"/>
      <c r="G1130" s="485"/>
      <c r="H1130" s="485"/>
      <c r="I1130" s="485"/>
      <c r="J1130" s="485"/>
      <c r="K1130" s="485"/>
      <c r="L1130" s="485"/>
      <c r="M1130" s="485"/>
      <c r="P1130" s="485"/>
      <c r="Q1130" s="485"/>
      <c r="R1130" s="485"/>
      <c r="S1130" s="485"/>
      <c r="T1130" s="485"/>
      <c r="U1130" s="485"/>
      <c r="V1130" s="485"/>
      <c r="W1130" s="485"/>
      <c r="X1130" s="485"/>
      <c r="Y1130" s="485"/>
      <c r="Z1130" s="485"/>
      <c r="AA1130" s="485"/>
      <c r="AB1130" s="485"/>
      <c r="AC1130" s="485"/>
      <c r="AD1130" s="485"/>
      <c r="AE1130" s="485"/>
      <c r="AF1130" s="485"/>
      <c r="AG1130" s="485"/>
      <c r="AH1130" s="485"/>
      <c r="AI1130" s="485"/>
      <c r="AJ1130" s="485"/>
      <c r="AK1130" s="485"/>
      <c r="AL1130" s="485"/>
      <c r="AM1130" s="485"/>
      <c r="AN1130" s="485"/>
      <c r="AO1130" s="485"/>
      <c r="AP1130" s="485"/>
      <c r="AQ1130" s="485"/>
      <c r="AR1130" s="485"/>
      <c r="AS1130" s="485"/>
      <c r="AT1130" s="485"/>
      <c r="AU1130" s="485"/>
      <c r="AV1130" s="485"/>
      <c r="AW1130" s="485"/>
      <c r="AX1130" s="485"/>
      <c r="AY1130" s="485"/>
      <c r="AZ1130" s="485"/>
      <c r="BA1130" s="485"/>
      <c r="BB1130" s="485"/>
      <c r="BC1130" s="485"/>
      <c r="BD1130" s="485"/>
      <c r="BE1130" s="485"/>
      <c r="BF1130" s="485"/>
      <c r="BG1130" s="485"/>
      <c r="BH1130" s="485"/>
      <c r="BI1130" s="485"/>
      <c r="BJ1130" s="485"/>
      <c r="BK1130" s="485"/>
      <c r="BL1130" s="485"/>
      <c r="BM1130" s="485"/>
      <c r="BN1130" s="485"/>
      <c r="BO1130" s="485"/>
      <c r="BP1130" s="485"/>
      <c r="BQ1130" s="485"/>
      <c r="BR1130" s="485"/>
      <c r="BS1130" s="485"/>
      <c r="BT1130" s="485"/>
      <c r="BU1130" s="485"/>
      <c r="BV1130" s="485"/>
      <c r="BW1130" s="485"/>
      <c r="BX1130" s="485"/>
      <c r="BY1130" s="485"/>
      <c r="BZ1130" s="485"/>
      <c r="CA1130" s="485"/>
      <c r="CB1130" s="485"/>
      <c r="CC1130" s="485"/>
      <c r="CD1130" s="485"/>
      <c r="CE1130" s="485"/>
      <c r="CF1130" s="485"/>
      <c r="CG1130" s="485"/>
      <c r="CH1130" s="485"/>
      <c r="CI1130" s="485"/>
      <c r="CJ1130" s="485"/>
      <c r="CK1130" s="485"/>
      <c r="CL1130" s="485"/>
      <c r="CM1130" s="485"/>
      <c r="CN1130" s="485"/>
      <c r="CO1130" s="485"/>
      <c r="CP1130" s="485"/>
      <c r="CQ1130" s="485"/>
      <c r="CR1130" s="485"/>
      <c r="CS1130" s="485"/>
      <c r="CT1130" s="485"/>
      <c r="CU1130" s="485"/>
      <c r="CV1130" s="485"/>
      <c r="CW1130" s="485"/>
      <c r="CX1130" s="485"/>
      <c r="CY1130" s="485"/>
      <c r="CZ1130" s="485"/>
      <c r="DA1130" s="485"/>
      <c r="DB1130" s="485"/>
      <c r="DC1130" s="485"/>
      <c r="DD1130" s="485"/>
      <c r="DE1130" s="485"/>
      <c r="DF1130" s="485"/>
      <c r="DG1130" s="485"/>
      <c r="DH1130" s="485"/>
      <c r="DI1130" s="485"/>
      <c r="DJ1130" s="485"/>
      <c r="DK1130" s="485"/>
      <c r="DL1130" s="485"/>
      <c r="DM1130" s="485"/>
      <c r="DN1130" s="485"/>
      <c r="DO1130" s="485"/>
      <c r="DP1130" s="485"/>
      <c r="DQ1130" s="485"/>
      <c r="DR1130" s="485"/>
      <c r="DS1130" s="485"/>
      <c r="DT1130" s="485"/>
      <c r="DU1130" s="485"/>
      <c r="DV1130" s="485"/>
      <c r="DW1130" s="485"/>
      <c r="DX1130" s="485"/>
      <c r="DY1130" s="485"/>
      <c r="DZ1130" s="485"/>
      <c r="EA1130" s="485"/>
      <c r="EB1130" s="485"/>
      <c r="EC1130" s="485"/>
      <c r="ED1130" s="485"/>
      <c r="EE1130" s="485"/>
      <c r="EF1130" s="485"/>
      <c r="EG1130" s="485"/>
      <c r="EH1130" s="485"/>
      <c r="EI1130" s="485"/>
      <c r="EJ1130" s="485"/>
      <c r="EK1130" s="485"/>
      <c r="EL1130" s="485"/>
      <c r="EM1130" s="485"/>
      <c r="EN1130" s="485"/>
      <c r="EO1130" s="485"/>
      <c r="EP1130" s="485"/>
    </row>
    <row r="1131" spans="1:146">
      <c r="A1131" s="485"/>
      <c r="B1131" s="485"/>
      <c r="C1131" s="485"/>
      <c r="D1131" s="485"/>
      <c r="E1131" s="485"/>
      <c r="F1131" s="485"/>
      <c r="G1131" s="485"/>
      <c r="H1131" s="485"/>
      <c r="I1131" s="485"/>
      <c r="J1131" s="485"/>
      <c r="K1131" s="485"/>
      <c r="L1131" s="485"/>
      <c r="M1131" s="485"/>
      <c r="P1131" s="485"/>
      <c r="Q1131" s="485"/>
      <c r="R1131" s="485"/>
      <c r="S1131" s="485"/>
      <c r="T1131" s="485"/>
      <c r="U1131" s="485"/>
      <c r="V1131" s="485"/>
      <c r="W1131" s="485"/>
      <c r="X1131" s="485"/>
      <c r="Y1131" s="485"/>
      <c r="Z1131" s="485"/>
      <c r="AA1131" s="485"/>
      <c r="AB1131" s="485"/>
      <c r="AC1131" s="485"/>
      <c r="AD1131" s="485"/>
      <c r="AE1131" s="485"/>
      <c r="AF1131" s="485"/>
      <c r="AG1131" s="485"/>
      <c r="AH1131" s="485"/>
      <c r="AI1131" s="485"/>
      <c r="AJ1131" s="485"/>
      <c r="AK1131" s="485"/>
      <c r="AL1131" s="485"/>
      <c r="AM1131" s="485"/>
      <c r="AN1131" s="485"/>
      <c r="AO1131" s="485"/>
      <c r="AP1131" s="485"/>
      <c r="AQ1131" s="485"/>
      <c r="AR1131" s="485"/>
      <c r="AS1131" s="485"/>
      <c r="AT1131" s="485"/>
      <c r="AU1131" s="485"/>
      <c r="AV1131" s="485"/>
      <c r="AW1131" s="485"/>
      <c r="AX1131" s="485"/>
      <c r="AY1131" s="485"/>
      <c r="AZ1131" s="485"/>
      <c r="BA1131" s="485"/>
      <c r="BB1131" s="485"/>
      <c r="BC1131" s="485"/>
      <c r="BD1131" s="485"/>
      <c r="BE1131" s="485"/>
      <c r="BF1131" s="485"/>
      <c r="BG1131" s="485"/>
      <c r="BH1131" s="485"/>
      <c r="BI1131" s="485"/>
      <c r="BJ1131" s="485"/>
      <c r="BK1131" s="485"/>
      <c r="BL1131" s="485"/>
      <c r="BM1131" s="485"/>
      <c r="BN1131" s="485"/>
      <c r="BO1131" s="485"/>
      <c r="BP1131" s="485"/>
      <c r="BQ1131" s="485"/>
      <c r="BR1131" s="485"/>
      <c r="BS1131" s="485"/>
      <c r="BT1131" s="485"/>
      <c r="BU1131" s="485"/>
      <c r="BV1131" s="485"/>
      <c r="BW1131" s="485"/>
      <c r="BX1131" s="485"/>
      <c r="BY1131" s="485"/>
      <c r="BZ1131" s="485"/>
      <c r="CA1131" s="485"/>
      <c r="CB1131" s="485"/>
      <c r="CC1131" s="485"/>
      <c r="CD1131" s="485"/>
      <c r="CE1131" s="485"/>
      <c r="CF1131" s="485"/>
      <c r="CG1131" s="485"/>
      <c r="CH1131" s="485"/>
      <c r="CI1131" s="485"/>
      <c r="CJ1131" s="485"/>
      <c r="CK1131" s="485"/>
      <c r="CL1131" s="485"/>
      <c r="CM1131" s="485"/>
      <c r="CN1131" s="485"/>
      <c r="CO1131" s="485"/>
      <c r="CP1131" s="485"/>
      <c r="CQ1131" s="485"/>
      <c r="CR1131" s="485"/>
      <c r="CS1131" s="485"/>
      <c r="CT1131" s="485"/>
      <c r="CU1131" s="485"/>
      <c r="CV1131" s="485"/>
      <c r="CW1131" s="485"/>
      <c r="CX1131" s="485"/>
      <c r="CY1131" s="485"/>
      <c r="CZ1131" s="485"/>
      <c r="DA1131" s="485"/>
      <c r="DB1131" s="485"/>
      <c r="DC1131" s="485"/>
      <c r="DD1131" s="485"/>
      <c r="DE1131" s="485"/>
      <c r="DF1131" s="485"/>
      <c r="DG1131" s="485"/>
      <c r="DH1131" s="485"/>
      <c r="DI1131" s="485"/>
      <c r="DJ1131" s="485"/>
      <c r="DK1131" s="485"/>
      <c r="DL1131" s="485"/>
      <c r="DM1131" s="485"/>
      <c r="DN1131" s="485"/>
      <c r="DO1131" s="485"/>
      <c r="DP1131" s="485"/>
      <c r="DQ1131" s="485"/>
      <c r="DR1131" s="485"/>
      <c r="DS1131" s="485"/>
      <c r="DT1131" s="485"/>
      <c r="DU1131" s="485"/>
      <c r="DV1131" s="485"/>
      <c r="DW1131" s="485"/>
      <c r="DX1131" s="485"/>
      <c r="DY1131" s="485"/>
      <c r="DZ1131" s="485"/>
      <c r="EA1131" s="485"/>
      <c r="EB1131" s="485"/>
      <c r="EC1131" s="485"/>
      <c r="ED1131" s="485"/>
      <c r="EE1131" s="485"/>
      <c r="EF1131" s="485"/>
      <c r="EG1131" s="485"/>
      <c r="EH1131" s="485"/>
      <c r="EI1131" s="485"/>
      <c r="EJ1131" s="485"/>
      <c r="EK1131" s="485"/>
      <c r="EL1131" s="485"/>
      <c r="EM1131" s="485"/>
      <c r="EN1131" s="485"/>
      <c r="EO1131" s="485"/>
      <c r="EP1131" s="485"/>
    </row>
    <row r="1132" spans="1:146">
      <c r="A1132" s="485"/>
      <c r="B1132" s="485"/>
      <c r="C1132" s="485"/>
      <c r="D1132" s="485"/>
      <c r="E1132" s="485"/>
      <c r="F1132" s="485"/>
      <c r="G1132" s="485"/>
      <c r="H1132" s="485"/>
      <c r="I1132" s="485"/>
      <c r="J1132" s="485"/>
      <c r="K1132" s="485"/>
      <c r="L1132" s="485"/>
      <c r="M1132" s="485"/>
      <c r="P1132" s="485"/>
      <c r="Q1132" s="485"/>
      <c r="R1132" s="485"/>
      <c r="S1132" s="485"/>
      <c r="T1132" s="485"/>
      <c r="U1132" s="485"/>
      <c r="V1132" s="485"/>
      <c r="W1132" s="485"/>
      <c r="X1132" s="485"/>
      <c r="Y1132" s="485"/>
      <c r="Z1132" s="485"/>
      <c r="AA1132" s="485"/>
      <c r="AB1132" s="485"/>
      <c r="AC1132" s="485"/>
      <c r="AD1132" s="485"/>
      <c r="AE1132" s="485"/>
      <c r="AF1132" s="485"/>
      <c r="AG1132" s="485"/>
      <c r="AH1132" s="485"/>
      <c r="AI1132" s="485"/>
      <c r="AJ1132" s="485"/>
      <c r="AK1132" s="485"/>
      <c r="AL1132" s="485"/>
      <c r="AM1132" s="485"/>
      <c r="AN1132" s="485"/>
      <c r="AO1132" s="485"/>
      <c r="AP1132" s="485"/>
      <c r="AQ1132" s="485"/>
      <c r="AR1132" s="485"/>
      <c r="AS1132" s="485"/>
      <c r="AT1132" s="485"/>
      <c r="AU1132" s="485"/>
      <c r="AV1132" s="485"/>
      <c r="AW1132" s="485"/>
      <c r="AX1132" s="485"/>
      <c r="AY1132" s="485"/>
      <c r="AZ1132" s="485"/>
      <c r="BA1132" s="485"/>
      <c r="BB1132" s="485"/>
      <c r="BC1132" s="485"/>
      <c r="BD1132" s="485"/>
      <c r="BE1132" s="485"/>
      <c r="BF1132" s="485"/>
      <c r="BG1132" s="485"/>
      <c r="BH1132" s="485"/>
      <c r="BI1132" s="485"/>
      <c r="BJ1132" s="485"/>
      <c r="BK1132" s="485"/>
      <c r="BL1132" s="485"/>
      <c r="BM1132" s="485"/>
      <c r="BN1132" s="485"/>
      <c r="BO1132" s="485"/>
      <c r="BP1132" s="485"/>
      <c r="BQ1132" s="485"/>
      <c r="BR1132" s="485"/>
      <c r="BS1132" s="485"/>
      <c r="BT1132" s="485"/>
      <c r="BU1132" s="485"/>
      <c r="BV1132" s="485"/>
      <c r="BW1132" s="485"/>
      <c r="BX1132" s="485"/>
      <c r="BY1132" s="485"/>
      <c r="BZ1132" s="485"/>
      <c r="CA1132" s="485"/>
      <c r="CB1132" s="485"/>
      <c r="CC1132" s="485"/>
      <c r="CD1132" s="485"/>
      <c r="CE1132" s="485"/>
      <c r="CF1132" s="485"/>
      <c r="CG1132" s="485"/>
      <c r="CH1132" s="485"/>
      <c r="CI1132" s="485"/>
      <c r="CJ1132" s="485"/>
      <c r="CK1132" s="485"/>
      <c r="CL1132" s="485"/>
      <c r="CM1132" s="485"/>
      <c r="CN1132" s="485"/>
      <c r="CO1132" s="485"/>
      <c r="CP1132" s="485"/>
      <c r="CQ1132" s="485"/>
      <c r="CR1132" s="485"/>
      <c r="CS1132" s="485"/>
      <c r="CT1132" s="485"/>
      <c r="CU1132" s="485"/>
      <c r="CV1132" s="485"/>
      <c r="CW1132" s="485"/>
      <c r="CX1132" s="485"/>
      <c r="CY1132" s="485"/>
      <c r="CZ1132" s="485"/>
      <c r="DA1132" s="485"/>
      <c r="DB1132" s="485"/>
      <c r="DC1132" s="485"/>
      <c r="DD1132" s="485"/>
      <c r="DE1132" s="485"/>
      <c r="DF1132" s="485"/>
      <c r="DG1132" s="485"/>
      <c r="DH1132" s="485"/>
      <c r="DI1132" s="485"/>
      <c r="DJ1132" s="485"/>
      <c r="DK1132" s="485"/>
      <c r="DL1132" s="485"/>
      <c r="DM1132" s="485"/>
      <c r="DN1132" s="485"/>
      <c r="DO1132" s="485"/>
      <c r="DP1132" s="485"/>
      <c r="DQ1132" s="485"/>
      <c r="DR1132" s="485"/>
      <c r="DS1132" s="485"/>
      <c r="DT1132" s="485"/>
      <c r="DU1132" s="485"/>
      <c r="DV1132" s="485"/>
      <c r="DW1132" s="485"/>
      <c r="DX1132" s="485"/>
      <c r="DY1132" s="485"/>
      <c r="DZ1132" s="485"/>
      <c r="EA1132" s="485"/>
      <c r="EB1132" s="485"/>
      <c r="EC1132" s="485"/>
      <c r="ED1132" s="485"/>
      <c r="EE1132" s="485"/>
      <c r="EF1132" s="485"/>
      <c r="EG1132" s="485"/>
      <c r="EH1132" s="485"/>
      <c r="EI1132" s="485"/>
      <c r="EJ1132" s="485"/>
      <c r="EK1132" s="485"/>
      <c r="EL1132" s="485"/>
      <c r="EM1132" s="485"/>
      <c r="EN1132" s="485"/>
      <c r="EO1132" s="485"/>
      <c r="EP1132" s="485"/>
    </row>
    <row r="1133" spans="1:146">
      <c r="A1133" s="485"/>
      <c r="B1133" s="485"/>
      <c r="C1133" s="485"/>
      <c r="D1133" s="485"/>
      <c r="E1133" s="485"/>
      <c r="F1133" s="485"/>
      <c r="G1133" s="485"/>
      <c r="H1133" s="485"/>
      <c r="I1133" s="485"/>
      <c r="J1133" s="485"/>
      <c r="K1133" s="485"/>
      <c r="L1133" s="485"/>
      <c r="M1133" s="485"/>
      <c r="P1133" s="485"/>
      <c r="Q1133" s="485"/>
      <c r="R1133" s="485"/>
      <c r="S1133" s="485"/>
      <c r="T1133" s="485"/>
      <c r="U1133" s="485"/>
      <c r="V1133" s="485"/>
      <c r="W1133" s="485"/>
      <c r="X1133" s="485"/>
      <c r="Y1133" s="485"/>
      <c r="Z1133" s="485"/>
      <c r="AA1133" s="485"/>
      <c r="AB1133" s="485"/>
      <c r="AC1133" s="485"/>
      <c r="AD1133" s="485"/>
      <c r="AE1133" s="485"/>
      <c r="AF1133" s="485"/>
      <c r="AG1133" s="485"/>
      <c r="AH1133" s="485"/>
      <c r="AI1133" s="485"/>
      <c r="AJ1133" s="485"/>
      <c r="AK1133" s="485"/>
      <c r="AL1133" s="485"/>
      <c r="AM1133" s="485"/>
      <c r="AN1133" s="485"/>
      <c r="AO1133" s="485"/>
      <c r="AP1133" s="485"/>
      <c r="AQ1133" s="485"/>
      <c r="AR1133" s="485"/>
      <c r="AS1133" s="485"/>
      <c r="AT1133" s="485"/>
      <c r="AU1133" s="485"/>
      <c r="AV1133" s="485"/>
      <c r="AW1133" s="485"/>
      <c r="AX1133" s="485"/>
      <c r="AY1133" s="485"/>
      <c r="AZ1133" s="485"/>
      <c r="BA1133" s="485"/>
      <c r="BB1133" s="485"/>
      <c r="BC1133" s="485"/>
      <c r="BD1133" s="485"/>
      <c r="BE1133" s="485"/>
      <c r="BF1133" s="485"/>
      <c r="BG1133" s="485"/>
      <c r="BH1133" s="485"/>
      <c r="BI1133" s="485"/>
      <c r="BJ1133" s="485"/>
      <c r="BK1133" s="485"/>
      <c r="BL1133" s="485"/>
      <c r="BM1133" s="485"/>
      <c r="BN1133" s="485"/>
      <c r="BO1133" s="485"/>
      <c r="BP1133" s="485"/>
      <c r="BQ1133" s="485"/>
      <c r="BR1133" s="485"/>
      <c r="BS1133" s="485"/>
      <c r="BT1133" s="485"/>
      <c r="BU1133" s="485"/>
      <c r="BV1133" s="485"/>
      <c r="BW1133" s="485"/>
      <c r="BX1133" s="485"/>
      <c r="BY1133" s="485"/>
      <c r="BZ1133" s="485"/>
      <c r="CA1133" s="485"/>
      <c r="CB1133" s="485"/>
      <c r="CC1133" s="485"/>
      <c r="CD1133" s="485"/>
      <c r="CE1133" s="485"/>
      <c r="CF1133" s="485"/>
      <c r="CG1133" s="485"/>
      <c r="CH1133" s="485"/>
      <c r="CI1133" s="485"/>
      <c r="CJ1133" s="485"/>
      <c r="CK1133" s="485"/>
      <c r="CL1133" s="485"/>
      <c r="CM1133" s="485"/>
      <c r="CN1133" s="485"/>
      <c r="CO1133" s="485"/>
      <c r="CP1133" s="485"/>
      <c r="CQ1133" s="485"/>
      <c r="CR1133" s="485"/>
      <c r="CS1133" s="485"/>
      <c r="CT1133" s="485"/>
      <c r="CU1133" s="485"/>
      <c r="CV1133" s="485"/>
      <c r="CW1133" s="485"/>
      <c r="CX1133" s="485"/>
      <c r="CY1133" s="485"/>
      <c r="CZ1133" s="485"/>
      <c r="DA1133" s="485"/>
      <c r="DB1133" s="485"/>
      <c r="DC1133" s="485"/>
      <c r="DD1133" s="485"/>
      <c r="DE1133" s="485"/>
      <c r="DF1133" s="485"/>
      <c r="DG1133" s="485"/>
      <c r="DH1133" s="485"/>
      <c r="DI1133" s="485"/>
      <c r="DJ1133" s="485"/>
      <c r="DK1133" s="485"/>
      <c r="DL1133" s="485"/>
      <c r="DM1133" s="485"/>
      <c r="DN1133" s="485"/>
      <c r="DO1133" s="485"/>
      <c r="DP1133" s="485"/>
      <c r="DQ1133" s="485"/>
      <c r="DR1133" s="485"/>
      <c r="DS1133" s="485"/>
      <c r="DT1133" s="485"/>
      <c r="DU1133" s="485"/>
      <c r="DV1133" s="485"/>
      <c r="DW1133" s="485"/>
      <c r="DX1133" s="485"/>
      <c r="DY1133" s="485"/>
      <c r="DZ1133" s="485"/>
      <c r="EA1133" s="485"/>
      <c r="EB1133" s="485"/>
      <c r="EC1133" s="485"/>
      <c r="ED1133" s="485"/>
      <c r="EE1133" s="485"/>
      <c r="EF1133" s="485"/>
      <c r="EG1133" s="485"/>
      <c r="EH1133" s="485"/>
      <c r="EI1133" s="485"/>
      <c r="EJ1133" s="485"/>
      <c r="EK1133" s="485"/>
      <c r="EL1133" s="485"/>
      <c r="EM1133" s="485"/>
      <c r="EN1133" s="485"/>
      <c r="EO1133" s="485"/>
      <c r="EP1133" s="485"/>
    </row>
    <row r="1134" spans="1:146">
      <c r="A1134" s="485"/>
      <c r="B1134" s="485"/>
      <c r="C1134" s="485"/>
      <c r="D1134" s="485"/>
      <c r="E1134" s="485"/>
      <c r="F1134" s="485"/>
      <c r="G1134" s="485"/>
      <c r="H1134" s="485"/>
      <c r="I1134" s="485"/>
      <c r="J1134" s="485"/>
      <c r="K1134" s="485"/>
      <c r="L1134" s="485"/>
      <c r="M1134" s="485"/>
      <c r="P1134" s="485"/>
      <c r="Q1134" s="485"/>
      <c r="R1134" s="485"/>
      <c r="S1134" s="485"/>
      <c r="T1134" s="485"/>
      <c r="U1134" s="485"/>
      <c r="V1134" s="485"/>
      <c r="W1134" s="485"/>
      <c r="X1134" s="485"/>
      <c r="Y1134" s="485"/>
      <c r="Z1134" s="485"/>
      <c r="AA1134" s="485"/>
      <c r="AB1134" s="485"/>
      <c r="AC1134" s="485"/>
      <c r="AD1134" s="485"/>
      <c r="AE1134" s="485"/>
      <c r="AF1134" s="485"/>
      <c r="AG1134" s="485"/>
      <c r="AH1134" s="485"/>
      <c r="AI1134" s="485"/>
      <c r="AJ1134" s="485"/>
      <c r="AK1134" s="485"/>
      <c r="AL1134" s="485"/>
      <c r="AM1134" s="485"/>
      <c r="AN1134" s="485"/>
      <c r="AO1134" s="485"/>
      <c r="AP1134" s="485"/>
      <c r="AQ1134" s="485"/>
      <c r="AR1134" s="485"/>
      <c r="AS1134" s="485"/>
      <c r="AT1134" s="485"/>
      <c r="AU1134" s="485"/>
      <c r="AV1134" s="485"/>
      <c r="AW1134" s="485"/>
      <c r="AX1134" s="485"/>
      <c r="AY1134" s="485"/>
      <c r="AZ1134" s="485"/>
      <c r="BA1134" s="485"/>
      <c r="BB1134" s="485"/>
      <c r="BC1134" s="485"/>
      <c r="BD1134" s="485"/>
      <c r="BE1134" s="485"/>
      <c r="BF1134" s="485"/>
      <c r="BG1134" s="485"/>
      <c r="BH1134" s="485"/>
      <c r="BI1134" s="485"/>
      <c r="BJ1134" s="485"/>
      <c r="BK1134" s="485"/>
      <c r="BL1134" s="485"/>
      <c r="BM1134" s="485"/>
      <c r="BN1134" s="485"/>
      <c r="BO1134" s="485"/>
      <c r="BP1134" s="485"/>
      <c r="BQ1134" s="485"/>
      <c r="BR1134" s="485"/>
      <c r="BS1134" s="485"/>
      <c r="BT1134" s="485"/>
      <c r="BU1134" s="485"/>
      <c r="BV1134" s="485"/>
      <c r="BW1134" s="485"/>
      <c r="BX1134" s="485"/>
      <c r="BY1134" s="485"/>
      <c r="BZ1134" s="485"/>
      <c r="CA1134" s="485"/>
      <c r="CB1134" s="485"/>
      <c r="CC1134" s="485"/>
      <c r="CD1134" s="485"/>
      <c r="CE1134" s="485"/>
      <c r="CF1134" s="485"/>
      <c r="CG1134" s="485"/>
      <c r="CH1134" s="485"/>
      <c r="CI1134" s="485"/>
      <c r="CJ1134" s="485"/>
      <c r="CK1134" s="485"/>
      <c r="CL1134" s="485"/>
      <c r="CM1134" s="485"/>
      <c r="CN1134" s="485"/>
      <c r="CO1134" s="485"/>
      <c r="CP1134" s="485"/>
      <c r="CQ1134" s="485"/>
      <c r="CR1134" s="485"/>
      <c r="CS1134" s="485"/>
      <c r="CT1134" s="485"/>
      <c r="CU1134" s="485"/>
      <c r="CV1134" s="485"/>
      <c r="CW1134" s="485"/>
      <c r="CX1134" s="485"/>
      <c r="CY1134" s="485"/>
      <c r="CZ1134" s="485"/>
      <c r="DA1134" s="485"/>
      <c r="DB1134" s="485"/>
      <c r="DC1134" s="485"/>
      <c r="DD1134" s="485"/>
      <c r="DE1134" s="485"/>
      <c r="DF1134" s="485"/>
      <c r="DG1134" s="485"/>
      <c r="DH1134" s="485"/>
      <c r="DI1134" s="485"/>
      <c r="DJ1134" s="485"/>
      <c r="DK1134" s="485"/>
      <c r="DL1134" s="485"/>
      <c r="DM1134" s="485"/>
      <c r="DN1134" s="485"/>
      <c r="DO1134" s="485"/>
      <c r="DP1134" s="485"/>
      <c r="DQ1134" s="485"/>
      <c r="DR1134" s="485"/>
      <c r="DS1134" s="485"/>
      <c r="DT1134" s="485"/>
      <c r="DU1134" s="485"/>
      <c r="DV1134" s="485"/>
      <c r="DW1134" s="485"/>
      <c r="DX1134" s="485"/>
      <c r="DY1134" s="485"/>
      <c r="DZ1134" s="485"/>
      <c r="EA1134" s="485"/>
      <c r="EB1134" s="485"/>
      <c r="EC1134" s="485"/>
      <c r="ED1134" s="485"/>
      <c r="EE1134" s="485"/>
      <c r="EF1134" s="485"/>
      <c r="EG1134" s="485"/>
      <c r="EH1134" s="485"/>
      <c r="EI1134" s="485"/>
      <c r="EJ1134" s="485"/>
      <c r="EK1134" s="485"/>
      <c r="EL1134" s="485"/>
      <c r="EM1134" s="485"/>
      <c r="EN1134" s="485"/>
      <c r="EO1134" s="485"/>
      <c r="EP1134" s="485"/>
    </row>
    <row r="1135" spans="1:146">
      <c r="A1135" s="485"/>
      <c r="B1135" s="485"/>
      <c r="C1135" s="485"/>
      <c r="D1135" s="485"/>
      <c r="E1135" s="485"/>
      <c r="F1135" s="485"/>
      <c r="G1135" s="485"/>
      <c r="H1135" s="485"/>
      <c r="I1135" s="485"/>
      <c r="J1135" s="485"/>
      <c r="K1135" s="485"/>
      <c r="L1135" s="485"/>
      <c r="M1135" s="485"/>
      <c r="P1135" s="485"/>
      <c r="Q1135" s="485"/>
      <c r="R1135" s="485"/>
      <c r="S1135" s="485"/>
      <c r="T1135" s="485"/>
      <c r="U1135" s="485"/>
      <c r="V1135" s="485"/>
      <c r="W1135" s="485"/>
      <c r="X1135" s="485"/>
      <c r="Y1135" s="485"/>
      <c r="Z1135" s="485"/>
      <c r="AA1135" s="485"/>
      <c r="AB1135" s="485"/>
      <c r="AC1135" s="485"/>
      <c r="AD1135" s="485"/>
      <c r="AE1135" s="485"/>
      <c r="AF1135" s="485"/>
      <c r="AG1135" s="485"/>
      <c r="AH1135" s="485"/>
      <c r="AI1135" s="485"/>
      <c r="AJ1135" s="485"/>
      <c r="AK1135" s="485"/>
      <c r="AL1135" s="485"/>
      <c r="AM1135" s="485"/>
      <c r="AN1135" s="485"/>
      <c r="AO1135" s="485"/>
      <c r="AP1135" s="485"/>
      <c r="AQ1135" s="485"/>
      <c r="AR1135" s="485"/>
      <c r="AS1135" s="485"/>
      <c r="AT1135" s="485"/>
      <c r="AU1135" s="485"/>
      <c r="AV1135" s="485"/>
      <c r="AW1135" s="485"/>
      <c r="AX1135" s="485"/>
      <c r="AY1135" s="485"/>
      <c r="AZ1135" s="485"/>
      <c r="BA1135" s="485"/>
      <c r="BB1135" s="485"/>
      <c r="BC1135" s="485"/>
      <c r="BD1135" s="485"/>
      <c r="BE1135" s="485"/>
      <c r="BF1135" s="485"/>
      <c r="BG1135" s="485"/>
      <c r="BH1135" s="485"/>
      <c r="BI1135" s="485"/>
      <c r="BJ1135" s="485"/>
      <c r="BK1135" s="485"/>
      <c r="BL1135" s="485"/>
      <c r="BM1135" s="485"/>
      <c r="BN1135" s="485"/>
      <c r="BO1135" s="485"/>
      <c r="BP1135" s="485"/>
      <c r="BQ1135" s="485"/>
      <c r="BR1135" s="485"/>
      <c r="BS1135" s="485"/>
      <c r="BT1135" s="485"/>
      <c r="BU1135" s="485"/>
      <c r="BV1135" s="485"/>
      <c r="BW1135" s="485"/>
      <c r="BX1135" s="485"/>
      <c r="BY1135" s="485"/>
      <c r="BZ1135" s="485"/>
      <c r="CA1135" s="485"/>
      <c r="CB1135" s="485"/>
      <c r="CC1135" s="485"/>
      <c r="CD1135" s="485"/>
      <c r="CE1135" s="485"/>
      <c r="CF1135" s="485"/>
      <c r="CG1135" s="485"/>
      <c r="CH1135" s="485"/>
      <c r="CI1135" s="485"/>
      <c r="CJ1135" s="485"/>
      <c r="CK1135" s="485"/>
      <c r="CL1135" s="485"/>
      <c r="CM1135" s="485"/>
      <c r="CN1135" s="485"/>
      <c r="CO1135" s="485"/>
      <c r="CP1135" s="485"/>
      <c r="CQ1135" s="485"/>
      <c r="CR1135" s="485"/>
      <c r="CS1135" s="485"/>
      <c r="CT1135" s="485"/>
      <c r="CU1135" s="485"/>
      <c r="CV1135" s="485"/>
      <c r="CW1135" s="485"/>
      <c r="CX1135" s="485"/>
      <c r="CY1135" s="485"/>
      <c r="CZ1135" s="485"/>
      <c r="DA1135" s="485"/>
      <c r="DB1135" s="485"/>
      <c r="DC1135" s="485"/>
      <c r="DD1135" s="485"/>
      <c r="DE1135" s="485"/>
      <c r="DF1135" s="485"/>
      <c r="DG1135" s="485"/>
      <c r="DH1135" s="485"/>
      <c r="DI1135" s="485"/>
      <c r="DJ1135" s="485"/>
      <c r="DK1135" s="485"/>
      <c r="DL1135" s="485"/>
      <c r="DM1135" s="485"/>
      <c r="DN1135" s="485"/>
      <c r="DO1135" s="485"/>
      <c r="DP1135" s="485"/>
      <c r="DQ1135" s="485"/>
      <c r="DR1135" s="485"/>
      <c r="DS1135" s="485"/>
      <c r="DT1135" s="485"/>
      <c r="DU1135" s="485"/>
      <c r="DV1135" s="485"/>
      <c r="DW1135" s="485"/>
      <c r="DX1135" s="485"/>
      <c r="DY1135" s="485"/>
      <c r="DZ1135" s="485"/>
      <c r="EA1135" s="485"/>
      <c r="EB1135" s="485"/>
      <c r="EC1135" s="485"/>
      <c r="ED1135" s="485"/>
      <c r="EE1135" s="485"/>
      <c r="EF1135" s="485"/>
      <c r="EG1135" s="485"/>
      <c r="EH1135" s="485"/>
      <c r="EI1135" s="485"/>
      <c r="EJ1135" s="485"/>
      <c r="EK1135" s="485"/>
      <c r="EL1135" s="485"/>
      <c r="EM1135" s="485"/>
      <c r="EN1135" s="485"/>
      <c r="EO1135" s="485"/>
      <c r="EP1135" s="485"/>
    </row>
    <row r="1136" spans="1:146">
      <c r="A1136" s="485"/>
      <c r="B1136" s="485"/>
      <c r="C1136" s="485"/>
      <c r="D1136" s="485"/>
      <c r="E1136" s="485"/>
      <c r="F1136" s="485"/>
      <c r="G1136" s="485"/>
      <c r="H1136" s="485"/>
      <c r="I1136" s="485"/>
      <c r="J1136" s="485"/>
      <c r="K1136" s="485"/>
      <c r="L1136" s="485"/>
      <c r="M1136" s="485"/>
      <c r="P1136" s="485"/>
      <c r="Q1136" s="485"/>
      <c r="R1136" s="485"/>
      <c r="S1136" s="485"/>
      <c r="T1136" s="485"/>
      <c r="U1136" s="485"/>
      <c r="V1136" s="485"/>
      <c r="W1136" s="485"/>
      <c r="X1136" s="485"/>
      <c r="Y1136" s="485"/>
      <c r="Z1136" s="485"/>
      <c r="AA1136" s="485"/>
      <c r="AB1136" s="485"/>
      <c r="AC1136" s="485"/>
      <c r="AD1136" s="485"/>
      <c r="AE1136" s="485"/>
      <c r="AF1136" s="485"/>
      <c r="AG1136" s="485"/>
      <c r="AH1136" s="485"/>
      <c r="AI1136" s="485"/>
      <c r="AJ1136" s="485"/>
      <c r="AK1136" s="485"/>
      <c r="AL1136" s="485"/>
      <c r="AM1136" s="485"/>
      <c r="AN1136" s="485"/>
      <c r="AO1136" s="485"/>
      <c r="AP1136" s="485"/>
      <c r="AQ1136" s="485"/>
      <c r="AR1136" s="485"/>
      <c r="AS1136" s="485"/>
      <c r="AT1136" s="485"/>
      <c r="AU1136" s="485"/>
      <c r="AV1136" s="485"/>
      <c r="AW1136" s="485"/>
      <c r="AX1136" s="485"/>
      <c r="AY1136" s="485"/>
      <c r="AZ1136" s="485"/>
      <c r="BA1136" s="485"/>
      <c r="BB1136" s="485"/>
      <c r="BC1136" s="485"/>
      <c r="BD1136" s="485"/>
      <c r="BE1136" s="485"/>
      <c r="BF1136" s="485"/>
      <c r="BG1136" s="485"/>
      <c r="BH1136" s="485"/>
      <c r="BI1136" s="485"/>
      <c r="BJ1136" s="485"/>
      <c r="BK1136" s="485"/>
      <c r="BL1136" s="485"/>
      <c r="BM1136" s="485"/>
      <c r="BN1136" s="485"/>
      <c r="BO1136" s="485"/>
      <c r="BP1136" s="485"/>
      <c r="BQ1136" s="485"/>
      <c r="BR1136" s="485"/>
      <c r="BS1136" s="485"/>
      <c r="BT1136" s="485"/>
      <c r="BU1136" s="485"/>
      <c r="BV1136" s="485"/>
      <c r="BW1136" s="485"/>
      <c r="BX1136" s="485"/>
      <c r="BY1136" s="485"/>
      <c r="BZ1136" s="485"/>
      <c r="CA1136" s="485"/>
      <c r="CB1136" s="485"/>
      <c r="CC1136" s="485"/>
      <c r="CD1136" s="485"/>
      <c r="CE1136" s="485"/>
      <c r="CF1136" s="485"/>
      <c r="CG1136" s="485"/>
      <c r="CH1136" s="485"/>
      <c r="CI1136" s="485"/>
      <c r="CJ1136" s="485"/>
      <c r="CK1136" s="485"/>
      <c r="CL1136" s="485"/>
      <c r="CM1136" s="485"/>
      <c r="CN1136" s="485"/>
      <c r="CO1136" s="485"/>
      <c r="CP1136" s="485"/>
      <c r="CQ1136" s="485"/>
      <c r="CR1136" s="485"/>
      <c r="CS1136" s="485"/>
      <c r="CT1136" s="485"/>
      <c r="CU1136" s="485"/>
      <c r="CV1136" s="485"/>
      <c r="CW1136" s="485"/>
      <c r="CX1136" s="485"/>
      <c r="CY1136" s="485"/>
      <c r="CZ1136" s="485"/>
      <c r="DA1136" s="485"/>
      <c r="DB1136" s="485"/>
      <c r="DC1136" s="485"/>
      <c r="DD1136" s="485"/>
      <c r="DE1136" s="485"/>
      <c r="DF1136" s="485"/>
      <c r="DG1136" s="485"/>
      <c r="DH1136" s="485"/>
      <c r="DI1136" s="485"/>
      <c r="DJ1136" s="485"/>
      <c r="DK1136" s="485"/>
      <c r="DL1136" s="485"/>
      <c r="DM1136" s="485"/>
      <c r="DN1136" s="485"/>
      <c r="DO1136" s="485"/>
      <c r="DP1136" s="485"/>
      <c r="DQ1136" s="485"/>
      <c r="DR1136" s="485"/>
      <c r="DS1136" s="485"/>
      <c r="DT1136" s="485"/>
      <c r="DU1136" s="485"/>
      <c r="DV1136" s="485"/>
      <c r="DW1136" s="485"/>
      <c r="DX1136" s="485"/>
      <c r="DY1136" s="485"/>
      <c r="DZ1136" s="485"/>
      <c r="EA1136" s="485"/>
      <c r="EB1136" s="485"/>
      <c r="EC1136" s="485"/>
      <c r="ED1136" s="485"/>
      <c r="EE1136" s="485"/>
      <c r="EF1136" s="485"/>
      <c r="EG1136" s="485"/>
      <c r="EH1136" s="485"/>
      <c r="EI1136" s="485"/>
      <c r="EJ1136" s="485"/>
      <c r="EK1136" s="485"/>
      <c r="EL1136" s="485"/>
      <c r="EM1136" s="485"/>
      <c r="EN1136" s="485"/>
      <c r="EO1136" s="485"/>
      <c r="EP1136" s="485"/>
    </row>
    <row r="1137" spans="1:146">
      <c r="A1137" s="485"/>
      <c r="B1137" s="485"/>
      <c r="C1137" s="485"/>
      <c r="D1137" s="485"/>
      <c r="E1137" s="485"/>
      <c r="F1137" s="485"/>
      <c r="G1137" s="485"/>
      <c r="H1137" s="485"/>
      <c r="I1137" s="485"/>
      <c r="J1137" s="485"/>
      <c r="K1137" s="485"/>
      <c r="L1137" s="485"/>
      <c r="M1137" s="485"/>
      <c r="P1137" s="485"/>
      <c r="Q1137" s="485"/>
      <c r="R1137" s="485"/>
      <c r="S1137" s="485"/>
      <c r="T1137" s="485"/>
      <c r="U1137" s="485"/>
      <c r="V1137" s="485"/>
      <c r="W1137" s="485"/>
      <c r="X1137" s="485"/>
      <c r="Y1137" s="485"/>
      <c r="Z1137" s="485"/>
      <c r="AA1137" s="485"/>
      <c r="AB1137" s="485"/>
      <c r="AC1137" s="485"/>
      <c r="AD1137" s="485"/>
      <c r="AE1137" s="485"/>
      <c r="AF1137" s="485"/>
      <c r="AG1137" s="485"/>
      <c r="AH1137" s="485"/>
      <c r="AI1137" s="485"/>
      <c r="AJ1137" s="485"/>
      <c r="AK1137" s="485"/>
      <c r="AL1137" s="485"/>
      <c r="AM1137" s="485"/>
      <c r="AN1137" s="485"/>
      <c r="AO1137" s="485"/>
      <c r="AP1137" s="485"/>
      <c r="AQ1137" s="485"/>
      <c r="AR1137" s="485"/>
      <c r="AS1137" s="485"/>
      <c r="AT1137" s="485"/>
      <c r="AU1137" s="485"/>
      <c r="AV1137" s="485"/>
      <c r="AW1137" s="485"/>
      <c r="AX1137" s="485"/>
      <c r="AY1137" s="485"/>
      <c r="AZ1137" s="485"/>
      <c r="BA1137" s="485"/>
      <c r="BB1137" s="485"/>
      <c r="BC1137" s="485"/>
      <c r="BD1137" s="485"/>
      <c r="BE1137" s="485"/>
      <c r="BF1137" s="485"/>
      <c r="BG1137" s="485"/>
      <c r="BH1137" s="485"/>
      <c r="BI1137" s="485"/>
      <c r="BJ1137" s="485"/>
      <c r="BK1137" s="485"/>
      <c r="BL1137" s="485"/>
      <c r="BM1137" s="485"/>
      <c r="BN1137" s="485"/>
      <c r="BO1137" s="485"/>
      <c r="BP1137" s="485"/>
      <c r="BQ1137" s="485"/>
      <c r="BR1137" s="485"/>
      <c r="BS1137" s="485"/>
      <c r="BT1137" s="485"/>
      <c r="BU1137" s="485"/>
      <c r="BV1137" s="485"/>
      <c r="BW1137" s="485"/>
      <c r="BX1137" s="485"/>
      <c r="BY1137" s="485"/>
      <c r="BZ1137" s="485"/>
      <c r="CA1137" s="485"/>
      <c r="CB1137" s="485"/>
      <c r="CC1137" s="485"/>
      <c r="CD1137" s="485"/>
      <c r="CE1137" s="485"/>
      <c r="CF1137" s="485"/>
      <c r="CG1137" s="485"/>
      <c r="CH1137" s="485"/>
      <c r="CI1137" s="485"/>
      <c r="CJ1137" s="485"/>
      <c r="CK1137" s="485"/>
      <c r="CL1137" s="485"/>
      <c r="CM1137" s="485"/>
      <c r="CN1137" s="485"/>
      <c r="CO1137" s="485"/>
      <c r="CP1137" s="485"/>
      <c r="CQ1137" s="485"/>
      <c r="CR1137" s="485"/>
      <c r="CS1137" s="485"/>
      <c r="CT1137" s="485"/>
      <c r="CU1137" s="485"/>
      <c r="CV1137" s="485"/>
      <c r="CW1137" s="485"/>
      <c r="CX1137" s="485"/>
      <c r="CY1137" s="485"/>
      <c r="CZ1137" s="485"/>
      <c r="DA1137" s="485"/>
      <c r="DB1137" s="485"/>
      <c r="DC1137" s="485"/>
      <c r="DD1137" s="485"/>
      <c r="DE1137" s="485"/>
      <c r="DF1137" s="485"/>
      <c r="DG1137" s="485"/>
      <c r="DH1137" s="485"/>
      <c r="DI1137" s="485"/>
      <c r="DJ1137" s="485"/>
      <c r="DK1137" s="485"/>
      <c r="DL1137" s="485"/>
      <c r="DM1137" s="485"/>
      <c r="DN1137" s="485"/>
      <c r="DO1137" s="485"/>
      <c r="DP1137" s="485"/>
      <c r="DQ1137" s="485"/>
      <c r="DR1137" s="485"/>
      <c r="DS1137" s="485"/>
      <c r="DT1137" s="485"/>
      <c r="DU1137" s="485"/>
      <c r="DV1137" s="485"/>
      <c r="DW1137" s="485"/>
      <c r="DX1137" s="485"/>
      <c r="DY1137" s="485"/>
      <c r="DZ1137" s="485"/>
      <c r="EA1137" s="485"/>
      <c r="EB1137" s="485"/>
      <c r="EC1137" s="485"/>
      <c r="ED1137" s="485"/>
      <c r="EE1137" s="485"/>
      <c r="EF1137" s="485"/>
      <c r="EG1137" s="485"/>
      <c r="EH1137" s="485"/>
      <c r="EI1137" s="485"/>
      <c r="EJ1137" s="485"/>
      <c r="EK1137" s="485"/>
      <c r="EL1137" s="485"/>
      <c r="EM1137" s="485"/>
      <c r="EN1137" s="485"/>
      <c r="EO1137" s="485"/>
      <c r="EP1137" s="485"/>
    </row>
    <row r="1138" spans="1:146">
      <c r="A1138" s="485"/>
      <c r="B1138" s="485"/>
      <c r="C1138" s="485"/>
      <c r="D1138" s="485"/>
      <c r="E1138" s="485"/>
      <c r="F1138" s="485"/>
      <c r="G1138" s="485"/>
      <c r="H1138" s="485"/>
      <c r="I1138" s="485"/>
      <c r="J1138" s="485"/>
      <c r="K1138" s="485"/>
      <c r="L1138" s="485"/>
      <c r="M1138" s="485"/>
      <c r="P1138" s="485"/>
      <c r="Q1138" s="485"/>
      <c r="R1138" s="485"/>
      <c r="S1138" s="485"/>
      <c r="T1138" s="485"/>
      <c r="U1138" s="485"/>
      <c r="V1138" s="485"/>
      <c r="W1138" s="485"/>
      <c r="X1138" s="485"/>
      <c r="Y1138" s="485"/>
      <c r="Z1138" s="485"/>
      <c r="AA1138" s="485"/>
      <c r="AB1138" s="485"/>
      <c r="AC1138" s="485"/>
      <c r="AD1138" s="485"/>
      <c r="AE1138" s="485"/>
      <c r="AF1138" s="485"/>
      <c r="AG1138" s="485"/>
      <c r="AH1138" s="485"/>
      <c r="AI1138" s="485"/>
      <c r="AJ1138" s="485"/>
      <c r="AK1138" s="485"/>
      <c r="AL1138" s="485"/>
      <c r="AM1138" s="485"/>
      <c r="AN1138" s="485"/>
      <c r="AO1138" s="485"/>
      <c r="AP1138" s="485"/>
      <c r="AQ1138" s="485"/>
      <c r="AR1138" s="485"/>
      <c r="AS1138" s="485"/>
      <c r="AT1138" s="485"/>
      <c r="AU1138" s="485"/>
      <c r="AV1138" s="485"/>
      <c r="AW1138" s="485"/>
      <c r="AX1138" s="485"/>
      <c r="AY1138" s="485"/>
      <c r="AZ1138" s="485"/>
      <c r="BA1138" s="485"/>
      <c r="BB1138" s="485"/>
      <c r="BC1138" s="485"/>
      <c r="BD1138" s="485"/>
      <c r="BE1138" s="485"/>
      <c r="BF1138" s="485"/>
      <c r="BG1138" s="485"/>
      <c r="BH1138" s="485"/>
      <c r="BI1138" s="485"/>
      <c r="BJ1138" s="485"/>
      <c r="BK1138" s="485"/>
      <c r="BL1138" s="485"/>
      <c r="BM1138" s="485"/>
      <c r="BN1138" s="485"/>
      <c r="BO1138" s="485"/>
      <c r="BP1138" s="485"/>
      <c r="BQ1138" s="485"/>
      <c r="BR1138" s="485"/>
      <c r="BS1138" s="485"/>
      <c r="BT1138" s="485"/>
      <c r="BU1138" s="485"/>
      <c r="BV1138" s="485"/>
      <c r="BW1138" s="485"/>
      <c r="BX1138" s="485"/>
      <c r="BY1138" s="485"/>
      <c r="BZ1138" s="485"/>
      <c r="CA1138" s="485"/>
      <c r="CB1138" s="485"/>
      <c r="CC1138" s="485"/>
      <c r="CD1138" s="485"/>
      <c r="CE1138" s="485"/>
      <c r="CF1138" s="485"/>
      <c r="CG1138" s="485"/>
      <c r="CH1138" s="485"/>
      <c r="CI1138" s="485"/>
      <c r="CJ1138" s="485"/>
      <c r="CK1138" s="485"/>
      <c r="CL1138" s="485"/>
      <c r="CM1138" s="485"/>
      <c r="CN1138" s="485"/>
      <c r="CO1138" s="485"/>
      <c r="CP1138" s="485"/>
      <c r="CQ1138" s="485"/>
      <c r="CR1138" s="485"/>
      <c r="CS1138" s="485"/>
      <c r="CT1138" s="485"/>
      <c r="CU1138" s="485"/>
      <c r="CV1138" s="485"/>
      <c r="CW1138" s="485"/>
      <c r="CX1138" s="485"/>
      <c r="CY1138" s="485"/>
      <c r="CZ1138" s="485"/>
      <c r="DA1138" s="485"/>
      <c r="DB1138" s="485"/>
      <c r="DC1138" s="485"/>
      <c r="DD1138" s="485"/>
      <c r="DE1138" s="485"/>
      <c r="DF1138" s="485"/>
      <c r="DG1138" s="485"/>
      <c r="DH1138" s="485"/>
      <c r="DI1138" s="485"/>
      <c r="DJ1138" s="485"/>
      <c r="DK1138" s="485"/>
      <c r="DL1138" s="485"/>
      <c r="DM1138" s="485"/>
      <c r="DN1138" s="485"/>
      <c r="DO1138" s="485"/>
      <c r="DP1138" s="485"/>
      <c r="DQ1138" s="485"/>
      <c r="DR1138" s="485"/>
      <c r="DS1138" s="485"/>
      <c r="DT1138" s="485"/>
      <c r="DU1138" s="485"/>
      <c r="DV1138" s="485"/>
      <c r="DW1138" s="485"/>
      <c r="DX1138" s="485"/>
      <c r="DY1138" s="485"/>
      <c r="DZ1138" s="485"/>
      <c r="EA1138" s="485"/>
      <c r="EB1138" s="485"/>
      <c r="EC1138" s="485"/>
      <c r="ED1138" s="485"/>
      <c r="EE1138" s="485"/>
      <c r="EF1138" s="485"/>
      <c r="EG1138" s="485"/>
      <c r="EH1138" s="485"/>
      <c r="EI1138" s="485"/>
      <c r="EJ1138" s="485"/>
      <c r="EK1138" s="485"/>
      <c r="EL1138" s="485"/>
      <c r="EM1138" s="485"/>
      <c r="EN1138" s="485"/>
      <c r="EO1138" s="485"/>
      <c r="EP1138" s="485"/>
    </row>
    <row r="1139" spans="1:146">
      <c r="A1139" s="485"/>
      <c r="B1139" s="485"/>
      <c r="C1139" s="485"/>
      <c r="D1139" s="485"/>
      <c r="E1139" s="485"/>
      <c r="F1139" s="485"/>
      <c r="G1139" s="485"/>
      <c r="H1139" s="485"/>
      <c r="I1139" s="485"/>
      <c r="J1139" s="485"/>
      <c r="K1139" s="485"/>
      <c r="L1139" s="485"/>
      <c r="M1139" s="485"/>
      <c r="P1139" s="485"/>
      <c r="Q1139" s="485"/>
      <c r="R1139" s="485"/>
      <c r="S1139" s="485"/>
      <c r="T1139" s="485"/>
      <c r="U1139" s="485"/>
      <c r="V1139" s="485"/>
      <c r="W1139" s="485"/>
      <c r="X1139" s="485"/>
      <c r="Y1139" s="485"/>
      <c r="Z1139" s="485"/>
      <c r="AA1139" s="485"/>
      <c r="AB1139" s="485"/>
      <c r="AC1139" s="485"/>
      <c r="AD1139" s="485"/>
      <c r="AE1139" s="485"/>
      <c r="AF1139" s="485"/>
      <c r="AG1139" s="485"/>
      <c r="AH1139" s="485"/>
      <c r="AI1139" s="485"/>
      <c r="AJ1139" s="485"/>
      <c r="AK1139" s="485"/>
      <c r="AL1139" s="485"/>
      <c r="AM1139" s="485"/>
      <c r="AN1139" s="485"/>
      <c r="AO1139" s="485"/>
      <c r="AP1139" s="485"/>
      <c r="AQ1139" s="485"/>
      <c r="AR1139" s="485"/>
      <c r="AS1139" s="485"/>
      <c r="AT1139" s="485"/>
      <c r="AU1139" s="485"/>
      <c r="AV1139" s="485"/>
      <c r="AW1139" s="485"/>
      <c r="AX1139" s="485"/>
      <c r="AY1139" s="485"/>
      <c r="AZ1139" s="485"/>
      <c r="BA1139" s="485"/>
      <c r="BB1139" s="485"/>
      <c r="BC1139" s="485"/>
      <c r="BD1139" s="485"/>
      <c r="BE1139" s="485"/>
      <c r="BF1139" s="485"/>
      <c r="BG1139" s="485"/>
      <c r="BH1139" s="485"/>
      <c r="BI1139" s="485"/>
      <c r="BJ1139" s="485"/>
      <c r="BK1139" s="485"/>
      <c r="BL1139" s="485"/>
      <c r="BM1139" s="485"/>
      <c r="BN1139" s="485"/>
      <c r="BO1139" s="485"/>
      <c r="BP1139" s="485"/>
      <c r="BQ1139" s="485"/>
      <c r="BR1139" s="485"/>
      <c r="BS1139" s="485"/>
      <c r="BT1139" s="485"/>
      <c r="BU1139" s="485"/>
      <c r="BV1139" s="485"/>
      <c r="BW1139" s="485"/>
      <c r="BX1139" s="485"/>
      <c r="BY1139" s="485"/>
      <c r="BZ1139" s="485"/>
      <c r="CA1139" s="485"/>
      <c r="CB1139" s="485"/>
      <c r="CC1139" s="485"/>
      <c r="CD1139" s="485"/>
      <c r="CE1139" s="485"/>
      <c r="CF1139" s="485"/>
      <c r="CG1139" s="485"/>
      <c r="CH1139" s="485"/>
      <c r="CI1139" s="485"/>
      <c r="CJ1139" s="485"/>
      <c r="CK1139" s="485"/>
      <c r="CL1139" s="485"/>
      <c r="CM1139" s="485"/>
      <c r="CN1139" s="485"/>
      <c r="CO1139" s="485"/>
      <c r="CP1139" s="485"/>
      <c r="CQ1139" s="485"/>
      <c r="CR1139" s="485"/>
      <c r="CS1139" s="485"/>
      <c r="CT1139" s="485"/>
      <c r="CU1139" s="485"/>
      <c r="CV1139" s="485"/>
      <c r="CW1139" s="485"/>
      <c r="CX1139" s="485"/>
      <c r="CY1139" s="485"/>
      <c r="CZ1139" s="485"/>
      <c r="DA1139" s="485"/>
      <c r="DB1139" s="485"/>
      <c r="DC1139" s="485"/>
      <c r="DD1139" s="485"/>
      <c r="DE1139" s="485"/>
      <c r="DF1139" s="485"/>
      <c r="DG1139" s="485"/>
      <c r="DH1139" s="485"/>
      <c r="DI1139" s="485"/>
      <c r="DJ1139" s="485"/>
      <c r="DK1139" s="485"/>
      <c r="DL1139" s="485"/>
      <c r="DM1139" s="485"/>
      <c r="DN1139" s="485"/>
      <c r="DO1139" s="485"/>
      <c r="DP1139" s="485"/>
      <c r="DQ1139" s="485"/>
      <c r="DR1139" s="485"/>
      <c r="DS1139" s="485"/>
      <c r="DT1139" s="485"/>
      <c r="DU1139" s="485"/>
      <c r="DV1139" s="485"/>
      <c r="DW1139" s="485"/>
      <c r="DX1139" s="485"/>
      <c r="DY1139" s="485"/>
      <c r="DZ1139" s="485"/>
      <c r="EA1139" s="485"/>
      <c r="EB1139" s="485"/>
      <c r="EC1139" s="485"/>
      <c r="ED1139" s="485"/>
      <c r="EE1139" s="485"/>
      <c r="EF1139" s="485"/>
      <c r="EG1139" s="485"/>
      <c r="EH1139" s="485"/>
      <c r="EI1139" s="485"/>
      <c r="EJ1139" s="485"/>
      <c r="EK1139" s="485"/>
      <c r="EL1139" s="485"/>
      <c r="EM1139" s="485"/>
      <c r="EN1139" s="485"/>
      <c r="EO1139" s="485"/>
      <c r="EP1139" s="485"/>
    </row>
    <row r="1140" spans="1:146">
      <c r="A1140" s="485"/>
      <c r="B1140" s="485"/>
      <c r="C1140" s="485"/>
      <c r="D1140" s="485"/>
      <c r="E1140" s="485"/>
      <c r="F1140" s="485"/>
      <c r="G1140" s="485"/>
      <c r="H1140" s="485"/>
      <c r="I1140" s="485"/>
      <c r="J1140" s="485"/>
      <c r="K1140" s="485"/>
      <c r="L1140" s="485"/>
      <c r="M1140" s="485"/>
      <c r="P1140" s="485"/>
      <c r="Q1140" s="485"/>
      <c r="R1140" s="485"/>
      <c r="S1140" s="485"/>
      <c r="T1140" s="485"/>
      <c r="U1140" s="485"/>
      <c r="V1140" s="485"/>
      <c r="W1140" s="485"/>
      <c r="X1140" s="485"/>
      <c r="Y1140" s="485"/>
      <c r="Z1140" s="485"/>
      <c r="AA1140" s="485"/>
      <c r="AB1140" s="485"/>
      <c r="AC1140" s="485"/>
      <c r="AD1140" s="485"/>
      <c r="AE1140" s="485"/>
      <c r="AF1140" s="485"/>
      <c r="AG1140" s="485"/>
      <c r="AH1140" s="485"/>
      <c r="AI1140" s="485"/>
      <c r="AJ1140" s="485"/>
      <c r="AK1140" s="485"/>
      <c r="AL1140" s="485"/>
      <c r="AM1140" s="485"/>
      <c r="AN1140" s="485"/>
      <c r="AO1140" s="485"/>
      <c r="AP1140" s="485"/>
      <c r="AQ1140" s="485"/>
      <c r="AR1140" s="485"/>
      <c r="AS1140" s="485"/>
      <c r="AT1140" s="485"/>
      <c r="AU1140" s="485"/>
      <c r="AV1140" s="485"/>
      <c r="AW1140" s="485"/>
      <c r="AX1140" s="485"/>
      <c r="AY1140" s="485"/>
      <c r="AZ1140" s="485"/>
      <c r="BA1140" s="485"/>
      <c r="BB1140" s="485"/>
      <c r="BC1140" s="485"/>
      <c r="BD1140" s="485"/>
      <c r="BE1140" s="485"/>
      <c r="BF1140" s="485"/>
      <c r="BG1140" s="485"/>
      <c r="BH1140" s="485"/>
      <c r="BI1140" s="485"/>
      <c r="BJ1140" s="485"/>
      <c r="BK1140" s="485"/>
      <c r="BL1140" s="485"/>
      <c r="BM1140" s="485"/>
      <c r="BN1140" s="485"/>
      <c r="BO1140" s="485"/>
      <c r="BP1140" s="485"/>
      <c r="BQ1140" s="485"/>
      <c r="BR1140" s="485"/>
      <c r="BS1140" s="485"/>
      <c r="BT1140" s="485"/>
      <c r="BU1140" s="485"/>
      <c r="BV1140" s="485"/>
      <c r="BW1140" s="485"/>
      <c r="BX1140" s="485"/>
      <c r="BY1140" s="485"/>
      <c r="BZ1140" s="485"/>
      <c r="CA1140" s="485"/>
      <c r="CB1140" s="485"/>
      <c r="CC1140" s="485"/>
      <c r="CD1140" s="485"/>
      <c r="CE1140" s="485"/>
      <c r="CF1140" s="485"/>
      <c r="CG1140" s="485"/>
      <c r="CH1140" s="485"/>
      <c r="CI1140" s="485"/>
      <c r="CJ1140" s="485"/>
      <c r="CK1140" s="485"/>
      <c r="CL1140" s="485"/>
      <c r="CM1140" s="485"/>
      <c r="CN1140" s="485"/>
      <c r="CO1140" s="485"/>
      <c r="CP1140" s="485"/>
      <c r="CQ1140" s="485"/>
      <c r="CR1140" s="485"/>
      <c r="CS1140" s="485"/>
      <c r="CT1140" s="485"/>
      <c r="CU1140" s="485"/>
      <c r="CV1140" s="485"/>
      <c r="CW1140" s="485"/>
      <c r="CX1140" s="485"/>
      <c r="CY1140" s="485"/>
      <c r="CZ1140" s="485"/>
      <c r="DA1140" s="485"/>
      <c r="DB1140" s="485"/>
      <c r="DC1140" s="485"/>
      <c r="DD1140" s="485"/>
      <c r="DE1140" s="485"/>
      <c r="DF1140" s="485"/>
      <c r="DG1140" s="485"/>
      <c r="DH1140" s="485"/>
      <c r="DI1140" s="485"/>
      <c r="DJ1140" s="485"/>
      <c r="DK1140" s="485"/>
      <c r="DL1140" s="485"/>
      <c r="DM1140" s="485"/>
      <c r="DN1140" s="485"/>
      <c r="DO1140" s="485"/>
      <c r="DP1140" s="485"/>
      <c r="DQ1140" s="485"/>
      <c r="DR1140" s="485"/>
      <c r="DS1140" s="485"/>
      <c r="DT1140" s="485"/>
      <c r="DU1140" s="485"/>
      <c r="DV1140" s="485"/>
      <c r="DW1140" s="485"/>
      <c r="DX1140" s="485"/>
      <c r="DY1140" s="485"/>
      <c r="DZ1140" s="485"/>
      <c r="EA1140" s="485"/>
      <c r="EB1140" s="485"/>
      <c r="EC1140" s="485"/>
      <c r="ED1140" s="485"/>
      <c r="EE1140" s="485"/>
      <c r="EF1140" s="485"/>
      <c r="EG1140" s="485"/>
      <c r="EH1140" s="485"/>
      <c r="EI1140" s="485"/>
      <c r="EJ1140" s="485"/>
      <c r="EK1140" s="485"/>
      <c r="EL1140" s="485"/>
      <c r="EM1140" s="485"/>
      <c r="EN1140" s="485"/>
      <c r="EO1140" s="485"/>
      <c r="EP1140" s="485"/>
    </row>
    <row r="1141" spans="1:146">
      <c r="A1141" s="485"/>
      <c r="B1141" s="485"/>
      <c r="C1141" s="485"/>
      <c r="D1141" s="485"/>
      <c r="E1141" s="485"/>
      <c r="F1141" s="485"/>
      <c r="G1141" s="485"/>
      <c r="H1141" s="485"/>
      <c r="I1141" s="485"/>
      <c r="J1141" s="485"/>
      <c r="K1141" s="485"/>
      <c r="L1141" s="485"/>
      <c r="M1141" s="485"/>
      <c r="P1141" s="485"/>
      <c r="Q1141" s="485"/>
      <c r="R1141" s="485"/>
      <c r="S1141" s="485"/>
      <c r="T1141" s="485"/>
      <c r="U1141" s="485"/>
      <c r="V1141" s="485"/>
      <c r="W1141" s="485"/>
      <c r="X1141" s="485"/>
      <c r="Y1141" s="485"/>
      <c r="Z1141" s="485"/>
      <c r="AA1141" s="485"/>
      <c r="AB1141" s="485"/>
      <c r="AC1141" s="485"/>
      <c r="AD1141" s="485"/>
      <c r="AE1141" s="485"/>
      <c r="AF1141" s="485"/>
      <c r="AG1141" s="485"/>
      <c r="AH1141" s="485"/>
      <c r="AI1141" s="485"/>
      <c r="AJ1141" s="485"/>
      <c r="AK1141" s="485"/>
      <c r="AL1141" s="485"/>
      <c r="AM1141" s="485"/>
      <c r="AN1141" s="485"/>
      <c r="AO1141" s="485"/>
      <c r="AP1141" s="485"/>
      <c r="AQ1141" s="485"/>
      <c r="AR1141" s="485"/>
      <c r="AS1141" s="485"/>
      <c r="AT1141" s="485"/>
      <c r="AU1141" s="485"/>
      <c r="AV1141" s="485"/>
      <c r="AW1141" s="485"/>
      <c r="AX1141" s="485"/>
      <c r="AY1141" s="485"/>
      <c r="AZ1141" s="485"/>
      <c r="BA1141" s="485"/>
      <c r="BB1141" s="485"/>
      <c r="BC1141" s="485"/>
      <c r="BD1141" s="485"/>
      <c r="BE1141" s="485"/>
      <c r="BF1141" s="485"/>
      <c r="BG1141" s="485"/>
      <c r="BH1141" s="485"/>
      <c r="BI1141" s="485"/>
      <c r="BJ1141" s="485"/>
      <c r="BK1141" s="485"/>
      <c r="BL1141" s="485"/>
      <c r="BM1141" s="485"/>
      <c r="BN1141" s="485"/>
      <c r="BO1141" s="485"/>
      <c r="BP1141" s="485"/>
      <c r="BQ1141" s="485"/>
      <c r="BR1141" s="485"/>
      <c r="BS1141" s="485"/>
      <c r="BT1141" s="485"/>
      <c r="BU1141" s="485"/>
      <c r="BV1141" s="485"/>
      <c r="BW1141" s="485"/>
      <c r="BX1141" s="485"/>
      <c r="BY1141" s="485"/>
      <c r="BZ1141" s="485"/>
      <c r="CA1141" s="485"/>
      <c r="CB1141" s="485"/>
      <c r="CC1141" s="485"/>
      <c r="CD1141" s="485"/>
      <c r="CE1141" s="485"/>
      <c r="CF1141" s="485"/>
      <c r="CG1141" s="485"/>
      <c r="CH1141" s="485"/>
      <c r="CI1141" s="485"/>
      <c r="CJ1141" s="485"/>
      <c r="CK1141" s="485"/>
      <c r="CL1141" s="485"/>
      <c r="CM1141" s="485"/>
      <c r="CN1141" s="485"/>
      <c r="CO1141" s="485"/>
      <c r="CP1141" s="485"/>
      <c r="CQ1141" s="485"/>
      <c r="CR1141" s="485"/>
      <c r="CS1141" s="485"/>
      <c r="CT1141" s="485"/>
      <c r="CU1141" s="485"/>
      <c r="CV1141" s="485"/>
      <c r="CW1141" s="485"/>
      <c r="CX1141" s="485"/>
      <c r="CY1141" s="485"/>
      <c r="CZ1141" s="485"/>
      <c r="DA1141" s="485"/>
      <c r="DB1141" s="485"/>
      <c r="DC1141" s="485"/>
      <c r="DD1141" s="485"/>
      <c r="DE1141" s="485"/>
      <c r="DF1141" s="485"/>
      <c r="DG1141" s="485"/>
      <c r="DH1141" s="485"/>
      <c r="DI1141" s="485"/>
      <c r="DJ1141" s="485"/>
      <c r="DK1141" s="485"/>
      <c r="DL1141" s="485"/>
      <c r="DM1141" s="485"/>
      <c r="DN1141" s="485"/>
      <c r="DO1141" s="485"/>
      <c r="DP1141" s="485"/>
      <c r="DQ1141" s="485"/>
      <c r="DR1141" s="485"/>
      <c r="DS1141" s="485"/>
      <c r="DT1141" s="485"/>
      <c r="DU1141" s="485"/>
      <c r="DV1141" s="485"/>
      <c r="DW1141" s="485"/>
      <c r="DX1141" s="485"/>
      <c r="DY1141" s="485"/>
      <c r="DZ1141" s="485"/>
      <c r="EA1141" s="485"/>
      <c r="EB1141" s="485"/>
      <c r="EC1141" s="485"/>
      <c r="ED1141" s="485"/>
      <c r="EE1141" s="485"/>
      <c r="EF1141" s="485"/>
      <c r="EG1141" s="485"/>
      <c r="EH1141" s="485"/>
      <c r="EI1141" s="485"/>
      <c r="EJ1141" s="485"/>
      <c r="EK1141" s="485"/>
      <c r="EL1141" s="485"/>
      <c r="EM1141" s="485"/>
      <c r="EN1141" s="485"/>
      <c r="EO1141" s="485"/>
      <c r="EP1141" s="485"/>
    </row>
    <row r="1142" spans="1:146">
      <c r="A1142" s="485"/>
      <c r="B1142" s="485"/>
      <c r="C1142" s="485"/>
      <c r="D1142" s="485"/>
      <c r="E1142" s="485"/>
      <c r="F1142" s="485"/>
      <c r="G1142" s="485"/>
      <c r="H1142" s="485"/>
      <c r="I1142" s="485"/>
      <c r="J1142" s="485"/>
      <c r="K1142" s="485"/>
      <c r="L1142" s="485"/>
      <c r="M1142" s="485"/>
      <c r="P1142" s="485"/>
      <c r="Q1142" s="485"/>
      <c r="R1142" s="485"/>
      <c r="S1142" s="485"/>
      <c r="T1142" s="485"/>
      <c r="U1142" s="485"/>
      <c r="V1142" s="485"/>
      <c r="W1142" s="485"/>
      <c r="X1142" s="485"/>
      <c r="Y1142" s="485"/>
      <c r="Z1142" s="485"/>
      <c r="AA1142" s="485"/>
      <c r="AB1142" s="485"/>
      <c r="AC1142" s="485"/>
      <c r="AD1142" s="485"/>
      <c r="AE1142" s="485"/>
      <c r="AF1142" s="485"/>
      <c r="AG1142" s="485"/>
      <c r="AH1142" s="485"/>
      <c r="AI1142" s="485"/>
      <c r="AJ1142" s="485"/>
      <c r="AK1142" s="485"/>
      <c r="AL1142" s="485"/>
      <c r="AM1142" s="485"/>
      <c r="AN1142" s="485"/>
      <c r="AO1142" s="485"/>
      <c r="AP1142" s="485"/>
      <c r="AQ1142" s="485"/>
      <c r="AR1142" s="485"/>
      <c r="AS1142" s="485"/>
      <c r="AT1142" s="485"/>
      <c r="AU1142" s="485"/>
      <c r="AV1142" s="485"/>
      <c r="AW1142" s="485"/>
      <c r="AX1142" s="485"/>
      <c r="AY1142" s="485"/>
      <c r="AZ1142" s="485"/>
      <c r="BA1142" s="485"/>
      <c r="BB1142" s="485"/>
      <c r="BC1142" s="485"/>
      <c r="BD1142" s="485"/>
      <c r="BE1142" s="485"/>
      <c r="BF1142" s="485"/>
      <c r="BG1142" s="485"/>
      <c r="BH1142" s="485"/>
      <c r="BI1142" s="485"/>
      <c r="BJ1142" s="485"/>
      <c r="BK1142" s="485"/>
      <c r="BL1142" s="485"/>
      <c r="BM1142" s="485"/>
      <c r="BN1142" s="485"/>
      <c r="BO1142" s="485"/>
      <c r="BP1142" s="485"/>
      <c r="BQ1142" s="485"/>
      <c r="BR1142" s="485"/>
      <c r="BS1142" s="485"/>
      <c r="BT1142" s="485"/>
      <c r="BU1142" s="485"/>
      <c r="BV1142" s="485"/>
      <c r="BW1142" s="485"/>
      <c r="BX1142" s="485"/>
      <c r="BY1142" s="485"/>
      <c r="BZ1142" s="485"/>
      <c r="CA1142" s="485"/>
      <c r="CB1142" s="485"/>
      <c r="CC1142" s="485"/>
      <c r="CD1142" s="485"/>
      <c r="CE1142" s="485"/>
      <c r="CF1142" s="485"/>
      <c r="CG1142" s="485"/>
      <c r="CH1142" s="485"/>
      <c r="CI1142" s="485"/>
      <c r="CJ1142" s="485"/>
      <c r="CK1142" s="485"/>
      <c r="CL1142" s="485"/>
      <c r="CM1142" s="485"/>
      <c r="CN1142" s="485"/>
      <c r="CO1142" s="485"/>
      <c r="CP1142" s="485"/>
      <c r="CQ1142" s="485"/>
      <c r="CR1142" s="485"/>
      <c r="CS1142" s="485"/>
      <c r="CT1142" s="485"/>
      <c r="CU1142" s="485"/>
      <c r="CV1142" s="485"/>
      <c r="CW1142" s="485"/>
      <c r="CX1142" s="485"/>
      <c r="CY1142" s="485"/>
      <c r="CZ1142" s="485"/>
      <c r="DA1142" s="485"/>
      <c r="DB1142" s="485"/>
      <c r="DC1142" s="485"/>
      <c r="DD1142" s="485"/>
      <c r="DE1142" s="485"/>
      <c r="DF1142" s="485"/>
      <c r="DG1142" s="485"/>
      <c r="DH1142" s="485"/>
      <c r="DI1142" s="485"/>
      <c r="DJ1142" s="485"/>
      <c r="DK1142" s="485"/>
      <c r="DL1142" s="485"/>
      <c r="DM1142" s="485"/>
      <c r="DN1142" s="485"/>
      <c r="DO1142" s="485"/>
      <c r="DP1142" s="485"/>
      <c r="DQ1142" s="485"/>
      <c r="DR1142" s="485"/>
      <c r="DS1142" s="485"/>
      <c r="DT1142" s="485"/>
      <c r="DU1142" s="485"/>
      <c r="DV1142" s="485"/>
      <c r="DW1142" s="485"/>
      <c r="DX1142" s="485"/>
      <c r="DY1142" s="485"/>
      <c r="DZ1142" s="485"/>
      <c r="EA1142" s="485"/>
      <c r="EB1142" s="485"/>
      <c r="EC1142" s="485"/>
      <c r="ED1142" s="485"/>
      <c r="EE1142" s="485"/>
      <c r="EF1142" s="485"/>
      <c r="EG1142" s="485"/>
      <c r="EH1142" s="485"/>
      <c r="EI1142" s="485"/>
      <c r="EJ1142" s="485"/>
      <c r="EK1142" s="485"/>
      <c r="EL1142" s="485"/>
      <c r="EM1142" s="485"/>
      <c r="EN1142" s="485"/>
      <c r="EO1142" s="485"/>
      <c r="EP1142" s="485"/>
    </row>
    <row r="1143" spans="1:146">
      <c r="A1143" s="485"/>
      <c r="B1143" s="485"/>
      <c r="C1143" s="485"/>
      <c r="D1143" s="485"/>
      <c r="E1143" s="485"/>
      <c r="F1143" s="485"/>
      <c r="G1143" s="485"/>
      <c r="H1143" s="485"/>
      <c r="I1143" s="485"/>
      <c r="J1143" s="485"/>
      <c r="K1143" s="485"/>
      <c r="L1143" s="485"/>
      <c r="M1143" s="485"/>
      <c r="P1143" s="485"/>
      <c r="Q1143" s="485"/>
      <c r="R1143" s="485"/>
      <c r="S1143" s="485"/>
      <c r="T1143" s="485"/>
      <c r="U1143" s="485"/>
      <c r="V1143" s="485"/>
      <c r="W1143" s="485"/>
      <c r="X1143" s="485"/>
      <c r="Y1143" s="485"/>
      <c r="Z1143" s="485"/>
      <c r="AA1143" s="485"/>
      <c r="AB1143" s="485"/>
      <c r="AC1143" s="485"/>
      <c r="AD1143" s="485"/>
      <c r="AE1143" s="485"/>
      <c r="AF1143" s="485"/>
      <c r="AG1143" s="485"/>
      <c r="AH1143" s="485"/>
      <c r="AI1143" s="485"/>
      <c r="AJ1143" s="485"/>
      <c r="AK1143" s="485"/>
      <c r="AL1143" s="485"/>
      <c r="AM1143" s="485"/>
      <c r="AN1143" s="485"/>
      <c r="AO1143" s="485"/>
      <c r="AP1143" s="485"/>
      <c r="AQ1143" s="485"/>
      <c r="AR1143" s="485"/>
      <c r="AS1143" s="485"/>
      <c r="AT1143" s="485"/>
      <c r="AU1143" s="485"/>
      <c r="AV1143" s="485"/>
      <c r="AW1143" s="485"/>
      <c r="AX1143" s="485"/>
      <c r="AY1143" s="485"/>
      <c r="AZ1143" s="485"/>
      <c r="BA1143" s="485"/>
      <c r="BB1143" s="485"/>
      <c r="BC1143" s="485"/>
      <c r="BD1143" s="485"/>
      <c r="BE1143" s="485"/>
      <c r="BF1143" s="485"/>
      <c r="BG1143" s="485"/>
      <c r="BH1143" s="485"/>
      <c r="BI1143" s="485"/>
      <c r="BJ1143" s="485"/>
      <c r="BK1143" s="485"/>
      <c r="BL1143" s="485"/>
      <c r="BM1143" s="485"/>
      <c r="BN1143" s="485"/>
      <c r="BO1143" s="485"/>
      <c r="BP1143" s="485"/>
      <c r="BQ1143" s="485"/>
      <c r="BR1143" s="485"/>
      <c r="BS1143" s="485"/>
      <c r="BT1143" s="485"/>
      <c r="BU1143" s="485"/>
      <c r="BV1143" s="485"/>
      <c r="BW1143" s="485"/>
      <c r="BX1143" s="485"/>
      <c r="BY1143" s="485"/>
      <c r="BZ1143" s="485"/>
      <c r="CA1143" s="485"/>
      <c r="CB1143" s="485"/>
      <c r="CC1143" s="485"/>
      <c r="CD1143" s="485"/>
      <c r="CE1143" s="485"/>
      <c r="CF1143" s="485"/>
      <c r="CG1143" s="485"/>
      <c r="CH1143" s="485"/>
      <c r="CI1143" s="485"/>
      <c r="CJ1143" s="485"/>
      <c r="CK1143" s="485"/>
      <c r="CL1143" s="485"/>
      <c r="CM1143" s="485"/>
      <c r="CN1143" s="485"/>
      <c r="CO1143" s="485"/>
      <c r="CP1143" s="485"/>
      <c r="CQ1143" s="485"/>
      <c r="CR1143" s="485"/>
      <c r="CS1143" s="485"/>
      <c r="CT1143" s="485"/>
      <c r="CU1143" s="485"/>
      <c r="CV1143" s="485"/>
      <c r="CW1143" s="485"/>
      <c r="CX1143" s="485"/>
      <c r="CY1143" s="485"/>
      <c r="CZ1143" s="485"/>
      <c r="DA1143" s="485"/>
      <c r="DB1143" s="485"/>
      <c r="DC1143" s="485"/>
      <c r="DD1143" s="485"/>
      <c r="DE1143" s="485"/>
      <c r="DF1143" s="485"/>
      <c r="DG1143" s="485"/>
      <c r="DH1143" s="485"/>
      <c r="DI1143" s="485"/>
      <c r="DJ1143" s="485"/>
      <c r="DK1143" s="485"/>
      <c r="DL1143" s="485"/>
      <c r="DM1143" s="485"/>
      <c r="DN1143" s="485"/>
      <c r="DO1143" s="485"/>
      <c r="DP1143" s="485"/>
      <c r="DQ1143" s="485"/>
      <c r="DR1143" s="485"/>
      <c r="DS1143" s="485"/>
      <c r="DT1143" s="485"/>
      <c r="DU1143" s="485"/>
      <c r="DV1143" s="485"/>
      <c r="DW1143" s="485"/>
      <c r="DX1143" s="485"/>
      <c r="DY1143" s="485"/>
      <c r="DZ1143" s="485"/>
      <c r="EA1143" s="485"/>
      <c r="EB1143" s="485"/>
      <c r="EC1143" s="485"/>
      <c r="ED1143" s="485"/>
      <c r="EE1143" s="485"/>
      <c r="EF1143" s="485"/>
      <c r="EG1143" s="485"/>
      <c r="EH1143" s="485"/>
      <c r="EI1143" s="485"/>
      <c r="EJ1143" s="485"/>
      <c r="EK1143" s="485"/>
      <c r="EL1143" s="485"/>
      <c r="EM1143" s="485"/>
      <c r="EN1143" s="485"/>
      <c r="EO1143" s="485"/>
      <c r="EP1143" s="485"/>
    </row>
    <row r="1144" spans="1:146">
      <c r="A1144" s="485"/>
      <c r="B1144" s="485"/>
      <c r="C1144" s="485"/>
      <c r="D1144" s="485"/>
      <c r="E1144" s="485"/>
      <c r="F1144" s="485"/>
      <c r="G1144" s="485"/>
      <c r="H1144" s="485"/>
      <c r="I1144" s="485"/>
      <c r="J1144" s="485"/>
      <c r="K1144" s="485"/>
      <c r="L1144" s="485"/>
      <c r="M1144" s="485"/>
      <c r="P1144" s="485"/>
      <c r="Q1144" s="485"/>
      <c r="R1144" s="485"/>
      <c r="S1144" s="485"/>
      <c r="T1144" s="485"/>
      <c r="U1144" s="485"/>
      <c r="V1144" s="485"/>
      <c r="W1144" s="485"/>
      <c r="X1144" s="485"/>
      <c r="Y1144" s="485"/>
      <c r="Z1144" s="485"/>
      <c r="AA1144" s="485"/>
      <c r="AB1144" s="485"/>
      <c r="AC1144" s="485"/>
      <c r="AD1144" s="485"/>
      <c r="AE1144" s="485"/>
      <c r="AF1144" s="485"/>
      <c r="AG1144" s="485"/>
      <c r="AH1144" s="485"/>
      <c r="AI1144" s="485"/>
      <c r="AJ1144" s="485"/>
      <c r="AK1144" s="485"/>
      <c r="AL1144" s="485"/>
      <c r="AM1144" s="485"/>
      <c r="AN1144" s="485"/>
      <c r="AO1144" s="485"/>
      <c r="AP1144" s="485"/>
      <c r="AQ1144" s="485"/>
      <c r="AR1144" s="485"/>
      <c r="AS1144" s="485"/>
      <c r="AT1144" s="485"/>
      <c r="AU1144" s="485"/>
      <c r="AV1144" s="485"/>
      <c r="AW1144" s="485"/>
      <c r="AX1144" s="485"/>
      <c r="AY1144" s="485"/>
      <c r="AZ1144" s="485"/>
      <c r="BA1144" s="485"/>
      <c r="BB1144" s="485"/>
      <c r="BC1144" s="485"/>
      <c r="BD1144" s="485"/>
      <c r="BE1144" s="485"/>
      <c r="BF1144" s="485"/>
      <c r="BG1144" s="485"/>
      <c r="BH1144" s="485"/>
      <c r="BI1144" s="485"/>
      <c r="BJ1144" s="485"/>
      <c r="BK1144" s="485"/>
      <c r="BL1144" s="485"/>
      <c r="BM1144" s="485"/>
      <c r="BN1144" s="485"/>
      <c r="BO1144" s="485"/>
      <c r="BP1144" s="485"/>
      <c r="BQ1144" s="485"/>
      <c r="BR1144" s="485"/>
      <c r="BS1144" s="485"/>
      <c r="BT1144" s="485"/>
      <c r="BU1144" s="485"/>
      <c r="BV1144" s="485"/>
      <c r="BW1144" s="485"/>
      <c r="BX1144" s="485"/>
      <c r="BY1144" s="485"/>
      <c r="BZ1144" s="485"/>
      <c r="CA1144" s="485"/>
      <c r="CB1144" s="485"/>
      <c r="CC1144" s="485"/>
      <c r="CD1144" s="485"/>
      <c r="CE1144" s="485"/>
      <c r="CF1144" s="485"/>
      <c r="CG1144" s="485"/>
      <c r="CH1144" s="485"/>
      <c r="CI1144" s="485"/>
      <c r="CJ1144" s="485"/>
      <c r="CK1144" s="485"/>
      <c r="CL1144" s="485"/>
      <c r="CM1144" s="485"/>
      <c r="CN1144" s="485"/>
      <c r="CO1144" s="485"/>
      <c r="CP1144" s="485"/>
      <c r="CQ1144" s="485"/>
      <c r="CR1144" s="485"/>
      <c r="CS1144" s="485"/>
      <c r="CT1144" s="485"/>
      <c r="CU1144" s="485"/>
      <c r="CV1144" s="485"/>
      <c r="CW1144" s="485"/>
      <c r="CX1144" s="485"/>
      <c r="CY1144" s="485"/>
      <c r="CZ1144" s="485"/>
      <c r="DA1144" s="485"/>
      <c r="DB1144" s="485"/>
      <c r="DC1144" s="485"/>
      <c r="DD1144" s="485"/>
      <c r="DE1144" s="485"/>
      <c r="DF1144" s="485"/>
      <c r="DG1144" s="485"/>
      <c r="DH1144" s="485"/>
      <c r="DI1144" s="485"/>
      <c r="DJ1144" s="485"/>
      <c r="DK1144" s="485"/>
      <c r="DL1144" s="485"/>
      <c r="DM1144" s="485"/>
      <c r="DN1144" s="485"/>
      <c r="DO1144" s="485"/>
      <c r="DP1144" s="485"/>
      <c r="DQ1144" s="485"/>
      <c r="DR1144" s="485"/>
      <c r="DS1144" s="485"/>
      <c r="DT1144" s="485"/>
      <c r="DU1144" s="485"/>
      <c r="DV1144" s="485"/>
      <c r="DW1144" s="485"/>
      <c r="DX1144" s="485"/>
      <c r="DY1144" s="485"/>
      <c r="DZ1144" s="485"/>
      <c r="EA1144" s="485"/>
      <c r="EB1144" s="485"/>
      <c r="EC1144" s="485"/>
      <c r="ED1144" s="485"/>
      <c r="EE1144" s="485"/>
      <c r="EF1144" s="485"/>
      <c r="EG1144" s="485"/>
      <c r="EH1144" s="485"/>
      <c r="EI1144" s="485"/>
      <c r="EJ1144" s="485"/>
      <c r="EK1144" s="485"/>
      <c r="EL1144" s="485"/>
      <c r="EM1144" s="485"/>
      <c r="EN1144" s="485"/>
      <c r="EO1144" s="485"/>
      <c r="EP1144" s="485"/>
    </row>
    <row r="1145" spans="1:146">
      <c r="A1145" s="485"/>
      <c r="B1145" s="485"/>
      <c r="C1145" s="485"/>
      <c r="D1145" s="485"/>
      <c r="E1145" s="485"/>
      <c r="F1145" s="485"/>
      <c r="G1145" s="485"/>
      <c r="H1145" s="485"/>
      <c r="I1145" s="485"/>
      <c r="J1145" s="485"/>
      <c r="K1145" s="485"/>
      <c r="L1145" s="485"/>
      <c r="M1145" s="485"/>
      <c r="P1145" s="485"/>
      <c r="Q1145" s="485"/>
      <c r="R1145" s="485"/>
      <c r="S1145" s="485"/>
      <c r="T1145" s="485"/>
      <c r="U1145" s="485"/>
      <c r="V1145" s="485"/>
      <c r="W1145" s="485"/>
      <c r="X1145" s="485"/>
      <c r="Y1145" s="485"/>
      <c r="Z1145" s="485"/>
      <c r="AA1145" s="485"/>
      <c r="AB1145" s="485"/>
      <c r="AC1145" s="485"/>
      <c r="AD1145" s="485"/>
      <c r="AE1145" s="485"/>
      <c r="AF1145" s="485"/>
      <c r="AG1145" s="485"/>
      <c r="AH1145" s="485"/>
      <c r="AI1145" s="485"/>
      <c r="AJ1145" s="485"/>
      <c r="AK1145" s="485"/>
      <c r="AL1145" s="485"/>
      <c r="AM1145" s="485"/>
      <c r="AN1145" s="485"/>
      <c r="AO1145" s="485"/>
      <c r="AP1145" s="485"/>
      <c r="AQ1145" s="485"/>
      <c r="AR1145" s="485"/>
      <c r="AS1145" s="485"/>
      <c r="AT1145" s="485"/>
      <c r="AU1145" s="485"/>
      <c r="AV1145" s="485"/>
      <c r="AW1145" s="485"/>
      <c r="AX1145" s="485"/>
      <c r="AY1145" s="485"/>
      <c r="AZ1145" s="485"/>
      <c r="BA1145" s="485"/>
      <c r="BB1145" s="485"/>
      <c r="BC1145" s="485"/>
      <c r="BD1145" s="485"/>
      <c r="BE1145" s="485"/>
      <c r="BF1145" s="485"/>
      <c r="BG1145" s="485"/>
      <c r="BH1145" s="485"/>
      <c r="BI1145" s="485"/>
      <c r="BJ1145" s="485"/>
      <c r="BK1145" s="485"/>
      <c r="BL1145" s="485"/>
      <c r="BM1145" s="485"/>
      <c r="BN1145" s="485"/>
      <c r="BO1145" s="485"/>
      <c r="BP1145" s="485"/>
      <c r="BQ1145" s="485"/>
      <c r="BR1145" s="485"/>
      <c r="BS1145" s="485"/>
      <c r="BT1145" s="485"/>
      <c r="BU1145" s="485"/>
      <c r="BV1145" s="485"/>
      <c r="BW1145" s="485"/>
      <c r="BX1145" s="485"/>
      <c r="BY1145" s="485"/>
      <c r="BZ1145" s="485"/>
      <c r="CA1145" s="485"/>
      <c r="CB1145" s="485"/>
      <c r="CC1145" s="485"/>
      <c r="CD1145" s="485"/>
      <c r="CE1145" s="485"/>
      <c r="CF1145" s="485"/>
      <c r="CG1145" s="485"/>
      <c r="CH1145" s="485"/>
      <c r="CI1145" s="485"/>
      <c r="CJ1145" s="485"/>
      <c r="CK1145" s="485"/>
      <c r="CL1145" s="485"/>
      <c r="CM1145" s="485"/>
      <c r="CN1145" s="485"/>
      <c r="CO1145" s="485"/>
      <c r="CP1145" s="485"/>
      <c r="CQ1145" s="485"/>
      <c r="CR1145" s="485"/>
      <c r="CS1145" s="485"/>
      <c r="CT1145" s="485"/>
      <c r="CU1145" s="485"/>
      <c r="CV1145" s="485"/>
      <c r="CW1145" s="485"/>
      <c r="CX1145" s="485"/>
      <c r="CY1145" s="485"/>
      <c r="CZ1145" s="485"/>
      <c r="DA1145" s="485"/>
      <c r="DB1145" s="485"/>
      <c r="DC1145" s="485"/>
      <c r="DD1145" s="485"/>
      <c r="DE1145" s="485"/>
      <c r="DF1145" s="485"/>
      <c r="DG1145" s="485"/>
      <c r="DH1145" s="485"/>
      <c r="DI1145" s="485"/>
      <c r="DJ1145" s="485"/>
      <c r="DK1145" s="485"/>
      <c r="DL1145" s="485"/>
      <c r="DM1145" s="485"/>
      <c r="DN1145" s="485"/>
      <c r="DO1145" s="485"/>
      <c r="DP1145" s="485"/>
      <c r="DQ1145" s="485"/>
      <c r="DR1145" s="485"/>
      <c r="DS1145" s="485"/>
      <c r="DT1145" s="485"/>
      <c r="DU1145" s="485"/>
      <c r="DV1145" s="485"/>
      <c r="DW1145" s="485"/>
      <c r="DX1145" s="485"/>
      <c r="DY1145" s="485"/>
      <c r="DZ1145" s="485"/>
      <c r="EA1145" s="485"/>
      <c r="EB1145" s="485"/>
      <c r="EC1145" s="485"/>
      <c r="ED1145" s="485"/>
      <c r="EE1145" s="485"/>
      <c r="EF1145" s="485"/>
      <c r="EG1145" s="485"/>
      <c r="EH1145" s="485"/>
      <c r="EI1145" s="485"/>
      <c r="EJ1145" s="485"/>
      <c r="EK1145" s="485"/>
      <c r="EL1145" s="485"/>
      <c r="EM1145" s="485"/>
      <c r="EN1145" s="485"/>
      <c r="EO1145" s="485"/>
      <c r="EP1145" s="485"/>
    </row>
    <row r="1146" spans="1:146">
      <c r="A1146" s="485"/>
      <c r="B1146" s="485"/>
      <c r="C1146" s="485"/>
      <c r="D1146" s="485"/>
      <c r="E1146" s="485"/>
      <c r="F1146" s="485"/>
      <c r="G1146" s="485"/>
      <c r="H1146" s="485"/>
      <c r="I1146" s="485"/>
      <c r="J1146" s="485"/>
      <c r="K1146" s="485"/>
      <c r="L1146" s="485"/>
      <c r="M1146" s="485"/>
      <c r="P1146" s="485"/>
      <c r="Q1146" s="485"/>
      <c r="R1146" s="485"/>
      <c r="S1146" s="485"/>
      <c r="T1146" s="485"/>
      <c r="U1146" s="485"/>
      <c r="V1146" s="485"/>
      <c r="W1146" s="485"/>
      <c r="X1146" s="485"/>
      <c r="Y1146" s="485"/>
      <c r="Z1146" s="485"/>
      <c r="AA1146" s="485"/>
      <c r="AB1146" s="485"/>
      <c r="AC1146" s="485"/>
      <c r="AD1146" s="485"/>
      <c r="AE1146" s="485"/>
      <c r="AF1146" s="485"/>
      <c r="AG1146" s="485"/>
      <c r="AH1146" s="485"/>
      <c r="AI1146" s="485"/>
      <c r="AJ1146" s="485"/>
      <c r="AK1146" s="485"/>
      <c r="AL1146" s="485"/>
      <c r="AM1146" s="485"/>
      <c r="AN1146" s="485"/>
      <c r="AO1146" s="485"/>
      <c r="AP1146" s="485"/>
      <c r="AQ1146" s="485"/>
      <c r="AR1146" s="485"/>
      <c r="AS1146" s="485"/>
      <c r="AT1146" s="485"/>
      <c r="AU1146" s="485"/>
      <c r="AV1146" s="485"/>
      <c r="AW1146" s="485"/>
      <c r="AX1146" s="485"/>
      <c r="AY1146" s="485"/>
      <c r="AZ1146" s="485"/>
      <c r="BA1146" s="485"/>
      <c r="BB1146" s="485"/>
      <c r="BC1146" s="485"/>
      <c r="BD1146" s="485"/>
      <c r="BE1146" s="485"/>
      <c r="BF1146" s="485"/>
      <c r="BG1146" s="485"/>
      <c r="BH1146" s="485"/>
      <c r="BI1146" s="485"/>
      <c r="BJ1146" s="485"/>
      <c r="BK1146" s="485"/>
      <c r="BL1146" s="485"/>
      <c r="BM1146" s="485"/>
      <c r="BN1146" s="485"/>
      <c r="BO1146" s="485"/>
      <c r="BP1146" s="485"/>
      <c r="BQ1146" s="485"/>
      <c r="BR1146" s="485"/>
      <c r="BS1146" s="485"/>
      <c r="BT1146" s="485"/>
      <c r="BU1146" s="485"/>
      <c r="BV1146" s="485"/>
      <c r="BW1146" s="485"/>
      <c r="BX1146" s="485"/>
      <c r="BY1146" s="485"/>
      <c r="BZ1146" s="485"/>
      <c r="CA1146" s="485"/>
      <c r="CB1146" s="485"/>
      <c r="CC1146" s="485"/>
      <c r="CD1146" s="485"/>
      <c r="CE1146" s="485"/>
      <c r="CF1146" s="485"/>
      <c r="CG1146" s="485"/>
      <c r="CH1146" s="485"/>
      <c r="CI1146" s="485"/>
      <c r="CJ1146" s="485"/>
      <c r="CK1146" s="485"/>
      <c r="CL1146" s="485"/>
      <c r="CM1146" s="485"/>
      <c r="CN1146" s="485"/>
      <c r="CO1146" s="485"/>
      <c r="CP1146" s="485"/>
      <c r="CQ1146" s="485"/>
      <c r="CR1146" s="485"/>
      <c r="CS1146" s="485"/>
      <c r="CT1146" s="485"/>
      <c r="CU1146" s="485"/>
      <c r="CV1146" s="485"/>
      <c r="CW1146" s="485"/>
      <c r="CX1146" s="485"/>
      <c r="CY1146" s="485"/>
      <c r="CZ1146" s="485"/>
      <c r="DA1146" s="485"/>
      <c r="DB1146" s="485"/>
      <c r="DC1146" s="485"/>
      <c r="DD1146" s="485"/>
      <c r="DE1146" s="485"/>
      <c r="DF1146" s="485"/>
      <c r="DG1146" s="485"/>
      <c r="DH1146" s="485"/>
      <c r="DI1146" s="485"/>
      <c r="DJ1146" s="485"/>
      <c r="DK1146" s="485"/>
      <c r="DL1146" s="485"/>
      <c r="DM1146" s="485"/>
      <c r="DN1146" s="485"/>
      <c r="DO1146" s="485"/>
      <c r="DP1146" s="485"/>
      <c r="DQ1146" s="485"/>
      <c r="DR1146" s="485"/>
      <c r="DS1146" s="485"/>
      <c r="DT1146" s="485"/>
      <c r="DU1146" s="485"/>
      <c r="DV1146" s="485"/>
      <c r="DW1146" s="485"/>
      <c r="DX1146" s="485"/>
      <c r="DY1146" s="485"/>
      <c r="DZ1146" s="485"/>
      <c r="EA1146" s="485"/>
      <c r="EB1146" s="485"/>
      <c r="EC1146" s="485"/>
      <c r="ED1146" s="485"/>
      <c r="EE1146" s="485"/>
      <c r="EF1146" s="485"/>
      <c r="EG1146" s="485"/>
      <c r="EH1146" s="485"/>
      <c r="EI1146" s="485"/>
      <c r="EJ1146" s="485"/>
      <c r="EK1146" s="485"/>
      <c r="EL1146" s="485"/>
      <c r="EM1146" s="485"/>
      <c r="EN1146" s="485"/>
      <c r="EO1146" s="485"/>
      <c r="EP1146" s="485"/>
    </row>
    <row r="1147" spans="1:146">
      <c r="A1147" s="485"/>
      <c r="B1147" s="485"/>
      <c r="C1147" s="485"/>
      <c r="D1147" s="485"/>
      <c r="E1147" s="485"/>
      <c r="F1147" s="485"/>
      <c r="G1147" s="485"/>
      <c r="H1147" s="485"/>
      <c r="I1147" s="485"/>
      <c r="J1147" s="485"/>
      <c r="K1147" s="485"/>
      <c r="L1147" s="485"/>
      <c r="M1147" s="485"/>
      <c r="P1147" s="485"/>
      <c r="Q1147" s="485"/>
      <c r="R1147" s="485"/>
      <c r="S1147" s="485"/>
      <c r="T1147" s="485"/>
      <c r="U1147" s="485"/>
      <c r="V1147" s="485"/>
      <c r="W1147" s="485"/>
      <c r="X1147" s="485"/>
      <c r="Y1147" s="485"/>
      <c r="Z1147" s="485"/>
      <c r="AA1147" s="485"/>
      <c r="AB1147" s="485"/>
      <c r="AC1147" s="485"/>
      <c r="AD1147" s="485"/>
      <c r="AE1147" s="485"/>
      <c r="AF1147" s="485"/>
      <c r="AG1147" s="485"/>
      <c r="AH1147" s="485"/>
      <c r="AI1147" s="485"/>
      <c r="AJ1147" s="485"/>
      <c r="AK1147" s="485"/>
      <c r="AL1147" s="485"/>
      <c r="AM1147" s="485"/>
      <c r="AN1147" s="485"/>
      <c r="AO1147" s="485"/>
      <c r="AP1147" s="485"/>
      <c r="AQ1147" s="485"/>
      <c r="AR1147" s="485"/>
      <c r="AS1147" s="485"/>
      <c r="AT1147" s="485"/>
      <c r="AU1147" s="485"/>
      <c r="AV1147" s="485"/>
      <c r="AW1147" s="485"/>
      <c r="AX1147" s="485"/>
      <c r="AY1147" s="485"/>
      <c r="AZ1147" s="485"/>
      <c r="BA1147" s="485"/>
      <c r="BB1147" s="485"/>
      <c r="BC1147" s="485"/>
      <c r="BD1147" s="485"/>
      <c r="BE1147" s="485"/>
      <c r="BF1147" s="485"/>
      <c r="BG1147" s="485"/>
      <c r="BH1147" s="485"/>
      <c r="BI1147" s="485"/>
      <c r="BJ1147" s="485"/>
      <c r="BK1147" s="485"/>
      <c r="BL1147" s="485"/>
      <c r="BM1147" s="485"/>
      <c r="BN1147" s="485"/>
      <c r="BO1147" s="485"/>
      <c r="BP1147" s="485"/>
      <c r="BQ1147" s="485"/>
      <c r="BR1147" s="485"/>
      <c r="BS1147" s="485"/>
      <c r="BT1147" s="485"/>
      <c r="BU1147" s="485"/>
      <c r="BV1147" s="485"/>
      <c r="BW1147" s="485"/>
      <c r="BX1147" s="485"/>
      <c r="BY1147" s="485"/>
      <c r="BZ1147" s="485"/>
      <c r="CA1147" s="485"/>
      <c r="CB1147" s="485"/>
      <c r="CC1147" s="485"/>
      <c r="CD1147" s="485"/>
      <c r="CE1147" s="485"/>
      <c r="CF1147" s="485"/>
      <c r="CG1147" s="485"/>
      <c r="CH1147" s="485"/>
      <c r="CI1147" s="485"/>
      <c r="CJ1147" s="485"/>
      <c r="CK1147" s="485"/>
      <c r="CL1147" s="485"/>
      <c r="CM1147" s="485"/>
      <c r="CN1147" s="485"/>
      <c r="CO1147" s="485"/>
      <c r="CP1147" s="485"/>
      <c r="CQ1147" s="485"/>
      <c r="CR1147" s="485"/>
      <c r="CS1147" s="485"/>
      <c r="CT1147" s="485"/>
      <c r="CU1147" s="485"/>
      <c r="CV1147" s="485"/>
      <c r="CW1147" s="485"/>
      <c r="CX1147" s="485"/>
      <c r="CY1147" s="485"/>
      <c r="CZ1147" s="485"/>
      <c r="DA1147" s="485"/>
      <c r="DB1147" s="485"/>
      <c r="DC1147" s="485"/>
      <c r="DD1147" s="485"/>
      <c r="DE1147" s="485"/>
      <c r="DF1147" s="485"/>
      <c r="DG1147" s="485"/>
      <c r="DH1147" s="485"/>
      <c r="DI1147" s="485"/>
      <c r="DJ1147" s="485"/>
      <c r="DK1147" s="485"/>
      <c r="DL1147" s="485"/>
      <c r="DM1147" s="485"/>
      <c r="DN1147" s="485"/>
      <c r="DO1147" s="485"/>
      <c r="DP1147" s="485"/>
      <c r="DQ1147" s="485"/>
      <c r="DR1147" s="485"/>
      <c r="DS1147" s="485"/>
      <c r="DT1147" s="485"/>
      <c r="DU1147" s="485"/>
      <c r="DV1147" s="485"/>
      <c r="DW1147" s="485"/>
      <c r="DX1147" s="485"/>
      <c r="DY1147" s="485"/>
      <c r="DZ1147" s="485"/>
      <c r="EA1147" s="485"/>
      <c r="EB1147" s="485"/>
      <c r="EC1147" s="485"/>
      <c r="ED1147" s="485"/>
      <c r="EE1147" s="485"/>
      <c r="EF1147" s="485"/>
      <c r="EG1147" s="485"/>
      <c r="EH1147" s="485"/>
      <c r="EI1147" s="485"/>
      <c r="EJ1147" s="485"/>
      <c r="EK1147" s="485"/>
      <c r="EL1147" s="485"/>
      <c r="EM1147" s="485"/>
      <c r="EN1147" s="485"/>
      <c r="EO1147" s="485"/>
      <c r="EP1147" s="485"/>
    </row>
    <row r="1148" spans="1:146">
      <c r="A1148" s="485"/>
      <c r="B1148" s="485"/>
      <c r="C1148" s="485"/>
      <c r="D1148" s="485"/>
      <c r="E1148" s="485"/>
      <c r="F1148" s="485"/>
      <c r="G1148" s="485"/>
      <c r="H1148" s="485"/>
      <c r="I1148" s="485"/>
      <c r="J1148" s="485"/>
      <c r="K1148" s="485"/>
      <c r="L1148" s="485"/>
      <c r="M1148" s="485"/>
      <c r="P1148" s="485"/>
      <c r="Q1148" s="485"/>
      <c r="R1148" s="485"/>
      <c r="S1148" s="485"/>
      <c r="T1148" s="485"/>
      <c r="U1148" s="485"/>
      <c r="V1148" s="485"/>
      <c r="W1148" s="485"/>
      <c r="X1148" s="485"/>
      <c r="Y1148" s="485"/>
      <c r="Z1148" s="485"/>
      <c r="AA1148" s="485"/>
      <c r="AB1148" s="485"/>
      <c r="AC1148" s="485"/>
      <c r="AD1148" s="485"/>
      <c r="AE1148" s="485"/>
      <c r="AF1148" s="485"/>
      <c r="AG1148" s="485"/>
      <c r="AH1148" s="485"/>
      <c r="AI1148" s="485"/>
      <c r="AJ1148" s="485"/>
      <c r="AK1148" s="485"/>
      <c r="AL1148" s="485"/>
      <c r="AM1148" s="485"/>
      <c r="AN1148" s="485"/>
      <c r="AO1148" s="485"/>
      <c r="AP1148" s="485"/>
      <c r="AQ1148" s="485"/>
      <c r="AR1148" s="485"/>
      <c r="AS1148" s="485"/>
      <c r="AT1148" s="485"/>
      <c r="AU1148" s="485"/>
      <c r="AV1148" s="485"/>
      <c r="AW1148" s="485"/>
      <c r="AX1148" s="485"/>
      <c r="AY1148" s="485"/>
      <c r="AZ1148" s="485"/>
      <c r="BA1148" s="485"/>
      <c r="BB1148" s="485"/>
      <c r="BC1148" s="485"/>
      <c r="BD1148" s="485"/>
      <c r="BE1148" s="485"/>
      <c r="BF1148" s="485"/>
      <c r="BG1148" s="485"/>
      <c r="BH1148" s="485"/>
      <c r="BI1148" s="485"/>
      <c r="BJ1148" s="485"/>
      <c r="BK1148" s="485"/>
      <c r="BL1148" s="485"/>
      <c r="BM1148" s="485"/>
      <c r="BN1148" s="485"/>
      <c r="BO1148" s="485"/>
      <c r="BP1148" s="485"/>
      <c r="BQ1148" s="485"/>
      <c r="BR1148" s="485"/>
      <c r="BS1148" s="485"/>
      <c r="BT1148" s="485"/>
      <c r="BU1148" s="485"/>
      <c r="BV1148" s="485"/>
      <c r="BW1148" s="485"/>
      <c r="BX1148" s="485"/>
      <c r="BY1148" s="485"/>
      <c r="BZ1148" s="485"/>
      <c r="CA1148" s="485"/>
      <c r="CB1148" s="485"/>
      <c r="CC1148" s="485"/>
      <c r="CD1148" s="485"/>
      <c r="CE1148" s="485"/>
      <c r="CF1148" s="485"/>
      <c r="CG1148" s="485"/>
      <c r="CH1148" s="485"/>
      <c r="CI1148" s="485"/>
      <c r="CJ1148" s="485"/>
      <c r="CK1148" s="485"/>
      <c r="CL1148" s="485"/>
      <c r="CM1148" s="485"/>
      <c r="CN1148" s="485"/>
      <c r="CO1148" s="485"/>
      <c r="CP1148" s="485"/>
      <c r="CQ1148" s="485"/>
      <c r="CR1148" s="485"/>
      <c r="CS1148" s="485"/>
      <c r="CT1148" s="485"/>
      <c r="CU1148" s="485"/>
      <c r="CV1148" s="485"/>
      <c r="CW1148" s="485"/>
      <c r="CX1148" s="485"/>
      <c r="CY1148" s="485"/>
      <c r="CZ1148" s="485"/>
      <c r="DA1148" s="485"/>
      <c r="DB1148" s="485"/>
      <c r="DC1148" s="485"/>
      <c r="DD1148" s="485"/>
      <c r="DE1148" s="485"/>
      <c r="DF1148" s="485"/>
      <c r="DG1148" s="485"/>
      <c r="DH1148" s="485"/>
      <c r="DI1148" s="485"/>
      <c r="DJ1148" s="485"/>
      <c r="DK1148" s="485"/>
      <c r="DL1148" s="485"/>
      <c r="DM1148" s="485"/>
      <c r="DN1148" s="485"/>
      <c r="DO1148" s="485"/>
      <c r="DP1148" s="485"/>
      <c r="DQ1148" s="485"/>
      <c r="DR1148" s="485"/>
      <c r="DS1148" s="485"/>
      <c r="DT1148" s="485"/>
      <c r="DU1148" s="485"/>
      <c r="DV1148" s="485"/>
      <c r="DW1148" s="485"/>
      <c r="DX1148" s="485"/>
      <c r="DY1148" s="485"/>
      <c r="DZ1148" s="485"/>
      <c r="EA1148" s="485"/>
      <c r="EB1148" s="485"/>
      <c r="EC1148" s="485"/>
      <c r="ED1148" s="485"/>
      <c r="EE1148" s="485"/>
      <c r="EF1148" s="485"/>
      <c r="EG1148" s="485"/>
      <c r="EH1148" s="485"/>
      <c r="EI1148" s="485"/>
      <c r="EJ1148" s="485"/>
      <c r="EK1148" s="485"/>
      <c r="EL1148" s="485"/>
      <c r="EM1148" s="485"/>
      <c r="EN1148" s="485"/>
      <c r="EO1148" s="485"/>
      <c r="EP1148" s="485"/>
    </row>
    <row r="1149" spans="1:146">
      <c r="A1149" s="485"/>
      <c r="B1149" s="485"/>
      <c r="C1149" s="485"/>
      <c r="D1149" s="485"/>
      <c r="E1149" s="485"/>
      <c r="F1149" s="485"/>
      <c r="G1149" s="485"/>
      <c r="H1149" s="485"/>
      <c r="I1149" s="485"/>
      <c r="J1149" s="485"/>
      <c r="K1149" s="485"/>
      <c r="L1149" s="485"/>
      <c r="M1149" s="485"/>
      <c r="P1149" s="485"/>
      <c r="Q1149" s="485"/>
      <c r="R1149" s="485"/>
      <c r="S1149" s="485"/>
      <c r="T1149" s="485"/>
      <c r="U1149" s="485"/>
      <c r="V1149" s="485"/>
      <c r="W1149" s="485"/>
      <c r="X1149" s="485"/>
      <c r="Y1149" s="485"/>
      <c r="Z1149" s="485"/>
      <c r="AA1149" s="485"/>
      <c r="AB1149" s="485"/>
      <c r="AC1149" s="485"/>
      <c r="AD1149" s="485"/>
      <c r="AE1149" s="485"/>
      <c r="AF1149" s="485"/>
      <c r="AG1149" s="485"/>
      <c r="AH1149" s="485"/>
      <c r="AI1149" s="485"/>
      <c r="AJ1149" s="485"/>
      <c r="AK1149" s="485"/>
      <c r="AL1149" s="485"/>
      <c r="AM1149" s="485"/>
      <c r="AN1149" s="485"/>
      <c r="AO1149" s="485"/>
      <c r="AP1149" s="485"/>
      <c r="AQ1149" s="485"/>
      <c r="AR1149" s="485"/>
      <c r="AS1149" s="485"/>
      <c r="AT1149" s="485"/>
      <c r="AU1149" s="485"/>
      <c r="AV1149" s="485"/>
      <c r="AW1149" s="485"/>
      <c r="AX1149" s="485"/>
      <c r="AY1149" s="485"/>
      <c r="AZ1149" s="485"/>
      <c r="BA1149" s="485"/>
      <c r="BB1149" s="485"/>
      <c r="BC1149" s="485"/>
      <c r="BD1149" s="485"/>
      <c r="BE1149" s="485"/>
      <c r="BF1149" s="485"/>
      <c r="BG1149" s="485"/>
      <c r="BH1149" s="485"/>
      <c r="BI1149" s="485"/>
      <c r="BJ1149" s="485"/>
      <c r="BK1149" s="485"/>
      <c r="BL1149" s="485"/>
      <c r="BM1149" s="485"/>
      <c r="BN1149" s="485"/>
      <c r="BO1149" s="485"/>
      <c r="BP1149" s="485"/>
      <c r="BQ1149" s="485"/>
      <c r="BR1149" s="485"/>
      <c r="BS1149" s="485"/>
      <c r="BT1149" s="485"/>
      <c r="BU1149" s="485"/>
      <c r="BV1149" s="485"/>
      <c r="BW1149" s="485"/>
      <c r="BX1149" s="485"/>
      <c r="BY1149" s="485"/>
      <c r="BZ1149" s="485"/>
      <c r="CA1149" s="485"/>
      <c r="CB1149" s="485"/>
      <c r="CC1149" s="485"/>
      <c r="CD1149" s="485"/>
      <c r="CE1149" s="485"/>
      <c r="CF1149" s="485"/>
      <c r="CG1149" s="485"/>
      <c r="CH1149" s="485"/>
      <c r="CI1149" s="485"/>
      <c r="CJ1149" s="485"/>
      <c r="CK1149" s="485"/>
      <c r="CL1149" s="485"/>
      <c r="CM1149" s="485"/>
      <c r="CN1149" s="485"/>
      <c r="CO1149" s="485"/>
      <c r="CP1149" s="485"/>
      <c r="CQ1149" s="485"/>
      <c r="CR1149" s="485"/>
      <c r="CS1149" s="485"/>
      <c r="CT1149" s="485"/>
      <c r="CU1149" s="485"/>
      <c r="CV1149" s="485"/>
      <c r="CW1149" s="485"/>
      <c r="CX1149" s="485"/>
      <c r="CY1149" s="485"/>
      <c r="CZ1149" s="485"/>
      <c r="DA1149" s="485"/>
      <c r="DB1149" s="485"/>
      <c r="DC1149" s="485"/>
      <c r="DD1149" s="485"/>
      <c r="DE1149" s="485"/>
      <c r="DF1149" s="485"/>
      <c r="DG1149" s="485"/>
      <c r="DH1149" s="485"/>
      <c r="DI1149" s="485"/>
      <c r="DJ1149" s="485"/>
      <c r="DK1149" s="485"/>
      <c r="DL1149" s="485"/>
      <c r="DM1149" s="485"/>
      <c r="DN1149" s="485"/>
      <c r="DO1149" s="485"/>
      <c r="DP1149" s="485"/>
      <c r="DQ1149" s="485"/>
      <c r="DR1149" s="485"/>
      <c r="DS1149" s="485"/>
      <c r="DT1149" s="485"/>
      <c r="DU1149" s="485"/>
      <c r="DV1149" s="485"/>
      <c r="DW1149" s="485"/>
      <c r="DX1149" s="485"/>
      <c r="DY1149" s="485"/>
      <c r="DZ1149" s="485"/>
      <c r="EA1149" s="485"/>
      <c r="EB1149" s="485"/>
      <c r="EC1149" s="485"/>
      <c r="ED1149" s="485"/>
      <c r="EE1149" s="485"/>
      <c r="EF1149" s="485"/>
      <c r="EG1149" s="485"/>
      <c r="EH1149" s="485"/>
      <c r="EI1149" s="485"/>
      <c r="EJ1149" s="485"/>
      <c r="EK1149" s="485"/>
      <c r="EL1149" s="485"/>
      <c r="EM1149" s="485"/>
      <c r="EN1149" s="485"/>
      <c r="EO1149" s="485"/>
      <c r="EP1149" s="485"/>
    </row>
    <row r="1150" spans="1:146">
      <c r="A1150" s="485"/>
      <c r="B1150" s="485"/>
      <c r="C1150" s="485"/>
      <c r="D1150" s="485"/>
      <c r="E1150" s="485"/>
      <c r="F1150" s="485"/>
      <c r="G1150" s="485"/>
      <c r="H1150" s="485"/>
      <c r="I1150" s="485"/>
      <c r="J1150" s="485"/>
      <c r="K1150" s="485"/>
      <c r="L1150" s="485"/>
      <c r="M1150" s="485"/>
      <c r="P1150" s="485"/>
      <c r="Q1150" s="485"/>
      <c r="R1150" s="485"/>
      <c r="S1150" s="485"/>
      <c r="T1150" s="485"/>
      <c r="U1150" s="485"/>
      <c r="V1150" s="485"/>
      <c r="W1150" s="485"/>
      <c r="X1150" s="485"/>
      <c r="Y1150" s="485"/>
      <c r="Z1150" s="485"/>
      <c r="AA1150" s="485"/>
      <c r="AB1150" s="485"/>
      <c r="AC1150" s="485"/>
      <c r="AD1150" s="485"/>
      <c r="AE1150" s="485"/>
      <c r="AF1150" s="485"/>
      <c r="AG1150" s="485"/>
      <c r="AH1150" s="485"/>
      <c r="AI1150" s="485"/>
      <c r="AJ1150" s="485"/>
      <c r="AK1150" s="485"/>
      <c r="AL1150" s="485"/>
      <c r="AM1150" s="485"/>
      <c r="AN1150" s="485"/>
      <c r="AO1150" s="485"/>
      <c r="AP1150" s="485"/>
      <c r="AQ1150" s="485"/>
      <c r="AR1150" s="485"/>
      <c r="AS1150" s="485"/>
      <c r="AT1150" s="485"/>
      <c r="AU1150" s="485"/>
      <c r="AV1150" s="485"/>
      <c r="AW1150" s="485"/>
      <c r="AX1150" s="485"/>
      <c r="AY1150" s="485"/>
      <c r="AZ1150" s="485"/>
      <c r="BA1150" s="485"/>
      <c r="BB1150" s="485"/>
      <c r="BC1150" s="485"/>
      <c r="BD1150" s="485"/>
      <c r="BE1150" s="485"/>
      <c r="BF1150" s="485"/>
      <c r="BG1150" s="485"/>
      <c r="BH1150" s="485"/>
      <c r="BI1150" s="485"/>
      <c r="BJ1150" s="485"/>
      <c r="BK1150" s="485"/>
      <c r="BL1150" s="485"/>
      <c r="BM1150" s="485"/>
      <c r="BN1150" s="485"/>
      <c r="BO1150" s="485"/>
      <c r="BP1150" s="485"/>
      <c r="BQ1150" s="485"/>
      <c r="BR1150" s="485"/>
      <c r="BS1150" s="485"/>
      <c r="BT1150" s="485"/>
      <c r="BU1150" s="485"/>
      <c r="BV1150" s="485"/>
      <c r="BW1150" s="485"/>
      <c r="BX1150" s="485"/>
      <c r="BY1150" s="485"/>
      <c r="BZ1150" s="485"/>
      <c r="CA1150" s="485"/>
      <c r="CB1150" s="485"/>
      <c r="CC1150" s="485"/>
      <c r="CD1150" s="485"/>
      <c r="CE1150" s="485"/>
      <c r="CF1150" s="485"/>
      <c r="CG1150" s="485"/>
      <c r="CH1150" s="485"/>
      <c r="CI1150" s="485"/>
      <c r="CJ1150" s="485"/>
      <c r="CK1150" s="485"/>
      <c r="CL1150" s="485"/>
      <c r="CM1150" s="485"/>
      <c r="CN1150" s="485"/>
      <c r="CO1150" s="485"/>
      <c r="CP1150" s="485"/>
      <c r="CQ1150" s="485"/>
      <c r="CR1150" s="485"/>
      <c r="CS1150" s="485"/>
      <c r="CT1150" s="485"/>
      <c r="CU1150" s="485"/>
      <c r="CV1150" s="485"/>
      <c r="CW1150" s="485"/>
      <c r="CX1150" s="485"/>
      <c r="CY1150" s="485"/>
      <c r="CZ1150" s="485"/>
      <c r="DA1150" s="485"/>
      <c r="DB1150" s="485"/>
      <c r="DC1150" s="485"/>
      <c r="DD1150" s="485"/>
      <c r="DE1150" s="485"/>
      <c r="DF1150" s="485"/>
      <c r="DG1150" s="485"/>
      <c r="DH1150" s="485"/>
      <c r="DI1150" s="485"/>
      <c r="DJ1150" s="485"/>
      <c r="DK1150" s="485"/>
      <c r="DL1150" s="485"/>
      <c r="DM1150" s="485"/>
      <c r="DN1150" s="485"/>
      <c r="DO1150" s="485"/>
      <c r="DP1150" s="485"/>
      <c r="DQ1150" s="485"/>
      <c r="DR1150" s="485"/>
      <c r="DS1150" s="485"/>
      <c r="DT1150" s="485"/>
      <c r="DU1150" s="485"/>
      <c r="DV1150" s="485"/>
      <c r="DW1150" s="485"/>
      <c r="DX1150" s="485"/>
      <c r="DY1150" s="485"/>
      <c r="DZ1150" s="485"/>
      <c r="EA1150" s="485"/>
      <c r="EB1150" s="485"/>
      <c r="EC1150" s="485"/>
      <c r="ED1150" s="485"/>
      <c r="EE1150" s="485"/>
      <c r="EF1150" s="485"/>
      <c r="EG1150" s="485"/>
      <c r="EH1150" s="485"/>
      <c r="EI1150" s="485"/>
      <c r="EJ1150" s="485"/>
      <c r="EK1150" s="485"/>
      <c r="EL1150" s="485"/>
      <c r="EM1150" s="485"/>
      <c r="EN1150" s="485"/>
      <c r="EO1150" s="485"/>
      <c r="EP1150" s="485"/>
    </row>
    <row r="1151" spans="1:146">
      <c r="A1151" s="485"/>
      <c r="B1151" s="485"/>
      <c r="C1151" s="485"/>
      <c r="D1151" s="485"/>
      <c r="E1151" s="485"/>
      <c r="F1151" s="485"/>
      <c r="G1151" s="485"/>
      <c r="H1151" s="485"/>
      <c r="I1151" s="485"/>
      <c r="J1151" s="485"/>
      <c r="K1151" s="485"/>
      <c r="L1151" s="485"/>
      <c r="M1151" s="485"/>
      <c r="P1151" s="485"/>
      <c r="Q1151" s="485"/>
      <c r="R1151" s="485"/>
      <c r="S1151" s="485"/>
      <c r="T1151" s="485"/>
      <c r="U1151" s="485"/>
      <c r="V1151" s="485"/>
      <c r="W1151" s="485"/>
      <c r="X1151" s="485"/>
      <c r="Y1151" s="485"/>
      <c r="Z1151" s="485"/>
      <c r="AA1151" s="485"/>
      <c r="AB1151" s="485"/>
      <c r="AC1151" s="485"/>
      <c r="AD1151" s="485"/>
      <c r="AE1151" s="485"/>
      <c r="AF1151" s="485"/>
      <c r="AG1151" s="485"/>
      <c r="AH1151" s="485"/>
      <c r="AI1151" s="485"/>
      <c r="AJ1151" s="485"/>
      <c r="AK1151" s="485"/>
      <c r="AL1151" s="485"/>
      <c r="AM1151" s="485"/>
      <c r="AN1151" s="485"/>
      <c r="AO1151" s="485"/>
      <c r="AP1151" s="485"/>
      <c r="AQ1151" s="485"/>
      <c r="AR1151" s="485"/>
      <c r="AS1151" s="485"/>
      <c r="AT1151" s="485"/>
      <c r="AU1151" s="485"/>
      <c r="AV1151" s="485"/>
      <c r="AW1151" s="485"/>
      <c r="AX1151" s="485"/>
      <c r="AY1151" s="485"/>
      <c r="AZ1151" s="485"/>
      <c r="BA1151" s="485"/>
      <c r="BB1151" s="485"/>
      <c r="BC1151" s="485"/>
      <c r="BD1151" s="485"/>
      <c r="BE1151" s="485"/>
      <c r="BF1151" s="485"/>
      <c r="BG1151" s="485"/>
      <c r="BH1151" s="485"/>
      <c r="BI1151" s="485"/>
      <c r="BJ1151" s="485"/>
      <c r="BK1151" s="485"/>
      <c r="BL1151" s="485"/>
      <c r="BM1151" s="485"/>
      <c r="BN1151" s="485"/>
      <c r="BO1151" s="485"/>
      <c r="BP1151" s="485"/>
      <c r="BQ1151" s="485"/>
      <c r="BR1151" s="485"/>
      <c r="BS1151" s="485"/>
      <c r="BT1151" s="485"/>
      <c r="BU1151" s="485"/>
      <c r="BV1151" s="485"/>
      <c r="BW1151" s="485"/>
      <c r="BX1151" s="485"/>
      <c r="BY1151" s="485"/>
      <c r="BZ1151" s="485"/>
      <c r="CA1151" s="485"/>
      <c r="CB1151" s="485"/>
      <c r="CC1151" s="485"/>
      <c r="CD1151" s="485"/>
      <c r="CE1151" s="485"/>
      <c r="CF1151" s="485"/>
      <c r="CG1151" s="485"/>
      <c r="CH1151" s="485"/>
      <c r="CI1151" s="485"/>
      <c r="CJ1151" s="485"/>
      <c r="CK1151" s="485"/>
      <c r="CL1151" s="485"/>
      <c r="CM1151" s="485"/>
      <c r="CN1151" s="485"/>
      <c r="CO1151" s="485"/>
      <c r="CP1151" s="485"/>
      <c r="CQ1151" s="485"/>
      <c r="CR1151" s="485"/>
      <c r="CS1151" s="485"/>
      <c r="CT1151" s="485"/>
      <c r="CU1151" s="485"/>
      <c r="CV1151" s="485"/>
      <c r="CW1151" s="485"/>
      <c r="CX1151" s="485"/>
      <c r="CY1151" s="485"/>
      <c r="CZ1151" s="485"/>
      <c r="DA1151" s="485"/>
      <c r="DB1151" s="485"/>
      <c r="DC1151" s="485"/>
      <c r="DD1151" s="485"/>
      <c r="DE1151" s="485"/>
      <c r="DF1151" s="485"/>
      <c r="DG1151" s="485"/>
      <c r="DH1151" s="485"/>
      <c r="DI1151" s="485"/>
      <c r="DJ1151" s="485"/>
      <c r="DK1151" s="485"/>
      <c r="DL1151" s="485"/>
      <c r="DM1151" s="485"/>
      <c r="DN1151" s="485"/>
      <c r="DO1151" s="485"/>
      <c r="DP1151" s="485"/>
      <c r="DQ1151" s="485"/>
      <c r="DR1151" s="485"/>
      <c r="DS1151" s="485"/>
      <c r="DT1151" s="485"/>
      <c r="DU1151" s="485"/>
      <c r="DV1151" s="485"/>
      <c r="DW1151" s="485"/>
      <c r="DX1151" s="485"/>
      <c r="DY1151" s="485"/>
      <c r="DZ1151" s="485"/>
      <c r="EA1151" s="485"/>
      <c r="EB1151" s="485"/>
      <c r="EC1151" s="485"/>
      <c r="ED1151" s="485"/>
      <c r="EE1151" s="485"/>
      <c r="EF1151" s="485"/>
      <c r="EG1151" s="485"/>
      <c r="EH1151" s="485"/>
      <c r="EI1151" s="485"/>
      <c r="EJ1151" s="485"/>
      <c r="EK1151" s="485"/>
      <c r="EL1151" s="485"/>
      <c r="EM1151" s="485"/>
      <c r="EN1151" s="485"/>
      <c r="EO1151" s="485"/>
      <c r="EP1151" s="485"/>
    </row>
    <row r="1152" spans="1:146">
      <c r="A1152" s="485"/>
      <c r="B1152" s="485"/>
      <c r="C1152" s="485"/>
      <c r="D1152" s="485"/>
      <c r="E1152" s="485"/>
      <c r="F1152" s="485"/>
      <c r="G1152" s="485"/>
      <c r="H1152" s="485"/>
      <c r="I1152" s="485"/>
      <c r="J1152" s="485"/>
      <c r="K1152" s="485"/>
      <c r="L1152" s="485"/>
      <c r="M1152" s="485"/>
      <c r="P1152" s="485"/>
      <c r="Q1152" s="485"/>
      <c r="R1152" s="485"/>
      <c r="S1152" s="485"/>
      <c r="T1152" s="485"/>
      <c r="U1152" s="485"/>
      <c r="V1152" s="485"/>
      <c r="W1152" s="485"/>
      <c r="X1152" s="485"/>
      <c r="Y1152" s="485"/>
      <c r="Z1152" s="485"/>
      <c r="AA1152" s="485"/>
      <c r="AB1152" s="485"/>
      <c r="AC1152" s="485"/>
      <c r="AD1152" s="485"/>
      <c r="AE1152" s="485"/>
      <c r="AF1152" s="485"/>
      <c r="AG1152" s="485"/>
      <c r="AH1152" s="485"/>
      <c r="AI1152" s="485"/>
      <c r="AJ1152" s="485"/>
      <c r="AK1152" s="485"/>
      <c r="AL1152" s="485"/>
      <c r="AM1152" s="485"/>
      <c r="AN1152" s="485"/>
      <c r="AO1152" s="485"/>
      <c r="AP1152" s="485"/>
      <c r="AQ1152" s="485"/>
      <c r="AR1152" s="485"/>
      <c r="AS1152" s="485"/>
      <c r="AT1152" s="485"/>
      <c r="AU1152" s="485"/>
      <c r="AV1152" s="485"/>
      <c r="AW1152" s="485"/>
      <c r="AX1152" s="485"/>
      <c r="AY1152" s="485"/>
      <c r="AZ1152" s="485"/>
      <c r="BA1152" s="485"/>
      <c r="BB1152" s="485"/>
      <c r="BC1152" s="485"/>
      <c r="BD1152" s="485"/>
      <c r="BE1152" s="485"/>
      <c r="BF1152" s="485"/>
      <c r="BG1152" s="485"/>
      <c r="BH1152" s="485"/>
      <c r="BI1152" s="485"/>
      <c r="BJ1152" s="485"/>
      <c r="BK1152" s="485"/>
      <c r="BL1152" s="485"/>
      <c r="BM1152" s="485"/>
      <c r="BN1152" s="485"/>
      <c r="BO1152" s="485"/>
      <c r="BP1152" s="485"/>
      <c r="BQ1152" s="485"/>
      <c r="BR1152" s="485"/>
      <c r="BS1152" s="485"/>
      <c r="BT1152" s="485"/>
      <c r="BU1152" s="485"/>
      <c r="BV1152" s="485"/>
      <c r="BW1152" s="485"/>
      <c r="BX1152" s="485"/>
      <c r="BY1152" s="485"/>
      <c r="BZ1152" s="485"/>
      <c r="CA1152" s="485"/>
      <c r="CB1152" s="485"/>
      <c r="CC1152" s="485"/>
      <c r="CD1152" s="485"/>
      <c r="CE1152" s="485"/>
      <c r="CF1152" s="485"/>
      <c r="CG1152" s="485"/>
      <c r="CH1152" s="485"/>
      <c r="CI1152" s="485"/>
      <c r="CJ1152" s="485"/>
      <c r="CK1152" s="485"/>
      <c r="CL1152" s="485"/>
      <c r="CM1152" s="485"/>
      <c r="CN1152" s="485"/>
      <c r="CO1152" s="485"/>
      <c r="CP1152" s="485"/>
      <c r="CQ1152" s="485"/>
      <c r="CR1152" s="485"/>
      <c r="CS1152" s="485"/>
      <c r="CT1152" s="485"/>
      <c r="CU1152" s="485"/>
      <c r="CV1152" s="485"/>
      <c r="CW1152" s="485"/>
      <c r="CX1152" s="485"/>
      <c r="CY1152" s="485"/>
      <c r="CZ1152" s="485"/>
      <c r="DA1152" s="485"/>
      <c r="DB1152" s="485"/>
      <c r="DC1152" s="485"/>
      <c r="DD1152" s="485"/>
      <c r="DE1152" s="485"/>
      <c r="DF1152" s="485"/>
      <c r="DG1152" s="485"/>
      <c r="DH1152" s="485"/>
      <c r="DI1152" s="485"/>
      <c r="DJ1152" s="485"/>
      <c r="DK1152" s="485"/>
      <c r="DL1152" s="485"/>
      <c r="DM1152" s="485"/>
      <c r="DN1152" s="485"/>
      <c r="DO1152" s="485"/>
      <c r="DP1152" s="485"/>
      <c r="DQ1152" s="485"/>
      <c r="DR1152" s="485"/>
      <c r="DS1152" s="485"/>
      <c r="DT1152" s="485"/>
      <c r="DU1152" s="485"/>
      <c r="DV1152" s="485"/>
      <c r="DW1152" s="485"/>
      <c r="DX1152" s="485"/>
      <c r="DY1152" s="485"/>
      <c r="DZ1152" s="485"/>
      <c r="EA1152" s="485"/>
      <c r="EB1152" s="485"/>
      <c r="EC1152" s="485"/>
      <c r="ED1152" s="485"/>
      <c r="EE1152" s="485"/>
      <c r="EF1152" s="485"/>
      <c r="EG1152" s="485"/>
      <c r="EH1152" s="485"/>
      <c r="EI1152" s="485"/>
      <c r="EJ1152" s="485"/>
      <c r="EK1152" s="485"/>
      <c r="EL1152" s="485"/>
      <c r="EM1152" s="485"/>
      <c r="EN1152" s="485"/>
      <c r="EO1152" s="485"/>
      <c r="EP1152" s="485"/>
    </row>
    <row r="1153" spans="1:146">
      <c r="A1153" s="485"/>
      <c r="B1153" s="485"/>
      <c r="C1153" s="485"/>
      <c r="D1153" s="485"/>
      <c r="E1153" s="485"/>
      <c r="F1153" s="485"/>
      <c r="G1153" s="485"/>
      <c r="H1153" s="485"/>
      <c r="I1153" s="485"/>
      <c r="J1153" s="485"/>
      <c r="K1153" s="485"/>
      <c r="L1153" s="485"/>
      <c r="M1153" s="485"/>
      <c r="P1153" s="485"/>
      <c r="Q1153" s="485"/>
      <c r="R1153" s="485"/>
      <c r="S1153" s="485"/>
      <c r="T1153" s="485"/>
      <c r="U1153" s="485"/>
      <c r="V1153" s="485"/>
      <c r="W1153" s="485"/>
      <c r="X1153" s="485"/>
      <c r="Y1153" s="485"/>
      <c r="Z1153" s="485"/>
      <c r="AA1153" s="485"/>
      <c r="AB1153" s="485"/>
      <c r="AC1153" s="485"/>
      <c r="AD1153" s="485"/>
      <c r="AE1153" s="485"/>
      <c r="AF1153" s="485"/>
      <c r="AG1153" s="485"/>
      <c r="AH1153" s="485"/>
      <c r="AI1153" s="485"/>
      <c r="AJ1153" s="485"/>
      <c r="AK1153" s="485"/>
      <c r="AL1153" s="485"/>
      <c r="AM1153" s="485"/>
      <c r="AN1153" s="485"/>
      <c r="AO1153" s="485"/>
      <c r="AP1153" s="485"/>
      <c r="AQ1153" s="485"/>
      <c r="AR1153" s="485"/>
      <c r="AS1153" s="485"/>
      <c r="AT1153" s="485"/>
      <c r="AU1153" s="485"/>
      <c r="AV1153" s="485"/>
      <c r="AW1153" s="485"/>
      <c r="AX1153" s="485"/>
      <c r="AY1153" s="485"/>
      <c r="AZ1153" s="485"/>
      <c r="BA1153" s="485"/>
      <c r="BB1153" s="485"/>
      <c r="BC1153" s="485"/>
      <c r="BD1153" s="485"/>
      <c r="BE1153" s="485"/>
      <c r="BF1153" s="485"/>
      <c r="BG1153" s="485"/>
      <c r="BH1153" s="485"/>
      <c r="BI1153" s="485"/>
      <c r="BJ1153" s="485"/>
      <c r="BK1153" s="485"/>
      <c r="BL1153" s="485"/>
      <c r="BM1153" s="485"/>
      <c r="BN1153" s="485"/>
      <c r="BO1153" s="485"/>
      <c r="BP1153" s="485"/>
      <c r="BQ1153" s="485"/>
      <c r="BR1153" s="485"/>
      <c r="BS1153" s="485"/>
      <c r="BT1153" s="485"/>
      <c r="BU1153" s="485"/>
      <c r="BV1153" s="485"/>
      <c r="BW1153" s="485"/>
      <c r="BX1153" s="485"/>
      <c r="BY1153" s="485"/>
      <c r="BZ1153" s="485"/>
      <c r="CA1153" s="485"/>
      <c r="CB1153" s="485"/>
      <c r="CC1153" s="485"/>
      <c r="CD1153" s="485"/>
      <c r="CE1153" s="485"/>
      <c r="CF1153" s="485"/>
      <c r="CG1153" s="485"/>
      <c r="CH1153" s="485"/>
      <c r="CI1153" s="485"/>
      <c r="CJ1153" s="485"/>
      <c r="CK1153" s="485"/>
      <c r="CL1153" s="485"/>
      <c r="CM1153" s="485"/>
      <c r="CN1153" s="485"/>
      <c r="CO1153" s="485"/>
      <c r="CP1153" s="485"/>
      <c r="CQ1153" s="485"/>
      <c r="CR1153" s="485"/>
      <c r="CS1153" s="485"/>
      <c r="CT1153" s="485"/>
      <c r="CU1153" s="485"/>
      <c r="CV1153" s="485"/>
      <c r="CW1153" s="485"/>
      <c r="CX1153" s="485"/>
      <c r="CY1153" s="485"/>
      <c r="CZ1153" s="485"/>
      <c r="DA1153" s="485"/>
      <c r="DB1153" s="485"/>
      <c r="DC1153" s="485"/>
      <c r="DD1153" s="485"/>
      <c r="DE1153" s="485"/>
      <c r="DF1153" s="485"/>
      <c r="DG1153" s="485"/>
      <c r="DH1153" s="485"/>
      <c r="DI1153" s="485"/>
      <c r="DJ1153" s="485"/>
      <c r="DK1153" s="485"/>
      <c r="DL1153" s="485"/>
      <c r="DM1153" s="485"/>
      <c r="DN1153" s="485"/>
      <c r="DO1153" s="485"/>
      <c r="DP1153" s="485"/>
      <c r="DQ1153" s="485"/>
      <c r="DR1153" s="485"/>
      <c r="DS1153" s="485"/>
      <c r="DT1153" s="485"/>
      <c r="DU1153" s="485"/>
      <c r="DV1153" s="485"/>
      <c r="DW1153" s="485"/>
      <c r="DX1153" s="485"/>
      <c r="DY1153" s="485"/>
      <c r="DZ1153" s="485"/>
      <c r="EA1153" s="485"/>
      <c r="EB1153" s="485"/>
      <c r="EC1153" s="485"/>
      <c r="ED1153" s="485"/>
      <c r="EE1153" s="485"/>
      <c r="EF1153" s="485"/>
      <c r="EG1153" s="485"/>
      <c r="EH1153" s="485"/>
      <c r="EI1153" s="485"/>
      <c r="EJ1153" s="485"/>
      <c r="EK1153" s="485"/>
      <c r="EL1153" s="485"/>
      <c r="EM1153" s="485"/>
      <c r="EN1153" s="485"/>
      <c r="EO1153" s="485"/>
      <c r="EP1153" s="485"/>
    </row>
    <row r="1154" spans="1:146">
      <c r="A1154" s="485"/>
      <c r="B1154" s="485"/>
      <c r="C1154" s="485"/>
      <c r="D1154" s="485"/>
      <c r="E1154" s="485"/>
      <c r="F1154" s="485"/>
      <c r="G1154" s="485"/>
      <c r="H1154" s="485"/>
      <c r="I1154" s="485"/>
      <c r="J1154" s="485"/>
      <c r="K1154" s="485"/>
      <c r="L1154" s="485"/>
      <c r="M1154" s="485"/>
      <c r="P1154" s="485"/>
      <c r="Q1154" s="485"/>
      <c r="R1154" s="485"/>
      <c r="S1154" s="485"/>
      <c r="T1154" s="485"/>
      <c r="U1154" s="485"/>
      <c r="V1154" s="485"/>
      <c r="W1154" s="485"/>
      <c r="X1154" s="485"/>
      <c r="Y1154" s="485"/>
      <c r="Z1154" s="485"/>
      <c r="AA1154" s="485"/>
      <c r="AB1154" s="485"/>
      <c r="AC1154" s="485"/>
      <c r="AD1154" s="485"/>
      <c r="AE1154" s="485"/>
      <c r="AF1154" s="485"/>
      <c r="AG1154" s="485"/>
      <c r="AH1154" s="485"/>
      <c r="AI1154" s="485"/>
      <c r="AJ1154" s="485"/>
      <c r="AK1154" s="485"/>
      <c r="AL1154" s="485"/>
      <c r="AM1154" s="485"/>
      <c r="AN1154" s="485"/>
      <c r="AO1154" s="485"/>
      <c r="AP1154" s="485"/>
      <c r="AQ1154" s="485"/>
      <c r="AR1154" s="485"/>
      <c r="AS1154" s="485"/>
      <c r="AT1154" s="485"/>
      <c r="AU1154" s="485"/>
      <c r="AV1154" s="485"/>
      <c r="AW1154" s="485"/>
      <c r="AX1154" s="485"/>
      <c r="AY1154" s="485"/>
      <c r="AZ1154" s="485"/>
      <c r="BA1154" s="485"/>
      <c r="BB1154" s="485"/>
      <c r="BC1154" s="485"/>
      <c r="BD1154" s="485"/>
      <c r="BE1154" s="485"/>
      <c r="BF1154" s="485"/>
      <c r="BG1154" s="485"/>
      <c r="BH1154" s="485"/>
      <c r="BI1154" s="485"/>
      <c r="BJ1154" s="485"/>
      <c r="BK1154" s="485"/>
      <c r="BL1154" s="485"/>
      <c r="BM1154" s="485"/>
      <c r="BN1154" s="485"/>
      <c r="BO1154" s="485"/>
      <c r="BP1154" s="485"/>
      <c r="BQ1154" s="485"/>
      <c r="BR1154" s="485"/>
      <c r="BS1154" s="485"/>
      <c r="BT1154" s="485"/>
      <c r="BU1154" s="485"/>
      <c r="BV1154" s="485"/>
      <c r="BW1154" s="485"/>
      <c r="BX1154" s="485"/>
      <c r="BY1154" s="485"/>
      <c r="BZ1154" s="485"/>
      <c r="CA1154" s="485"/>
      <c r="CB1154" s="485"/>
      <c r="CC1154" s="485"/>
      <c r="CD1154" s="485"/>
      <c r="CE1154" s="485"/>
      <c r="CF1154" s="485"/>
      <c r="CG1154" s="485"/>
      <c r="CH1154" s="485"/>
      <c r="CI1154" s="485"/>
      <c r="CJ1154" s="485"/>
      <c r="CK1154" s="485"/>
      <c r="CL1154" s="485"/>
      <c r="CM1154" s="485"/>
      <c r="CN1154" s="485"/>
      <c r="CO1154" s="485"/>
      <c r="CP1154" s="485"/>
      <c r="CQ1154" s="485"/>
      <c r="CR1154" s="485"/>
      <c r="CS1154" s="485"/>
      <c r="CT1154" s="485"/>
      <c r="CU1154" s="485"/>
      <c r="CV1154" s="485"/>
      <c r="CW1154" s="485"/>
      <c r="CX1154" s="485"/>
      <c r="CY1154" s="485"/>
      <c r="CZ1154" s="485"/>
      <c r="DA1154" s="485"/>
      <c r="DB1154" s="485"/>
      <c r="DC1154" s="485"/>
      <c r="DD1154" s="485"/>
      <c r="DE1154" s="485"/>
      <c r="DF1154" s="485"/>
      <c r="DG1154" s="485"/>
      <c r="DH1154" s="485"/>
      <c r="DI1154" s="485"/>
      <c r="DJ1154" s="485"/>
      <c r="DK1154" s="485"/>
      <c r="DL1154" s="485"/>
      <c r="DM1154" s="485"/>
      <c r="DN1154" s="485"/>
      <c r="DO1154" s="485"/>
      <c r="DP1154" s="485"/>
      <c r="DQ1154" s="485"/>
      <c r="DR1154" s="485"/>
      <c r="DS1154" s="485"/>
      <c r="DT1154" s="485"/>
      <c r="DU1154" s="485"/>
      <c r="DV1154" s="485"/>
      <c r="DW1154" s="485"/>
      <c r="DX1154" s="485"/>
      <c r="DY1154" s="485"/>
      <c r="DZ1154" s="485"/>
      <c r="EA1154" s="485"/>
      <c r="EB1154" s="485"/>
      <c r="EC1154" s="485"/>
      <c r="ED1154" s="485"/>
      <c r="EE1154" s="485"/>
      <c r="EF1154" s="485"/>
      <c r="EG1154" s="485"/>
      <c r="EH1154" s="485"/>
      <c r="EI1154" s="485"/>
      <c r="EJ1154" s="485"/>
      <c r="EK1154" s="485"/>
      <c r="EL1154" s="485"/>
      <c r="EM1154" s="485"/>
      <c r="EN1154" s="485"/>
      <c r="EO1154" s="485"/>
      <c r="EP1154" s="485"/>
    </row>
    <row r="1155" spans="1:146">
      <c r="A1155" s="485"/>
      <c r="B1155" s="485"/>
      <c r="C1155" s="485"/>
      <c r="D1155" s="485"/>
      <c r="E1155" s="485"/>
      <c r="F1155" s="485"/>
      <c r="G1155" s="485"/>
      <c r="H1155" s="485"/>
      <c r="I1155" s="485"/>
      <c r="J1155" s="485"/>
      <c r="K1155" s="485"/>
      <c r="L1155" s="485"/>
      <c r="M1155" s="485"/>
      <c r="P1155" s="485"/>
      <c r="Q1155" s="485"/>
      <c r="R1155" s="485"/>
      <c r="S1155" s="485"/>
      <c r="T1155" s="485"/>
      <c r="U1155" s="485"/>
      <c r="V1155" s="485"/>
      <c r="W1155" s="485"/>
      <c r="X1155" s="485"/>
      <c r="Y1155" s="485"/>
      <c r="Z1155" s="485"/>
      <c r="AA1155" s="485"/>
      <c r="AB1155" s="485"/>
      <c r="AC1155" s="485"/>
      <c r="AD1155" s="485"/>
      <c r="AE1155" s="485"/>
      <c r="AF1155" s="485"/>
      <c r="AG1155" s="485"/>
      <c r="AH1155" s="485"/>
      <c r="AI1155" s="485"/>
      <c r="AJ1155" s="485"/>
      <c r="AK1155" s="485"/>
      <c r="AL1155" s="485"/>
      <c r="AM1155" s="485"/>
      <c r="AN1155" s="485"/>
      <c r="AO1155" s="485"/>
      <c r="AP1155" s="485"/>
      <c r="AQ1155" s="485"/>
      <c r="AR1155" s="485"/>
      <c r="AS1155" s="485"/>
      <c r="AT1155" s="485"/>
      <c r="AU1155" s="485"/>
      <c r="AV1155" s="485"/>
      <c r="AW1155" s="485"/>
      <c r="AX1155" s="485"/>
      <c r="AY1155" s="485"/>
      <c r="AZ1155" s="485"/>
      <c r="BA1155" s="485"/>
      <c r="BB1155" s="485"/>
      <c r="BC1155" s="485"/>
      <c r="BD1155" s="485"/>
      <c r="BE1155" s="485"/>
      <c r="BF1155" s="485"/>
      <c r="BG1155" s="485"/>
      <c r="BH1155" s="485"/>
      <c r="BI1155" s="485"/>
      <c r="BJ1155" s="485"/>
      <c r="BK1155" s="485"/>
      <c r="BL1155" s="485"/>
      <c r="BM1155" s="485"/>
      <c r="BN1155" s="485"/>
      <c r="BO1155" s="485"/>
      <c r="BP1155" s="485"/>
      <c r="BQ1155" s="485"/>
      <c r="BR1155" s="485"/>
      <c r="BS1155" s="485"/>
      <c r="BT1155" s="485"/>
      <c r="BU1155" s="485"/>
      <c r="BV1155" s="485"/>
      <c r="BW1155" s="485"/>
      <c r="BX1155" s="485"/>
      <c r="BY1155" s="485"/>
      <c r="BZ1155" s="485"/>
      <c r="CA1155" s="485"/>
      <c r="CB1155" s="485"/>
      <c r="CC1155" s="485"/>
      <c r="CD1155" s="485"/>
      <c r="CE1155" s="485"/>
      <c r="CF1155" s="485"/>
      <c r="CG1155" s="485"/>
      <c r="CH1155" s="485"/>
      <c r="CI1155" s="485"/>
      <c r="CJ1155" s="485"/>
      <c r="CK1155" s="485"/>
      <c r="CL1155" s="485"/>
      <c r="CM1155" s="485"/>
      <c r="CN1155" s="485"/>
      <c r="CO1155" s="485"/>
      <c r="CP1155" s="485"/>
      <c r="CQ1155" s="485"/>
      <c r="CR1155" s="485"/>
      <c r="CS1155" s="485"/>
      <c r="CT1155" s="485"/>
      <c r="CU1155" s="485"/>
      <c r="CV1155" s="485"/>
      <c r="CW1155" s="485"/>
      <c r="CX1155" s="485"/>
      <c r="CY1155" s="485"/>
      <c r="CZ1155" s="485"/>
      <c r="DA1155" s="485"/>
      <c r="DB1155" s="485"/>
      <c r="DC1155" s="485"/>
      <c r="DD1155" s="485"/>
      <c r="DE1155" s="485"/>
      <c r="DF1155" s="485"/>
      <c r="DG1155" s="485"/>
      <c r="DH1155" s="485"/>
      <c r="DI1155" s="485"/>
      <c r="DJ1155" s="485"/>
      <c r="DK1155" s="485"/>
      <c r="DL1155" s="485"/>
      <c r="DM1155" s="485"/>
      <c r="DN1155" s="485"/>
      <c r="DO1155" s="485"/>
      <c r="DP1155" s="485"/>
      <c r="DQ1155" s="485"/>
      <c r="DR1155" s="485"/>
      <c r="DS1155" s="485"/>
      <c r="DT1155" s="485"/>
      <c r="DU1155" s="485"/>
      <c r="DV1155" s="485"/>
      <c r="DW1155" s="485"/>
      <c r="DX1155" s="485"/>
      <c r="DY1155" s="485"/>
      <c r="DZ1155" s="485"/>
      <c r="EA1155" s="485"/>
      <c r="EB1155" s="485"/>
      <c r="EC1155" s="485"/>
      <c r="ED1155" s="485"/>
      <c r="EE1155" s="485"/>
      <c r="EF1155" s="485"/>
      <c r="EG1155" s="485"/>
      <c r="EH1155" s="485"/>
      <c r="EI1155" s="485"/>
      <c r="EJ1155" s="485"/>
      <c r="EK1155" s="485"/>
      <c r="EL1155" s="485"/>
      <c r="EM1155" s="485"/>
      <c r="EN1155" s="485"/>
      <c r="EO1155" s="485"/>
      <c r="EP1155" s="485"/>
    </row>
    <row r="1156" spans="1:146">
      <c r="A1156" s="485"/>
      <c r="B1156" s="485"/>
      <c r="C1156" s="485"/>
      <c r="D1156" s="485"/>
      <c r="E1156" s="485"/>
      <c r="F1156" s="485"/>
      <c r="G1156" s="485"/>
      <c r="H1156" s="485"/>
      <c r="I1156" s="485"/>
      <c r="J1156" s="485"/>
      <c r="K1156" s="485"/>
      <c r="L1156" s="485"/>
      <c r="M1156" s="485"/>
      <c r="P1156" s="485"/>
      <c r="Q1156" s="485"/>
      <c r="R1156" s="485"/>
      <c r="S1156" s="485"/>
      <c r="T1156" s="485"/>
      <c r="U1156" s="485"/>
      <c r="V1156" s="485"/>
      <c r="W1156" s="485"/>
      <c r="X1156" s="485"/>
      <c r="Y1156" s="485"/>
      <c r="Z1156" s="485"/>
      <c r="AA1156" s="485"/>
      <c r="AB1156" s="485"/>
      <c r="AC1156" s="485"/>
      <c r="AD1156" s="485"/>
      <c r="AE1156" s="485"/>
      <c r="AF1156" s="485"/>
      <c r="AG1156" s="485"/>
      <c r="AH1156" s="485"/>
      <c r="AI1156" s="485"/>
      <c r="AJ1156" s="485"/>
      <c r="AK1156" s="485"/>
      <c r="AL1156" s="485"/>
      <c r="AM1156" s="485"/>
      <c r="AN1156" s="485"/>
      <c r="AO1156" s="485"/>
      <c r="AP1156" s="485"/>
      <c r="AQ1156" s="485"/>
      <c r="AR1156" s="485"/>
      <c r="AS1156" s="485"/>
      <c r="AT1156" s="485"/>
      <c r="AU1156" s="485"/>
      <c r="AV1156" s="485"/>
      <c r="AW1156" s="485"/>
      <c r="AX1156" s="485"/>
      <c r="AY1156" s="485"/>
      <c r="AZ1156" s="485"/>
      <c r="BA1156" s="485"/>
      <c r="BB1156" s="485"/>
      <c r="BC1156" s="485"/>
      <c r="BD1156" s="485"/>
      <c r="BE1156" s="485"/>
      <c r="BF1156" s="485"/>
      <c r="BG1156" s="485"/>
      <c r="BH1156" s="485"/>
      <c r="BI1156" s="485"/>
      <c r="BJ1156" s="485"/>
      <c r="BK1156" s="485"/>
      <c r="BL1156" s="485"/>
      <c r="BM1156" s="485"/>
      <c r="BN1156" s="485"/>
      <c r="BO1156" s="485"/>
      <c r="BP1156" s="485"/>
      <c r="BQ1156" s="485"/>
      <c r="BR1156" s="485"/>
      <c r="BS1156" s="485"/>
      <c r="BT1156" s="485"/>
      <c r="BU1156" s="485"/>
      <c r="BV1156" s="485"/>
      <c r="BW1156" s="485"/>
      <c r="BX1156" s="485"/>
      <c r="BY1156" s="485"/>
      <c r="BZ1156" s="485"/>
      <c r="CA1156" s="485"/>
      <c r="CB1156" s="485"/>
      <c r="CC1156" s="485"/>
      <c r="CD1156" s="485"/>
      <c r="CE1156" s="485"/>
      <c r="CF1156" s="485"/>
      <c r="CG1156" s="485"/>
      <c r="CH1156" s="485"/>
      <c r="CI1156" s="485"/>
      <c r="CJ1156" s="485"/>
      <c r="CK1156" s="485"/>
      <c r="CL1156" s="485"/>
      <c r="CM1156" s="485"/>
      <c r="CN1156" s="485"/>
      <c r="CO1156" s="485"/>
      <c r="CP1156" s="485"/>
      <c r="CQ1156" s="485"/>
      <c r="CR1156" s="485"/>
      <c r="CS1156" s="485"/>
      <c r="CT1156" s="485"/>
      <c r="CU1156" s="485"/>
      <c r="CV1156" s="485"/>
      <c r="CW1156" s="485"/>
      <c r="CX1156" s="485"/>
      <c r="CY1156" s="485"/>
      <c r="CZ1156" s="485"/>
      <c r="DA1156" s="485"/>
      <c r="DB1156" s="485"/>
      <c r="DC1156" s="485"/>
      <c r="DD1156" s="485"/>
      <c r="DE1156" s="485"/>
      <c r="DF1156" s="485"/>
      <c r="DG1156" s="485"/>
      <c r="DH1156" s="485"/>
      <c r="DI1156" s="485"/>
      <c r="DJ1156" s="485"/>
      <c r="DK1156" s="485"/>
      <c r="DL1156" s="485"/>
      <c r="DM1156" s="485"/>
      <c r="DN1156" s="485"/>
      <c r="DO1156" s="485"/>
      <c r="DP1156" s="485"/>
      <c r="DQ1156" s="485"/>
      <c r="DR1156" s="485"/>
      <c r="DS1156" s="485"/>
      <c r="DT1156" s="485"/>
      <c r="DU1156" s="485"/>
      <c r="DV1156" s="485"/>
      <c r="DW1156" s="485"/>
      <c r="DX1156" s="485"/>
      <c r="DY1156" s="485"/>
      <c r="DZ1156" s="485"/>
      <c r="EA1156" s="485"/>
      <c r="EB1156" s="485"/>
      <c r="EC1156" s="485"/>
      <c r="ED1156" s="485"/>
      <c r="EE1156" s="485"/>
      <c r="EF1156" s="485"/>
      <c r="EG1156" s="485"/>
      <c r="EH1156" s="485"/>
      <c r="EI1156" s="485"/>
      <c r="EJ1156" s="485"/>
      <c r="EK1156" s="485"/>
      <c r="EL1156" s="485"/>
      <c r="EM1156" s="485"/>
      <c r="EN1156" s="485"/>
      <c r="EO1156" s="485"/>
      <c r="EP1156" s="485"/>
    </row>
    <row r="1157" spans="1:146">
      <c r="A1157" s="485"/>
      <c r="B1157" s="485"/>
      <c r="C1157" s="485"/>
      <c r="D1157" s="485"/>
      <c r="E1157" s="485"/>
      <c r="F1157" s="485"/>
      <c r="G1157" s="485"/>
      <c r="H1157" s="485"/>
      <c r="I1157" s="485"/>
      <c r="J1157" s="485"/>
      <c r="K1157" s="485"/>
      <c r="L1157" s="485"/>
      <c r="M1157" s="485"/>
      <c r="P1157" s="485"/>
      <c r="Q1157" s="485"/>
      <c r="R1157" s="485"/>
      <c r="S1157" s="485"/>
      <c r="T1157" s="485"/>
      <c r="U1157" s="485"/>
      <c r="V1157" s="485"/>
      <c r="W1157" s="485"/>
      <c r="X1157" s="485"/>
      <c r="Y1157" s="485"/>
      <c r="Z1157" s="485"/>
      <c r="AA1157" s="485"/>
      <c r="AB1157" s="485"/>
      <c r="AC1157" s="485"/>
      <c r="AD1157" s="485"/>
      <c r="AE1157" s="485"/>
      <c r="AF1157" s="485"/>
      <c r="AG1157" s="485"/>
      <c r="AH1157" s="485"/>
      <c r="AI1157" s="485"/>
      <c r="AJ1157" s="485"/>
      <c r="AK1157" s="485"/>
      <c r="AL1157" s="485"/>
      <c r="AM1157" s="485"/>
      <c r="AN1157" s="485"/>
      <c r="AO1157" s="485"/>
      <c r="AP1157" s="485"/>
      <c r="AQ1157" s="485"/>
      <c r="AR1157" s="485"/>
      <c r="AS1157" s="485"/>
      <c r="AT1157" s="485"/>
      <c r="AU1157" s="485"/>
      <c r="AV1157" s="485"/>
      <c r="AW1157" s="485"/>
      <c r="AX1157" s="485"/>
      <c r="AY1157" s="485"/>
      <c r="AZ1157" s="485"/>
      <c r="BA1157" s="485"/>
      <c r="BB1157" s="485"/>
      <c r="BC1157" s="485"/>
      <c r="BD1157" s="485"/>
      <c r="BE1157" s="485"/>
      <c r="BF1157" s="485"/>
      <c r="BG1157" s="485"/>
      <c r="BH1157" s="485"/>
      <c r="BI1157" s="485"/>
      <c r="BJ1157" s="485"/>
      <c r="BK1157" s="485"/>
      <c r="BL1157" s="485"/>
      <c r="BM1157" s="485"/>
      <c r="BN1157" s="485"/>
      <c r="BO1157" s="485"/>
      <c r="BP1157" s="485"/>
      <c r="BQ1157" s="485"/>
      <c r="BR1157" s="485"/>
      <c r="BS1157" s="485"/>
      <c r="BT1157" s="485"/>
      <c r="BU1157" s="485"/>
      <c r="BV1157" s="485"/>
      <c r="BW1157" s="485"/>
      <c r="BX1157" s="485"/>
      <c r="BY1157" s="485"/>
      <c r="BZ1157" s="485"/>
      <c r="CA1157" s="485"/>
      <c r="CB1157" s="485"/>
      <c r="CC1157" s="485"/>
      <c r="CD1157" s="485"/>
      <c r="CE1157" s="485"/>
      <c r="CF1157" s="485"/>
      <c r="CG1157" s="485"/>
      <c r="CH1157" s="485"/>
      <c r="CI1157" s="485"/>
      <c r="CJ1157" s="485"/>
      <c r="CK1157" s="485"/>
      <c r="CL1157" s="485"/>
      <c r="CM1157" s="485"/>
      <c r="CN1157" s="485"/>
      <c r="CO1157" s="485"/>
      <c r="CP1157" s="485"/>
      <c r="CQ1157" s="485"/>
      <c r="CR1157" s="485"/>
      <c r="CS1157" s="485"/>
      <c r="CT1157" s="485"/>
      <c r="CU1157" s="485"/>
      <c r="CV1157" s="485"/>
      <c r="CW1157" s="485"/>
      <c r="CX1157" s="485"/>
      <c r="CY1157" s="485"/>
      <c r="CZ1157" s="485"/>
      <c r="DA1157" s="485"/>
      <c r="DB1157" s="485"/>
      <c r="DC1157" s="485"/>
      <c r="DD1157" s="485"/>
      <c r="DE1157" s="485"/>
      <c r="DF1157" s="485"/>
      <c r="DG1157" s="485"/>
      <c r="DH1157" s="485"/>
      <c r="DI1157" s="485"/>
      <c r="DJ1157" s="485"/>
      <c r="DK1157" s="485"/>
      <c r="DL1157" s="485"/>
      <c r="DM1157" s="485"/>
      <c r="DN1157" s="485"/>
      <c r="DO1157" s="485"/>
      <c r="DP1157" s="485"/>
      <c r="DQ1157" s="485"/>
      <c r="DR1157" s="485"/>
      <c r="DS1157" s="485"/>
      <c r="DT1157" s="485"/>
      <c r="DU1157" s="485"/>
      <c r="DV1157" s="485"/>
      <c r="DW1157" s="485"/>
      <c r="DX1157" s="485"/>
      <c r="DY1157" s="485"/>
      <c r="DZ1157" s="485"/>
      <c r="EA1157" s="485"/>
      <c r="EB1157" s="485"/>
      <c r="EC1157" s="485"/>
      <c r="ED1157" s="485"/>
      <c r="EE1157" s="485"/>
      <c r="EF1157" s="485"/>
      <c r="EG1157" s="485"/>
      <c r="EH1157" s="485"/>
      <c r="EI1157" s="485"/>
      <c r="EJ1157" s="485"/>
      <c r="EK1157" s="485"/>
      <c r="EL1157" s="485"/>
      <c r="EM1157" s="485"/>
      <c r="EN1157" s="485"/>
      <c r="EO1157" s="485"/>
      <c r="EP1157" s="485"/>
    </row>
    <row r="1158" spans="1:146">
      <c r="A1158" s="485"/>
      <c r="B1158" s="485"/>
      <c r="C1158" s="485"/>
      <c r="D1158" s="485"/>
      <c r="E1158" s="485"/>
      <c r="F1158" s="485"/>
      <c r="G1158" s="485"/>
      <c r="H1158" s="485"/>
      <c r="I1158" s="485"/>
      <c r="J1158" s="485"/>
      <c r="K1158" s="485"/>
      <c r="L1158" s="485"/>
      <c r="M1158" s="485"/>
      <c r="P1158" s="485"/>
      <c r="Q1158" s="485"/>
      <c r="R1158" s="485"/>
      <c r="S1158" s="485"/>
      <c r="T1158" s="485"/>
      <c r="U1158" s="485"/>
      <c r="V1158" s="485"/>
      <c r="W1158" s="485"/>
      <c r="X1158" s="485"/>
      <c r="Y1158" s="485"/>
      <c r="Z1158" s="485"/>
      <c r="AA1158" s="485"/>
      <c r="AB1158" s="485"/>
      <c r="AC1158" s="485"/>
      <c r="AD1158" s="485"/>
      <c r="AE1158" s="485"/>
      <c r="AF1158" s="485"/>
      <c r="AG1158" s="485"/>
      <c r="AH1158" s="485"/>
      <c r="AI1158" s="485"/>
      <c r="AJ1158" s="485"/>
      <c r="AK1158" s="485"/>
      <c r="AL1158" s="485"/>
      <c r="AM1158" s="485"/>
      <c r="AN1158" s="485"/>
      <c r="AO1158" s="485"/>
      <c r="AP1158" s="485"/>
      <c r="AQ1158" s="485"/>
      <c r="AR1158" s="485"/>
      <c r="AS1158" s="485"/>
      <c r="AT1158" s="485"/>
      <c r="AU1158" s="485"/>
      <c r="AV1158" s="485"/>
      <c r="AW1158" s="485"/>
      <c r="AX1158" s="485"/>
      <c r="AY1158" s="485"/>
      <c r="AZ1158" s="485"/>
      <c r="BA1158" s="485"/>
      <c r="BB1158" s="485"/>
      <c r="BC1158" s="485"/>
      <c r="BD1158" s="485"/>
      <c r="BE1158" s="485"/>
      <c r="BF1158" s="485"/>
      <c r="BG1158" s="485"/>
      <c r="BH1158" s="485"/>
      <c r="BI1158" s="485"/>
      <c r="BJ1158" s="485"/>
      <c r="BK1158" s="485"/>
      <c r="BL1158" s="485"/>
      <c r="BM1158" s="485"/>
      <c r="BN1158" s="485"/>
      <c r="BO1158" s="485"/>
      <c r="BP1158" s="485"/>
      <c r="BQ1158" s="485"/>
      <c r="BR1158" s="485"/>
      <c r="BS1158" s="485"/>
      <c r="BT1158" s="485"/>
      <c r="BU1158" s="485"/>
      <c r="BV1158" s="485"/>
      <c r="BW1158" s="485"/>
      <c r="BX1158" s="485"/>
      <c r="BY1158" s="485"/>
      <c r="BZ1158" s="485"/>
      <c r="CA1158" s="485"/>
      <c r="CB1158" s="485"/>
      <c r="CC1158" s="485"/>
      <c r="CD1158" s="485"/>
      <c r="CE1158" s="485"/>
      <c r="CF1158" s="485"/>
      <c r="CG1158" s="485"/>
      <c r="CH1158" s="485"/>
      <c r="CI1158" s="485"/>
      <c r="CJ1158" s="485"/>
      <c r="CK1158" s="485"/>
      <c r="CL1158" s="485"/>
      <c r="CM1158" s="485"/>
      <c r="CN1158" s="485"/>
      <c r="CO1158" s="485"/>
      <c r="CP1158" s="485"/>
      <c r="CQ1158" s="485"/>
      <c r="CR1158" s="485"/>
      <c r="CS1158" s="485"/>
      <c r="CT1158" s="485"/>
      <c r="CU1158" s="485"/>
      <c r="CV1158" s="485"/>
      <c r="CW1158" s="485"/>
      <c r="CX1158" s="485"/>
      <c r="CY1158" s="485"/>
      <c r="CZ1158" s="485"/>
      <c r="DA1158" s="485"/>
      <c r="DB1158" s="485"/>
      <c r="DC1158" s="485"/>
      <c r="DD1158" s="485"/>
      <c r="DE1158" s="485"/>
      <c r="DF1158" s="485"/>
      <c r="DG1158" s="485"/>
      <c r="DH1158" s="485"/>
      <c r="DI1158" s="485"/>
      <c r="DJ1158" s="485"/>
      <c r="DK1158" s="485"/>
      <c r="DL1158" s="485"/>
      <c r="DM1158" s="485"/>
      <c r="DN1158" s="485"/>
      <c r="DO1158" s="485"/>
      <c r="DP1158" s="485"/>
      <c r="DQ1158" s="485"/>
      <c r="DR1158" s="485"/>
      <c r="DS1158" s="485"/>
      <c r="DT1158" s="485"/>
      <c r="DU1158" s="485"/>
      <c r="DV1158" s="485"/>
      <c r="DW1158" s="485"/>
      <c r="DX1158" s="485"/>
      <c r="DY1158" s="485"/>
      <c r="DZ1158" s="485"/>
      <c r="EA1158" s="485"/>
      <c r="EB1158" s="485"/>
      <c r="EC1158" s="485"/>
      <c r="ED1158" s="485"/>
      <c r="EE1158" s="485"/>
      <c r="EF1158" s="485"/>
      <c r="EG1158" s="485"/>
      <c r="EH1158" s="485"/>
      <c r="EI1158" s="485"/>
      <c r="EJ1158" s="485"/>
      <c r="EK1158" s="485"/>
      <c r="EL1158" s="485"/>
      <c r="EM1158" s="485"/>
      <c r="EN1158" s="485"/>
      <c r="EO1158" s="485"/>
      <c r="EP1158" s="485"/>
    </row>
    <row r="1159" spans="1:146">
      <c r="A1159" s="485"/>
      <c r="B1159" s="485"/>
      <c r="C1159" s="485"/>
      <c r="D1159" s="485"/>
      <c r="E1159" s="485"/>
      <c r="F1159" s="485"/>
      <c r="G1159" s="485"/>
      <c r="H1159" s="485"/>
      <c r="I1159" s="485"/>
      <c r="J1159" s="485"/>
      <c r="K1159" s="485"/>
      <c r="L1159" s="485"/>
      <c r="M1159" s="485"/>
      <c r="P1159" s="485"/>
      <c r="Q1159" s="485"/>
      <c r="R1159" s="485"/>
      <c r="S1159" s="485"/>
      <c r="T1159" s="485"/>
      <c r="U1159" s="485"/>
      <c r="V1159" s="485"/>
      <c r="W1159" s="485"/>
      <c r="X1159" s="485"/>
      <c r="Y1159" s="485"/>
      <c r="Z1159" s="485"/>
      <c r="AA1159" s="485"/>
      <c r="AB1159" s="485"/>
      <c r="AC1159" s="485"/>
      <c r="AD1159" s="485"/>
      <c r="AE1159" s="485"/>
      <c r="AF1159" s="485"/>
      <c r="AG1159" s="485"/>
      <c r="AH1159" s="485"/>
      <c r="AI1159" s="485"/>
      <c r="AJ1159" s="485"/>
      <c r="AK1159" s="485"/>
      <c r="AL1159" s="485"/>
      <c r="AM1159" s="485"/>
      <c r="AN1159" s="485"/>
      <c r="AO1159" s="485"/>
      <c r="AP1159" s="485"/>
      <c r="AQ1159" s="485"/>
      <c r="AR1159" s="485"/>
      <c r="AS1159" s="485"/>
      <c r="AT1159" s="485"/>
      <c r="AU1159" s="485"/>
      <c r="AV1159" s="485"/>
      <c r="AW1159" s="485"/>
      <c r="AX1159" s="485"/>
      <c r="AY1159" s="485"/>
      <c r="AZ1159" s="485"/>
      <c r="BA1159" s="485"/>
      <c r="BB1159" s="485"/>
      <c r="BC1159" s="485"/>
      <c r="BD1159" s="485"/>
      <c r="BE1159" s="485"/>
      <c r="BF1159" s="485"/>
      <c r="BG1159" s="485"/>
      <c r="BH1159" s="485"/>
      <c r="BI1159" s="485"/>
      <c r="BJ1159" s="485"/>
      <c r="BK1159" s="485"/>
      <c r="BL1159" s="485"/>
      <c r="BM1159" s="485"/>
      <c r="BN1159" s="485"/>
      <c r="BO1159" s="485"/>
      <c r="BP1159" s="485"/>
      <c r="BQ1159" s="485"/>
      <c r="BR1159" s="485"/>
      <c r="BS1159" s="485"/>
      <c r="BT1159" s="485"/>
      <c r="BU1159" s="485"/>
      <c r="BV1159" s="485"/>
      <c r="BW1159" s="485"/>
      <c r="BX1159" s="485"/>
      <c r="BY1159" s="485"/>
      <c r="BZ1159" s="485"/>
      <c r="CA1159" s="485"/>
      <c r="CB1159" s="485"/>
      <c r="CC1159" s="485"/>
      <c r="CD1159" s="485"/>
      <c r="CE1159" s="485"/>
      <c r="CF1159" s="485"/>
      <c r="CG1159" s="485"/>
      <c r="CH1159" s="485"/>
      <c r="CI1159" s="485"/>
      <c r="CJ1159" s="485"/>
      <c r="CK1159" s="485"/>
      <c r="CL1159" s="485"/>
      <c r="CM1159" s="485"/>
      <c r="CN1159" s="485"/>
      <c r="CO1159" s="485"/>
      <c r="CP1159" s="485"/>
      <c r="CQ1159" s="485"/>
      <c r="CR1159" s="485"/>
      <c r="CS1159" s="485"/>
      <c r="CT1159" s="485"/>
      <c r="CU1159" s="485"/>
      <c r="CV1159" s="485"/>
      <c r="CW1159" s="485"/>
      <c r="CX1159" s="485"/>
      <c r="CY1159" s="485"/>
      <c r="CZ1159" s="485"/>
      <c r="DA1159" s="485"/>
      <c r="DB1159" s="485"/>
      <c r="DC1159" s="485"/>
      <c r="DD1159" s="485"/>
      <c r="DE1159" s="485"/>
      <c r="DF1159" s="485"/>
      <c r="DG1159" s="485"/>
      <c r="DH1159" s="485"/>
      <c r="DI1159" s="485"/>
      <c r="DJ1159" s="485"/>
      <c r="DK1159" s="485"/>
      <c r="DL1159" s="485"/>
      <c r="DM1159" s="485"/>
      <c r="DN1159" s="485"/>
      <c r="DO1159" s="485"/>
      <c r="DP1159" s="485"/>
      <c r="DQ1159" s="485"/>
      <c r="DR1159" s="485"/>
      <c r="DS1159" s="485"/>
      <c r="DT1159" s="485"/>
      <c r="DU1159" s="485"/>
      <c r="DV1159" s="485"/>
      <c r="DW1159" s="485"/>
      <c r="DX1159" s="485"/>
      <c r="DY1159" s="485"/>
      <c r="DZ1159" s="485"/>
      <c r="EA1159" s="485"/>
      <c r="EB1159" s="485"/>
      <c r="EC1159" s="485"/>
      <c r="ED1159" s="485"/>
      <c r="EE1159" s="485"/>
      <c r="EF1159" s="485"/>
      <c r="EG1159" s="485"/>
      <c r="EH1159" s="485"/>
      <c r="EI1159" s="485"/>
      <c r="EJ1159" s="485"/>
      <c r="EK1159" s="485"/>
      <c r="EL1159" s="485"/>
      <c r="EM1159" s="485"/>
      <c r="EN1159" s="485"/>
      <c r="EO1159" s="485"/>
      <c r="EP1159" s="485"/>
    </row>
    <row r="1160" spans="1:146">
      <c r="A1160" s="485"/>
      <c r="B1160" s="485"/>
      <c r="C1160" s="485"/>
      <c r="D1160" s="485"/>
      <c r="E1160" s="485"/>
      <c r="F1160" s="485"/>
      <c r="G1160" s="485"/>
      <c r="H1160" s="485"/>
      <c r="I1160" s="485"/>
      <c r="J1160" s="485"/>
      <c r="K1160" s="485"/>
      <c r="L1160" s="485"/>
      <c r="M1160" s="485"/>
      <c r="P1160" s="485"/>
      <c r="Q1160" s="485"/>
      <c r="R1160" s="485"/>
      <c r="S1160" s="485"/>
      <c r="T1160" s="485"/>
      <c r="U1160" s="485"/>
      <c r="V1160" s="485"/>
      <c r="W1160" s="485"/>
      <c r="X1160" s="485"/>
      <c r="Y1160" s="485"/>
      <c r="Z1160" s="485"/>
      <c r="AA1160" s="485"/>
      <c r="AB1160" s="485"/>
      <c r="AC1160" s="485"/>
      <c r="AD1160" s="485"/>
      <c r="AE1160" s="485"/>
      <c r="AF1160" s="485"/>
      <c r="AG1160" s="485"/>
      <c r="AH1160" s="485"/>
      <c r="AI1160" s="485"/>
      <c r="AJ1160" s="485"/>
      <c r="AK1160" s="485"/>
      <c r="AL1160" s="485"/>
      <c r="AM1160" s="485"/>
      <c r="AN1160" s="485"/>
      <c r="AO1160" s="485"/>
      <c r="AP1160" s="485"/>
      <c r="AQ1160" s="485"/>
      <c r="AR1160" s="485"/>
      <c r="AS1160" s="485"/>
      <c r="AT1160" s="485"/>
      <c r="AU1160" s="485"/>
      <c r="AV1160" s="485"/>
      <c r="AW1160" s="485"/>
      <c r="AX1160" s="485"/>
      <c r="AY1160" s="485"/>
      <c r="AZ1160" s="485"/>
      <c r="BA1160" s="485"/>
      <c r="BB1160" s="485"/>
      <c r="BC1160" s="485"/>
      <c r="BD1160" s="485"/>
      <c r="BE1160" s="485"/>
      <c r="BF1160" s="485"/>
      <c r="BG1160" s="485"/>
      <c r="BH1160" s="485"/>
      <c r="BI1160" s="485"/>
      <c r="BJ1160" s="485"/>
      <c r="BK1160" s="485"/>
      <c r="BL1160" s="485"/>
      <c r="BM1160" s="485"/>
      <c r="BN1160" s="485"/>
      <c r="BO1160" s="485"/>
      <c r="BP1160" s="485"/>
      <c r="BQ1160" s="485"/>
      <c r="BR1160" s="485"/>
      <c r="BS1160" s="485"/>
      <c r="BT1160" s="485"/>
      <c r="BU1160" s="485"/>
      <c r="BV1160" s="485"/>
      <c r="BW1160" s="485"/>
      <c r="BX1160" s="485"/>
      <c r="BY1160" s="485"/>
      <c r="BZ1160" s="485"/>
      <c r="CA1160" s="485"/>
      <c r="CB1160" s="485"/>
      <c r="CC1160" s="485"/>
      <c r="CD1160" s="485"/>
      <c r="CE1160" s="485"/>
      <c r="CF1160" s="485"/>
      <c r="CG1160" s="485"/>
      <c r="CH1160" s="485"/>
      <c r="CI1160" s="485"/>
      <c r="CJ1160" s="485"/>
      <c r="CK1160" s="485"/>
      <c r="CL1160" s="485"/>
      <c r="CM1160" s="485"/>
      <c r="CN1160" s="485"/>
      <c r="CO1160" s="485"/>
      <c r="CP1160" s="485"/>
      <c r="CQ1160" s="485"/>
      <c r="CR1160" s="485"/>
      <c r="CS1160" s="485"/>
      <c r="CT1160" s="485"/>
      <c r="CU1160" s="485"/>
      <c r="CV1160" s="485"/>
      <c r="CW1160" s="485"/>
      <c r="CX1160" s="485"/>
      <c r="CY1160" s="485"/>
      <c r="CZ1160" s="485"/>
      <c r="DA1160" s="485"/>
      <c r="DB1160" s="485"/>
      <c r="DC1160" s="485"/>
      <c r="DD1160" s="485"/>
      <c r="DE1160" s="485"/>
      <c r="DF1160" s="485"/>
      <c r="DG1160" s="485"/>
      <c r="DH1160" s="485"/>
      <c r="DI1160" s="485"/>
      <c r="DJ1160" s="485"/>
      <c r="DK1160" s="485"/>
      <c r="DL1160" s="485"/>
      <c r="DM1160" s="485"/>
      <c r="DN1160" s="485"/>
      <c r="DO1160" s="485"/>
      <c r="DP1160" s="485"/>
      <c r="DQ1160" s="485"/>
      <c r="DR1160" s="485"/>
      <c r="DS1160" s="485"/>
      <c r="DT1160" s="485"/>
      <c r="DU1160" s="485"/>
      <c r="DV1160" s="485"/>
      <c r="DW1160" s="485"/>
      <c r="DX1160" s="485"/>
      <c r="DY1160" s="485"/>
      <c r="DZ1160" s="485"/>
      <c r="EA1160" s="485"/>
      <c r="EB1160" s="485"/>
      <c r="EC1160" s="485"/>
      <c r="ED1160" s="485"/>
      <c r="EE1160" s="485"/>
      <c r="EF1160" s="485"/>
      <c r="EG1160" s="485"/>
      <c r="EH1160" s="485"/>
      <c r="EI1160" s="485"/>
      <c r="EJ1160" s="485"/>
      <c r="EK1160" s="485"/>
      <c r="EL1160" s="485"/>
      <c r="EM1160" s="485"/>
      <c r="EN1160" s="485"/>
      <c r="EO1160" s="485"/>
      <c r="EP1160" s="485"/>
    </row>
    <row r="1161" spans="1:146">
      <c r="A1161" s="485"/>
      <c r="B1161" s="485"/>
      <c r="C1161" s="485"/>
      <c r="D1161" s="485"/>
      <c r="E1161" s="485"/>
      <c r="F1161" s="485"/>
      <c r="G1161" s="485"/>
      <c r="H1161" s="485"/>
      <c r="I1161" s="485"/>
      <c r="J1161" s="485"/>
      <c r="K1161" s="485"/>
      <c r="L1161" s="485"/>
      <c r="M1161" s="485"/>
      <c r="P1161" s="485"/>
      <c r="Q1161" s="485"/>
      <c r="R1161" s="485"/>
      <c r="S1161" s="485"/>
      <c r="T1161" s="485"/>
      <c r="U1161" s="485"/>
      <c r="V1161" s="485"/>
      <c r="W1161" s="485"/>
      <c r="X1161" s="485"/>
      <c r="Y1161" s="485"/>
      <c r="Z1161" s="485"/>
      <c r="AA1161" s="485"/>
      <c r="AB1161" s="485"/>
      <c r="AC1161" s="485"/>
      <c r="AD1161" s="485"/>
      <c r="AE1161" s="485"/>
      <c r="AF1161" s="485"/>
      <c r="AG1161" s="485"/>
      <c r="AH1161" s="485"/>
      <c r="AI1161" s="485"/>
      <c r="AJ1161" s="485"/>
      <c r="AK1161" s="485"/>
      <c r="AL1161" s="485"/>
      <c r="AM1161" s="485"/>
      <c r="AN1161" s="485"/>
      <c r="AO1161" s="485"/>
      <c r="AP1161" s="485"/>
      <c r="AQ1161" s="485"/>
      <c r="AR1161" s="485"/>
      <c r="AS1161" s="485"/>
      <c r="AT1161" s="485"/>
      <c r="AU1161" s="485"/>
      <c r="AV1161" s="485"/>
      <c r="AW1161" s="485"/>
      <c r="AX1161" s="485"/>
      <c r="AY1161" s="485"/>
      <c r="AZ1161" s="485"/>
      <c r="BA1161" s="485"/>
      <c r="BB1161" s="485"/>
      <c r="BC1161" s="485"/>
      <c r="BD1161" s="485"/>
      <c r="BE1161" s="485"/>
      <c r="BF1161" s="485"/>
      <c r="BG1161" s="485"/>
      <c r="BH1161" s="485"/>
      <c r="BI1161" s="485"/>
      <c r="BJ1161" s="485"/>
      <c r="BK1161" s="485"/>
      <c r="BL1161" s="485"/>
      <c r="BM1161" s="485"/>
      <c r="BN1161" s="485"/>
      <c r="BO1161" s="485"/>
      <c r="BP1161" s="485"/>
      <c r="BQ1161" s="485"/>
      <c r="BR1161" s="485"/>
      <c r="BS1161" s="485"/>
      <c r="BT1161" s="485"/>
      <c r="BU1161" s="485"/>
      <c r="BV1161" s="485"/>
      <c r="BW1161" s="485"/>
      <c r="BX1161" s="485"/>
      <c r="BY1161" s="485"/>
      <c r="BZ1161" s="485"/>
      <c r="CA1161" s="485"/>
      <c r="CB1161" s="485"/>
      <c r="CC1161" s="485"/>
      <c r="CD1161" s="485"/>
      <c r="CE1161" s="485"/>
      <c r="CF1161" s="485"/>
      <c r="CG1161" s="485"/>
      <c r="CH1161" s="485"/>
      <c r="CI1161" s="485"/>
      <c r="CJ1161" s="485"/>
      <c r="CK1161" s="485"/>
      <c r="CL1161" s="485"/>
      <c r="CM1161" s="485"/>
      <c r="CN1161" s="485"/>
      <c r="CO1161" s="485"/>
      <c r="CP1161" s="485"/>
      <c r="CQ1161" s="485"/>
      <c r="CR1161" s="485"/>
      <c r="CS1161" s="485"/>
      <c r="CT1161" s="485"/>
      <c r="CU1161" s="485"/>
      <c r="CV1161" s="485"/>
      <c r="CW1161" s="485"/>
      <c r="CX1161" s="485"/>
      <c r="CY1161" s="485"/>
      <c r="CZ1161" s="485"/>
      <c r="DA1161" s="485"/>
      <c r="DB1161" s="485"/>
      <c r="DC1161" s="485"/>
      <c r="DD1161" s="485"/>
      <c r="DE1161" s="485"/>
      <c r="DF1161" s="485"/>
      <c r="DG1161" s="485"/>
      <c r="DH1161" s="485"/>
      <c r="DI1161" s="485"/>
      <c r="DJ1161" s="485"/>
      <c r="DK1161" s="485"/>
      <c r="DL1161" s="485"/>
      <c r="DM1161" s="485"/>
      <c r="DN1161" s="485"/>
      <c r="DO1161" s="485"/>
      <c r="DP1161" s="485"/>
      <c r="DQ1161" s="485"/>
      <c r="DR1161" s="485"/>
      <c r="DS1161" s="485"/>
      <c r="DT1161" s="485"/>
      <c r="DU1161" s="485"/>
      <c r="DV1161" s="485"/>
      <c r="DW1161" s="485"/>
      <c r="DX1161" s="485"/>
      <c r="DY1161" s="485"/>
      <c r="DZ1161" s="485"/>
      <c r="EA1161" s="485"/>
      <c r="EB1161" s="485"/>
      <c r="EC1161" s="485"/>
      <c r="ED1161" s="485"/>
      <c r="EE1161" s="485"/>
      <c r="EF1161" s="485"/>
      <c r="EG1161" s="485"/>
      <c r="EH1161" s="485"/>
      <c r="EI1161" s="485"/>
      <c r="EJ1161" s="485"/>
      <c r="EK1161" s="485"/>
      <c r="EL1161" s="485"/>
      <c r="EM1161" s="485"/>
      <c r="EN1161" s="485"/>
      <c r="EO1161" s="485"/>
      <c r="EP1161" s="485"/>
    </row>
    <row r="1162" spans="1:146">
      <c r="A1162" s="485"/>
      <c r="B1162" s="485"/>
      <c r="C1162" s="485"/>
      <c r="D1162" s="485"/>
      <c r="E1162" s="485"/>
      <c r="F1162" s="485"/>
      <c r="G1162" s="485"/>
      <c r="H1162" s="485"/>
      <c r="I1162" s="485"/>
      <c r="J1162" s="485"/>
      <c r="K1162" s="485"/>
      <c r="L1162" s="485"/>
      <c r="M1162" s="485"/>
      <c r="P1162" s="485"/>
      <c r="Q1162" s="485"/>
      <c r="R1162" s="485"/>
      <c r="S1162" s="485"/>
      <c r="T1162" s="485"/>
      <c r="U1162" s="485"/>
      <c r="V1162" s="485"/>
      <c r="W1162" s="485"/>
      <c r="X1162" s="485"/>
      <c r="Y1162" s="485"/>
      <c r="Z1162" s="485"/>
      <c r="AA1162" s="485"/>
      <c r="AB1162" s="485"/>
      <c r="AC1162" s="485"/>
      <c r="AD1162" s="485"/>
      <c r="AE1162" s="485"/>
      <c r="AF1162" s="485"/>
      <c r="AG1162" s="485"/>
      <c r="AH1162" s="485"/>
      <c r="AI1162" s="485"/>
      <c r="AJ1162" s="485"/>
      <c r="AK1162" s="485"/>
      <c r="AL1162" s="485"/>
      <c r="AM1162" s="485"/>
      <c r="AN1162" s="485"/>
      <c r="AO1162" s="485"/>
      <c r="AP1162" s="485"/>
      <c r="AQ1162" s="485"/>
      <c r="AR1162" s="485"/>
      <c r="AS1162" s="485"/>
      <c r="AT1162" s="485"/>
      <c r="AU1162" s="485"/>
      <c r="AV1162" s="485"/>
      <c r="AW1162" s="485"/>
      <c r="AX1162" s="485"/>
      <c r="AY1162" s="485"/>
      <c r="AZ1162" s="485"/>
      <c r="BA1162" s="485"/>
      <c r="BB1162" s="485"/>
      <c r="BC1162" s="485"/>
      <c r="BD1162" s="485"/>
      <c r="BE1162" s="485"/>
      <c r="BF1162" s="485"/>
      <c r="BG1162" s="485"/>
      <c r="BH1162" s="485"/>
      <c r="BI1162" s="485"/>
      <c r="BJ1162" s="485"/>
      <c r="BK1162" s="485"/>
      <c r="BL1162" s="485"/>
      <c r="BM1162" s="485"/>
      <c r="BN1162" s="485"/>
      <c r="BO1162" s="485"/>
      <c r="BP1162" s="485"/>
      <c r="BQ1162" s="485"/>
      <c r="BR1162" s="485"/>
      <c r="BS1162" s="485"/>
      <c r="BT1162" s="485"/>
      <c r="BU1162" s="485"/>
      <c r="BV1162" s="485"/>
      <c r="BW1162" s="485"/>
      <c r="BX1162" s="485"/>
      <c r="BY1162" s="485"/>
      <c r="BZ1162" s="485"/>
      <c r="CA1162" s="485"/>
      <c r="CB1162" s="485"/>
      <c r="CC1162" s="485"/>
      <c r="CD1162" s="485"/>
      <c r="CE1162" s="485"/>
      <c r="CF1162" s="485"/>
      <c r="CG1162" s="485"/>
      <c r="CH1162" s="485"/>
      <c r="CI1162" s="485"/>
      <c r="CJ1162" s="485"/>
      <c r="CK1162" s="485"/>
      <c r="CL1162" s="485"/>
      <c r="CM1162" s="485"/>
      <c r="CN1162" s="485"/>
      <c r="CO1162" s="485"/>
      <c r="CP1162" s="485"/>
      <c r="CQ1162" s="485"/>
      <c r="CR1162" s="485"/>
      <c r="CS1162" s="485"/>
      <c r="CT1162" s="485"/>
      <c r="CU1162" s="485"/>
      <c r="CV1162" s="485"/>
      <c r="CW1162" s="485"/>
      <c r="CX1162" s="485"/>
      <c r="CY1162" s="485"/>
      <c r="CZ1162" s="485"/>
      <c r="DA1162" s="485"/>
      <c r="DB1162" s="485"/>
      <c r="DC1162" s="485"/>
      <c r="DD1162" s="485"/>
      <c r="DE1162" s="485"/>
      <c r="DF1162" s="485"/>
      <c r="DG1162" s="485"/>
      <c r="DH1162" s="485"/>
      <c r="DI1162" s="485"/>
      <c r="DJ1162" s="485"/>
      <c r="DK1162" s="485"/>
      <c r="DL1162" s="485"/>
      <c r="DM1162" s="485"/>
      <c r="DN1162" s="485"/>
      <c r="DO1162" s="485"/>
      <c r="DP1162" s="485"/>
      <c r="DQ1162" s="485"/>
      <c r="DR1162" s="485"/>
      <c r="DS1162" s="485"/>
      <c r="DT1162" s="485"/>
      <c r="DU1162" s="485"/>
      <c r="DV1162" s="485"/>
      <c r="DW1162" s="485"/>
      <c r="DX1162" s="485"/>
      <c r="DY1162" s="485"/>
      <c r="DZ1162" s="485"/>
      <c r="EA1162" s="485"/>
      <c r="EB1162" s="485"/>
      <c r="EC1162" s="485"/>
      <c r="ED1162" s="485"/>
      <c r="EE1162" s="485"/>
      <c r="EF1162" s="485"/>
      <c r="EG1162" s="485"/>
      <c r="EH1162" s="485"/>
      <c r="EI1162" s="485"/>
      <c r="EJ1162" s="485"/>
      <c r="EK1162" s="485"/>
      <c r="EL1162" s="485"/>
      <c r="EM1162" s="485"/>
      <c r="EN1162" s="485"/>
      <c r="EO1162" s="485"/>
      <c r="EP1162" s="485"/>
    </row>
    <row r="1163" spans="1:146">
      <c r="A1163" s="485"/>
      <c r="B1163" s="485"/>
      <c r="C1163" s="485"/>
      <c r="D1163" s="485"/>
      <c r="E1163" s="485"/>
      <c r="F1163" s="485"/>
      <c r="G1163" s="485"/>
      <c r="H1163" s="485"/>
      <c r="I1163" s="485"/>
      <c r="J1163" s="485"/>
      <c r="K1163" s="485"/>
      <c r="L1163" s="485"/>
      <c r="M1163" s="485"/>
      <c r="P1163" s="485"/>
      <c r="Q1163" s="485"/>
      <c r="R1163" s="485"/>
      <c r="S1163" s="485"/>
      <c r="T1163" s="485"/>
      <c r="U1163" s="485"/>
      <c r="V1163" s="485"/>
      <c r="W1163" s="485"/>
      <c r="X1163" s="485"/>
      <c r="Y1163" s="485"/>
      <c r="Z1163" s="485"/>
      <c r="AA1163" s="485"/>
      <c r="AB1163" s="485"/>
      <c r="AC1163" s="485"/>
      <c r="AD1163" s="485"/>
      <c r="AE1163" s="485"/>
      <c r="AF1163" s="485"/>
      <c r="AG1163" s="485"/>
      <c r="AH1163" s="485"/>
      <c r="AI1163" s="485"/>
      <c r="AJ1163" s="485"/>
      <c r="AK1163" s="485"/>
      <c r="AL1163" s="485"/>
      <c r="AM1163" s="485"/>
      <c r="AN1163" s="485"/>
      <c r="AO1163" s="485"/>
      <c r="AP1163" s="485"/>
      <c r="AQ1163" s="485"/>
      <c r="AR1163" s="485"/>
      <c r="AS1163" s="485"/>
      <c r="AT1163" s="485"/>
      <c r="AU1163" s="485"/>
      <c r="AV1163" s="485"/>
      <c r="AW1163" s="485"/>
      <c r="AX1163" s="485"/>
      <c r="AY1163" s="485"/>
      <c r="AZ1163" s="485"/>
      <c r="BA1163" s="485"/>
      <c r="BB1163" s="485"/>
      <c r="BC1163" s="485"/>
      <c r="BD1163" s="485"/>
      <c r="BE1163" s="485"/>
      <c r="BF1163" s="485"/>
      <c r="BG1163" s="485"/>
      <c r="BH1163" s="485"/>
      <c r="BI1163" s="485"/>
      <c r="BJ1163" s="485"/>
      <c r="BK1163" s="485"/>
      <c r="BL1163" s="485"/>
      <c r="BM1163" s="485"/>
      <c r="BN1163" s="485"/>
      <c r="BO1163" s="485"/>
      <c r="BP1163" s="485"/>
      <c r="BQ1163" s="485"/>
      <c r="BR1163" s="485"/>
      <c r="BS1163" s="485"/>
      <c r="BT1163" s="485"/>
      <c r="BU1163" s="485"/>
      <c r="BV1163" s="485"/>
      <c r="BW1163" s="485"/>
      <c r="BX1163" s="485"/>
      <c r="BY1163" s="485"/>
      <c r="BZ1163" s="485"/>
      <c r="CA1163" s="485"/>
      <c r="CB1163" s="485"/>
      <c r="CC1163" s="485"/>
      <c r="CD1163" s="485"/>
      <c r="CE1163" s="485"/>
      <c r="CF1163" s="485"/>
      <c r="CG1163" s="485"/>
      <c r="CH1163" s="485"/>
      <c r="CI1163" s="485"/>
      <c r="CJ1163" s="485"/>
      <c r="CK1163" s="485"/>
      <c r="CL1163" s="485"/>
      <c r="CM1163" s="485"/>
      <c r="CN1163" s="485"/>
      <c r="CO1163" s="485"/>
      <c r="CP1163" s="485"/>
      <c r="CQ1163" s="485"/>
      <c r="CR1163" s="485"/>
      <c r="CS1163" s="485"/>
      <c r="CT1163" s="485"/>
      <c r="CU1163" s="485"/>
      <c r="CV1163" s="485"/>
      <c r="CW1163" s="485"/>
      <c r="CX1163" s="485"/>
      <c r="CY1163" s="485"/>
      <c r="CZ1163" s="485"/>
      <c r="DA1163" s="485"/>
      <c r="DB1163" s="485"/>
      <c r="DC1163" s="485"/>
      <c r="DD1163" s="485"/>
      <c r="DE1163" s="485"/>
      <c r="DF1163" s="485"/>
      <c r="DG1163" s="485"/>
      <c r="DH1163" s="485"/>
      <c r="DI1163" s="485"/>
      <c r="DJ1163" s="485"/>
      <c r="DK1163" s="485"/>
      <c r="DL1163" s="485"/>
      <c r="DM1163" s="485"/>
      <c r="DN1163" s="485"/>
      <c r="DO1163" s="485"/>
      <c r="DP1163" s="485"/>
      <c r="DQ1163" s="485"/>
      <c r="DR1163" s="485"/>
      <c r="DS1163" s="485"/>
      <c r="DT1163" s="485"/>
      <c r="DU1163" s="485"/>
      <c r="DV1163" s="485"/>
      <c r="DW1163" s="485"/>
      <c r="DX1163" s="485"/>
      <c r="DY1163" s="485"/>
      <c r="DZ1163" s="485"/>
      <c r="EA1163" s="485"/>
      <c r="EB1163" s="485"/>
      <c r="EC1163" s="485"/>
      <c r="ED1163" s="485"/>
      <c r="EE1163" s="485"/>
      <c r="EF1163" s="485"/>
      <c r="EG1163" s="485"/>
      <c r="EH1163" s="485"/>
      <c r="EI1163" s="485"/>
      <c r="EJ1163" s="485"/>
      <c r="EK1163" s="485"/>
      <c r="EL1163" s="485"/>
      <c r="EM1163" s="485"/>
      <c r="EN1163" s="485"/>
      <c r="EO1163" s="485"/>
      <c r="EP1163" s="485"/>
    </row>
    <row r="1164" spans="1:146">
      <c r="A1164" s="485"/>
      <c r="B1164" s="485"/>
      <c r="C1164" s="485"/>
      <c r="D1164" s="485"/>
      <c r="E1164" s="485"/>
      <c r="F1164" s="485"/>
      <c r="G1164" s="485"/>
      <c r="H1164" s="485"/>
      <c r="I1164" s="485"/>
      <c r="J1164" s="485"/>
      <c r="K1164" s="485"/>
      <c r="L1164" s="485"/>
      <c r="M1164" s="485"/>
      <c r="P1164" s="485"/>
      <c r="Q1164" s="485"/>
      <c r="R1164" s="485"/>
      <c r="S1164" s="485"/>
      <c r="T1164" s="485"/>
      <c r="U1164" s="485"/>
      <c r="V1164" s="485"/>
      <c r="W1164" s="485"/>
      <c r="X1164" s="485"/>
      <c r="Y1164" s="485"/>
      <c r="Z1164" s="485"/>
      <c r="AA1164" s="485"/>
      <c r="AB1164" s="485"/>
      <c r="AC1164" s="485"/>
      <c r="AD1164" s="485"/>
      <c r="AE1164" s="485"/>
      <c r="AF1164" s="485"/>
      <c r="AG1164" s="485"/>
      <c r="AH1164" s="485"/>
      <c r="AI1164" s="485"/>
      <c r="AJ1164" s="485"/>
      <c r="AK1164" s="485"/>
      <c r="AL1164" s="485"/>
      <c r="AM1164" s="485"/>
      <c r="AN1164" s="485"/>
      <c r="AO1164" s="485"/>
      <c r="AP1164" s="485"/>
      <c r="AQ1164" s="485"/>
      <c r="AR1164" s="485"/>
      <c r="AS1164" s="485"/>
      <c r="AT1164" s="485"/>
      <c r="AU1164" s="485"/>
      <c r="AV1164" s="485"/>
      <c r="AW1164" s="485"/>
      <c r="AX1164" s="485"/>
      <c r="AY1164" s="485"/>
      <c r="AZ1164" s="485"/>
      <c r="BA1164" s="485"/>
      <c r="BB1164" s="485"/>
      <c r="BC1164" s="485"/>
      <c r="BD1164" s="485"/>
      <c r="BE1164" s="485"/>
      <c r="BF1164" s="485"/>
      <c r="BG1164" s="485"/>
      <c r="BH1164" s="485"/>
      <c r="BI1164" s="485"/>
      <c r="BJ1164" s="485"/>
      <c r="BK1164" s="485"/>
      <c r="BL1164" s="485"/>
      <c r="BM1164" s="485"/>
      <c r="BN1164" s="485"/>
      <c r="BO1164" s="485"/>
      <c r="BP1164" s="485"/>
      <c r="BQ1164" s="485"/>
      <c r="BR1164" s="485"/>
      <c r="BS1164" s="485"/>
      <c r="BT1164" s="485"/>
      <c r="BU1164" s="485"/>
      <c r="BV1164" s="485"/>
      <c r="BW1164" s="485"/>
      <c r="BX1164" s="485"/>
      <c r="BY1164" s="485"/>
      <c r="BZ1164" s="485"/>
      <c r="CA1164" s="485"/>
      <c r="CB1164" s="485"/>
      <c r="CC1164" s="485"/>
      <c r="CD1164" s="485"/>
      <c r="CE1164" s="485"/>
      <c r="CF1164" s="485"/>
      <c r="CG1164" s="485"/>
      <c r="CH1164" s="485"/>
      <c r="CI1164" s="485"/>
      <c r="CJ1164" s="485"/>
      <c r="CK1164" s="485"/>
      <c r="CL1164" s="485"/>
      <c r="CM1164" s="485"/>
      <c r="CN1164" s="485"/>
      <c r="CO1164" s="485"/>
      <c r="CP1164" s="485"/>
      <c r="CQ1164" s="485"/>
      <c r="CR1164" s="485"/>
      <c r="CS1164" s="485"/>
      <c r="CT1164" s="485"/>
      <c r="CU1164" s="485"/>
      <c r="CV1164" s="485"/>
      <c r="CW1164" s="485"/>
      <c r="CX1164" s="485"/>
      <c r="CY1164" s="485"/>
      <c r="CZ1164" s="485"/>
      <c r="DA1164" s="485"/>
      <c r="DB1164" s="485"/>
      <c r="DC1164" s="485"/>
      <c r="DD1164" s="485"/>
      <c r="DE1164" s="485"/>
      <c r="DF1164" s="485"/>
      <c r="DG1164" s="485"/>
      <c r="DH1164" s="485"/>
      <c r="DI1164" s="485"/>
      <c r="DJ1164" s="485"/>
      <c r="DK1164" s="485"/>
      <c r="DL1164" s="485"/>
      <c r="DM1164" s="485"/>
      <c r="DN1164" s="485"/>
      <c r="DO1164" s="485"/>
      <c r="DP1164" s="485"/>
      <c r="DQ1164" s="485"/>
      <c r="DR1164" s="485"/>
      <c r="DS1164" s="485"/>
      <c r="DT1164" s="485"/>
      <c r="DU1164" s="485"/>
      <c r="DV1164" s="485"/>
      <c r="DW1164" s="485"/>
      <c r="DX1164" s="485"/>
      <c r="DY1164" s="485"/>
      <c r="DZ1164" s="485"/>
      <c r="EA1164" s="485"/>
      <c r="EB1164" s="485"/>
      <c r="EC1164" s="485"/>
      <c r="ED1164" s="485"/>
      <c r="EE1164" s="485"/>
      <c r="EF1164" s="485"/>
      <c r="EG1164" s="485"/>
      <c r="EH1164" s="485"/>
      <c r="EI1164" s="485"/>
      <c r="EJ1164" s="485"/>
      <c r="EK1164" s="485"/>
      <c r="EL1164" s="485"/>
      <c r="EM1164" s="485"/>
      <c r="EN1164" s="485"/>
      <c r="EO1164" s="485"/>
      <c r="EP1164" s="485"/>
    </row>
    <row r="1165" spans="1:146">
      <c r="A1165" s="485"/>
      <c r="B1165" s="485"/>
      <c r="C1165" s="485"/>
      <c r="D1165" s="485"/>
      <c r="E1165" s="485"/>
      <c r="F1165" s="485"/>
      <c r="G1165" s="485"/>
      <c r="H1165" s="485"/>
      <c r="I1165" s="485"/>
      <c r="J1165" s="485"/>
      <c r="K1165" s="485"/>
      <c r="L1165" s="485"/>
      <c r="M1165" s="485"/>
      <c r="P1165" s="485"/>
      <c r="Q1165" s="485"/>
      <c r="R1165" s="485"/>
      <c r="S1165" s="485"/>
      <c r="T1165" s="485"/>
      <c r="U1165" s="485"/>
      <c r="V1165" s="485"/>
      <c r="W1165" s="485"/>
      <c r="X1165" s="485"/>
      <c r="Y1165" s="485"/>
      <c r="Z1165" s="485"/>
      <c r="AA1165" s="485"/>
      <c r="AB1165" s="485"/>
      <c r="AC1165" s="485"/>
      <c r="AD1165" s="485"/>
      <c r="AE1165" s="485"/>
      <c r="AF1165" s="485"/>
      <c r="AG1165" s="485"/>
      <c r="AH1165" s="485"/>
      <c r="AI1165" s="485"/>
      <c r="AJ1165" s="485"/>
      <c r="AK1165" s="485"/>
      <c r="AL1165" s="485"/>
      <c r="AM1165" s="485"/>
      <c r="AN1165" s="485"/>
      <c r="AO1165" s="485"/>
      <c r="AP1165" s="485"/>
      <c r="AQ1165" s="485"/>
      <c r="AR1165" s="485"/>
      <c r="AS1165" s="485"/>
      <c r="AT1165" s="485"/>
      <c r="AU1165" s="485"/>
      <c r="AV1165" s="485"/>
      <c r="AW1165" s="485"/>
      <c r="AX1165" s="485"/>
      <c r="AY1165" s="485"/>
      <c r="AZ1165" s="485"/>
      <c r="BA1165" s="485"/>
      <c r="BB1165" s="485"/>
      <c r="BC1165" s="485"/>
      <c r="BD1165" s="485"/>
      <c r="BE1165" s="485"/>
      <c r="BF1165" s="485"/>
      <c r="BG1165" s="485"/>
      <c r="BH1165" s="485"/>
      <c r="BI1165" s="485"/>
      <c r="BJ1165" s="485"/>
      <c r="BK1165" s="485"/>
      <c r="BL1165" s="485"/>
      <c r="BM1165" s="485"/>
      <c r="BN1165" s="485"/>
      <c r="BO1165" s="485"/>
      <c r="BP1165" s="485"/>
      <c r="BQ1165" s="485"/>
      <c r="BR1165" s="485"/>
      <c r="BS1165" s="485"/>
      <c r="BT1165" s="485"/>
      <c r="BU1165" s="485"/>
      <c r="BV1165" s="485"/>
      <c r="BW1165" s="485"/>
      <c r="BX1165" s="485"/>
      <c r="BY1165" s="485"/>
      <c r="BZ1165" s="485"/>
      <c r="CA1165" s="485"/>
      <c r="CB1165" s="485"/>
      <c r="CC1165" s="485"/>
      <c r="CD1165" s="485"/>
      <c r="CE1165" s="485"/>
      <c r="CF1165" s="485"/>
      <c r="CG1165" s="485"/>
      <c r="CH1165" s="485"/>
      <c r="CI1165" s="485"/>
      <c r="CJ1165" s="485"/>
      <c r="CK1165" s="485"/>
      <c r="CL1165" s="485"/>
      <c r="CM1165" s="485"/>
      <c r="CN1165" s="485"/>
      <c r="CO1165" s="485"/>
      <c r="CP1165" s="485"/>
      <c r="CQ1165" s="485"/>
      <c r="CR1165" s="485"/>
      <c r="CS1165" s="485"/>
      <c r="CT1165" s="485"/>
      <c r="CU1165" s="485"/>
      <c r="CV1165" s="485"/>
      <c r="CW1165" s="485"/>
      <c r="CX1165" s="485"/>
      <c r="CY1165" s="485"/>
      <c r="CZ1165" s="485"/>
      <c r="DA1165" s="485"/>
      <c r="DB1165" s="485"/>
      <c r="DC1165" s="485"/>
      <c r="DD1165" s="485"/>
      <c r="DE1165" s="485"/>
      <c r="DF1165" s="485"/>
      <c r="DG1165" s="485"/>
      <c r="DH1165" s="485"/>
      <c r="DI1165" s="485"/>
      <c r="DJ1165" s="485"/>
      <c r="DK1165" s="485"/>
      <c r="DL1165" s="485"/>
      <c r="DM1165" s="485"/>
      <c r="DN1165" s="485"/>
      <c r="DO1165" s="485"/>
      <c r="DP1165" s="485"/>
      <c r="DQ1165" s="485"/>
      <c r="DR1165" s="485"/>
      <c r="DS1165" s="485"/>
      <c r="DT1165" s="485"/>
      <c r="DU1165" s="485"/>
      <c r="DV1165" s="485"/>
      <c r="DW1165" s="485"/>
      <c r="DX1165" s="485"/>
      <c r="DY1165" s="485"/>
      <c r="DZ1165" s="485"/>
      <c r="EA1165" s="485"/>
      <c r="EB1165" s="485"/>
      <c r="EC1165" s="485"/>
      <c r="ED1165" s="485"/>
      <c r="EE1165" s="485"/>
      <c r="EF1165" s="485"/>
      <c r="EG1165" s="485"/>
      <c r="EH1165" s="485"/>
      <c r="EI1165" s="485"/>
      <c r="EJ1165" s="485"/>
      <c r="EK1165" s="485"/>
      <c r="EL1165" s="485"/>
      <c r="EM1165" s="485"/>
      <c r="EN1165" s="485"/>
      <c r="EO1165" s="485"/>
      <c r="EP1165" s="485"/>
    </row>
    <row r="1166" spans="1:146">
      <c r="A1166" s="485"/>
      <c r="B1166" s="485"/>
      <c r="C1166" s="485"/>
      <c r="D1166" s="485"/>
      <c r="E1166" s="485"/>
      <c r="F1166" s="485"/>
      <c r="G1166" s="485"/>
      <c r="H1166" s="485"/>
      <c r="I1166" s="485"/>
      <c r="J1166" s="485"/>
      <c r="K1166" s="485"/>
      <c r="L1166" s="485"/>
      <c r="M1166" s="485"/>
      <c r="P1166" s="485"/>
      <c r="Q1166" s="485"/>
      <c r="R1166" s="485"/>
      <c r="S1166" s="485"/>
      <c r="T1166" s="485"/>
      <c r="U1166" s="485"/>
      <c r="V1166" s="485"/>
      <c r="W1166" s="485"/>
      <c r="X1166" s="485"/>
      <c r="Y1166" s="485"/>
      <c r="Z1166" s="485"/>
      <c r="AA1166" s="485"/>
      <c r="AB1166" s="485"/>
      <c r="AC1166" s="485"/>
      <c r="AD1166" s="485"/>
      <c r="AE1166" s="485"/>
      <c r="AF1166" s="485"/>
      <c r="AG1166" s="485"/>
      <c r="AH1166" s="485"/>
      <c r="AI1166" s="485"/>
      <c r="AJ1166" s="485"/>
      <c r="AK1166" s="485"/>
      <c r="AL1166" s="485"/>
      <c r="AM1166" s="485"/>
      <c r="AN1166" s="485"/>
      <c r="AO1166" s="485"/>
      <c r="AP1166" s="485"/>
      <c r="AQ1166" s="485"/>
      <c r="AR1166" s="485"/>
      <c r="AS1166" s="485"/>
      <c r="AT1166" s="485"/>
      <c r="AU1166" s="485"/>
      <c r="AV1166" s="485"/>
      <c r="AW1166" s="485"/>
      <c r="AX1166" s="485"/>
      <c r="AY1166" s="485"/>
      <c r="AZ1166" s="485"/>
      <c r="BA1166" s="485"/>
      <c r="BB1166" s="485"/>
      <c r="BC1166" s="485"/>
      <c r="BD1166" s="485"/>
      <c r="BE1166" s="485"/>
      <c r="BF1166" s="485"/>
      <c r="BG1166" s="485"/>
      <c r="BH1166" s="485"/>
      <c r="BI1166" s="485"/>
      <c r="BJ1166" s="485"/>
      <c r="BK1166" s="485"/>
      <c r="BL1166" s="485"/>
      <c r="BM1166" s="485"/>
      <c r="BN1166" s="485"/>
      <c r="BO1166" s="485"/>
      <c r="BP1166" s="485"/>
      <c r="BQ1166" s="485"/>
      <c r="BR1166" s="485"/>
      <c r="BS1166" s="485"/>
      <c r="BT1166" s="485"/>
      <c r="BU1166" s="485"/>
      <c r="BV1166" s="485"/>
      <c r="BW1166" s="485"/>
      <c r="BX1166" s="485"/>
      <c r="BY1166" s="485"/>
      <c r="BZ1166" s="485"/>
      <c r="CA1166" s="485"/>
      <c r="CB1166" s="485"/>
      <c r="CC1166" s="485"/>
      <c r="CD1166" s="485"/>
      <c r="CE1166" s="485"/>
      <c r="CF1166" s="485"/>
      <c r="CG1166" s="485"/>
      <c r="CH1166" s="485"/>
      <c r="CI1166" s="485"/>
      <c r="CJ1166" s="485"/>
      <c r="CK1166" s="485"/>
      <c r="CL1166" s="485"/>
      <c r="CM1166" s="485"/>
      <c r="CN1166" s="485"/>
      <c r="CO1166" s="485"/>
      <c r="CP1166" s="485"/>
      <c r="CQ1166" s="485"/>
      <c r="CR1166" s="485"/>
      <c r="CS1166" s="485"/>
      <c r="CT1166" s="485"/>
      <c r="CU1166" s="485"/>
      <c r="CV1166" s="485"/>
      <c r="CW1166" s="485"/>
      <c r="CX1166" s="485"/>
      <c r="CY1166" s="485"/>
      <c r="CZ1166" s="485"/>
      <c r="DA1166" s="485"/>
      <c r="DB1166" s="485"/>
      <c r="DC1166" s="485"/>
      <c r="DD1166" s="485"/>
      <c r="DE1166" s="485"/>
      <c r="DF1166" s="485"/>
      <c r="DG1166" s="485"/>
      <c r="DH1166" s="485"/>
      <c r="DI1166" s="485"/>
      <c r="DJ1166" s="485"/>
      <c r="DK1166" s="485"/>
      <c r="DL1166" s="485"/>
      <c r="DM1166" s="485"/>
      <c r="DN1166" s="485"/>
      <c r="DO1166" s="485"/>
      <c r="DP1166" s="485"/>
      <c r="DQ1166" s="485"/>
      <c r="DR1166" s="485"/>
      <c r="DS1166" s="485"/>
      <c r="DT1166" s="485"/>
      <c r="DU1166" s="485"/>
      <c r="DV1166" s="485"/>
      <c r="DW1166" s="485"/>
      <c r="DX1166" s="485"/>
      <c r="DY1166" s="485"/>
      <c r="DZ1166" s="485"/>
      <c r="EA1166" s="485"/>
      <c r="EB1166" s="485"/>
      <c r="EC1166" s="485"/>
      <c r="ED1166" s="485"/>
      <c r="EE1166" s="485"/>
      <c r="EF1166" s="485"/>
      <c r="EG1166" s="485"/>
      <c r="EH1166" s="485"/>
      <c r="EI1166" s="485"/>
      <c r="EJ1166" s="485"/>
      <c r="EK1166" s="485"/>
      <c r="EL1166" s="485"/>
      <c r="EM1166" s="485"/>
      <c r="EN1166" s="485"/>
      <c r="EO1166" s="485"/>
      <c r="EP1166" s="485"/>
    </row>
    <row r="1167" spans="1:146">
      <c r="A1167" s="485"/>
      <c r="B1167" s="485"/>
      <c r="C1167" s="485"/>
      <c r="D1167" s="485"/>
      <c r="E1167" s="485"/>
      <c r="F1167" s="485"/>
      <c r="G1167" s="485"/>
      <c r="H1167" s="485"/>
      <c r="I1167" s="485"/>
      <c r="J1167" s="485"/>
      <c r="K1167" s="485"/>
      <c r="L1167" s="485"/>
      <c r="M1167" s="485"/>
      <c r="P1167" s="485"/>
      <c r="Q1167" s="485"/>
      <c r="R1167" s="485"/>
      <c r="S1167" s="485"/>
      <c r="T1167" s="485"/>
      <c r="U1167" s="485"/>
      <c r="V1167" s="485"/>
      <c r="W1167" s="485"/>
      <c r="X1167" s="485"/>
      <c r="Y1167" s="485"/>
      <c r="Z1167" s="485"/>
      <c r="AA1167" s="485"/>
      <c r="AB1167" s="485"/>
      <c r="AC1167" s="485"/>
      <c r="AD1167" s="485"/>
      <c r="AE1167" s="485"/>
      <c r="AF1167" s="485"/>
      <c r="AG1167" s="485"/>
      <c r="AH1167" s="485"/>
      <c r="AI1167" s="485"/>
      <c r="AJ1167" s="485"/>
      <c r="AK1167" s="485"/>
      <c r="AL1167" s="485"/>
      <c r="AM1167" s="485"/>
      <c r="AN1167" s="485"/>
      <c r="AO1167" s="485"/>
      <c r="AP1167" s="485"/>
      <c r="AQ1167" s="485"/>
      <c r="AR1167" s="485"/>
      <c r="AS1167" s="485"/>
      <c r="AT1167" s="485"/>
      <c r="AU1167" s="485"/>
      <c r="AV1167" s="485"/>
      <c r="AW1167" s="485"/>
      <c r="AX1167" s="485"/>
      <c r="AY1167" s="485"/>
      <c r="AZ1167" s="485"/>
      <c r="BA1167" s="485"/>
      <c r="BB1167" s="485"/>
      <c r="BC1167" s="485"/>
      <c r="BD1167" s="485"/>
      <c r="BE1167" s="485"/>
      <c r="BF1167" s="485"/>
      <c r="BG1167" s="485"/>
      <c r="BH1167" s="485"/>
      <c r="BI1167" s="485"/>
      <c r="BJ1167" s="485"/>
      <c r="BK1167" s="485"/>
      <c r="BL1167" s="485"/>
      <c r="BM1167" s="485"/>
      <c r="BN1167" s="485"/>
      <c r="BO1167" s="485"/>
      <c r="BP1167" s="485"/>
      <c r="BQ1167" s="485"/>
      <c r="BR1167" s="485"/>
      <c r="BS1167" s="485"/>
      <c r="BT1167" s="485"/>
      <c r="BU1167" s="485"/>
      <c r="BV1167" s="485"/>
      <c r="BW1167" s="485"/>
      <c r="BX1167" s="485"/>
      <c r="BY1167" s="485"/>
      <c r="BZ1167" s="485"/>
      <c r="CA1167" s="485"/>
      <c r="CB1167" s="485"/>
      <c r="CC1167" s="485"/>
      <c r="CD1167" s="485"/>
      <c r="CE1167" s="485"/>
      <c r="CF1167" s="485"/>
      <c r="CG1167" s="485"/>
      <c r="CH1167" s="485"/>
      <c r="CI1167" s="485"/>
      <c r="CJ1167" s="485"/>
      <c r="CK1167" s="485"/>
      <c r="CL1167" s="485"/>
      <c r="CM1167" s="485"/>
      <c r="CN1167" s="485"/>
      <c r="CO1167" s="485"/>
      <c r="CP1167" s="485"/>
      <c r="CQ1167" s="485"/>
      <c r="CR1167" s="485"/>
      <c r="CS1167" s="485"/>
      <c r="CT1167" s="485"/>
      <c r="CU1167" s="485"/>
      <c r="CV1167" s="485"/>
      <c r="CW1167" s="485"/>
      <c r="CX1167" s="485"/>
      <c r="CY1167" s="485"/>
      <c r="CZ1167" s="485"/>
      <c r="DA1167" s="485"/>
      <c r="DB1167" s="485"/>
      <c r="DC1167" s="485"/>
      <c r="DD1167" s="485"/>
      <c r="DE1167" s="485"/>
      <c r="DF1167" s="485"/>
      <c r="DG1167" s="485"/>
      <c r="DH1167" s="485"/>
      <c r="DI1167" s="485"/>
      <c r="DJ1167" s="485"/>
      <c r="DK1167" s="485"/>
      <c r="DL1167" s="485"/>
      <c r="DM1167" s="485"/>
      <c r="DN1167" s="485"/>
      <c r="DO1167" s="485"/>
      <c r="DP1167" s="485"/>
      <c r="DQ1167" s="485"/>
      <c r="DR1167" s="485"/>
      <c r="DS1167" s="485"/>
      <c r="DT1167" s="485"/>
      <c r="DU1167" s="485"/>
      <c r="DV1167" s="485"/>
      <c r="DW1167" s="485"/>
      <c r="DX1167" s="485"/>
      <c r="DY1167" s="485"/>
      <c r="DZ1167" s="485"/>
      <c r="EA1167" s="485"/>
      <c r="EB1167" s="485"/>
      <c r="EC1167" s="485"/>
      <c r="ED1167" s="485"/>
      <c r="EE1167" s="485"/>
      <c r="EF1167" s="485"/>
      <c r="EG1167" s="485"/>
      <c r="EH1167" s="485"/>
      <c r="EI1167" s="485"/>
      <c r="EJ1167" s="485"/>
      <c r="EK1167" s="485"/>
      <c r="EL1167" s="485"/>
      <c r="EM1167" s="485"/>
      <c r="EN1167" s="485"/>
      <c r="EO1167" s="485"/>
      <c r="EP1167" s="485"/>
    </row>
    <row r="1168" spans="1:146">
      <c r="A1168" s="485"/>
      <c r="B1168" s="485"/>
      <c r="C1168" s="485"/>
      <c r="D1168" s="485"/>
      <c r="E1168" s="485"/>
      <c r="F1168" s="485"/>
      <c r="G1168" s="485"/>
      <c r="H1168" s="485"/>
      <c r="I1168" s="485"/>
      <c r="J1168" s="485"/>
      <c r="K1168" s="485"/>
      <c r="L1168" s="485"/>
      <c r="M1168" s="485"/>
      <c r="P1168" s="485"/>
      <c r="Q1168" s="485"/>
      <c r="R1168" s="485"/>
      <c r="S1168" s="485"/>
      <c r="T1168" s="485"/>
      <c r="U1168" s="485"/>
      <c r="V1168" s="485"/>
      <c r="W1168" s="485"/>
      <c r="X1168" s="485"/>
      <c r="Y1168" s="485"/>
      <c r="Z1168" s="485"/>
      <c r="AA1168" s="485"/>
      <c r="AB1168" s="485"/>
      <c r="AC1168" s="485"/>
      <c r="AD1168" s="485"/>
      <c r="AE1168" s="485"/>
      <c r="AF1168" s="485"/>
      <c r="AG1168" s="485"/>
      <c r="AH1168" s="485"/>
      <c r="AI1168" s="485"/>
      <c r="AJ1168" s="485"/>
      <c r="AK1168" s="485"/>
      <c r="AL1168" s="485"/>
      <c r="AM1168" s="485"/>
      <c r="AN1168" s="485"/>
      <c r="AO1168" s="485"/>
      <c r="AP1168" s="485"/>
      <c r="AQ1168" s="485"/>
      <c r="AR1168" s="485"/>
      <c r="AS1168" s="485"/>
      <c r="AT1168" s="485"/>
      <c r="AU1168" s="485"/>
      <c r="AV1168" s="485"/>
      <c r="AW1168" s="485"/>
      <c r="AX1168" s="485"/>
      <c r="AY1168" s="485"/>
      <c r="AZ1168" s="485"/>
      <c r="BA1168" s="485"/>
      <c r="BB1168" s="485"/>
      <c r="BC1168" s="485"/>
      <c r="BD1168" s="485"/>
      <c r="BE1168" s="485"/>
      <c r="BF1168" s="485"/>
      <c r="BG1168" s="485"/>
      <c r="BH1168" s="485"/>
      <c r="BI1168" s="485"/>
      <c r="BJ1168" s="485"/>
      <c r="BK1168" s="485"/>
      <c r="BL1168" s="485"/>
      <c r="BM1168" s="485"/>
      <c r="BN1168" s="485"/>
      <c r="BO1168" s="485"/>
      <c r="BP1168" s="485"/>
      <c r="BQ1168" s="485"/>
      <c r="BR1168" s="485"/>
      <c r="BS1168" s="485"/>
      <c r="BT1168" s="485"/>
      <c r="BU1168" s="485"/>
      <c r="BV1168" s="485"/>
      <c r="BW1168" s="485"/>
      <c r="BX1168" s="485"/>
      <c r="BY1168" s="485"/>
      <c r="BZ1168" s="485"/>
      <c r="CA1168" s="485"/>
      <c r="CB1168" s="485"/>
      <c r="CC1168" s="485"/>
      <c r="CD1168" s="485"/>
      <c r="CE1168" s="485"/>
      <c r="CF1168" s="485"/>
      <c r="CG1168" s="485"/>
      <c r="CH1168" s="485"/>
      <c r="CI1168" s="485"/>
      <c r="CJ1168" s="485"/>
      <c r="CK1168" s="485"/>
      <c r="CL1168" s="485"/>
      <c r="CM1168" s="485"/>
      <c r="CN1168" s="485"/>
      <c r="CO1168" s="485"/>
      <c r="CP1168" s="485"/>
      <c r="CQ1168" s="485"/>
      <c r="CR1168" s="485"/>
      <c r="CS1168" s="485"/>
      <c r="CT1168" s="485"/>
      <c r="CU1168" s="485"/>
      <c r="CV1168" s="485"/>
      <c r="CW1168" s="485"/>
      <c r="CX1168" s="485"/>
      <c r="CY1168" s="485"/>
      <c r="CZ1168" s="485"/>
      <c r="DA1168" s="485"/>
      <c r="DB1168" s="485"/>
      <c r="DC1168" s="485"/>
      <c r="DD1168" s="485"/>
      <c r="DE1168" s="485"/>
      <c r="DF1168" s="485"/>
      <c r="DG1168" s="485"/>
      <c r="DH1168" s="485"/>
      <c r="DI1168" s="485"/>
      <c r="DJ1168" s="485"/>
      <c r="DK1168" s="485"/>
      <c r="DL1168" s="485"/>
      <c r="DM1168" s="485"/>
      <c r="DN1168" s="485"/>
      <c r="DO1168" s="485"/>
      <c r="DP1168" s="485"/>
      <c r="DQ1168" s="485"/>
      <c r="DR1168" s="485"/>
      <c r="DS1168" s="485"/>
      <c r="DT1168" s="485"/>
      <c r="DU1168" s="485"/>
      <c r="DV1168" s="485"/>
      <c r="DW1168" s="485"/>
      <c r="DX1168" s="485"/>
      <c r="DY1168" s="485"/>
      <c r="DZ1168" s="485"/>
      <c r="EA1168" s="485"/>
      <c r="EB1168" s="485"/>
      <c r="EC1168" s="485"/>
      <c r="ED1168" s="485"/>
      <c r="EE1168" s="485"/>
      <c r="EF1168" s="485"/>
      <c r="EG1168" s="485"/>
      <c r="EH1168" s="485"/>
      <c r="EI1168" s="485"/>
      <c r="EJ1168" s="485"/>
      <c r="EK1168" s="485"/>
      <c r="EL1168" s="485"/>
      <c r="EM1168" s="485"/>
      <c r="EN1168" s="485"/>
      <c r="EO1168" s="485"/>
      <c r="EP1168" s="485"/>
    </row>
    <row r="1169" spans="1:146">
      <c r="A1169" s="485"/>
      <c r="B1169" s="485"/>
      <c r="C1169" s="485"/>
      <c r="D1169" s="485"/>
      <c r="E1169" s="485"/>
      <c r="F1169" s="485"/>
      <c r="G1169" s="485"/>
      <c r="H1169" s="485"/>
      <c r="I1169" s="485"/>
      <c r="J1169" s="485"/>
      <c r="K1169" s="485"/>
      <c r="L1169" s="485"/>
      <c r="M1169" s="485"/>
      <c r="P1169" s="485"/>
      <c r="Q1169" s="485"/>
      <c r="R1169" s="485"/>
      <c r="S1169" s="485"/>
      <c r="T1169" s="485"/>
      <c r="U1169" s="485"/>
      <c r="V1169" s="485"/>
      <c r="W1169" s="485"/>
      <c r="X1169" s="485"/>
      <c r="Y1169" s="485"/>
      <c r="Z1169" s="485"/>
      <c r="AA1169" s="485"/>
      <c r="AB1169" s="485"/>
      <c r="AC1169" s="485"/>
      <c r="AD1169" s="485"/>
      <c r="AE1169" s="485"/>
      <c r="AF1169" s="485"/>
      <c r="AG1169" s="485"/>
      <c r="AH1169" s="485"/>
      <c r="AI1169" s="485"/>
      <c r="AJ1169" s="485"/>
      <c r="AK1169" s="485"/>
      <c r="AL1169" s="485"/>
      <c r="AM1169" s="485"/>
      <c r="AN1169" s="485"/>
      <c r="AO1169" s="485"/>
      <c r="AP1169" s="485"/>
      <c r="AQ1169" s="485"/>
      <c r="AR1169" s="485"/>
      <c r="AS1169" s="485"/>
      <c r="AT1169" s="485"/>
      <c r="AU1169" s="485"/>
      <c r="AV1169" s="485"/>
      <c r="AW1169" s="485"/>
      <c r="AX1169" s="485"/>
      <c r="AY1169" s="485"/>
      <c r="AZ1169" s="485"/>
      <c r="BA1169" s="485"/>
      <c r="BB1169" s="485"/>
      <c r="BC1169" s="485"/>
      <c r="BD1169" s="485"/>
      <c r="BE1169" s="485"/>
      <c r="BF1169" s="485"/>
      <c r="BG1169" s="485"/>
      <c r="BH1169" s="485"/>
      <c r="BI1169" s="485"/>
      <c r="BJ1169" s="485"/>
      <c r="BK1169" s="485"/>
      <c r="BL1169" s="485"/>
      <c r="BM1169" s="485"/>
      <c r="BN1169" s="485"/>
      <c r="BO1169" s="485"/>
      <c r="BP1169" s="485"/>
      <c r="BQ1169" s="485"/>
      <c r="BR1169" s="485"/>
      <c r="BS1169" s="485"/>
      <c r="BT1169" s="485"/>
      <c r="BU1169" s="485"/>
      <c r="BV1169" s="485"/>
      <c r="BW1169" s="485"/>
      <c r="BX1169" s="485"/>
      <c r="BY1169" s="485"/>
      <c r="BZ1169" s="485"/>
      <c r="CA1169" s="485"/>
      <c r="CB1169" s="485"/>
      <c r="CC1169" s="485"/>
      <c r="CD1169" s="485"/>
      <c r="CE1169" s="485"/>
      <c r="CF1169" s="485"/>
      <c r="CG1169" s="485"/>
      <c r="CH1169" s="485"/>
      <c r="CI1169" s="485"/>
      <c r="CJ1169" s="485"/>
      <c r="CK1169" s="485"/>
      <c r="CL1169" s="485"/>
      <c r="CM1169" s="485"/>
      <c r="CN1169" s="485"/>
      <c r="CO1169" s="485"/>
      <c r="CP1169" s="485"/>
      <c r="CQ1169" s="485"/>
      <c r="CR1169" s="485"/>
      <c r="CS1169" s="485"/>
      <c r="CT1169" s="485"/>
      <c r="CU1169" s="485"/>
      <c r="CV1169" s="485"/>
      <c r="CW1169" s="485"/>
      <c r="CX1169" s="485"/>
      <c r="CY1169" s="485"/>
      <c r="CZ1169" s="485"/>
      <c r="DA1169" s="485"/>
      <c r="DB1169" s="485"/>
      <c r="DC1169" s="485"/>
      <c r="DD1169" s="485"/>
      <c r="DE1169" s="485"/>
      <c r="DF1169" s="485"/>
      <c r="DG1169" s="485"/>
      <c r="DH1169" s="485"/>
      <c r="DI1169" s="485"/>
      <c r="DJ1169" s="485"/>
      <c r="DK1169" s="485"/>
      <c r="DL1169" s="485"/>
      <c r="DM1169" s="485"/>
      <c r="DN1169" s="485"/>
      <c r="DO1169" s="485"/>
      <c r="DP1169" s="485"/>
      <c r="DQ1169" s="485"/>
      <c r="DR1169" s="485"/>
      <c r="DS1169" s="485"/>
      <c r="DT1169" s="485"/>
      <c r="DU1169" s="485"/>
      <c r="DV1169" s="485"/>
      <c r="DW1169" s="485"/>
      <c r="DX1169" s="485"/>
      <c r="DY1169" s="485"/>
      <c r="DZ1169" s="485"/>
      <c r="EA1169" s="485"/>
      <c r="EB1169" s="485"/>
      <c r="EC1169" s="485"/>
      <c r="ED1169" s="485"/>
      <c r="EE1169" s="485"/>
      <c r="EF1169" s="485"/>
      <c r="EG1169" s="485"/>
      <c r="EH1169" s="485"/>
      <c r="EI1169" s="485"/>
      <c r="EJ1169" s="485"/>
      <c r="EK1169" s="485"/>
      <c r="EL1169" s="485"/>
      <c r="EM1169" s="485"/>
      <c r="EN1169" s="485"/>
      <c r="EO1169" s="485"/>
      <c r="EP1169" s="485"/>
    </row>
    <row r="1170" spans="1:146">
      <c r="A1170" s="485"/>
      <c r="B1170" s="485"/>
      <c r="C1170" s="485"/>
      <c r="D1170" s="485"/>
      <c r="E1170" s="485"/>
      <c r="F1170" s="485"/>
      <c r="G1170" s="485"/>
      <c r="H1170" s="485"/>
      <c r="I1170" s="485"/>
      <c r="J1170" s="485"/>
      <c r="K1170" s="485"/>
      <c r="L1170" s="485"/>
      <c r="M1170" s="485"/>
      <c r="P1170" s="485"/>
      <c r="Q1170" s="485"/>
      <c r="R1170" s="485"/>
      <c r="S1170" s="485"/>
      <c r="T1170" s="485"/>
      <c r="U1170" s="485"/>
      <c r="V1170" s="485"/>
      <c r="W1170" s="485"/>
      <c r="X1170" s="485"/>
      <c r="Y1170" s="485"/>
      <c r="Z1170" s="485"/>
      <c r="AA1170" s="485"/>
      <c r="AB1170" s="485"/>
      <c r="AC1170" s="485"/>
      <c r="AD1170" s="485"/>
      <c r="AE1170" s="485"/>
      <c r="AF1170" s="485"/>
      <c r="AG1170" s="485"/>
      <c r="AH1170" s="485"/>
      <c r="AI1170" s="485"/>
      <c r="AJ1170" s="485"/>
      <c r="AK1170" s="485"/>
      <c r="AL1170" s="485"/>
      <c r="AM1170" s="485"/>
      <c r="AN1170" s="485"/>
      <c r="AO1170" s="485"/>
      <c r="AP1170" s="485"/>
      <c r="AQ1170" s="485"/>
      <c r="AR1170" s="485"/>
      <c r="AS1170" s="485"/>
      <c r="AT1170" s="485"/>
      <c r="AU1170" s="485"/>
      <c r="AV1170" s="485"/>
      <c r="AW1170" s="485"/>
      <c r="AX1170" s="485"/>
      <c r="AY1170" s="485"/>
      <c r="AZ1170" s="485"/>
      <c r="BA1170" s="485"/>
      <c r="BB1170" s="485"/>
      <c r="BC1170" s="485"/>
      <c r="BD1170" s="485"/>
      <c r="BE1170" s="485"/>
      <c r="BF1170" s="485"/>
      <c r="BG1170" s="485"/>
      <c r="BH1170" s="485"/>
      <c r="BI1170" s="485"/>
      <c r="BJ1170" s="485"/>
      <c r="BK1170" s="485"/>
      <c r="BL1170" s="485"/>
      <c r="BM1170" s="485"/>
      <c r="BN1170" s="485"/>
      <c r="BO1170" s="485"/>
      <c r="BP1170" s="485"/>
      <c r="BQ1170" s="485"/>
      <c r="BR1170" s="485"/>
      <c r="BS1170" s="485"/>
      <c r="BT1170" s="485"/>
      <c r="BU1170" s="485"/>
      <c r="BV1170" s="485"/>
      <c r="BW1170" s="485"/>
      <c r="BX1170" s="485"/>
      <c r="BY1170" s="485"/>
      <c r="BZ1170" s="485"/>
      <c r="CA1170" s="485"/>
      <c r="CB1170" s="485"/>
      <c r="CC1170" s="485"/>
      <c r="CD1170" s="485"/>
      <c r="CE1170" s="485"/>
      <c r="CF1170" s="485"/>
      <c r="CG1170" s="485"/>
      <c r="CH1170" s="485"/>
      <c r="CI1170" s="485"/>
      <c r="CJ1170" s="485"/>
      <c r="CK1170" s="485"/>
      <c r="CL1170" s="485"/>
      <c r="CM1170" s="485"/>
      <c r="CN1170" s="485"/>
      <c r="CO1170" s="485"/>
      <c r="CP1170" s="485"/>
      <c r="CQ1170" s="485"/>
      <c r="CR1170" s="485"/>
      <c r="CS1170" s="485"/>
      <c r="CT1170" s="485"/>
      <c r="CU1170" s="485"/>
      <c r="CV1170" s="485"/>
      <c r="CW1170" s="485"/>
      <c r="CX1170" s="485"/>
      <c r="CY1170" s="485"/>
      <c r="CZ1170" s="485"/>
      <c r="DA1170" s="485"/>
      <c r="DB1170" s="485"/>
      <c r="DC1170" s="485"/>
      <c r="DD1170" s="485"/>
      <c r="DE1170" s="485"/>
      <c r="DF1170" s="485"/>
      <c r="DG1170" s="485"/>
      <c r="DH1170" s="485"/>
      <c r="DI1170" s="485"/>
      <c r="DJ1170" s="485"/>
      <c r="DK1170" s="485"/>
      <c r="DL1170" s="485"/>
      <c r="DM1170" s="485"/>
      <c r="DN1170" s="485"/>
      <c r="DO1170" s="485"/>
      <c r="DP1170" s="485"/>
      <c r="DQ1170" s="485"/>
      <c r="DR1170" s="485"/>
      <c r="DS1170" s="485"/>
      <c r="DT1170" s="485"/>
      <c r="DU1170" s="485"/>
      <c r="DV1170" s="485"/>
      <c r="DW1170" s="485"/>
      <c r="DX1170" s="485"/>
      <c r="DY1170" s="485"/>
      <c r="DZ1170" s="485"/>
      <c r="EA1170" s="485"/>
      <c r="EB1170" s="485"/>
      <c r="EC1170" s="485"/>
      <c r="ED1170" s="485"/>
      <c r="EE1170" s="485"/>
      <c r="EF1170" s="485"/>
      <c r="EG1170" s="485"/>
      <c r="EH1170" s="485"/>
      <c r="EI1170" s="485"/>
      <c r="EJ1170" s="485"/>
      <c r="EK1170" s="485"/>
      <c r="EL1170" s="485"/>
      <c r="EM1170" s="485"/>
      <c r="EN1170" s="485"/>
      <c r="EO1170" s="485"/>
      <c r="EP1170" s="485"/>
    </row>
    <row r="1171" spans="1:146">
      <c r="A1171" s="485"/>
      <c r="B1171" s="485"/>
      <c r="C1171" s="485"/>
      <c r="D1171" s="485"/>
      <c r="E1171" s="485"/>
      <c r="F1171" s="485"/>
      <c r="G1171" s="485"/>
      <c r="H1171" s="485"/>
      <c r="I1171" s="485"/>
      <c r="J1171" s="485"/>
      <c r="K1171" s="485"/>
      <c r="L1171" s="485"/>
      <c r="M1171" s="485"/>
      <c r="P1171" s="485"/>
      <c r="Q1171" s="485"/>
      <c r="R1171" s="485"/>
      <c r="S1171" s="485"/>
      <c r="T1171" s="485"/>
      <c r="U1171" s="485"/>
      <c r="V1171" s="485"/>
      <c r="W1171" s="485"/>
      <c r="X1171" s="485"/>
      <c r="Y1171" s="485"/>
      <c r="Z1171" s="485"/>
      <c r="AA1171" s="485"/>
      <c r="AB1171" s="485"/>
      <c r="AC1171" s="485"/>
      <c r="AD1171" s="485"/>
      <c r="AE1171" s="485"/>
      <c r="AF1171" s="485"/>
      <c r="AG1171" s="485"/>
      <c r="AH1171" s="485"/>
      <c r="AI1171" s="485"/>
      <c r="AJ1171" s="485"/>
      <c r="AK1171" s="485"/>
      <c r="AL1171" s="485"/>
      <c r="AM1171" s="485"/>
      <c r="AN1171" s="485"/>
      <c r="AO1171" s="485"/>
      <c r="AP1171" s="485"/>
      <c r="AQ1171" s="485"/>
      <c r="AR1171" s="485"/>
      <c r="AS1171" s="485"/>
      <c r="AT1171" s="485"/>
      <c r="AU1171" s="485"/>
      <c r="AV1171" s="485"/>
      <c r="AW1171" s="485"/>
      <c r="AX1171" s="485"/>
      <c r="AY1171" s="485"/>
      <c r="AZ1171" s="485"/>
      <c r="BA1171" s="485"/>
      <c r="BB1171" s="485"/>
      <c r="BC1171" s="485"/>
      <c r="BD1171" s="485"/>
      <c r="BE1171" s="485"/>
      <c r="BF1171" s="485"/>
      <c r="BG1171" s="485"/>
      <c r="BH1171" s="485"/>
      <c r="BI1171" s="485"/>
      <c r="BJ1171" s="485"/>
      <c r="BK1171" s="485"/>
      <c r="BL1171" s="485"/>
      <c r="BM1171" s="485"/>
      <c r="BN1171" s="485"/>
      <c r="BO1171" s="485"/>
      <c r="BP1171" s="485"/>
      <c r="BQ1171" s="485"/>
      <c r="BR1171" s="485"/>
      <c r="BS1171" s="485"/>
      <c r="BT1171" s="485"/>
      <c r="BU1171" s="485"/>
      <c r="BV1171" s="485"/>
      <c r="BW1171" s="485"/>
      <c r="BX1171" s="485"/>
      <c r="BY1171" s="485"/>
      <c r="BZ1171" s="485"/>
      <c r="CA1171" s="485"/>
      <c r="CB1171" s="485"/>
      <c r="CC1171" s="485"/>
      <c r="CD1171" s="485"/>
      <c r="CE1171" s="485"/>
      <c r="CF1171" s="485"/>
      <c r="CG1171" s="485"/>
      <c r="CH1171" s="485"/>
      <c r="CI1171" s="485"/>
      <c r="CJ1171" s="485"/>
      <c r="CK1171" s="485"/>
      <c r="CL1171" s="485"/>
      <c r="CM1171" s="485"/>
      <c r="CN1171" s="485"/>
      <c r="CO1171" s="485"/>
      <c r="CP1171" s="485"/>
      <c r="CQ1171" s="485"/>
      <c r="CR1171" s="485"/>
      <c r="CS1171" s="485"/>
      <c r="CT1171" s="485"/>
      <c r="CU1171" s="485"/>
      <c r="CV1171" s="485"/>
      <c r="CW1171" s="485"/>
      <c r="CX1171" s="485"/>
      <c r="CY1171" s="485"/>
      <c r="CZ1171" s="485"/>
      <c r="DA1171" s="485"/>
      <c r="DB1171" s="485"/>
      <c r="DC1171" s="485"/>
      <c r="DD1171" s="485"/>
      <c r="DE1171" s="485"/>
      <c r="DF1171" s="485"/>
      <c r="DG1171" s="485"/>
      <c r="DH1171" s="485"/>
      <c r="DI1171" s="485"/>
      <c r="DJ1171" s="485"/>
      <c r="DK1171" s="485"/>
      <c r="DL1171" s="485"/>
      <c r="DM1171" s="485"/>
      <c r="DN1171" s="485"/>
      <c r="DO1171" s="485"/>
      <c r="DP1171" s="485"/>
      <c r="DQ1171" s="485"/>
      <c r="DR1171" s="485"/>
      <c r="DS1171" s="485"/>
      <c r="DT1171" s="485"/>
      <c r="DU1171" s="485"/>
      <c r="DV1171" s="485"/>
      <c r="DW1171" s="485"/>
      <c r="DX1171" s="485"/>
      <c r="DY1171" s="485"/>
      <c r="DZ1171" s="485"/>
      <c r="EA1171" s="485"/>
      <c r="EB1171" s="485"/>
      <c r="EC1171" s="485"/>
      <c r="ED1171" s="485"/>
      <c r="EE1171" s="485"/>
      <c r="EF1171" s="485"/>
      <c r="EG1171" s="485"/>
      <c r="EH1171" s="485"/>
      <c r="EI1171" s="485"/>
      <c r="EJ1171" s="485"/>
      <c r="EK1171" s="485"/>
      <c r="EL1171" s="485"/>
      <c r="EM1171" s="485"/>
      <c r="EN1171" s="485"/>
      <c r="EO1171" s="485"/>
      <c r="EP1171" s="485"/>
    </row>
    <row r="1172" spans="1:146">
      <c r="A1172" s="485"/>
      <c r="B1172" s="485"/>
      <c r="C1172" s="485"/>
      <c r="D1172" s="485"/>
      <c r="E1172" s="485"/>
      <c r="F1172" s="485"/>
      <c r="G1172" s="485"/>
      <c r="H1172" s="485"/>
      <c r="I1172" s="485"/>
      <c r="J1172" s="485"/>
      <c r="K1172" s="485"/>
      <c r="L1172" s="485"/>
      <c r="M1172" s="485"/>
      <c r="P1172" s="485"/>
      <c r="Q1172" s="485"/>
      <c r="R1172" s="485"/>
      <c r="S1172" s="485"/>
      <c r="T1172" s="485"/>
      <c r="U1172" s="485"/>
      <c r="V1172" s="485"/>
      <c r="W1172" s="485"/>
      <c r="X1172" s="485"/>
      <c r="Y1172" s="485"/>
      <c r="Z1172" s="485"/>
      <c r="AA1172" s="485"/>
      <c r="AB1172" s="485"/>
      <c r="AC1172" s="485"/>
      <c r="AD1172" s="485"/>
      <c r="AE1172" s="485"/>
      <c r="AF1172" s="485"/>
      <c r="AG1172" s="485"/>
      <c r="AH1172" s="485"/>
      <c r="AI1172" s="485"/>
      <c r="AJ1172" s="485"/>
      <c r="AK1172" s="485"/>
      <c r="AL1172" s="485"/>
      <c r="AM1172" s="485"/>
      <c r="AN1172" s="485"/>
      <c r="AO1172" s="485"/>
      <c r="AP1172" s="485"/>
      <c r="AQ1172" s="485"/>
      <c r="AR1172" s="485"/>
      <c r="AS1172" s="485"/>
      <c r="AT1172" s="485"/>
      <c r="AU1172" s="485"/>
      <c r="AV1172" s="485"/>
      <c r="AW1172" s="485"/>
      <c r="AX1172" s="485"/>
      <c r="AY1172" s="485"/>
      <c r="AZ1172" s="485"/>
      <c r="BA1172" s="485"/>
      <c r="BB1172" s="485"/>
      <c r="BC1172" s="485"/>
      <c r="BD1172" s="485"/>
      <c r="BE1172" s="485"/>
      <c r="BF1172" s="485"/>
      <c r="BG1172" s="485"/>
      <c r="BH1172" s="485"/>
      <c r="BI1172" s="485"/>
      <c r="BJ1172" s="485"/>
      <c r="BK1172" s="485"/>
      <c r="BL1172" s="485"/>
      <c r="BM1172" s="485"/>
      <c r="BN1172" s="485"/>
      <c r="BO1172" s="485"/>
      <c r="BP1172" s="485"/>
      <c r="BQ1172" s="485"/>
      <c r="BR1172" s="485"/>
      <c r="BS1172" s="485"/>
      <c r="BT1172" s="485"/>
      <c r="BU1172" s="485"/>
      <c r="BV1172" s="485"/>
      <c r="BW1172" s="485"/>
      <c r="BX1172" s="485"/>
      <c r="BY1172" s="485"/>
      <c r="BZ1172" s="485"/>
      <c r="CA1172" s="485"/>
      <c r="CB1172" s="485"/>
      <c r="CC1172" s="485"/>
      <c r="CD1172" s="485"/>
      <c r="CE1172" s="485"/>
      <c r="CF1172" s="485"/>
      <c r="CG1172" s="485"/>
      <c r="CH1172" s="485"/>
      <c r="CI1172" s="485"/>
      <c r="CJ1172" s="485"/>
      <c r="CK1172" s="485"/>
      <c r="CL1172" s="485"/>
      <c r="CM1172" s="485"/>
      <c r="CN1172" s="485"/>
      <c r="CO1172" s="485"/>
      <c r="CP1172" s="485"/>
      <c r="CQ1172" s="485"/>
      <c r="CR1172" s="485"/>
      <c r="CS1172" s="485"/>
      <c r="CT1172" s="485"/>
      <c r="CU1172" s="485"/>
      <c r="CV1172" s="485"/>
      <c r="CW1172" s="485"/>
      <c r="CX1172" s="485"/>
      <c r="CY1172" s="485"/>
      <c r="CZ1172" s="485"/>
      <c r="DA1172" s="485"/>
      <c r="DB1172" s="485"/>
      <c r="DC1172" s="485"/>
      <c r="DD1172" s="485"/>
      <c r="DE1172" s="485"/>
      <c r="DF1172" s="485"/>
      <c r="DG1172" s="485"/>
      <c r="DH1172" s="485"/>
      <c r="DI1172" s="485"/>
      <c r="DJ1172" s="485"/>
      <c r="DK1172" s="485"/>
      <c r="DL1172" s="485"/>
      <c r="DM1172" s="485"/>
      <c r="DN1172" s="485"/>
      <c r="DO1172" s="485"/>
      <c r="DP1172" s="485"/>
      <c r="DQ1172" s="485"/>
      <c r="DR1172" s="485"/>
      <c r="DS1172" s="485"/>
      <c r="DT1172" s="485"/>
      <c r="DU1172" s="485"/>
      <c r="DV1172" s="485"/>
      <c r="DW1172" s="485"/>
      <c r="DX1172" s="485"/>
      <c r="DY1172" s="485"/>
      <c r="DZ1172" s="485"/>
      <c r="EA1172" s="485"/>
      <c r="EB1172" s="485"/>
      <c r="EC1172" s="485"/>
      <c r="ED1172" s="485"/>
      <c r="EE1172" s="485"/>
      <c r="EF1172" s="485"/>
      <c r="EG1172" s="485"/>
      <c r="EH1172" s="485"/>
      <c r="EI1172" s="485"/>
      <c r="EJ1172" s="485"/>
      <c r="EK1172" s="485"/>
      <c r="EL1172" s="485"/>
      <c r="EM1172" s="485"/>
      <c r="EN1172" s="485"/>
      <c r="EO1172" s="485"/>
      <c r="EP1172" s="485"/>
    </row>
    <row r="1173" spans="1:146">
      <c r="A1173" s="485"/>
      <c r="B1173" s="485"/>
      <c r="C1173" s="485"/>
      <c r="D1173" s="485"/>
      <c r="E1173" s="485"/>
      <c r="F1173" s="485"/>
      <c r="G1173" s="485"/>
      <c r="H1173" s="485"/>
      <c r="I1173" s="485"/>
      <c r="J1173" s="485"/>
      <c r="K1173" s="485"/>
      <c r="L1173" s="485"/>
      <c r="M1173" s="485"/>
      <c r="P1173" s="485"/>
      <c r="Q1173" s="485"/>
      <c r="R1173" s="485"/>
      <c r="S1173" s="485"/>
      <c r="T1173" s="485"/>
      <c r="U1173" s="485"/>
      <c r="V1173" s="485"/>
      <c r="W1173" s="485"/>
      <c r="X1173" s="485"/>
      <c r="Y1173" s="485"/>
      <c r="Z1173" s="485"/>
      <c r="AA1173" s="485"/>
      <c r="AB1173" s="485"/>
      <c r="AC1173" s="485"/>
      <c r="AD1173" s="485"/>
      <c r="AE1173" s="485"/>
      <c r="AF1173" s="485"/>
      <c r="AG1173" s="485"/>
      <c r="AH1173" s="485"/>
      <c r="AI1173" s="485"/>
      <c r="AJ1173" s="485"/>
      <c r="AK1173" s="485"/>
      <c r="AL1173" s="485"/>
      <c r="AM1173" s="485"/>
      <c r="AN1173" s="485"/>
      <c r="AO1173" s="485"/>
      <c r="AP1173" s="485"/>
      <c r="AQ1173" s="485"/>
      <c r="AR1173" s="485"/>
      <c r="AS1173" s="485"/>
      <c r="AT1173" s="485"/>
      <c r="AU1173" s="485"/>
      <c r="AV1173" s="485"/>
      <c r="AW1173" s="485"/>
      <c r="AX1173" s="485"/>
      <c r="AY1173" s="485"/>
      <c r="AZ1173" s="485"/>
      <c r="BA1173" s="485"/>
      <c r="BB1173" s="485"/>
      <c r="BC1173" s="485"/>
      <c r="BD1173" s="485"/>
      <c r="BE1173" s="485"/>
      <c r="BF1173" s="485"/>
      <c r="BG1173" s="485"/>
      <c r="BH1173" s="485"/>
      <c r="BI1173" s="485"/>
      <c r="BJ1173" s="485"/>
      <c r="BK1173" s="485"/>
      <c r="BL1173" s="485"/>
      <c r="BM1173" s="485"/>
      <c r="BN1173" s="485"/>
      <c r="BO1173" s="485"/>
      <c r="BP1173" s="485"/>
      <c r="BQ1173" s="485"/>
      <c r="BR1173" s="485"/>
      <c r="BS1173" s="485"/>
      <c r="BT1173" s="485"/>
      <c r="BU1173" s="485"/>
      <c r="BV1173" s="485"/>
      <c r="BW1173" s="485"/>
      <c r="BX1173" s="485"/>
      <c r="BY1173" s="485"/>
      <c r="BZ1173" s="485"/>
      <c r="CA1173" s="485"/>
      <c r="CB1173" s="485"/>
      <c r="CC1173" s="485"/>
      <c r="CD1173" s="485"/>
      <c r="CE1173" s="485"/>
      <c r="CF1173" s="485"/>
      <c r="CG1173" s="485"/>
      <c r="CH1173" s="485"/>
      <c r="CI1173" s="485"/>
      <c r="CJ1173" s="485"/>
      <c r="CK1173" s="485"/>
      <c r="CL1173" s="485"/>
      <c r="CM1173" s="485"/>
      <c r="CN1173" s="485"/>
      <c r="CO1173" s="485"/>
      <c r="CP1173" s="485"/>
      <c r="CQ1173" s="485"/>
      <c r="CR1173" s="485"/>
      <c r="CS1173" s="485"/>
      <c r="CT1173" s="485"/>
      <c r="CU1173" s="485"/>
      <c r="CV1173" s="485"/>
      <c r="CW1173" s="485"/>
      <c r="CX1173" s="485"/>
      <c r="CY1173" s="485"/>
      <c r="CZ1173" s="485"/>
      <c r="DA1173" s="485"/>
      <c r="DB1173" s="485"/>
      <c r="DC1173" s="485"/>
      <c r="DD1173" s="485"/>
      <c r="DE1173" s="485"/>
      <c r="DF1173" s="485"/>
      <c r="DG1173" s="485"/>
      <c r="DH1173" s="485"/>
      <c r="DI1173" s="485"/>
      <c r="DJ1173" s="485"/>
      <c r="DK1173" s="485"/>
      <c r="DL1173" s="485"/>
      <c r="DM1173" s="485"/>
      <c r="DN1173" s="485"/>
      <c r="DO1173" s="485"/>
      <c r="DP1173" s="485"/>
      <c r="DQ1173" s="485"/>
      <c r="DR1173" s="485"/>
      <c r="DS1173" s="485"/>
      <c r="DT1173" s="485"/>
      <c r="DU1173" s="485"/>
      <c r="DV1173" s="485"/>
      <c r="DW1173" s="485"/>
      <c r="DX1173" s="485"/>
      <c r="DY1173" s="485"/>
      <c r="DZ1173" s="485"/>
      <c r="EA1173" s="485"/>
      <c r="EB1173" s="485"/>
      <c r="EC1173" s="485"/>
      <c r="ED1173" s="485"/>
      <c r="EE1173" s="485"/>
      <c r="EF1173" s="485"/>
      <c r="EG1173" s="485"/>
      <c r="EH1173" s="485"/>
      <c r="EI1173" s="485"/>
      <c r="EJ1173" s="485"/>
      <c r="EK1173" s="485"/>
      <c r="EL1173" s="485"/>
      <c r="EM1173" s="485"/>
      <c r="EN1173" s="485"/>
      <c r="EO1173" s="485"/>
      <c r="EP1173" s="485"/>
    </row>
    <row r="1174" spans="1:146">
      <c r="A1174" s="485"/>
      <c r="B1174" s="485"/>
      <c r="C1174" s="485"/>
      <c r="D1174" s="485"/>
      <c r="E1174" s="485"/>
      <c r="F1174" s="485"/>
      <c r="G1174" s="485"/>
      <c r="H1174" s="485"/>
      <c r="I1174" s="485"/>
      <c r="J1174" s="485"/>
      <c r="K1174" s="485"/>
      <c r="L1174" s="485"/>
      <c r="M1174" s="485"/>
      <c r="P1174" s="485"/>
      <c r="Q1174" s="485"/>
      <c r="R1174" s="485"/>
      <c r="S1174" s="485"/>
      <c r="T1174" s="485"/>
      <c r="U1174" s="485"/>
      <c r="V1174" s="485"/>
      <c r="W1174" s="485"/>
      <c r="X1174" s="485"/>
      <c r="Y1174" s="485"/>
      <c r="Z1174" s="485"/>
      <c r="AA1174" s="485"/>
      <c r="AB1174" s="485"/>
      <c r="AC1174" s="485"/>
      <c r="AD1174" s="485"/>
      <c r="AE1174" s="485"/>
      <c r="AF1174" s="485"/>
      <c r="AG1174" s="485"/>
      <c r="AH1174" s="485"/>
      <c r="AI1174" s="485"/>
      <c r="AJ1174" s="485"/>
      <c r="AK1174" s="485"/>
      <c r="AL1174" s="485"/>
      <c r="AM1174" s="485"/>
      <c r="AN1174" s="485"/>
      <c r="AO1174" s="485"/>
      <c r="AP1174" s="485"/>
      <c r="AQ1174" s="485"/>
      <c r="AR1174" s="485"/>
      <c r="AS1174" s="485"/>
      <c r="AT1174" s="485"/>
      <c r="AU1174" s="485"/>
      <c r="AV1174" s="485"/>
      <c r="AW1174" s="485"/>
      <c r="AX1174" s="485"/>
      <c r="AY1174" s="485"/>
      <c r="AZ1174" s="485"/>
      <c r="BA1174" s="485"/>
      <c r="BB1174" s="485"/>
      <c r="BC1174" s="485"/>
      <c r="BD1174" s="485"/>
      <c r="BE1174" s="485"/>
      <c r="BF1174" s="485"/>
      <c r="BG1174" s="485"/>
      <c r="BH1174" s="485"/>
      <c r="BI1174" s="485"/>
      <c r="BJ1174" s="485"/>
      <c r="BK1174" s="485"/>
      <c r="BL1174" s="485"/>
      <c r="BM1174" s="485"/>
      <c r="BN1174" s="485"/>
      <c r="BO1174" s="485"/>
      <c r="BP1174" s="485"/>
      <c r="BQ1174" s="485"/>
      <c r="BR1174" s="485"/>
      <c r="BS1174" s="485"/>
      <c r="BT1174" s="485"/>
      <c r="BU1174" s="485"/>
      <c r="BV1174" s="485"/>
      <c r="BW1174" s="485"/>
      <c r="BX1174" s="485"/>
      <c r="BY1174" s="485"/>
      <c r="BZ1174" s="485"/>
      <c r="CA1174" s="485"/>
      <c r="CB1174" s="485"/>
      <c r="CC1174" s="485"/>
      <c r="CD1174" s="485"/>
      <c r="CE1174" s="485"/>
      <c r="CF1174" s="485"/>
      <c r="CG1174" s="485"/>
      <c r="CH1174" s="485"/>
      <c r="CI1174" s="485"/>
      <c r="CJ1174" s="485"/>
      <c r="CK1174" s="485"/>
      <c r="CL1174" s="485"/>
      <c r="CM1174" s="485"/>
      <c r="CN1174" s="485"/>
      <c r="CO1174" s="485"/>
      <c r="CP1174" s="485"/>
      <c r="CQ1174" s="485"/>
      <c r="CR1174" s="485"/>
      <c r="CS1174" s="485"/>
      <c r="CT1174" s="485"/>
      <c r="CU1174" s="485"/>
      <c r="CV1174" s="485"/>
      <c r="CW1174" s="485"/>
      <c r="CX1174" s="485"/>
      <c r="CY1174" s="485"/>
      <c r="CZ1174" s="485"/>
      <c r="DA1174" s="485"/>
      <c r="DB1174" s="485"/>
      <c r="DC1174" s="485"/>
      <c r="DD1174" s="485"/>
      <c r="DE1174" s="485"/>
      <c r="DF1174" s="485"/>
      <c r="DG1174" s="485"/>
      <c r="DH1174" s="485"/>
      <c r="DI1174" s="485"/>
      <c r="DJ1174" s="485"/>
      <c r="DK1174" s="485"/>
      <c r="DL1174" s="485"/>
      <c r="DM1174" s="485"/>
      <c r="DN1174" s="485"/>
      <c r="DO1174" s="485"/>
      <c r="DP1174" s="485"/>
      <c r="DQ1174" s="485"/>
      <c r="DR1174" s="485"/>
      <c r="DS1174" s="485"/>
      <c r="DT1174" s="485"/>
      <c r="DU1174" s="485"/>
      <c r="DV1174" s="485"/>
      <c r="DW1174" s="485"/>
      <c r="DX1174" s="485"/>
      <c r="DY1174" s="485"/>
      <c r="DZ1174" s="485"/>
      <c r="EA1174" s="485"/>
      <c r="EB1174" s="485"/>
      <c r="EC1174" s="485"/>
      <c r="ED1174" s="485"/>
      <c r="EE1174" s="485"/>
      <c r="EF1174" s="485"/>
      <c r="EG1174" s="485"/>
      <c r="EH1174" s="485"/>
      <c r="EI1174" s="485"/>
      <c r="EJ1174" s="485"/>
      <c r="EK1174" s="485"/>
      <c r="EL1174" s="485"/>
      <c r="EM1174" s="485"/>
      <c r="EN1174" s="485"/>
      <c r="EO1174" s="485"/>
      <c r="EP1174" s="485"/>
    </row>
    <row r="1175" spans="1:146">
      <c r="A1175" s="485"/>
      <c r="B1175" s="485"/>
      <c r="C1175" s="485"/>
      <c r="D1175" s="485"/>
      <c r="E1175" s="485"/>
      <c r="F1175" s="485"/>
      <c r="G1175" s="485"/>
      <c r="H1175" s="485"/>
      <c r="I1175" s="485"/>
      <c r="J1175" s="485"/>
      <c r="K1175" s="485"/>
      <c r="L1175" s="485"/>
      <c r="M1175" s="485"/>
      <c r="P1175" s="485"/>
      <c r="Q1175" s="485"/>
      <c r="R1175" s="485"/>
      <c r="S1175" s="485"/>
      <c r="T1175" s="485"/>
      <c r="U1175" s="485"/>
      <c r="V1175" s="485"/>
      <c r="W1175" s="485"/>
      <c r="X1175" s="485"/>
      <c r="Y1175" s="485"/>
      <c r="Z1175" s="485"/>
      <c r="AA1175" s="485"/>
      <c r="AB1175" s="485"/>
      <c r="AC1175" s="485"/>
      <c r="AD1175" s="485"/>
      <c r="AE1175" s="485"/>
      <c r="AF1175" s="485"/>
      <c r="AG1175" s="485"/>
      <c r="AH1175" s="485"/>
      <c r="AI1175" s="485"/>
      <c r="AJ1175" s="485"/>
      <c r="AK1175" s="485"/>
      <c r="AL1175" s="485"/>
      <c r="AM1175" s="485"/>
      <c r="AN1175" s="485"/>
      <c r="AO1175" s="485"/>
      <c r="AP1175" s="485"/>
      <c r="AQ1175" s="485"/>
      <c r="AR1175" s="485"/>
      <c r="AS1175" s="485"/>
      <c r="AT1175" s="485"/>
      <c r="AU1175" s="485"/>
      <c r="AV1175" s="485"/>
      <c r="AW1175" s="485"/>
      <c r="AX1175" s="485"/>
      <c r="AY1175" s="485"/>
      <c r="AZ1175" s="485"/>
      <c r="BA1175" s="485"/>
      <c r="BB1175" s="485"/>
      <c r="BC1175" s="485"/>
      <c r="BD1175" s="485"/>
      <c r="BE1175" s="485"/>
      <c r="BF1175" s="485"/>
      <c r="BG1175" s="485"/>
      <c r="BH1175" s="485"/>
      <c r="BI1175" s="485"/>
      <c r="BJ1175" s="485"/>
      <c r="BK1175" s="485"/>
      <c r="BL1175" s="485"/>
      <c r="BM1175" s="485"/>
      <c r="BN1175" s="485"/>
      <c r="BO1175" s="485"/>
      <c r="BP1175" s="485"/>
      <c r="BQ1175" s="485"/>
      <c r="BR1175" s="485"/>
      <c r="BS1175" s="485"/>
      <c r="BT1175" s="485"/>
      <c r="BU1175" s="485"/>
      <c r="BV1175" s="485"/>
      <c r="BW1175" s="485"/>
      <c r="BX1175" s="485"/>
      <c r="BY1175" s="485"/>
      <c r="BZ1175" s="485"/>
      <c r="CA1175" s="485"/>
      <c r="CB1175" s="485"/>
      <c r="CC1175" s="485"/>
      <c r="CD1175" s="485"/>
      <c r="CE1175" s="485"/>
      <c r="CF1175" s="485"/>
      <c r="CG1175" s="485"/>
      <c r="CH1175" s="485"/>
      <c r="CI1175" s="485"/>
      <c r="CJ1175" s="485"/>
      <c r="CK1175" s="485"/>
      <c r="CL1175" s="485"/>
      <c r="CM1175" s="485"/>
      <c r="CN1175" s="485"/>
      <c r="CO1175" s="485"/>
      <c r="CP1175" s="485"/>
      <c r="CQ1175" s="485"/>
      <c r="CR1175" s="485"/>
      <c r="CS1175" s="485"/>
      <c r="CT1175" s="485"/>
      <c r="CU1175" s="485"/>
      <c r="CV1175" s="485"/>
      <c r="CW1175" s="485"/>
      <c r="CX1175" s="485"/>
      <c r="CY1175" s="485"/>
      <c r="CZ1175" s="485"/>
      <c r="DA1175" s="485"/>
      <c r="DB1175" s="485"/>
      <c r="DC1175" s="485"/>
      <c r="DD1175" s="485"/>
      <c r="DE1175" s="485"/>
      <c r="DF1175" s="485"/>
      <c r="DG1175" s="485"/>
      <c r="DH1175" s="485"/>
      <c r="DI1175" s="485"/>
      <c r="DJ1175" s="485"/>
      <c r="DK1175" s="485"/>
      <c r="DL1175" s="485"/>
      <c r="DM1175" s="485"/>
      <c r="DN1175" s="485"/>
      <c r="DO1175" s="485"/>
      <c r="DP1175" s="485"/>
      <c r="DQ1175" s="485"/>
      <c r="DR1175" s="485"/>
      <c r="DS1175" s="485"/>
      <c r="DT1175" s="485"/>
      <c r="DU1175" s="485"/>
      <c r="DV1175" s="485"/>
      <c r="DW1175" s="485"/>
      <c r="DX1175" s="485"/>
      <c r="DY1175" s="485"/>
      <c r="DZ1175" s="485"/>
      <c r="EA1175" s="485"/>
      <c r="EB1175" s="485"/>
      <c r="EC1175" s="485"/>
      <c r="ED1175" s="485"/>
      <c r="EE1175" s="485"/>
      <c r="EF1175" s="485"/>
      <c r="EG1175" s="485"/>
      <c r="EH1175" s="485"/>
      <c r="EI1175" s="485"/>
      <c r="EJ1175" s="485"/>
      <c r="EK1175" s="485"/>
      <c r="EL1175" s="485"/>
      <c r="EM1175" s="485"/>
      <c r="EN1175" s="485"/>
      <c r="EO1175" s="485"/>
      <c r="EP1175" s="485"/>
    </row>
    <row r="1176" spans="1:146">
      <c r="A1176" s="485"/>
      <c r="B1176" s="485"/>
      <c r="C1176" s="485"/>
      <c r="D1176" s="485"/>
      <c r="E1176" s="485"/>
      <c r="F1176" s="485"/>
      <c r="G1176" s="485"/>
      <c r="H1176" s="485"/>
      <c r="I1176" s="485"/>
      <c r="J1176" s="485"/>
      <c r="K1176" s="485"/>
      <c r="L1176" s="485"/>
      <c r="M1176" s="485"/>
      <c r="P1176" s="485"/>
      <c r="Q1176" s="485"/>
      <c r="R1176" s="485"/>
      <c r="S1176" s="485"/>
      <c r="T1176" s="485"/>
      <c r="U1176" s="485"/>
      <c r="V1176" s="485"/>
      <c r="W1176" s="485"/>
      <c r="X1176" s="485"/>
      <c r="Y1176" s="485"/>
      <c r="Z1176" s="485"/>
      <c r="AA1176" s="485"/>
      <c r="AB1176" s="485"/>
      <c r="AC1176" s="485"/>
      <c r="AD1176" s="485"/>
      <c r="AE1176" s="485"/>
      <c r="AF1176" s="485"/>
      <c r="AG1176" s="485"/>
      <c r="AH1176" s="485"/>
      <c r="AI1176" s="485"/>
      <c r="AJ1176" s="485"/>
      <c r="AK1176" s="485"/>
      <c r="AL1176" s="485"/>
      <c r="AM1176" s="485"/>
      <c r="AN1176" s="485"/>
      <c r="AO1176" s="485"/>
      <c r="AP1176" s="485"/>
      <c r="AQ1176" s="485"/>
      <c r="AR1176" s="485"/>
      <c r="AS1176" s="485"/>
      <c r="AT1176" s="485"/>
      <c r="AU1176" s="485"/>
      <c r="AV1176" s="485"/>
      <c r="AW1176" s="485"/>
      <c r="AX1176" s="485"/>
      <c r="AY1176" s="485"/>
      <c r="AZ1176" s="485"/>
      <c r="BA1176" s="485"/>
      <c r="BB1176" s="485"/>
      <c r="BC1176" s="485"/>
      <c r="BD1176" s="485"/>
      <c r="BE1176" s="485"/>
      <c r="BF1176" s="485"/>
      <c r="BG1176" s="485"/>
      <c r="BH1176" s="485"/>
      <c r="BI1176" s="485"/>
      <c r="BJ1176" s="485"/>
      <c r="BK1176" s="485"/>
      <c r="BL1176" s="485"/>
      <c r="BM1176" s="485"/>
      <c r="BN1176" s="485"/>
      <c r="BO1176" s="485"/>
      <c r="BP1176" s="485"/>
      <c r="BQ1176" s="485"/>
      <c r="BR1176" s="485"/>
      <c r="BS1176" s="485"/>
      <c r="BT1176" s="485"/>
      <c r="BU1176" s="485"/>
      <c r="BV1176" s="485"/>
      <c r="BW1176" s="485"/>
      <c r="BX1176" s="485"/>
      <c r="BY1176" s="485"/>
      <c r="BZ1176" s="485"/>
      <c r="CA1176" s="485"/>
      <c r="CB1176" s="485"/>
      <c r="CC1176" s="485"/>
      <c r="CD1176" s="485"/>
      <c r="CE1176" s="485"/>
      <c r="CF1176" s="485"/>
      <c r="CG1176" s="485"/>
      <c r="CH1176" s="485"/>
      <c r="CI1176" s="485"/>
      <c r="CJ1176" s="485"/>
      <c r="CK1176" s="485"/>
      <c r="CL1176" s="485"/>
      <c r="CM1176" s="485"/>
      <c r="CN1176" s="485"/>
      <c r="CO1176" s="485"/>
      <c r="CP1176" s="485"/>
      <c r="CQ1176" s="485"/>
      <c r="CR1176" s="485"/>
      <c r="CS1176" s="485"/>
      <c r="CT1176" s="485"/>
      <c r="CU1176" s="485"/>
      <c r="CV1176" s="485"/>
      <c r="CW1176" s="485"/>
      <c r="CX1176" s="485"/>
      <c r="CY1176" s="485"/>
      <c r="CZ1176" s="485"/>
      <c r="DA1176" s="485"/>
      <c r="DB1176" s="485"/>
      <c r="DC1176" s="485"/>
      <c r="DD1176" s="485"/>
      <c r="DE1176" s="485"/>
      <c r="DF1176" s="485"/>
      <c r="DG1176" s="485"/>
      <c r="DH1176" s="485"/>
      <c r="DI1176" s="485"/>
      <c r="DJ1176" s="485"/>
      <c r="DK1176" s="485"/>
      <c r="DL1176" s="485"/>
      <c r="DM1176" s="485"/>
      <c r="DN1176" s="485"/>
      <c r="DO1176" s="485"/>
      <c r="DP1176" s="485"/>
      <c r="DQ1176" s="485"/>
      <c r="DR1176" s="485"/>
      <c r="DS1176" s="485"/>
      <c r="DT1176" s="485"/>
      <c r="DU1176" s="485"/>
      <c r="DV1176" s="485"/>
      <c r="DW1176" s="485"/>
      <c r="DX1176" s="485"/>
      <c r="DY1176" s="485"/>
      <c r="DZ1176" s="485"/>
      <c r="EA1176" s="485"/>
      <c r="EB1176" s="485"/>
      <c r="EC1176" s="485"/>
      <c r="ED1176" s="485"/>
      <c r="EE1176" s="485"/>
      <c r="EF1176" s="485"/>
      <c r="EG1176" s="485"/>
      <c r="EH1176" s="485"/>
      <c r="EI1176" s="485"/>
      <c r="EJ1176" s="485"/>
      <c r="EK1176" s="485"/>
      <c r="EL1176" s="485"/>
      <c r="EM1176" s="485"/>
      <c r="EN1176" s="485"/>
      <c r="EO1176" s="485"/>
      <c r="EP1176" s="485"/>
    </row>
    <row r="1177" spans="1:146">
      <c r="A1177" s="485"/>
      <c r="B1177" s="485"/>
      <c r="C1177" s="485"/>
      <c r="D1177" s="485"/>
      <c r="E1177" s="485"/>
      <c r="F1177" s="485"/>
      <c r="G1177" s="485"/>
      <c r="H1177" s="485"/>
      <c r="I1177" s="485"/>
      <c r="J1177" s="485"/>
      <c r="K1177" s="485"/>
      <c r="L1177" s="485"/>
      <c r="M1177" s="485"/>
      <c r="P1177" s="485"/>
      <c r="Q1177" s="485"/>
      <c r="R1177" s="485"/>
      <c r="S1177" s="485"/>
      <c r="T1177" s="485"/>
      <c r="U1177" s="485"/>
      <c r="V1177" s="485"/>
      <c r="W1177" s="485"/>
      <c r="X1177" s="485"/>
      <c r="Y1177" s="485"/>
      <c r="Z1177" s="485"/>
      <c r="AA1177" s="485"/>
      <c r="AB1177" s="485"/>
      <c r="AC1177" s="485"/>
      <c r="AD1177" s="485"/>
      <c r="AE1177" s="485"/>
      <c r="AF1177" s="485"/>
      <c r="AG1177" s="485"/>
      <c r="AH1177" s="485"/>
      <c r="AI1177" s="485"/>
      <c r="AJ1177" s="485"/>
      <c r="AK1177" s="485"/>
      <c r="AL1177" s="485"/>
      <c r="AM1177" s="485"/>
      <c r="AN1177" s="485"/>
      <c r="AO1177" s="485"/>
      <c r="AP1177" s="485"/>
      <c r="AQ1177" s="485"/>
      <c r="AR1177" s="485"/>
      <c r="AS1177" s="485"/>
      <c r="AT1177" s="485"/>
      <c r="AU1177" s="485"/>
      <c r="AV1177" s="485"/>
      <c r="AW1177" s="485"/>
      <c r="AX1177" s="485"/>
      <c r="AY1177" s="485"/>
      <c r="AZ1177" s="485"/>
      <c r="BA1177" s="485"/>
      <c r="BB1177" s="485"/>
      <c r="BC1177" s="485"/>
      <c r="BD1177" s="485"/>
      <c r="BE1177" s="485"/>
      <c r="BF1177" s="485"/>
      <c r="BG1177" s="485"/>
      <c r="BH1177" s="485"/>
      <c r="BI1177" s="485"/>
      <c r="BJ1177" s="485"/>
      <c r="BK1177" s="485"/>
      <c r="BL1177" s="485"/>
      <c r="BM1177" s="485"/>
      <c r="BN1177" s="485"/>
      <c r="BO1177" s="485"/>
      <c r="BP1177" s="485"/>
      <c r="BQ1177" s="485"/>
      <c r="BR1177" s="485"/>
      <c r="BS1177" s="485"/>
      <c r="BT1177" s="485"/>
      <c r="BU1177" s="485"/>
      <c r="BV1177" s="485"/>
      <c r="BW1177" s="485"/>
      <c r="BX1177" s="485"/>
      <c r="BY1177" s="485"/>
      <c r="BZ1177" s="485"/>
      <c r="CA1177" s="485"/>
      <c r="CB1177" s="485"/>
      <c r="CC1177" s="485"/>
      <c r="CD1177" s="485"/>
      <c r="CE1177" s="485"/>
      <c r="CF1177" s="485"/>
      <c r="CG1177" s="485"/>
      <c r="CH1177" s="485"/>
      <c r="CI1177" s="485"/>
      <c r="CJ1177" s="485"/>
      <c r="CK1177" s="485"/>
      <c r="CL1177" s="485"/>
      <c r="CM1177" s="485"/>
      <c r="CN1177" s="485"/>
      <c r="CO1177" s="485"/>
      <c r="CP1177" s="485"/>
      <c r="CQ1177" s="485"/>
      <c r="CR1177" s="485"/>
      <c r="CS1177" s="485"/>
      <c r="CT1177" s="485"/>
      <c r="CU1177" s="485"/>
      <c r="CV1177" s="485"/>
      <c r="CW1177" s="485"/>
      <c r="CX1177" s="485"/>
      <c r="CY1177" s="485"/>
      <c r="CZ1177" s="485"/>
      <c r="DA1177" s="485"/>
      <c r="DB1177" s="485"/>
      <c r="DC1177" s="485"/>
      <c r="DD1177" s="485"/>
      <c r="DE1177" s="485"/>
      <c r="DF1177" s="485"/>
      <c r="DG1177" s="485"/>
      <c r="DH1177" s="485"/>
      <c r="DI1177" s="485"/>
      <c r="DJ1177" s="485"/>
      <c r="DK1177" s="485"/>
      <c r="DL1177" s="485"/>
      <c r="DM1177" s="485"/>
      <c r="DN1177" s="485"/>
      <c r="DO1177" s="485"/>
      <c r="DP1177" s="485"/>
      <c r="DQ1177" s="485"/>
      <c r="DR1177" s="485"/>
      <c r="DS1177" s="485"/>
      <c r="DT1177" s="485"/>
      <c r="DU1177" s="485"/>
      <c r="DV1177" s="485"/>
      <c r="DW1177" s="485"/>
      <c r="DX1177" s="485"/>
      <c r="DY1177" s="485"/>
      <c r="DZ1177" s="485"/>
      <c r="EA1177" s="485"/>
      <c r="EB1177" s="485"/>
      <c r="EC1177" s="485"/>
      <c r="ED1177" s="485"/>
      <c r="EE1177" s="485"/>
      <c r="EF1177" s="485"/>
      <c r="EG1177" s="485"/>
      <c r="EH1177" s="485"/>
      <c r="EI1177" s="485"/>
      <c r="EJ1177" s="485"/>
      <c r="EK1177" s="485"/>
      <c r="EL1177" s="485"/>
      <c r="EM1177" s="485"/>
      <c r="EN1177" s="485"/>
      <c r="EO1177" s="485"/>
      <c r="EP1177" s="485"/>
    </row>
    <row r="1178" spans="1:146">
      <c r="A1178" s="485"/>
      <c r="B1178" s="485"/>
      <c r="C1178" s="485"/>
      <c r="D1178" s="485"/>
      <c r="E1178" s="485"/>
      <c r="F1178" s="485"/>
      <c r="G1178" s="485"/>
      <c r="H1178" s="485"/>
      <c r="I1178" s="485"/>
      <c r="J1178" s="485"/>
      <c r="K1178" s="485"/>
      <c r="L1178" s="485"/>
      <c r="M1178" s="485"/>
      <c r="P1178" s="485"/>
      <c r="Q1178" s="485"/>
      <c r="R1178" s="485"/>
      <c r="S1178" s="485"/>
      <c r="T1178" s="485"/>
      <c r="U1178" s="485"/>
      <c r="V1178" s="485"/>
      <c r="W1178" s="485"/>
      <c r="X1178" s="485"/>
      <c r="Y1178" s="485"/>
      <c r="Z1178" s="485"/>
      <c r="AA1178" s="485"/>
      <c r="AB1178" s="485"/>
      <c r="AC1178" s="485"/>
      <c r="AD1178" s="485"/>
      <c r="AE1178" s="485"/>
      <c r="AF1178" s="485"/>
      <c r="AG1178" s="485"/>
      <c r="AH1178" s="485"/>
      <c r="AI1178" s="485"/>
      <c r="AJ1178" s="485"/>
      <c r="AK1178" s="485"/>
      <c r="AL1178" s="485"/>
      <c r="AM1178" s="485"/>
      <c r="AN1178" s="485"/>
      <c r="AO1178" s="485"/>
      <c r="AP1178" s="485"/>
      <c r="AQ1178" s="485"/>
      <c r="AR1178" s="485"/>
      <c r="AS1178" s="485"/>
      <c r="AT1178" s="485"/>
      <c r="AU1178" s="485"/>
      <c r="AV1178" s="485"/>
      <c r="AW1178" s="485"/>
      <c r="AX1178" s="485"/>
      <c r="AY1178" s="485"/>
      <c r="AZ1178" s="485"/>
      <c r="BA1178" s="485"/>
      <c r="BB1178" s="485"/>
      <c r="BC1178" s="485"/>
      <c r="BD1178" s="485"/>
      <c r="BE1178" s="485"/>
      <c r="BF1178" s="485"/>
      <c r="BG1178" s="485"/>
      <c r="BH1178" s="485"/>
      <c r="BI1178" s="485"/>
      <c r="BJ1178" s="485"/>
      <c r="BK1178" s="485"/>
      <c r="BL1178" s="485"/>
      <c r="BM1178" s="485"/>
      <c r="BN1178" s="485"/>
      <c r="BO1178" s="485"/>
      <c r="BP1178" s="485"/>
      <c r="BQ1178" s="485"/>
      <c r="BR1178" s="485"/>
      <c r="BS1178" s="485"/>
      <c r="BT1178" s="485"/>
      <c r="BU1178" s="485"/>
      <c r="BV1178" s="485"/>
      <c r="BW1178" s="485"/>
      <c r="BX1178" s="485"/>
      <c r="BY1178" s="485"/>
      <c r="BZ1178" s="485"/>
      <c r="CA1178" s="485"/>
      <c r="CB1178" s="485"/>
      <c r="CC1178" s="485"/>
      <c r="CD1178" s="485"/>
      <c r="CE1178" s="485"/>
      <c r="CF1178" s="485"/>
      <c r="CG1178" s="485"/>
      <c r="CH1178" s="485"/>
      <c r="CI1178" s="485"/>
      <c r="CJ1178" s="485"/>
      <c r="CK1178" s="485"/>
      <c r="CL1178" s="485"/>
      <c r="CM1178" s="485"/>
      <c r="CN1178" s="485"/>
      <c r="CO1178" s="485"/>
      <c r="CP1178" s="485"/>
      <c r="CQ1178" s="485"/>
      <c r="CR1178" s="485"/>
      <c r="CS1178" s="485"/>
      <c r="CT1178" s="485"/>
      <c r="CU1178" s="485"/>
      <c r="CV1178" s="485"/>
      <c r="CW1178" s="485"/>
      <c r="CX1178" s="485"/>
      <c r="CY1178" s="485"/>
      <c r="CZ1178" s="485"/>
      <c r="DA1178" s="485"/>
      <c r="DB1178" s="485"/>
      <c r="DC1178" s="485"/>
      <c r="DD1178" s="485"/>
      <c r="DE1178" s="485"/>
      <c r="DF1178" s="485"/>
      <c r="DG1178" s="485"/>
      <c r="DH1178" s="485"/>
      <c r="DI1178" s="485"/>
      <c r="DJ1178" s="485"/>
      <c r="DK1178" s="485"/>
      <c r="DL1178" s="485"/>
      <c r="DM1178" s="485"/>
      <c r="DN1178" s="485"/>
      <c r="DO1178" s="485"/>
      <c r="DP1178" s="485"/>
      <c r="DQ1178" s="485"/>
      <c r="DR1178" s="485"/>
      <c r="DS1178" s="485"/>
      <c r="DT1178" s="485"/>
      <c r="DU1178" s="485"/>
      <c r="DV1178" s="485"/>
      <c r="DW1178" s="485"/>
      <c r="DX1178" s="485"/>
      <c r="DY1178" s="485"/>
      <c r="DZ1178" s="485"/>
      <c r="EA1178" s="485"/>
      <c r="EB1178" s="485"/>
      <c r="EC1178" s="485"/>
      <c r="ED1178" s="485"/>
      <c r="EE1178" s="485"/>
      <c r="EF1178" s="485"/>
      <c r="EG1178" s="485"/>
      <c r="EH1178" s="485"/>
      <c r="EI1178" s="485"/>
      <c r="EJ1178" s="485"/>
      <c r="EK1178" s="485"/>
      <c r="EL1178" s="485"/>
      <c r="EM1178" s="485"/>
      <c r="EN1178" s="485"/>
      <c r="EO1178" s="485"/>
      <c r="EP1178" s="485"/>
    </row>
    <row r="1179" spans="1:146">
      <c r="A1179" s="485"/>
      <c r="B1179" s="485"/>
      <c r="C1179" s="485"/>
      <c r="D1179" s="485"/>
      <c r="E1179" s="485"/>
      <c r="F1179" s="485"/>
      <c r="G1179" s="485"/>
      <c r="H1179" s="485"/>
      <c r="I1179" s="485"/>
      <c r="J1179" s="485"/>
      <c r="K1179" s="485"/>
      <c r="L1179" s="485"/>
      <c r="M1179" s="485"/>
      <c r="P1179" s="485"/>
      <c r="Q1179" s="485"/>
      <c r="R1179" s="485"/>
      <c r="S1179" s="485"/>
      <c r="T1179" s="485"/>
      <c r="U1179" s="485"/>
      <c r="V1179" s="485"/>
      <c r="W1179" s="485"/>
      <c r="X1179" s="485"/>
      <c r="Y1179" s="485"/>
      <c r="Z1179" s="485"/>
      <c r="AA1179" s="485"/>
      <c r="AB1179" s="485"/>
      <c r="AC1179" s="485"/>
      <c r="AD1179" s="485"/>
      <c r="AE1179" s="485"/>
      <c r="AF1179" s="485"/>
      <c r="AG1179" s="485"/>
      <c r="AH1179" s="485"/>
      <c r="AI1179" s="485"/>
      <c r="AJ1179" s="485"/>
      <c r="AK1179" s="485"/>
      <c r="AL1179" s="485"/>
      <c r="AM1179" s="485"/>
      <c r="AN1179" s="485"/>
      <c r="AO1179" s="485"/>
      <c r="AP1179" s="485"/>
      <c r="AQ1179" s="485"/>
      <c r="AR1179" s="485"/>
      <c r="AS1179" s="485"/>
      <c r="AT1179" s="485"/>
      <c r="AU1179" s="485"/>
      <c r="AV1179" s="485"/>
      <c r="AW1179" s="485"/>
      <c r="AX1179" s="485"/>
      <c r="AY1179" s="485"/>
      <c r="AZ1179" s="485"/>
      <c r="BA1179" s="485"/>
      <c r="BB1179" s="485"/>
      <c r="BC1179" s="485"/>
      <c r="BD1179" s="485"/>
      <c r="BE1179" s="485"/>
      <c r="BF1179" s="485"/>
      <c r="BG1179" s="485"/>
      <c r="BH1179" s="485"/>
      <c r="BI1179" s="485"/>
      <c r="BJ1179" s="485"/>
      <c r="BK1179" s="485"/>
      <c r="BL1179" s="485"/>
      <c r="BM1179" s="485"/>
      <c r="BN1179" s="485"/>
      <c r="BO1179" s="485"/>
      <c r="BP1179" s="485"/>
      <c r="BQ1179" s="485"/>
      <c r="BR1179" s="485"/>
      <c r="BS1179" s="485"/>
      <c r="BT1179" s="485"/>
      <c r="BU1179" s="485"/>
      <c r="BV1179" s="485"/>
      <c r="BW1179" s="485"/>
      <c r="BX1179" s="485"/>
      <c r="BY1179" s="485"/>
      <c r="BZ1179" s="485"/>
      <c r="CA1179" s="485"/>
      <c r="CB1179" s="485"/>
      <c r="CC1179" s="485"/>
      <c r="CD1179" s="485"/>
      <c r="CE1179" s="485"/>
      <c r="CF1179" s="485"/>
      <c r="CG1179" s="485"/>
      <c r="CH1179" s="485"/>
      <c r="CI1179" s="485"/>
      <c r="CJ1179" s="485"/>
      <c r="CK1179" s="485"/>
      <c r="CL1179" s="485"/>
      <c r="CM1179" s="485"/>
      <c r="CN1179" s="485"/>
      <c r="CO1179" s="485"/>
      <c r="CP1179" s="485"/>
      <c r="CQ1179" s="485"/>
      <c r="CR1179" s="485"/>
      <c r="CS1179" s="485"/>
      <c r="CT1179" s="485"/>
      <c r="CU1179" s="485"/>
      <c r="CV1179" s="485"/>
      <c r="CW1179" s="485"/>
      <c r="CX1179" s="485"/>
      <c r="CY1179" s="485"/>
      <c r="CZ1179" s="485"/>
      <c r="DA1179" s="485"/>
      <c r="DB1179" s="485"/>
      <c r="DC1179" s="485"/>
      <c r="DD1179" s="485"/>
      <c r="DE1179" s="485"/>
      <c r="DF1179" s="485"/>
      <c r="DG1179" s="485"/>
      <c r="DH1179" s="485"/>
      <c r="DI1179" s="485"/>
      <c r="DJ1179" s="485"/>
      <c r="DK1179" s="485"/>
      <c r="DL1179" s="485"/>
      <c r="DM1179" s="485"/>
      <c r="DN1179" s="485"/>
      <c r="DO1179" s="485"/>
      <c r="DP1179" s="485"/>
      <c r="DQ1179" s="485"/>
      <c r="DR1179" s="485"/>
      <c r="DS1179" s="485"/>
      <c r="DT1179" s="485"/>
      <c r="DU1179" s="485"/>
      <c r="DV1179" s="485"/>
      <c r="DW1179" s="485"/>
      <c r="DX1179" s="485"/>
      <c r="DY1179" s="485"/>
      <c r="DZ1179" s="485"/>
      <c r="EA1179" s="485"/>
      <c r="EB1179" s="485"/>
      <c r="EC1179" s="485"/>
      <c r="ED1179" s="485"/>
      <c r="EE1179" s="485"/>
      <c r="EF1179" s="485"/>
      <c r="EG1179" s="485"/>
      <c r="EH1179" s="485"/>
      <c r="EI1179" s="485"/>
      <c r="EJ1179" s="485"/>
      <c r="EK1179" s="485"/>
      <c r="EL1179" s="485"/>
      <c r="EM1179" s="485"/>
      <c r="EN1179" s="485"/>
      <c r="EO1179" s="485"/>
      <c r="EP1179" s="485"/>
    </row>
    <row r="1180" spans="1:146">
      <c r="A1180" s="485"/>
      <c r="B1180" s="485"/>
      <c r="C1180" s="485"/>
      <c r="D1180" s="485"/>
      <c r="E1180" s="485"/>
      <c r="F1180" s="485"/>
      <c r="G1180" s="485"/>
      <c r="H1180" s="485"/>
      <c r="I1180" s="485"/>
      <c r="J1180" s="485"/>
      <c r="K1180" s="485"/>
      <c r="L1180" s="485"/>
      <c r="M1180" s="485"/>
      <c r="P1180" s="485"/>
      <c r="Q1180" s="485"/>
      <c r="R1180" s="485"/>
      <c r="S1180" s="485"/>
      <c r="T1180" s="485"/>
      <c r="U1180" s="485"/>
      <c r="V1180" s="485"/>
      <c r="W1180" s="485"/>
      <c r="X1180" s="485"/>
      <c r="Y1180" s="485"/>
      <c r="Z1180" s="485"/>
      <c r="AA1180" s="485"/>
      <c r="AB1180" s="485"/>
      <c r="AC1180" s="485"/>
      <c r="AD1180" s="485"/>
      <c r="AE1180" s="485"/>
      <c r="AF1180" s="485"/>
      <c r="AG1180" s="485"/>
      <c r="AH1180" s="485"/>
      <c r="AI1180" s="485"/>
      <c r="AJ1180" s="485"/>
      <c r="AK1180" s="485"/>
      <c r="AL1180" s="485"/>
      <c r="AM1180" s="485"/>
      <c r="AN1180" s="485"/>
      <c r="AO1180" s="485"/>
      <c r="AP1180" s="485"/>
      <c r="AQ1180" s="485"/>
      <c r="AR1180" s="485"/>
      <c r="AS1180" s="485"/>
      <c r="AT1180" s="485"/>
      <c r="AU1180" s="485"/>
      <c r="AV1180" s="485"/>
      <c r="AW1180" s="485"/>
      <c r="AX1180" s="485"/>
      <c r="AY1180" s="485"/>
      <c r="AZ1180" s="485"/>
      <c r="BA1180" s="485"/>
      <c r="BB1180" s="485"/>
      <c r="BC1180" s="485"/>
      <c r="BD1180" s="485"/>
      <c r="BE1180" s="485"/>
      <c r="BF1180" s="485"/>
      <c r="BG1180" s="485"/>
      <c r="BH1180" s="485"/>
      <c r="BI1180" s="485"/>
      <c r="BJ1180" s="485"/>
      <c r="BK1180" s="485"/>
      <c r="BL1180" s="485"/>
      <c r="BM1180" s="485"/>
      <c r="BN1180" s="485"/>
      <c r="BO1180" s="485"/>
      <c r="BP1180" s="485"/>
      <c r="BQ1180" s="485"/>
      <c r="BR1180" s="485"/>
      <c r="BS1180" s="485"/>
      <c r="BT1180" s="485"/>
      <c r="BU1180" s="485"/>
      <c r="BV1180" s="485"/>
      <c r="BW1180" s="485"/>
      <c r="BX1180" s="485"/>
      <c r="BY1180" s="485"/>
      <c r="BZ1180" s="485"/>
      <c r="CA1180" s="485"/>
      <c r="CB1180" s="485"/>
      <c r="CC1180" s="485"/>
      <c r="CD1180" s="485"/>
      <c r="CE1180" s="485"/>
      <c r="CF1180" s="485"/>
      <c r="CG1180" s="485"/>
      <c r="CH1180" s="485"/>
      <c r="CI1180" s="485"/>
      <c r="CJ1180" s="485"/>
      <c r="CK1180" s="485"/>
      <c r="CL1180" s="485"/>
      <c r="CM1180" s="485"/>
      <c r="CN1180" s="485"/>
      <c r="CO1180" s="485"/>
      <c r="CP1180" s="485"/>
      <c r="CQ1180" s="485"/>
      <c r="CR1180" s="485"/>
      <c r="CS1180" s="485"/>
      <c r="CT1180" s="485"/>
      <c r="CU1180" s="485"/>
      <c r="CV1180" s="485"/>
      <c r="CW1180" s="485"/>
      <c r="CX1180" s="485"/>
      <c r="CY1180" s="485"/>
      <c r="CZ1180" s="485"/>
      <c r="DA1180" s="485"/>
      <c r="DB1180" s="485"/>
      <c r="DC1180" s="485"/>
      <c r="DD1180" s="485"/>
      <c r="DE1180" s="485"/>
      <c r="DF1180" s="485"/>
      <c r="DG1180" s="485"/>
      <c r="DH1180" s="485"/>
      <c r="DI1180" s="485"/>
      <c r="DJ1180" s="485"/>
      <c r="DK1180" s="485"/>
      <c r="DL1180" s="485"/>
      <c r="DM1180" s="485"/>
      <c r="DN1180" s="485"/>
      <c r="DO1180" s="485"/>
      <c r="DP1180" s="485"/>
      <c r="DQ1180" s="485"/>
      <c r="DR1180" s="485"/>
      <c r="DS1180" s="485"/>
      <c r="DT1180" s="485"/>
      <c r="DU1180" s="485"/>
      <c r="DV1180" s="485"/>
      <c r="DW1180" s="485"/>
      <c r="DX1180" s="485"/>
      <c r="DY1180" s="485"/>
      <c r="DZ1180" s="485"/>
      <c r="EA1180" s="485"/>
      <c r="EB1180" s="485"/>
      <c r="EC1180" s="485"/>
      <c r="ED1180" s="485"/>
      <c r="EE1180" s="485"/>
      <c r="EF1180" s="485"/>
      <c r="EG1180" s="485"/>
      <c r="EH1180" s="485"/>
      <c r="EI1180" s="485"/>
      <c r="EJ1180" s="485"/>
      <c r="EK1180" s="485"/>
      <c r="EL1180" s="485"/>
      <c r="EM1180" s="485"/>
      <c r="EN1180" s="485"/>
      <c r="EO1180" s="485"/>
      <c r="EP1180" s="485"/>
    </row>
    <row r="1181" spans="1:146">
      <c r="A1181" s="485"/>
      <c r="B1181" s="485"/>
      <c r="C1181" s="485"/>
      <c r="D1181" s="485"/>
      <c r="E1181" s="485"/>
      <c r="F1181" s="485"/>
      <c r="G1181" s="485"/>
      <c r="H1181" s="485"/>
      <c r="I1181" s="485"/>
      <c r="J1181" s="485"/>
      <c r="K1181" s="485"/>
      <c r="L1181" s="485"/>
      <c r="M1181" s="485"/>
      <c r="P1181" s="485"/>
      <c r="Q1181" s="485"/>
      <c r="R1181" s="485"/>
      <c r="S1181" s="485"/>
      <c r="T1181" s="485"/>
      <c r="U1181" s="485"/>
      <c r="V1181" s="485"/>
      <c r="W1181" s="485"/>
      <c r="X1181" s="485"/>
      <c r="Y1181" s="485"/>
      <c r="Z1181" s="485"/>
      <c r="AA1181" s="485"/>
      <c r="AB1181" s="485"/>
      <c r="AC1181" s="485"/>
      <c r="AD1181" s="485"/>
      <c r="AE1181" s="485"/>
      <c r="AF1181" s="485"/>
      <c r="AG1181" s="485"/>
      <c r="AH1181" s="485"/>
      <c r="AI1181" s="485"/>
      <c r="AJ1181" s="485"/>
      <c r="AK1181" s="485"/>
      <c r="AL1181" s="485"/>
      <c r="AM1181" s="485"/>
      <c r="AN1181" s="485"/>
      <c r="AO1181" s="485"/>
      <c r="AP1181" s="485"/>
      <c r="AQ1181" s="485"/>
      <c r="AR1181" s="485"/>
      <c r="AS1181" s="485"/>
      <c r="AT1181" s="485"/>
      <c r="AU1181" s="485"/>
      <c r="AV1181" s="485"/>
      <c r="AW1181" s="485"/>
      <c r="AX1181" s="485"/>
      <c r="AY1181" s="485"/>
      <c r="AZ1181" s="485"/>
      <c r="BA1181" s="485"/>
      <c r="BB1181" s="485"/>
      <c r="BC1181" s="485"/>
      <c r="BD1181" s="485"/>
      <c r="BE1181" s="485"/>
      <c r="BF1181" s="485"/>
      <c r="BG1181" s="485"/>
      <c r="BH1181" s="485"/>
      <c r="BI1181" s="485"/>
      <c r="BJ1181" s="485"/>
      <c r="BK1181" s="485"/>
      <c r="BL1181" s="485"/>
      <c r="BM1181" s="485"/>
      <c r="BN1181" s="485"/>
      <c r="BO1181" s="485"/>
      <c r="BP1181" s="485"/>
      <c r="BQ1181" s="485"/>
      <c r="BR1181" s="485"/>
      <c r="BS1181" s="485"/>
      <c r="BT1181" s="485"/>
      <c r="BU1181" s="485"/>
      <c r="BV1181" s="485"/>
      <c r="BW1181" s="485"/>
      <c r="BX1181" s="485"/>
      <c r="BY1181" s="485"/>
      <c r="BZ1181" s="485"/>
      <c r="CA1181" s="485"/>
      <c r="CB1181" s="485"/>
      <c r="CC1181" s="485"/>
      <c r="CD1181" s="485"/>
      <c r="CE1181" s="485"/>
      <c r="CF1181" s="485"/>
      <c r="CG1181" s="485"/>
      <c r="CH1181" s="485"/>
      <c r="CI1181" s="485"/>
      <c r="CJ1181" s="485"/>
      <c r="CK1181" s="485"/>
      <c r="CL1181" s="485"/>
      <c r="CM1181" s="485"/>
      <c r="CN1181" s="485"/>
      <c r="CO1181" s="485"/>
      <c r="CP1181" s="485"/>
      <c r="CQ1181" s="485"/>
      <c r="CR1181" s="485"/>
      <c r="CS1181" s="485"/>
      <c r="CT1181" s="485"/>
      <c r="CU1181" s="485"/>
      <c r="CV1181" s="485"/>
      <c r="CW1181" s="485"/>
      <c r="CX1181" s="485"/>
      <c r="CY1181" s="485"/>
      <c r="CZ1181" s="485"/>
      <c r="DA1181" s="485"/>
      <c r="DB1181" s="485"/>
      <c r="DC1181" s="485"/>
      <c r="DD1181" s="485"/>
      <c r="DE1181" s="485"/>
      <c r="DF1181" s="485"/>
      <c r="DG1181" s="485"/>
      <c r="DH1181" s="485"/>
      <c r="DI1181" s="485"/>
      <c r="DJ1181" s="485"/>
      <c r="DK1181" s="485"/>
      <c r="DL1181" s="485"/>
      <c r="DM1181" s="485"/>
      <c r="DN1181" s="485"/>
      <c r="DO1181" s="485"/>
      <c r="DP1181" s="485"/>
      <c r="DQ1181" s="485"/>
      <c r="DR1181" s="485"/>
      <c r="DS1181" s="485"/>
      <c r="DT1181" s="485"/>
      <c r="DU1181" s="485"/>
      <c r="DV1181" s="485"/>
      <c r="DW1181" s="485"/>
      <c r="DX1181" s="485"/>
      <c r="DY1181" s="485"/>
      <c r="DZ1181" s="485"/>
      <c r="EA1181" s="485"/>
      <c r="EB1181" s="485"/>
      <c r="EC1181" s="485"/>
      <c r="ED1181" s="485"/>
      <c r="EE1181" s="485"/>
      <c r="EF1181" s="485"/>
      <c r="EG1181" s="485"/>
      <c r="EH1181" s="485"/>
      <c r="EI1181" s="485"/>
      <c r="EJ1181" s="485"/>
      <c r="EK1181" s="485"/>
      <c r="EL1181" s="485"/>
      <c r="EM1181" s="485"/>
      <c r="EN1181" s="485"/>
      <c r="EO1181" s="485"/>
      <c r="EP1181" s="485"/>
    </row>
    <row r="1182" spans="1:146">
      <c r="A1182" s="485"/>
      <c r="B1182" s="485"/>
      <c r="C1182" s="485"/>
      <c r="D1182" s="485"/>
      <c r="E1182" s="485"/>
      <c r="F1182" s="485"/>
      <c r="G1182" s="485"/>
      <c r="H1182" s="485"/>
      <c r="I1182" s="485"/>
      <c r="J1182" s="485"/>
      <c r="K1182" s="485"/>
      <c r="L1182" s="485"/>
      <c r="M1182" s="485"/>
      <c r="P1182" s="485"/>
      <c r="Q1182" s="485"/>
      <c r="R1182" s="485"/>
      <c r="S1182" s="485"/>
      <c r="T1182" s="485"/>
      <c r="U1182" s="485"/>
      <c r="V1182" s="485"/>
      <c r="W1182" s="485"/>
      <c r="X1182" s="485"/>
      <c r="Y1182" s="485"/>
      <c r="Z1182" s="485"/>
      <c r="AA1182" s="485"/>
      <c r="AB1182" s="485"/>
      <c r="AC1182" s="485"/>
      <c r="AD1182" s="485"/>
      <c r="AE1182" s="485"/>
      <c r="AF1182" s="485"/>
      <c r="AG1182" s="485"/>
      <c r="AH1182" s="485"/>
      <c r="AI1182" s="485"/>
      <c r="AJ1182" s="485"/>
      <c r="AK1182" s="485"/>
      <c r="AL1182" s="485"/>
      <c r="AM1182" s="485"/>
      <c r="AN1182" s="485"/>
      <c r="AO1182" s="485"/>
      <c r="AP1182" s="485"/>
      <c r="AQ1182" s="485"/>
      <c r="AR1182" s="485"/>
      <c r="AS1182" s="485"/>
      <c r="AT1182" s="485"/>
      <c r="AU1182" s="485"/>
      <c r="AV1182" s="485"/>
      <c r="AW1182" s="485"/>
      <c r="AX1182" s="485"/>
      <c r="AY1182" s="485"/>
      <c r="AZ1182" s="485"/>
      <c r="BA1182" s="485"/>
      <c r="BB1182" s="485"/>
      <c r="BC1182" s="485"/>
      <c r="BD1182" s="485"/>
      <c r="BE1182" s="485"/>
      <c r="BF1182" s="485"/>
      <c r="BG1182" s="485"/>
      <c r="BH1182" s="485"/>
      <c r="BI1182" s="485"/>
      <c r="BJ1182" s="485"/>
      <c r="BK1182" s="485"/>
      <c r="BL1182" s="485"/>
      <c r="BM1182" s="485"/>
      <c r="BN1182" s="485"/>
      <c r="BO1182" s="485"/>
      <c r="BP1182" s="485"/>
      <c r="BQ1182" s="485"/>
      <c r="BR1182" s="485"/>
      <c r="BS1182" s="485"/>
      <c r="BT1182" s="485"/>
      <c r="BU1182" s="485"/>
      <c r="BV1182" s="485"/>
      <c r="BW1182" s="485"/>
      <c r="BX1182" s="485"/>
      <c r="BY1182" s="485"/>
      <c r="BZ1182" s="485"/>
      <c r="CA1182" s="485"/>
      <c r="CB1182" s="485"/>
      <c r="CC1182" s="485"/>
      <c r="CD1182" s="485"/>
      <c r="CE1182" s="485"/>
      <c r="CF1182" s="485"/>
      <c r="CG1182" s="485"/>
      <c r="CH1182" s="485"/>
      <c r="CI1182" s="485"/>
      <c r="CJ1182" s="485"/>
      <c r="CK1182" s="485"/>
      <c r="CL1182" s="485"/>
      <c r="CM1182" s="485"/>
      <c r="CN1182" s="485"/>
      <c r="CO1182" s="485"/>
      <c r="CP1182" s="485"/>
      <c r="CQ1182" s="485"/>
      <c r="CR1182" s="485"/>
      <c r="CS1182" s="485"/>
      <c r="CT1182" s="485"/>
      <c r="CU1182" s="485"/>
      <c r="CV1182" s="485"/>
      <c r="CW1182" s="485"/>
      <c r="CX1182" s="485"/>
      <c r="CY1182" s="485"/>
      <c r="CZ1182" s="485"/>
      <c r="DA1182" s="485"/>
      <c r="DB1182" s="485"/>
      <c r="DC1182" s="485"/>
      <c r="DD1182" s="485"/>
      <c r="DE1182" s="485"/>
      <c r="DF1182" s="485"/>
      <c r="DG1182" s="485"/>
      <c r="DH1182" s="485"/>
      <c r="DI1182" s="485"/>
      <c r="DJ1182" s="485"/>
      <c r="DK1182" s="485"/>
      <c r="DL1182" s="485"/>
      <c r="DM1182" s="485"/>
      <c r="DN1182" s="485"/>
      <c r="DO1182" s="485"/>
      <c r="DP1182" s="485"/>
      <c r="DQ1182" s="485"/>
      <c r="DR1182" s="485"/>
      <c r="DS1182" s="485"/>
      <c r="DT1182" s="485"/>
      <c r="DU1182" s="485"/>
      <c r="DV1182" s="485"/>
      <c r="DW1182" s="485"/>
      <c r="DX1182" s="485"/>
      <c r="DY1182" s="485"/>
      <c r="DZ1182" s="485"/>
      <c r="EA1182" s="485"/>
      <c r="EB1182" s="485"/>
      <c r="EC1182" s="485"/>
      <c r="ED1182" s="485"/>
      <c r="EE1182" s="485"/>
      <c r="EF1182" s="485"/>
      <c r="EG1182" s="485"/>
      <c r="EH1182" s="485"/>
      <c r="EI1182" s="485"/>
      <c r="EJ1182" s="485"/>
      <c r="EK1182" s="485"/>
      <c r="EL1182" s="485"/>
      <c r="EM1182" s="485"/>
      <c r="EN1182" s="485"/>
      <c r="EO1182" s="485"/>
      <c r="EP1182" s="485"/>
    </row>
    <row r="1183" spans="1:146">
      <c r="A1183" s="485"/>
      <c r="B1183" s="485"/>
      <c r="C1183" s="485"/>
      <c r="D1183" s="485"/>
      <c r="E1183" s="485"/>
      <c r="F1183" s="485"/>
      <c r="G1183" s="485"/>
      <c r="H1183" s="485"/>
      <c r="I1183" s="485"/>
      <c r="J1183" s="485"/>
      <c r="K1183" s="485"/>
      <c r="L1183" s="485"/>
      <c r="M1183" s="485"/>
      <c r="P1183" s="485"/>
      <c r="Q1183" s="485"/>
      <c r="R1183" s="485"/>
      <c r="S1183" s="485"/>
      <c r="T1183" s="485"/>
      <c r="U1183" s="485"/>
      <c r="V1183" s="485"/>
      <c r="W1183" s="485"/>
      <c r="X1183" s="485"/>
      <c r="Y1183" s="485"/>
      <c r="Z1183" s="485"/>
      <c r="AA1183" s="485"/>
      <c r="AB1183" s="485"/>
      <c r="AC1183" s="485"/>
      <c r="AD1183" s="485"/>
      <c r="AE1183" s="485"/>
      <c r="AF1183" s="485"/>
      <c r="AG1183" s="485"/>
      <c r="AH1183" s="485"/>
      <c r="AI1183" s="485"/>
      <c r="AJ1183" s="485"/>
      <c r="AK1183" s="485"/>
      <c r="AL1183" s="485"/>
      <c r="AM1183" s="485"/>
      <c r="AN1183" s="485"/>
      <c r="AO1183" s="485"/>
      <c r="AP1183" s="485"/>
      <c r="AQ1183" s="485"/>
      <c r="AR1183" s="485"/>
      <c r="AS1183" s="485"/>
      <c r="AT1183" s="485"/>
      <c r="AU1183" s="485"/>
      <c r="AV1183" s="485"/>
      <c r="AW1183" s="485"/>
      <c r="AX1183" s="485"/>
      <c r="AY1183" s="485"/>
      <c r="AZ1183" s="485"/>
      <c r="BA1183" s="485"/>
      <c r="BB1183" s="485"/>
      <c r="BC1183" s="485"/>
      <c r="BD1183" s="485"/>
      <c r="BE1183" s="485"/>
      <c r="BF1183" s="485"/>
      <c r="BG1183" s="485"/>
      <c r="BH1183" s="485"/>
      <c r="BI1183" s="485"/>
      <c r="BJ1183" s="485"/>
      <c r="BK1183" s="485"/>
      <c r="BL1183" s="485"/>
      <c r="BM1183" s="485"/>
      <c r="BN1183" s="485"/>
      <c r="BO1183" s="485"/>
      <c r="BP1183" s="485"/>
      <c r="BQ1183" s="485"/>
      <c r="BR1183" s="485"/>
      <c r="BS1183" s="485"/>
      <c r="BT1183" s="485"/>
      <c r="BU1183" s="485"/>
      <c r="BV1183" s="485"/>
      <c r="BW1183" s="485"/>
      <c r="BX1183" s="485"/>
      <c r="BY1183" s="485"/>
      <c r="BZ1183" s="485"/>
      <c r="CA1183" s="485"/>
      <c r="CB1183" s="485"/>
      <c r="CC1183" s="485"/>
      <c r="CD1183" s="485"/>
      <c r="CE1183" s="485"/>
      <c r="CF1183" s="485"/>
      <c r="CG1183" s="485"/>
      <c r="CH1183" s="485"/>
      <c r="CI1183" s="485"/>
      <c r="CJ1183" s="485"/>
      <c r="CK1183" s="485"/>
      <c r="CL1183" s="485"/>
      <c r="CM1183" s="485"/>
      <c r="CN1183" s="485"/>
      <c r="CO1183" s="485"/>
      <c r="CP1183" s="485"/>
      <c r="CQ1183" s="485"/>
      <c r="CR1183" s="485"/>
      <c r="CS1183" s="485"/>
      <c r="CT1183" s="485"/>
      <c r="CU1183" s="485"/>
      <c r="CV1183" s="485"/>
      <c r="CW1183" s="485"/>
      <c r="CX1183" s="485"/>
      <c r="CY1183" s="485"/>
      <c r="CZ1183" s="485"/>
      <c r="DA1183" s="485"/>
      <c r="DB1183" s="485"/>
      <c r="DC1183" s="485"/>
      <c r="DD1183" s="485"/>
      <c r="DE1183" s="485"/>
      <c r="DF1183" s="485"/>
      <c r="DG1183" s="485"/>
      <c r="DH1183" s="485"/>
      <c r="DI1183" s="485"/>
      <c r="DJ1183" s="485"/>
      <c r="DK1183" s="485"/>
      <c r="DL1183" s="485"/>
      <c r="DM1183" s="485"/>
      <c r="DN1183" s="485"/>
      <c r="DO1183" s="485"/>
      <c r="DP1183" s="485"/>
      <c r="DQ1183" s="485"/>
      <c r="DR1183" s="485"/>
      <c r="DS1183" s="485"/>
      <c r="DT1183" s="485"/>
      <c r="DU1183" s="485"/>
      <c r="DV1183" s="485"/>
      <c r="DW1183" s="485"/>
      <c r="DX1183" s="485"/>
      <c r="DY1183" s="485"/>
      <c r="DZ1183" s="485"/>
      <c r="EA1183" s="485"/>
      <c r="EB1183" s="485"/>
      <c r="EC1183" s="485"/>
      <c r="ED1183" s="485"/>
      <c r="EE1183" s="485"/>
      <c r="EF1183" s="485"/>
      <c r="EG1183" s="485"/>
      <c r="EH1183" s="485"/>
      <c r="EI1183" s="485"/>
      <c r="EJ1183" s="485"/>
      <c r="EK1183" s="485"/>
      <c r="EL1183" s="485"/>
      <c r="EM1183" s="485"/>
      <c r="EN1183" s="485"/>
      <c r="EO1183" s="485"/>
      <c r="EP1183" s="485"/>
    </row>
    <row r="1184" spans="1:146">
      <c r="A1184" s="485"/>
      <c r="B1184" s="485"/>
      <c r="C1184" s="485"/>
      <c r="D1184" s="485"/>
      <c r="E1184" s="485"/>
      <c r="F1184" s="485"/>
      <c r="G1184" s="485"/>
      <c r="H1184" s="485"/>
      <c r="I1184" s="485"/>
      <c r="J1184" s="485"/>
      <c r="K1184" s="485"/>
      <c r="L1184" s="485"/>
      <c r="M1184" s="485"/>
      <c r="P1184" s="485"/>
      <c r="Q1184" s="485"/>
      <c r="R1184" s="485"/>
      <c r="S1184" s="485"/>
      <c r="T1184" s="485"/>
      <c r="U1184" s="485"/>
      <c r="V1184" s="485"/>
      <c r="W1184" s="485"/>
      <c r="X1184" s="485"/>
      <c r="Y1184" s="485"/>
      <c r="Z1184" s="485"/>
      <c r="AA1184" s="485"/>
      <c r="AB1184" s="485"/>
      <c r="AC1184" s="485"/>
      <c r="AD1184" s="485"/>
      <c r="AE1184" s="485"/>
      <c r="AF1184" s="485"/>
      <c r="AG1184" s="485"/>
      <c r="AH1184" s="485"/>
      <c r="AI1184" s="485"/>
      <c r="AJ1184" s="485"/>
      <c r="AK1184" s="485"/>
      <c r="AL1184" s="485"/>
      <c r="AM1184" s="485"/>
      <c r="AN1184" s="485"/>
      <c r="AO1184" s="485"/>
      <c r="AP1184" s="485"/>
      <c r="AQ1184" s="485"/>
      <c r="AR1184" s="485"/>
      <c r="AS1184" s="485"/>
      <c r="AT1184" s="485"/>
      <c r="AU1184" s="485"/>
      <c r="AV1184" s="485"/>
      <c r="AW1184" s="485"/>
      <c r="AX1184" s="485"/>
      <c r="AY1184" s="485"/>
      <c r="AZ1184" s="485"/>
      <c r="BA1184" s="485"/>
      <c r="BB1184" s="485"/>
      <c r="BC1184" s="485"/>
      <c r="BD1184" s="485"/>
      <c r="BE1184" s="485"/>
      <c r="BF1184" s="485"/>
      <c r="BG1184" s="485"/>
      <c r="BH1184" s="485"/>
      <c r="BI1184" s="485"/>
      <c r="BJ1184" s="485"/>
      <c r="BK1184" s="485"/>
      <c r="BL1184" s="485"/>
      <c r="BM1184" s="485"/>
      <c r="BN1184" s="485"/>
      <c r="BO1184" s="485"/>
      <c r="BP1184" s="485"/>
      <c r="BQ1184" s="485"/>
      <c r="BR1184" s="485"/>
      <c r="BS1184" s="485"/>
      <c r="BT1184" s="485"/>
      <c r="BU1184" s="485"/>
      <c r="BV1184" s="485"/>
      <c r="BW1184" s="485"/>
      <c r="BX1184" s="485"/>
      <c r="BY1184" s="485"/>
      <c r="BZ1184" s="485"/>
      <c r="CA1184" s="485"/>
      <c r="CB1184" s="485"/>
      <c r="CC1184" s="485"/>
      <c r="CD1184" s="485"/>
      <c r="CE1184" s="485"/>
      <c r="CF1184" s="485"/>
      <c r="CG1184" s="485"/>
      <c r="CH1184" s="485"/>
      <c r="CI1184" s="485"/>
      <c r="CJ1184" s="485"/>
      <c r="CK1184" s="485"/>
      <c r="CL1184" s="485"/>
      <c r="CM1184" s="485"/>
      <c r="CN1184" s="485"/>
      <c r="CO1184" s="485"/>
      <c r="CP1184" s="485"/>
      <c r="CQ1184" s="485"/>
      <c r="CR1184" s="485"/>
      <c r="CS1184" s="485"/>
      <c r="CT1184" s="485"/>
      <c r="CU1184" s="485"/>
      <c r="CV1184" s="485"/>
      <c r="CW1184" s="485"/>
      <c r="CX1184" s="485"/>
      <c r="CY1184" s="485"/>
      <c r="CZ1184" s="485"/>
      <c r="DA1184" s="485"/>
      <c r="DB1184" s="485"/>
      <c r="DC1184" s="485"/>
      <c r="DD1184" s="485"/>
      <c r="DE1184" s="485"/>
      <c r="DF1184" s="485"/>
      <c r="DG1184" s="485"/>
      <c r="DH1184" s="485"/>
      <c r="DI1184" s="485"/>
      <c r="DJ1184" s="485"/>
      <c r="DK1184" s="485"/>
      <c r="DL1184" s="485"/>
      <c r="DM1184" s="485"/>
      <c r="DN1184" s="485"/>
      <c r="DO1184" s="485"/>
      <c r="DP1184" s="485"/>
      <c r="DQ1184" s="485"/>
      <c r="DR1184" s="485"/>
      <c r="DS1184" s="485"/>
      <c r="DT1184" s="485"/>
      <c r="DU1184" s="485"/>
      <c r="DV1184" s="485"/>
      <c r="DW1184" s="485"/>
      <c r="DX1184" s="485"/>
      <c r="DY1184" s="485"/>
      <c r="DZ1184" s="485"/>
      <c r="EA1184" s="485"/>
      <c r="EB1184" s="485"/>
      <c r="EC1184" s="485"/>
      <c r="ED1184" s="485"/>
      <c r="EE1184" s="485"/>
      <c r="EF1184" s="485"/>
      <c r="EG1184" s="485"/>
      <c r="EH1184" s="485"/>
      <c r="EI1184" s="485"/>
      <c r="EJ1184" s="485"/>
      <c r="EK1184" s="485"/>
      <c r="EL1184" s="485"/>
      <c r="EM1184" s="485"/>
      <c r="EN1184" s="485"/>
      <c r="EO1184" s="485"/>
      <c r="EP1184" s="485"/>
    </row>
  </sheetData>
  <phoneticPr fontId="0" type="noConversion"/>
  <printOptions horizontalCentered="1"/>
  <pageMargins left="0.39370078740157499" right="0.39370078740157499" top="1" bottom="1" header="0.511811023622047" footer="0.511811023622047"/>
  <pageSetup paperSize="5" scale="45" fitToHeight="7" orientation="landscape" r:id="rId1"/>
  <headerFooter alignWithMargins="0">
    <oddFooter>&amp;CPage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3"/>
  <sheetViews>
    <sheetView workbookViewId="0">
      <selection activeCell="B40" sqref="B40"/>
    </sheetView>
  </sheetViews>
  <sheetFormatPr defaultRowHeight="15"/>
  <cols>
    <col min="1" max="1" width="22.21875" customWidth="1"/>
    <col min="2" max="3" width="9.6640625" customWidth="1"/>
    <col min="4" max="4" width="10.6640625" customWidth="1"/>
    <col min="5" max="5" width="11.6640625" customWidth="1"/>
    <col min="6" max="6" width="10.6640625" customWidth="1"/>
    <col min="7" max="7" width="11.6640625" customWidth="1"/>
    <col min="8" max="9" width="10.6640625" customWidth="1"/>
    <col min="10" max="10" width="12.6640625" customWidth="1"/>
    <col min="11" max="12" width="10.6640625" customWidth="1"/>
    <col min="13" max="14" width="12.6640625" customWidth="1"/>
    <col min="15" max="16" width="11.6640625" customWidth="1"/>
    <col min="17" max="17" width="11.5546875" customWidth="1"/>
    <col min="18" max="19" width="9.6640625" customWidth="1"/>
    <col min="20" max="20" width="12.33203125" customWidth="1"/>
    <col min="21" max="21" width="9.6640625" customWidth="1"/>
    <col min="22" max="22" width="11.33203125" customWidth="1"/>
    <col min="23" max="23" width="11.109375" customWidth="1"/>
  </cols>
  <sheetData>
    <row r="1" spans="1:23" ht="20.25">
      <c r="A1" s="194" t="s">
        <v>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195" t="s">
        <v>967</v>
      </c>
      <c r="R1" s="2"/>
      <c r="S1" s="2"/>
      <c r="T1" s="2"/>
      <c r="U1" s="2"/>
    </row>
    <row r="2" spans="1:23" ht="18">
      <c r="M2" s="196" t="s">
        <v>119</v>
      </c>
    </row>
    <row r="3" spans="1:23" ht="21" thickBot="1">
      <c r="A3" s="197" t="s">
        <v>120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98" t="s">
        <v>967</v>
      </c>
      <c r="R3" s="134"/>
      <c r="S3" s="134"/>
      <c r="T3" s="134"/>
      <c r="U3" s="134"/>
      <c r="V3" s="133"/>
      <c r="W3" s="133"/>
    </row>
    <row r="4" spans="1:23" ht="16.5" thickBot="1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N4" s="53" t="s">
        <v>121</v>
      </c>
      <c r="O4" s="133"/>
      <c r="P4" s="199">
        <v>8.5989925682619539E-2</v>
      </c>
      <c r="Q4" s="133"/>
      <c r="R4" s="133"/>
      <c r="S4" s="133"/>
      <c r="T4" s="133"/>
      <c r="U4" s="133"/>
      <c r="V4" s="133"/>
      <c r="W4" s="133"/>
    </row>
    <row r="5" spans="1:23" ht="18.75" thickBot="1">
      <c r="A5" s="196" t="s">
        <v>122</v>
      </c>
      <c r="B5" s="133"/>
      <c r="C5" s="133"/>
      <c r="D5" s="133"/>
      <c r="E5" s="133"/>
      <c r="F5" s="53" t="s">
        <v>121</v>
      </c>
      <c r="G5" s="133"/>
      <c r="H5" s="199">
        <f>'2012 Stlgt Rates'!$C$3</f>
        <v>9.8113304544328997E-2</v>
      </c>
      <c r="I5" s="133"/>
      <c r="J5" s="53" t="s">
        <v>121</v>
      </c>
      <c r="K5" s="133"/>
      <c r="L5" s="199">
        <v>8.1723216998984327E-2</v>
      </c>
      <c r="M5" s="30"/>
      <c r="Q5" s="133"/>
      <c r="R5" s="133"/>
      <c r="S5" s="133"/>
      <c r="T5" s="133"/>
      <c r="U5" s="133"/>
      <c r="V5" s="133"/>
      <c r="W5" s="133"/>
    </row>
    <row r="6" spans="1:23" ht="16.5" thickBot="1">
      <c r="A6" s="30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 t="s">
        <v>123</v>
      </c>
      <c r="N6" s="133"/>
      <c r="O6" s="133"/>
      <c r="P6" s="200">
        <f>B12</f>
        <v>13.891133302485763</v>
      </c>
      <c r="Q6" s="133"/>
      <c r="R6" s="133"/>
      <c r="S6" s="133"/>
      <c r="T6" s="133"/>
      <c r="U6" s="133"/>
      <c r="V6" s="133"/>
      <c r="W6" s="133"/>
    </row>
    <row r="7" spans="1:23" ht="18.75" thickBot="1">
      <c r="A7" s="133" t="s">
        <v>103</v>
      </c>
      <c r="B7" s="133"/>
      <c r="C7" s="133"/>
      <c r="D7" s="201">
        <f>8.505*(1+'2012 Stlgt Rates'!$C$3)</f>
        <v>9.3394536551495193</v>
      </c>
      <c r="E7" s="133"/>
      <c r="F7" s="202" t="s">
        <v>124</v>
      </c>
      <c r="G7" s="133"/>
      <c r="H7" s="133"/>
      <c r="I7" s="133"/>
      <c r="J7" s="202" t="s">
        <v>125</v>
      </c>
      <c r="K7" s="133"/>
      <c r="L7" s="133"/>
      <c r="M7" s="133" t="s">
        <v>126</v>
      </c>
      <c r="N7" s="133"/>
      <c r="O7" s="133"/>
      <c r="P7" s="203">
        <v>0.13067000000000001</v>
      </c>
      <c r="Q7" s="133"/>
      <c r="R7" s="133"/>
      <c r="S7" s="133"/>
      <c r="T7" s="133"/>
      <c r="U7" s="133"/>
      <c r="V7" s="133"/>
      <c r="W7" s="133"/>
    </row>
    <row r="8" spans="1:23" ht="16.5" thickBot="1">
      <c r="A8" s="133" t="s">
        <v>126</v>
      </c>
      <c r="B8" s="133"/>
      <c r="C8" s="133"/>
      <c r="D8" s="203">
        <f>0.09726*(1+'2012 Stlgt Rates'!$C$3)</f>
        <v>0.10680249999998144</v>
      </c>
      <c r="E8" s="133"/>
      <c r="F8" s="133"/>
      <c r="G8" s="133"/>
      <c r="H8" s="133"/>
      <c r="I8" s="133"/>
      <c r="J8" s="133"/>
      <c r="K8" s="133"/>
      <c r="L8" s="133"/>
      <c r="M8" s="133" t="s">
        <v>127</v>
      </c>
      <c r="N8" s="133"/>
      <c r="O8" s="133"/>
      <c r="P8" s="203">
        <v>0.11496000000000001</v>
      </c>
      <c r="Q8" s="133"/>
      <c r="R8" s="133"/>
      <c r="S8" s="133"/>
      <c r="T8" s="133"/>
      <c r="U8" s="133"/>
      <c r="V8" s="133"/>
      <c r="W8" s="133"/>
    </row>
    <row r="9" spans="1:23" ht="16.5" thickBot="1">
      <c r="A9" s="133" t="s">
        <v>127</v>
      </c>
      <c r="B9" s="133"/>
      <c r="C9" s="133"/>
      <c r="D9" s="203">
        <f>0.06457*(1+'2012 Stlgt Rates'!$C$3)</f>
        <v>7.0905176074427326E-2</v>
      </c>
      <c r="E9" s="133"/>
      <c r="F9" s="133" t="s">
        <v>128</v>
      </c>
      <c r="G9" s="133"/>
      <c r="H9" s="204">
        <f>0.11151*(1+'2012 Stlgt Rates'!$C$3)</f>
        <v>0.12245061458973812</v>
      </c>
      <c r="I9" s="133"/>
      <c r="J9" s="133" t="s">
        <v>128</v>
      </c>
      <c r="K9" s="133"/>
      <c r="L9" s="204">
        <f>0.06067*(1+$L$5)</f>
        <v>6.562814757532838E-2</v>
      </c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</row>
    <row r="10" spans="1:23" ht="15.75" thickBot="1">
      <c r="A10" s="133"/>
      <c r="B10" s="133"/>
      <c r="C10" s="133"/>
      <c r="D10" s="205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</row>
    <row r="11" spans="1:23" ht="16.5" thickBot="1">
      <c r="A11" s="133" t="s">
        <v>129</v>
      </c>
      <c r="B11" s="206">
        <f>2.96*(1+'2012 Stlgt Rates'!$C$3)</f>
        <v>3.2504153814512136</v>
      </c>
      <c r="C11" s="207" t="s">
        <v>130</v>
      </c>
      <c r="D11" s="205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</row>
    <row r="12" spans="1:23" ht="16.5" thickBot="1">
      <c r="A12" s="158" t="s">
        <v>131</v>
      </c>
      <c r="B12" s="206">
        <f>12.65*(1+'2012 Stlgt Rates'!$C$3)</f>
        <v>13.891133302485763</v>
      </c>
      <c r="C12" s="207" t="s">
        <v>130</v>
      </c>
      <c r="D12" s="205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</row>
    <row r="13" spans="1:23">
      <c r="A13" s="133"/>
      <c r="B13" s="133"/>
      <c r="C13" s="133"/>
      <c r="D13" s="205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</row>
    <row r="14" spans="1:23" ht="15.75">
      <c r="A14" s="30"/>
      <c r="B14" s="30"/>
      <c r="C14" s="42" t="s">
        <v>132</v>
      </c>
      <c r="D14" s="42" t="s">
        <v>133</v>
      </c>
      <c r="E14" s="42" t="s">
        <v>132</v>
      </c>
      <c r="F14" s="208" t="s">
        <v>134</v>
      </c>
      <c r="G14" s="209"/>
      <c r="H14" s="210" t="s">
        <v>132</v>
      </c>
      <c r="I14" s="42" t="s">
        <v>135</v>
      </c>
      <c r="J14" s="42" t="s">
        <v>135</v>
      </c>
      <c r="K14" s="208" t="s">
        <v>136</v>
      </c>
      <c r="L14" s="209"/>
      <c r="M14" s="208" t="s">
        <v>137</v>
      </c>
      <c r="N14" s="209"/>
      <c r="O14" s="208" t="s">
        <v>138</v>
      </c>
      <c r="P14" s="211"/>
      <c r="Q14" s="133"/>
      <c r="R14" s="133"/>
      <c r="S14" s="133"/>
      <c r="T14" s="133"/>
      <c r="U14" s="133"/>
      <c r="V14" s="133"/>
      <c r="W14" s="133"/>
    </row>
    <row r="15" spans="1:23" ht="15.75">
      <c r="A15" s="42" t="s">
        <v>656</v>
      </c>
      <c r="B15" s="42" t="s">
        <v>139</v>
      </c>
      <c r="C15" s="42" t="s">
        <v>140</v>
      </c>
      <c r="D15" s="42" t="s">
        <v>141</v>
      </c>
      <c r="E15" s="42" t="s">
        <v>142</v>
      </c>
      <c r="F15" s="212" t="s">
        <v>792</v>
      </c>
      <c r="G15" s="212" t="s">
        <v>898</v>
      </c>
      <c r="H15" s="42" t="s">
        <v>143</v>
      </c>
      <c r="I15" s="42" t="s">
        <v>645</v>
      </c>
      <c r="J15" s="42" t="s">
        <v>144</v>
      </c>
      <c r="K15" s="212" t="s">
        <v>792</v>
      </c>
      <c r="L15" s="212" t="s">
        <v>898</v>
      </c>
      <c r="M15" s="212" t="s">
        <v>792</v>
      </c>
      <c r="N15" s="212" t="s">
        <v>898</v>
      </c>
      <c r="O15" s="212" t="s">
        <v>792</v>
      </c>
      <c r="P15" s="212" t="s">
        <v>898</v>
      </c>
      <c r="Q15" s="133"/>
      <c r="R15" s="133"/>
      <c r="S15" s="133"/>
      <c r="T15" s="133"/>
      <c r="U15" s="133"/>
      <c r="V15" s="133"/>
      <c r="W15" s="133"/>
    </row>
    <row r="16" spans="1:23">
      <c r="A16" s="133"/>
      <c r="B16" s="133"/>
      <c r="C16" s="133"/>
      <c r="D16" s="205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</row>
    <row r="17" spans="1:17" ht="15.75">
      <c r="A17" s="157" t="s">
        <v>145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</row>
    <row r="18" spans="1:17" ht="16.5" thickBot="1">
      <c r="A18" s="321" t="s">
        <v>588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</row>
    <row r="19" spans="1:17" ht="16.5" thickBot="1">
      <c r="A19" s="145">
        <v>123</v>
      </c>
      <c r="B19" s="145">
        <v>70</v>
      </c>
      <c r="C19" s="214">
        <f>B19/1000</f>
        <v>7.0000000000000007E-2</v>
      </c>
      <c r="D19" s="215">
        <v>0.37</v>
      </c>
      <c r="E19" s="214">
        <f>(+C19*D19)+C19</f>
        <v>9.5900000000000013E-2</v>
      </c>
      <c r="F19" s="142">
        <f>ROUND((+$E19*4000)/12,0)</f>
        <v>32</v>
      </c>
      <c r="G19" s="216">
        <f>ROUND((+$E19*8760)/12,0)</f>
        <v>70</v>
      </c>
      <c r="H19" s="141">
        <f>ROUND(+E19*D$7,2)</f>
        <v>0.9</v>
      </c>
      <c r="I19" s="142">
        <f>ROUND(IF((E19*200)&gt;F19,F19,(E19*200)),0)</f>
        <v>19</v>
      </c>
      <c r="J19" s="141">
        <f>ROUND(+I19*D$8,2)</f>
        <v>2.0299999999999998</v>
      </c>
      <c r="K19" s="142">
        <f>F19-I19</f>
        <v>13</v>
      </c>
      <c r="L19" s="142"/>
      <c r="M19" s="141">
        <f>ROUND(+K19*D$9,2)</f>
        <v>0.92</v>
      </c>
      <c r="N19" s="141"/>
      <c r="O19" s="220">
        <f>H19+J19+M19</f>
        <v>3.8499999999999996</v>
      </c>
      <c r="P19" s="141">
        <f>H19+J19+ROUND((G19-I19)*D$9,2)</f>
        <v>6.55</v>
      </c>
      <c r="Q19" s="141">
        <f>O19/F19*100</f>
        <v>12.031249999999998</v>
      </c>
    </row>
    <row r="20" spans="1:17" s="600" customFormat="1" ht="16.5" thickBot="1">
      <c r="A20" s="753">
        <v>124</v>
      </c>
      <c r="B20" s="753">
        <v>100</v>
      </c>
      <c r="C20" s="754">
        <f>B20/1000</f>
        <v>0.1</v>
      </c>
      <c r="D20" s="755">
        <v>0.35</v>
      </c>
      <c r="E20" s="754">
        <f>(+C20*D20)+C20</f>
        <v>0.13500000000000001</v>
      </c>
      <c r="F20" s="756">
        <f>ROUND((+$E20*4000)/12,0)</f>
        <v>45</v>
      </c>
      <c r="G20" s="757">
        <f>ROUND((+$E20*8760)/12,0)</f>
        <v>99</v>
      </c>
      <c r="H20" s="758">
        <f>ROUND(+E20*D$7,2)</f>
        <v>1.26</v>
      </c>
      <c r="I20" s="756">
        <f>ROUND(IF((E20*200)&gt;F20,F20,(E20*200)),0)</f>
        <v>27</v>
      </c>
      <c r="J20" s="758">
        <f>ROUND(+I20*D$8,2)</f>
        <v>2.88</v>
      </c>
      <c r="K20" s="756">
        <f>F20-I20</f>
        <v>18</v>
      </c>
      <c r="L20" s="756"/>
      <c r="M20" s="758">
        <f>ROUND(+K20*D$9,2)</f>
        <v>1.28</v>
      </c>
      <c r="N20" s="758"/>
      <c r="O20" s="759">
        <f>H20+J20+M20</f>
        <v>5.42</v>
      </c>
      <c r="P20" s="758">
        <f>H20+J20+ROUND((G20-I20)*D$9,2)</f>
        <v>9.25</v>
      </c>
      <c r="Q20" s="758">
        <f>O20/F20*100</f>
        <v>12.044444444444444</v>
      </c>
    </row>
    <row r="22" spans="1:17" ht="16.5" thickBot="1">
      <c r="A22" s="752" t="s">
        <v>779</v>
      </c>
    </row>
    <row r="23" spans="1:17" ht="16.5" thickBot="1">
      <c r="A23" s="145">
        <v>533</v>
      </c>
      <c r="B23" s="145">
        <v>66</v>
      </c>
      <c r="C23" s="214">
        <f>B23/1000</f>
        <v>6.6000000000000003E-2</v>
      </c>
      <c r="D23" s="215">
        <v>0</v>
      </c>
      <c r="E23" s="214">
        <f>(+C23*D23)+C23</f>
        <v>6.6000000000000003E-2</v>
      </c>
      <c r="F23" s="142">
        <f>ROUND((+$E23*4000)/12,0)</f>
        <v>22</v>
      </c>
      <c r="G23" s="216">
        <f>ROUND((+$E23*8760)/12,0)</f>
        <v>48</v>
      </c>
      <c r="H23" s="141">
        <f>ROUND(+E23*D$7,2)</f>
        <v>0.62</v>
      </c>
      <c r="I23" s="142">
        <f>ROUND(IF((E23*200)&gt;F23,F23,(E23*200)),0)</f>
        <v>13</v>
      </c>
      <c r="J23" s="141">
        <f>ROUND(+I23*D$8,2)</f>
        <v>1.39</v>
      </c>
      <c r="K23" s="142">
        <f>F23-I23</f>
        <v>9</v>
      </c>
      <c r="L23" s="142"/>
      <c r="M23" s="141">
        <f>ROUND(+K23*D$9,2)</f>
        <v>0.64</v>
      </c>
      <c r="N23" s="141"/>
      <c r="O23" s="220">
        <f>H23+J23+M23</f>
        <v>2.65</v>
      </c>
      <c r="P23" s="141">
        <f>H23+J23+ROUND((G23-I23)*D$9,2)</f>
        <v>4.49</v>
      </c>
      <c r="Q23" s="141">
        <f>O23/F23*100</f>
        <v>12.045454545454545</v>
      </c>
    </row>
  </sheetData>
  <phoneticPr fontId="0" type="noConversion"/>
  <printOptions horizontalCentered="1"/>
  <pageMargins left="0.39370078740157483" right="0.39370078740157483" top="0.39370078740157483" bottom="0.39370078740157483" header="0.51181102362204722" footer="0.51181102362204722"/>
  <pageSetup paperSize="5" scale="74" fitToHeight="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0"/>
  <sheetViews>
    <sheetView workbookViewId="0">
      <selection activeCell="B40" sqref="B40"/>
    </sheetView>
  </sheetViews>
  <sheetFormatPr defaultRowHeight="15"/>
  <cols>
    <col min="1" max="1" width="3" customWidth="1"/>
    <col min="2" max="2" width="22.6640625" customWidth="1"/>
    <col min="3" max="9" width="9.88671875" customWidth="1"/>
    <col min="10" max="10" width="18" customWidth="1"/>
  </cols>
  <sheetData>
    <row r="1" spans="1:10" ht="18">
      <c r="A1" s="77" t="s">
        <v>636</v>
      </c>
      <c r="B1" s="78"/>
      <c r="C1" s="78"/>
      <c r="D1" s="78"/>
      <c r="E1" s="78"/>
      <c r="F1" s="78"/>
      <c r="G1" s="78"/>
      <c r="H1" s="78"/>
      <c r="I1" s="78"/>
      <c r="J1" s="78"/>
    </row>
    <row r="2" spans="1:10" ht="18.75" thickBot="1">
      <c r="A2" s="79"/>
      <c r="B2" s="78"/>
      <c r="C2" s="78"/>
      <c r="D2" s="78"/>
      <c r="E2" s="78"/>
      <c r="F2" s="78"/>
      <c r="G2" s="78"/>
      <c r="H2" s="78"/>
      <c r="I2" s="78"/>
      <c r="J2" s="78"/>
    </row>
    <row r="3" spans="1:10" ht="16.5" thickBot="1">
      <c r="A3" s="80" t="s">
        <v>834</v>
      </c>
      <c r="B3" s="3"/>
      <c r="C3" s="81">
        <f>'2012 Rev Reconciliation'!B7</f>
        <v>9.8113304544328997E-2</v>
      </c>
    </row>
    <row r="4" spans="1:10" ht="18">
      <c r="A4" s="82"/>
      <c r="B4" s="3"/>
      <c r="C4" s="3"/>
      <c r="D4" s="3"/>
      <c r="E4" s="3"/>
      <c r="F4" s="3"/>
      <c r="G4" s="3"/>
      <c r="H4" s="3"/>
      <c r="I4" s="3"/>
      <c r="J4" s="3"/>
    </row>
    <row r="5" spans="1:10" ht="15.75">
      <c r="A5" s="1" t="s">
        <v>835</v>
      </c>
      <c r="B5" s="83"/>
      <c r="C5" s="83"/>
      <c r="D5" s="83"/>
      <c r="E5" s="83"/>
      <c r="F5" s="83"/>
      <c r="G5" s="83"/>
      <c r="H5" s="83"/>
      <c r="I5" s="83"/>
      <c r="J5" s="83"/>
    </row>
    <row r="6" spans="1:10" ht="15.75">
      <c r="A6" s="1" t="s">
        <v>836</v>
      </c>
      <c r="B6" s="83"/>
      <c r="C6" s="83"/>
      <c r="D6" s="83"/>
      <c r="E6" s="83"/>
      <c r="F6" s="83"/>
      <c r="G6" s="83"/>
      <c r="H6" s="83"/>
      <c r="I6" s="83"/>
      <c r="J6" s="83"/>
    </row>
    <row r="7" spans="1:10">
      <c r="A7" s="84"/>
      <c r="B7" s="3"/>
      <c r="C7" s="3"/>
      <c r="D7" s="3"/>
      <c r="E7" s="3"/>
      <c r="F7" s="3"/>
      <c r="G7" s="3"/>
      <c r="H7" s="3"/>
      <c r="I7" s="3"/>
      <c r="J7" s="3"/>
    </row>
    <row r="8" spans="1:10">
      <c r="A8" s="84"/>
      <c r="B8" s="3"/>
      <c r="C8" s="3"/>
      <c r="D8" s="3"/>
      <c r="E8" s="3"/>
      <c r="F8" s="3"/>
      <c r="G8" s="3"/>
      <c r="H8" s="3"/>
      <c r="I8" s="3"/>
      <c r="J8" s="3"/>
    </row>
    <row r="9" spans="1:10">
      <c r="A9" s="84"/>
      <c r="B9" s="3"/>
      <c r="C9" s="84" t="s">
        <v>837</v>
      </c>
      <c r="D9" s="84" t="s">
        <v>838</v>
      </c>
      <c r="E9" s="84"/>
      <c r="F9" s="84" t="s">
        <v>644</v>
      </c>
      <c r="G9" s="84"/>
      <c r="H9" s="84"/>
      <c r="I9" s="84"/>
    </row>
    <row r="10" spans="1:10">
      <c r="A10" s="84"/>
      <c r="B10" s="85" t="s">
        <v>657</v>
      </c>
      <c r="C10" s="85" t="s">
        <v>755</v>
      </c>
      <c r="D10" s="85" t="s">
        <v>839</v>
      </c>
      <c r="E10" s="86" t="s">
        <v>840</v>
      </c>
      <c r="F10" s="85" t="s">
        <v>645</v>
      </c>
      <c r="G10" s="85" t="s">
        <v>646</v>
      </c>
      <c r="H10" s="85" t="s">
        <v>647</v>
      </c>
      <c r="I10" s="85" t="s">
        <v>648</v>
      </c>
    </row>
    <row r="11" spans="1:10">
      <c r="A11" s="84"/>
    </row>
    <row r="12" spans="1:10">
      <c r="A12" s="87" t="s">
        <v>841</v>
      </c>
      <c r="B12" s="88" t="s">
        <v>842</v>
      </c>
      <c r="C12" s="88"/>
    </row>
    <row r="13" spans="1:10">
      <c r="A13" s="84"/>
      <c r="B13" s="3" t="s">
        <v>843</v>
      </c>
      <c r="C13" s="89" t="s">
        <v>844</v>
      </c>
      <c r="D13" s="3"/>
      <c r="E13" s="3">
        <v>97</v>
      </c>
      <c r="F13" s="90">
        <f t="shared" ref="F13:H14" si="0">+F23</f>
        <v>11.68</v>
      </c>
      <c r="G13" s="90">
        <f t="shared" si="0"/>
        <v>3.6488281070166551</v>
      </c>
      <c r="H13" s="90">
        <f t="shared" si="0"/>
        <v>4.4871048894385934</v>
      </c>
      <c r="I13" s="90">
        <f>SUM(F13:H13)</f>
        <v>19.815932996455249</v>
      </c>
      <c r="J13" s="91"/>
    </row>
    <row r="14" spans="1:10">
      <c r="A14" s="84"/>
      <c r="B14" s="3" t="s">
        <v>845</v>
      </c>
      <c r="C14" s="89" t="s">
        <v>665</v>
      </c>
      <c r="D14" s="3"/>
      <c r="E14" s="3">
        <v>154</v>
      </c>
      <c r="F14" s="92">
        <f t="shared" si="0"/>
        <v>18.54</v>
      </c>
      <c r="G14" s="92">
        <f t="shared" si="0"/>
        <v>3.6488281070166551</v>
      </c>
      <c r="H14" s="92">
        <f t="shared" si="0"/>
        <v>4.5879986868032701</v>
      </c>
      <c r="I14" s="92">
        <f>SUM(F14:H14)</f>
        <v>26.776826793819925</v>
      </c>
    </row>
    <row r="15" spans="1:10">
      <c r="A15" s="84"/>
      <c r="B15" s="93" t="s">
        <v>843</v>
      </c>
      <c r="C15" s="94" t="s">
        <v>846</v>
      </c>
      <c r="D15" s="93"/>
      <c r="E15" s="93">
        <v>97</v>
      </c>
      <c r="F15" s="95">
        <f>+F23</f>
        <v>11.68</v>
      </c>
      <c r="G15" s="95">
        <v>0</v>
      </c>
      <c r="H15" s="95">
        <v>0</v>
      </c>
      <c r="I15" s="92">
        <f>SUM(F15:H15)</f>
        <v>11.68</v>
      </c>
    </row>
    <row r="16" spans="1:10">
      <c r="A16" s="84"/>
      <c r="B16" s="3"/>
      <c r="C16" s="96"/>
      <c r="D16" s="3"/>
      <c r="E16" s="3"/>
      <c r="F16" s="92"/>
      <c r="G16" s="92"/>
      <c r="H16" s="92"/>
      <c r="I16" s="92"/>
    </row>
    <row r="17" spans="1:10">
      <c r="A17" s="87" t="s">
        <v>847</v>
      </c>
      <c r="B17" s="97" t="s">
        <v>848</v>
      </c>
      <c r="C17" s="4"/>
      <c r="D17" s="3"/>
      <c r="E17" s="3"/>
      <c r="F17" s="92"/>
      <c r="G17" s="92"/>
      <c r="H17" s="92"/>
      <c r="I17" s="92"/>
    </row>
    <row r="18" spans="1:10">
      <c r="A18" s="84"/>
      <c r="B18" s="3"/>
      <c r="C18" s="96"/>
      <c r="D18" s="3"/>
      <c r="E18" s="3"/>
      <c r="F18" s="92"/>
      <c r="G18" s="92"/>
      <c r="H18" s="92"/>
      <c r="I18" s="92"/>
    </row>
    <row r="19" spans="1:10">
      <c r="A19" s="84"/>
      <c r="B19" s="98" t="s">
        <v>849</v>
      </c>
      <c r="C19" s="96"/>
      <c r="D19" s="3"/>
      <c r="E19" s="3"/>
      <c r="F19" s="92"/>
      <c r="G19" s="92"/>
      <c r="H19" s="92"/>
      <c r="I19" s="92"/>
    </row>
    <row r="20" spans="1:10">
      <c r="A20" s="84"/>
      <c r="B20" s="3" t="s">
        <v>850</v>
      </c>
      <c r="C20" s="96">
        <v>100</v>
      </c>
      <c r="D20" s="3"/>
      <c r="E20" s="3">
        <v>43</v>
      </c>
      <c r="F20" s="92">
        <f>+'Schedule 9'!D21</f>
        <v>5.1899999999999995</v>
      </c>
      <c r="G20" s="92">
        <f>+'Schedule 9'!E21</f>
        <v>3.6488281070166551</v>
      </c>
      <c r="H20" s="92">
        <f>+'Schedule 9'!F21</f>
        <v>3.8679240003338808</v>
      </c>
      <c r="I20" s="92">
        <f t="shared" ref="I20:I27" si="1">SUM(F20:H20)</f>
        <v>12.706752107350535</v>
      </c>
    </row>
    <row r="21" spans="1:10">
      <c r="A21" s="84"/>
      <c r="B21" s="3" t="s">
        <v>851</v>
      </c>
      <c r="C21" s="96">
        <v>101</v>
      </c>
      <c r="D21" s="3"/>
      <c r="E21" s="3">
        <v>52</v>
      </c>
      <c r="F21" s="92">
        <f>+'Schedule 9'!D22</f>
        <v>6.25</v>
      </c>
      <c r="G21" s="92">
        <f>+'Schedule 9'!E22</f>
        <v>4.8651041426888737</v>
      </c>
      <c r="H21" s="92">
        <f>+'Schedule 9'!F22</f>
        <v>3.6199091463674926</v>
      </c>
      <c r="I21" s="92">
        <f t="shared" si="1"/>
        <v>14.735013289056367</v>
      </c>
    </row>
    <row r="22" spans="1:10">
      <c r="A22" s="84"/>
      <c r="B22" s="3" t="s">
        <v>852</v>
      </c>
      <c r="C22" s="96">
        <v>102</v>
      </c>
      <c r="D22" s="3"/>
      <c r="E22" s="3">
        <v>69</v>
      </c>
      <c r="F22" s="92">
        <f>+'Schedule 9'!D23</f>
        <v>8.2900000000000009</v>
      </c>
      <c r="G22" s="92">
        <f>+'Schedule 9'!E23</f>
        <v>3.6488281070166551</v>
      </c>
      <c r="H22" s="92">
        <f>+'Schedule 9'!F23</f>
        <v>3.5847549981656388</v>
      </c>
      <c r="I22" s="92">
        <f t="shared" si="1"/>
        <v>15.523583105182295</v>
      </c>
    </row>
    <row r="23" spans="1:10">
      <c r="A23" s="84"/>
      <c r="B23" s="3" t="s">
        <v>853</v>
      </c>
      <c r="C23" s="96">
        <v>103</v>
      </c>
      <c r="D23" s="3"/>
      <c r="E23" s="3">
        <v>97</v>
      </c>
      <c r="F23" s="92">
        <f>+'Schedule 9'!D24</f>
        <v>11.68</v>
      </c>
      <c r="G23" s="92">
        <f>+'Schedule 9'!E24</f>
        <v>3.6488281070166551</v>
      </c>
      <c r="H23" s="92">
        <f>+'Schedule 9'!F24</f>
        <v>4.4871048894385934</v>
      </c>
      <c r="I23" s="92">
        <f t="shared" si="1"/>
        <v>19.815932996455249</v>
      </c>
    </row>
    <row r="24" spans="1:10">
      <c r="A24" s="84"/>
      <c r="B24" s="3" t="s">
        <v>854</v>
      </c>
      <c r="C24" s="96">
        <v>104</v>
      </c>
      <c r="D24" s="3"/>
      <c r="E24" s="3">
        <v>154</v>
      </c>
      <c r="F24" s="92">
        <f>+'Schedule 9'!D25</f>
        <v>18.54</v>
      </c>
      <c r="G24" s="92">
        <f>+'Schedule 9'!E25</f>
        <v>3.6488281070166551</v>
      </c>
      <c r="H24" s="92">
        <f>+'Schedule 9'!F25</f>
        <v>4.5879986868032701</v>
      </c>
      <c r="I24" s="92">
        <f t="shared" si="1"/>
        <v>26.776826793819925</v>
      </c>
    </row>
    <row r="25" spans="1:10">
      <c r="A25" s="84"/>
      <c r="B25" s="3" t="s">
        <v>855</v>
      </c>
      <c r="C25" s="96">
        <v>105</v>
      </c>
      <c r="D25" s="3"/>
      <c r="E25" s="3">
        <v>260</v>
      </c>
      <c r="F25" s="92">
        <f>+'Schedule 9'!D26</f>
        <v>31.32</v>
      </c>
      <c r="G25" s="92">
        <f>+'Schedule 9'!E26</f>
        <v>3.6488281070166551</v>
      </c>
      <c r="H25" s="92">
        <f>+'Schedule 9'!F26</f>
        <v>6.0734730061417226</v>
      </c>
      <c r="I25" s="92">
        <f t="shared" si="1"/>
        <v>41.042301113158381</v>
      </c>
    </row>
    <row r="26" spans="1:10">
      <c r="A26" s="84"/>
      <c r="B26" s="3" t="s">
        <v>856</v>
      </c>
      <c r="C26" s="96">
        <v>106</v>
      </c>
      <c r="D26" s="3"/>
      <c r="E26" s="3">
        <v>363</v>
      </c>
      <c r="F26" s="92">
        <f>+'Schedule 9'!D27</f>
        <v>43.73</v>
      </c>
      <c r="G26" s="92">
        <f>+'Schedule 9'!E27</f>
        <v>3.6488281070166551</v>
      </c>
      <c r="H26" s="92">
        <f>+'Schedule 9'!F27</f>
        <v>7.3700745213730228</v>
      </c>
      <c r="I26" s="92">
        <f t="shared" si="1"/>
        <v>54.748902628389672</v>
      </c>
    </row>
    <row r="27" spans="1:10">
      <c r="A27" s="84"/>
      <c r="B27" s="3" t="s">
        <v>853</v>
      </c>
      <c r="C27" s="96">
        <v>107</v>
      </c>
      <c r="D27" s="3"/>
      <c r="E27" s="3">
        <v>212</v>
      </c>
      <c r="F27" s="92">
        <f>+'Schedule 9'!D28</f>
        <v>19.829999999999998</v>
      </c>
      <c r="G27" s="92">
        <f>+'Schedule 9'!E28</f>
        <v>7.2976562140333101</v>
      </c>
      <c r="H27" s="92">
        <f>+'Schedule 9'!F28</f>
        <v>4.4871048894385934</v>
      </c>
      <c r="I27" s="92">
        <f t="shared" si="1"/>
        <v>31.614761103471903</v>
      </c>
      <c r="J27" s="93" t="s">
        <v>857</v>
      </c>
    </row>
    <row r="28" spans="1:10">
      <c r="A28" s="84"/>
      <c r="B28" s="3"/>
      <c r="C28" s="96"/>
      <c r="D28" s="3"/>
      <c r="E28" s="3"/>
      <c r="F28" s="92"/>
      <c r="G28" s="92"/>
      <c r="H28" s="92"/>
      <c r="I28" s="92"/>
    </row>
    <row r="29" spans="1:10">
      <c r="A29" s="84"/>
      <c r="B29" s="98" t="s">
        <v>858</v>
      </c>
      <c r="C29" s="96"/>
      <c r="D29" s="3"/>
      <c r="E29" s="3"/>
      <c r="F29" s="92"/>
      <c r="G29" s="92"/>
      <c r="H29" s="92"/>
      <c r="I29" s="92"/>
    </row>
    <row r="30" spans="1:10">
      <c r="A30" s="84"/>
      <c r="B30" s="3" t="s">
        <v>851</v>
      </c>
      <c r="C30" s="96">
        <v>201</v>
      </c>
      <c r="D30" s="3"/>
      <c r="E30" s="3">
        <v>52</v>
      </c>
      <c r="F30" s="92">
        <f t="shared" ref="F30:G35" si="2">+F21</f>
        <v>6.25</v>
      </c>
      <c r="G30" s="92">
        <f t="shared" si="2"/>
        <v>4.8651041426888737</v>
      </c>
      <c r="H30" s="92">
        <v>0</v>
      </c>
      <c r="I30" s="92">
        <f t="shared" ref="I30:I35" si="3">SUM(F30:H30)</f>
        <v>11.115104142688875</v>
      </c>
      <c r="J30" s="93" t="s">
        <v>859</v>
      </c>
    </row>
    <row r="31" spans="1:10">
      <c r="A31" s="84"/>
      <c r="B31" s="3" t="s">
        <v>852</v>
      </c>
      <c r="C31" s="96">
        <v>202</v>
      </c>
      <c r="D31" s="3"/>
      <c r="E31" s="3">
        <v>69</v>
      </c>
      <c r="F31" s="92">
        <f t="shared" si="2"/>
        <v>8.2900000000000009</v>
      </c>
      <c r="G31" s="92">
        <f t="shared" si="2"/>
        <v>3.6488281070166551</v>
      </c>
      <c r="H31" s="92">
        <v>0</v>
      </c>
      <c r="I31" s="92">
        <f t="shared" si="3"/>
        <v>11.938828107016656</v>
      </c>
      <c r="J31" s="93" t="s">
        <v>859</v>
      </c>
    </row>
    <row r="32" spans="1:10">
      <c r="A32" s="84"/>
      <c r="B32" s="3" t="s">
        <v>853</v>
      </c>
      <c r="C32" s="96">
        <v>203</v>
      </c>
      <c r="D32" s="3"/>
      <c r="E32" s="3">
        <v>97</v>
      </c>
      <c r="F32" s="92">
        <f t="shared" si="2"/>
        <v>11.68</v>
      </c>
      <c r="G32" s="92">
        <f t="shared" si="2"/>
        <v>3.6488281070166551</v>
      </c>
      <c r="H32" s="92">
        <v>0</v>
      </c>
      <c r="I32" s="92">
        <f t="shared" si="3"/>
        <v>15.328828107016655</v>
      </c>
      <c r="J32" s="93" t="s">
        <v>859</v>
      </c>
    </row>
    <row r="33" spans="1:10">
      <c r="A33" s="84"/>
      <c r="B33" s="3" t="s">
        <v>854</v>
      </c>
      <c r="C33" s="96">
        <v>204</v>
      </c>
      <c r="D33" s="3"/>
      <c r="E33" s="3">
        <v>154</v>
      </c>
      <c r="F33" s="92">
        <f t="shared" si="2"/>
        <v>18.54</v>
      </c>
      <c r="G33" s="92">
        <f t="shared" si="2"/>
        <v>3.6488281070166551</v>
      </c>
      <c r="H33" s="92">
        <v>0</v>
      </c>
      <c r="I33" s="92">
        <f t="shared" si="3"/>
        <v>22.188828107016654</v>
      </c>
      <c r="J33" s="93" t="s">
        <v>859</v>
      </c>
    </row>
    <row r="34" spans="1:10">
      <c r="A34" s="84"/>
      <c r="B34" s="3" t="s">
        <v>855</v>
      </c>
      <c r="C34" s="96">
        <v>205</v>
      </c>
      <c r="D34" s="3"/>
      <c r="E34" s="3">
        <v>260</v>
      </c>
      <c r="F34" s="92">
        <f t="shared" si="2"/>
        <v>31.32</v>
      </c>
      <c r="G34" s="92">
        <f t="shared" si="2"/>
        <v>3.6488281070166551</v>
      </c>
      <c r="H34" s="92">
        <v>0</v>
      </c>
      <c r="I34" s="92">
        <f t="shared" si="3"/>
        <v>34.968828107016655</v>
      </c>
      <c r="J34" s="93" t="s">
        <v>859</v>
      </c>
    </row>
    <row r="35" spans="1:10">
      <c r="A35" s="84"/>
      <c r="B35" s="3" t="s">
        <v>856</v>
      </c>
      <c r="C35" s="96">
        <v>206</v>
      </c>
      <c r="D35" s="3"/>
      <c r="E35" s="3">
        <v>363</v>
      </c>
      <c r="F35" s="90">
        <f t="shared" si="2"/>
        <v>43.73</v>
      </c>
      <c r="G35" s="90">
        <f t="shared" si="2"/>
        <v>3.6488281070166551</v>
      </c>
      <c r="H35" s="90">
        <v>0</v>
      </c>
      <c r="I35" s="90">
        <f t="shared" si="3"/>
        <v>47.378828107016652</v>
      </c>
      <c r="J35" s="93" t="s">
        <v>859</v>
      </c>
    </row>
    <row r="36" spans="1:10">
      <c r="A36" s="84"/>
      <c r="C36" s="99"/>
      <c r="E36" s="100"/>
      <c r="F36" s="100"/>
      <c r="G36" s="100"/>
      <c r="H36" s="100"/>
      <c r="I36" s="100"/>
      <c r="J36" s="93"/>
    </row>
    <row r="37" spans="1:10">
      <c r="A37" s="84"/>
      <c r="B37" s="98" t="s">
        <v>860</v>
      </c>
      <c r="C37" s="99"/>
      <c r="E37" s="100"/>
      <c r="F37" s="100"/>
      <c r="G37" s="100"/>
      <c r="H37" s="100"/>
      <c r="I37" s="100"/>
      <c r="J37" s="93"/>
    </row>
    <row r="38" spans="1:10">
      <c r="A38" s="84"/>
      <c r="B38" s="93" t="s">
        <v>851</v>
      </c>
      <c r="C38" s="101">
        <v>301</v>
      </c>
      <c r="D38" s="93"/>
      <c r="E38" s="93">
        <v>52</v>
      </c>
      <c r="F38" s="102">
        <f t="shared" ref="F38:F43" si="4">+F21</f>
        <v>6.25</v>
      </c>
      <c r="G38" s="103">
        <v>0</v>
      </c>
      <c r="H38" s="103">
        <v>0</v>
      </c>
      <c r="I38" s="103">
        <f t="shared" ref="I38:I43" si="5">SUM(F38:H38)</f>
        <v>6.25</v>
      </c>
      <c r="J38" s="93"/>
    </row>
    <row r="39" spans="1:10">
      <c r="A39" s="84"/>
      <c r="B39" s="93" t="s">
        <v>852</v>
      </c>
      <c r="C39" s="101">
        <v>302</v>
      </c>
      <c r="D39" s="93"/>
      <c r="E39" s="93">
        <v>69</v>
      </c>
      <c r="F39" s="104">
        <f t="shared" si="4"/>
        <v>8.2900000000000009</v>
      </c>
      <c r="G39" s="95">
        <v>0</v>
      </c>
      <c r="H39" s="95">
        <v>0</v>
      </c>
      <c r="I39" s="95">
        <f t="shared" si="5"/>
        <v>8.2900000000000009</v>
      </c>
      <c r="J39" s="93"/>
    </row>
    <row r="40" spans="1:10">
      <c r="A40" s="84"/>
      <c r="B40" s="93" t="s">
        <v>853</v>
      </c>
      <c r="C40" s="101">
        <v>303</v>
      </c>
      <c r="D40" s="93"/>
      <c r="E40" s="93">
        <v>97</v>
      </c>
      <c r="F40" s="104">
        <f t="shared" si="4"/>
        <v>11.68</v>
      </c>
      <c r="G40" s="95">
        <v>0</v>
      </c>
      <c r="H40" s="95">
        <v>0</v>
      </c>
      <c r="I40" s="95">
        <f t="shared" si="5"/>
        <v>11.68</v>
      </c>
      <c r="J40" s="93"/>
    </row>
    <row r="41" spans="1:10">
      <c r="A41" s="84"/>
      <c r="B41" s="93" t="s">
        <v>854</v>
      </c>
      <c r="C41" s="101">
        <v>304</v>
      </c>
      <c r="D41" s="93"/>
      <c r="E41" s="93">
        <v>154</v>
      </c>
      <c r="F41" s="104">
        <f t="shared" si="4"/>
        <v>18.54</v>
      </c>
      <c r="G41" s="95">
        <v>0</v>
      </c>
      <c r="H41" s="95">
        <v>0</v>
      </c>
      <c r="I41" s="95">
        <f t="shared" si="5"/>
        <v>18.54</v>
      </c>
      <c r="J41" s="93"/>
    </row>
    <row r="42" spans="1:10">
      <c r="A42" s="84"/>
      <c r="B42" s="93" t="s">
        <v>855</v>
      </c>
      <c r="C42" s="101">
        <v>305</v>
      </c>
      <c r="D42" s="93"/>
      <c r="E42" s="93">
        <v>260</v>
      </c>
      <c r="F42" s="104">
        <f t="shared" si="4"/>
        <v>31.32</v>
      </c>
      <c r="G42" s="95">
        <v>0</v>
      </c>
      <c r="H42" s="95">
        <v>0</v>
      </c>
      <c r="I42" s="95">
        <f t="shared" si="5"/>
        <v>31.32</v>
      </c>
      <c r="J42" s="93"/>
    </row>
    <row r="43" spans="1:10">
      <c r="A43" s="84"/>
      <c r="B43" s="93" t="s">
        <v>856</v>
      </c>
      <c r="C43" s="101">
        <v>306</v>
      </c>
      <c r="D43" s="93"/>
      <c r="E43" s="93">
        <v>363</v>
      </c>
      <c r="F43" s="104">
        <f t="shared" si="4"/>
        <v>43.73</v>
      </c>
      <c r="G43" s="95">
        <v>0</v>
      </c>
      <c r="H43" s="95">
        <v>0</v>
      </c>
      <c r="I43" s="95">
        <f t="shared" si="5"/>
        <v>43.73</v>
      </c>
      <c r="J43" s="93"/>
    </row>
    <row r="44" spans="1:10">
      <c r="A44" s="84"/>
      <c r="C44" s="99"/>
      <c r="E44" s="100"/>
      <c r="F44" s="100"/>
      <c r="G44" s="100"/>
      <c r="H44" s="100"/>
      <c r="I44" s="100"/>
      <c r="J44" s="93"/>
    </row>
    <row r="45" spans="1:10">
      <c r="A45" s="87" t="s">
        <v>861</v>
      </c>
      <c r="B45" s="88" t="s">
        <v>862</v>
      </c>
      <c r="C45" s="84"/>
      <c r="E45" s="100"/>
      <c r="F45" s="100"/>
      <c r="G45" s="100"/>
      <c r="H45" s="100"/>
      <c r="I45" s="100"/>
      <c r="J45" s="93"/>
    </row>
    <row r="46" spans="1:10">
      <c r="A46" s="84"/>
      <c r="C46" s="99"/>
      <c r="E46" s="100"/>
      <c r="F46" s="100"/>
      <c r="G46" s="100"/>
      <c r="H46" s="100"/>
      <c r="I46" s="100"/>
      <c r="J46" s="93"/>
    </row>
    <row r="47" spans="1:10">
      <c r="A47" s="84"/>
      <c r="B47" s="98" t="s">
        <v>863</v>
      </c>
      <c r="C47" s="85"/>
      <c r="E47" s="100"/>
      <c r="F47" s="100"/>
      <c r="G47" s="100"/>
      <c r="H47" s="100"/>
      <c r="I47" s="100"/>
      <c r="J47" s="93"/>
    </row>
    <row r="48" spans="1:10">
      <c r="A48" s="84"/>
      <c r="C48" s="99"/>
      <c r="E48" s="100"/>
      <c r="F48" s="100"/>
      <c r="G48" s="100"/>
      <c r="H48" s="100"/>
      <c r="I48" s="100"/>
      <c r="J48" s="93"/>
    </row>
    <row r="49" spans="1:10">
      <c r="A49" s="84"/>
      <c r="B49" s="98" t="s">
        <v>849</v>
      </c>
      <c r="C49" s="99"/>
      <c r="E49" s="100"/>
      <c r="F49" s="100"/>
      <c r="G49" s="100"/>
      <c r="H49" s="100"/>
      <c r="I49" s="100"/>
      <c r="J49" s="93"/>
    </row>
    <row r="50" spans="1:10">
      <c r="A50" s="84"/>
      <c r="B50" s="3" t="s">
        <v>864</v>
      </c>
      <c r="C50" s="96">
        <v>110</v>
      </c>
      <c r="D50" s="96">
        <v>2</v>
      </c>
      <c r="E50" s="105">
        <v>30</v>
      </c>
      <c r="F50" s="92">
        <f>+'Schedule 9'!D46</f>
        <v>3.6199999999999997</v>
      </c>
      <c r="G50" s="92">
        <f>+'Schedule 9'!E46</f>
        <v>7.2976562140333101</v>
      </c>
      <c r="H50" s="92">
        <f>+'Schedule 9'!F46</f>
        <v>2.9015449486064413</v>
      </c>
      <c r="I50" s="92">
        <f t="shared" ref="I50:I56" si="6">SUM(F50:H50)</f>
        <v>13.81920116263975</v>
      </c>
      <c r="J50" s="93"/>
    </row>
    <row r="51" spans="1:10">
      <c r="A51" s="84"/>
      <c r="B51" s="3" t="s">
        <v>865</v>
      </c>
      <c r="C51" s="96">
        <v>111</v>
      </c>
      <c r="D51" s="96">
        <v>2</v>
      </c>
      <c r="E51" s="105">
        <v>85</v>
      </c>
      <c r="F51" s="92">
        <f>+'Schedule 9'!D47</f>
        <v>10.24</v>
      </c>
      <c r="G51" s="92">
        <f>+'Schedule 9'!E47</f>
        <v>7.2976562140333101</v>
      </c>
      <c r="H51" s="92">
        <f>+'Schedule 9'!F47</f>
        <v>3.2203838493774715</v>
      </c>
      <c r="I51" s="92">
        <f t="shared" si="6"/>
        <v>20.758040063410782</v>
      </c>
      <c r="J51" s="93"/>
    </row>
    <row r="52" spans="1:10">
      <c r="A52" s="84"/>
      <c r="B52" s="3" t="s">
        <v>866</v>
      </c>
      <c r="C52" s="96">
        <v>112</v>
      </c>
      <c r="D52" s="96">
        <v>2</v>
      </c>
      <c r="E52" s="105">
        <v>116</v>
      </c>
      <c r="F52" s="92">
        <f>+'Schedule 9'!D48</f>
        <v>13.99</v>
      </c>
      <c r="G52" s="92">
        <f>+'Schedule 9'!E48</f>
        <v>7.2976562140333101</v>
      </c>
      <c r="H52" s="92">
        <f>+'Schedule 9'!F48</f>
        <v>3.8063614286900713</v>
      </c>
      <c r="I52" s="92">
        <f t="shared" si="6"/>
        <v>25.094017642723383</v>
      </c>
      <c r="J52" s="93"/>
    </row>
    <row r="53" spans="1:10">
      <c r="A53" s="84"/>
      <c r="B53" s="3" t="s">
        <v>866</v>
      </c>
      <c r="C53" s="96">
        <v>113</v>
      </c>
      <c r="D53" s="96">
        <v>4</v>
      </c>
      <c r="E53" s="105">
        <v>222</v>
      </c>
      <c r="F53" s="92">
        <f>+'Schedule 9'!D49</f>
        <v>26.72</v>
      </c>
      <c r="G53" s="92">
        <f>+'Schedule 9'!E49</f>
        <v>7.2976562140333101</v>
      </c>
      <c r="H53" s="92">
        <f>+'Schedule 9'!F49</f>
        <v>5.2459559944014389</v>
      </c>
      <c r="I53" s="92">
        <f t="shared" si="6"/>
        <v>39.263612208434751</v>
      </c>
      <c r="J53" s="93"/>
    </row>
    <row r="54" spans="1:10">
      <c r="A54" s="84"/>
      <c r="B54" s="3" t="s">
        <v>867</v>
      </c>
      <c r="C54" s="96">
        <v>114</v>
      </c>
      <c r="D54" s="96">
        <v>1</v>
      </c>
      <c r="E54" s="105">
        <v>47</v>
      </c>
      <c r="F54" s="92">
        <f>+'Schedule 9'!D50</f>
        <v>5.65</v>
      </c>
      <c r="G54" s="92">
        <f>+'Schedule 9'!E50</f>
        <v>7.2976562140333101</v>
      </c>
      <c r="H54" s="92">
        <f>+'Schedule 9'!F50</f>
        <v>3.5720204698194906</v>
      </c>
      <c r="I54" s="92">
        <f t="shared" si="6"/>
        <v>16.519676683852801</v>
      </c>
      <c r="J54" s="93"/>
    </row>
    <row r="55" spans="1:10">
      <c r="A55" s="84"/>
      <c r="B55" s="3" t="s">
        <v>866</v>
      </c>
      <c r="C55" s="96">
        <v>115</v>
      </c>
      <c r="D55" s="96">
        <v>1</v>
      </c>
      <c r="E55" s="105">
        <v>60</v>
      </c>
      <c r="F55" s="92">
        <f>+'Schedule 9'!D51</f>
        <v>7.23</v>
      </c>
      <c r="G55" s="92">
        <f>+'Schedule 9'!E51</f>
        <v>7.2976562140333101</v>
      </c>
      <c r="H55" s="92">
        <f>+'Schedule 9'!F51</f>
        <v>3.0865641458343887</v>
      </c>
      <c r="I55" s="92">
        <f t="shared" si="6"/>
        <v>17.614220359867698</v>
      </c>
      <c r="J55" s="93"/>
    </row>
    <row r="56" spans="1:10">
      <c r="A56" s="84"/>
      <c r="B56" s="3" t="s">
        <v>865</v>
      </c>
      <c r="C56" s="96">
        <v>116</v>
      </c>
      <c r="D56" s="96">
        <v>4</v>
      </c>
      <c r="E56" s="105">
        <v>166</v>
      </c>
      <c r="F56" s="92">
        <f>+'Schedule 9'!D52</f>
        <v>20.02</v>
      </c>
      <c r="G56" s="92">
        <f>+'Schedule 9'!E52</f>
        <v>7.2976562140333101</v>
      </c>
      <c r="H56" s="92">
        <f>+'Schedule 9'!F52</f>
        <v>3.9339220254257139</v>
      </c>
      <c r="I56" s="92">
        <f t="shared" si="6"/>
        <v>31.251578239459022</v>
      </c>
      <c r="J56" s="93"/>
    </row>
    <row r="57" spans="1:10">
      <c r="A57" s="84"/>
      <c r="B57" s="3"/>
      <c r="C57" s="96"/>
      <c r="D57" s="96"/>
      <c r="E57" s="105"/>
      <c r="F57" s="92"/>
      <c r="G57" s="92"/>
      <c r="H57" s="92"/>
      <c r="I57" s="92"/>
      <c r="J57" s="93"/>
    </row>
    <row r="58" spans="1:10">
      <c r="A58" s="84"/>
      <c r="B58" s="98" t="s">
        <v>858</v>
      </c>
      <c r="C58" s="96"/>
      <c r="D58" s="96"/>
      <c r="E58" s="105"/>
      <c r="F58" s="92"/>
      <c r="G58" s="92"/>
      <c r="H58" s="92"/>
      <c r="I58" s="92"/>
      <c r="J58" s="93"/>
    </row>
    <row r="59" spans="1:10">
      <c r="A59" s="84"/>
      <c r="B59" s="3" t="s">
        <v>866</v>
      </c>
      <c r="C59" s="96">
        <v>213</v>
      </c>
      <c r="D59" s="96">
        <v>4</v>
      </c>
      <c r="E59" s="105">
        <v>222</v>
      </c>
      <c r="F59" s="92">
        <f t="shared" ref="F59:G62" si="7">+F53</f>
        <v>26.72</v>
      </c>
      <c r="G59" s="92">
        <f t="shared" si="7"/>
        <v>7.2976562140333101</v>
      </c>
      <c r="H59" s="92">
        <v>0</v>
      </c>
      <c r="I59" s="92">
        <f t="shared" ref="I59:I64" si="8">SUM(F59:H59)</f>
        <v>34.017656214033309</v>
      </c>
      <c r="J59" s="93" t="s">
        <v>859</v>
      </c>
    </row>
    <row r="60" spans="1:10">
      <c r="A60" s="84"/>
      <c r="B60" s="3" t="s">
        <v>867</v>
      </c>
      <c r="C60" s="96">
        <v>214</v>
      </c>
      <c r="D60" s="96">
        <v>1</v>
      </c>
      <c r="E60" s="105">
        <v>47</v>
      </c>
      <c r="F60" s="92">
        <f t="shared" si="7"/>
        <v>5.65</v>
      </c>
      <c r="G60" s="92">
        <f t="shared" si="7"/>
        <v>7.2976562140333101</v>
      </c>
      <c r="H60" s="92">
        <v>0</v>
      </c>
      <c r="I60" s="92">
        <f t="shared" si="8"/>
        <v>12.94765621403331</v>
      </c>
      <c r="J60" s="93" t="s">
        <v>859</v>
      </c>
    </row>
    <row r="61" spans="1:10">
      <c r="A61" s="84"/>
      <c r="B61" s="3" t="s">
        <v>866</v>
      </c>
      <c r="C61" s="96">
        <v>215</v>
      </c>
      <c r="D61" s="96">
        <v>1</v>
      </c>
      <c r="E61" s="105">
        <v>60</v>
      </c>
      <c r="F61" s="92">
        <f t="shared" si="7"/>
        <v>7.23</v>
      </c>
      <c r="G61" s="92">
        <f t="shared" si="7"/>
        <v>7.2976562140333101</v>
      </c>
      <c r="H61" s="92">
        <v>0</v>
      </c>
      <c r="I61" s="92">
        <f t="shared" si="8"/>
        <v>14.527656214033311</v>
      </c>
      <c r="J61" s="93" t="s">
        <v>859</v>
      </c>
    </row>
    <row r="62" spans="1:10">
      <c r="A62" s="84"/>
      <c r="B62" s="3" t="s">
        <v>865</v>
      </c>
      <c r="C62" s="96">
        <v>216</v>
      </c>
      <c r="D62" s="96">
        <v>4</v>
      </c>
      <c r="E62" s="105">
        <v>166</v>
      </c>
      <c r="F62" s="92">
        <f t="shared" si="7"/>
        <v>20.02</v>
      </c>
      <c r="G62" s="92">
        <f t="shared" si="7"/>
        <v>7.2976562140333101</v>
      </c>
      <c r="H62" s="92">
        <v>0</v>
      </c>
      <c r="I62" s="92">
        <f t="shared" si="8"/>
        <v>27.31765621403331</v>
      </c>
      <c r="J62" s="93" t="s">
        <v>859</v>
      </c>
    </row>
    <row r="63" spans="1:10">
      <c r="A63" s="84"/>
      <c r="B63" s="3" t="s">
        <v>865</v>
      </c>
      <c r="C63" s="96">
        <v>217</v>
      </c>
      <c r="D63" s="96">
        <v>1</v>
      </c>
      <c r="E63" s="105">
        <v>49</v>
      </c>
      <c r="F63" s="92">
        <f>+'Schedule 9'!D59</f>
        <v>5.8800000000000008</v>
      </c>
      <c r="G63" s="92">
        <f>+'Schedule 9'!E59</f>
        <v>7.2976562140333101</v>
      </c>
      <c r="H63" s="92">
        <v>0</v>
      </c>
      <c r="I63" s="92">
        <f t="shared" si="8"/>
        <v>13.177656214033311</v>
      </c>
      <c r="J63" s="93" t="s">
        <v>859</v>
      </c>
    </row>
    <row r="64" spans="1:10">
      <c r="A64" s="84"/>
      <c r="B64" s="3" t="s">
        <v>865</v>
      </c>
      <c r="C64" s="96">
        <v>218</v>
      </c>
      <c r="D64" s="96">
        <v>2</v>
      </c>
      <c r="E64" s="105">
        <v>85</v>
      </c>
      <c r="F64" s="90">
        <f>+'Schedule 9'!D60</f>
        <v>10.24</v>
      </c>
      <c r="G64" s="90">
        <f>+'Schedule 9'!E60</f>
        <v>7.2976562140333101</v>
      </c>
      <c r="H64" s="90">
        <v>0</v>
      </c>
      <c r="I64" s="90">
        <f t="shared" si="8"/>
        <v>17.537656214033312</v>
      </c>
      <c r="J64" s="93" t="s">
        <v>859</v>
      </c>
    </row>
    <row r="65" spans="1:10">
      <c r="A65" s="84"/>
      <c r="B65" s="98" t="s">
        <v>860</v>
      </c>
      <c r="C65" s="96"/>
      <c r="D65" s="96"/>
      <c r="E65" s="105"/>
      <c r="F65" s="92"/>
      <c r="G65" s="92"/>
      <c r="H65" s="92"/>
      <c r="I65" s="92"/>
      <c r="J65" s="93"/>
    </row>
    <row r="66" spans="1:10">
      <c r="A66" s="84"/>
      <c r="B66" s="106" t="s">
        <v>868</v>
      </c>
      <c r="C66" s="107">
        <v>330</v>
      </c>
      <c r="D66" s="107">
        <v>4</v>
      </c>
      <c r="E66" s="106">
        <v>47</v>
      </c>
      <c r="F66" s="102">
        <f>+'Schedule 9'!D62</f>
        <v>5.65</v>
      </c>
      <c r="G66" s="102">
        <v>0</v>
      </c>
      <c r="H66" s="102">
        <v>0</v>
      </c>
      <c r="I66" s="90">
        <f>SUM(F66:H66)</f>
        <v>5.65</v>
      </c>
      <c r="J66" s="93"/>
    </row>
    <row r="67" spans="1:10">
      <c r="A67" s="84"/>
      <c r="B67" s="3"/>
      <c r="C67" s="96"/>
      <c r="D67" s="3"/>
      <c r="E67" s="105"/>
      <c r="F67" s="92"/>
      <c r="G67" s="92"/>
      <c r="H67" s="92"/>
      <c r="I67" s="92"/>
      <c r="J67" s="93"/>
    </row>
    <row r="68" spans="1:10">
      <c r="A68" s="87" t="s">
        <v>869</v>
      </c>
      <c r="B68" s="97" t="s">
        <v>870</v>
      </c>
      <c r="C68" s="4"/>
      <c r="D68" s="3"/>
      <c r="E68" s="105"/>
      <c r="F68" s="92"/>
      <c r="G68" s="92"/>
      <c r="H68" s="92"/>
      <c r="I68" s="92"/>
      <c r="J68" s="93"/>
    </row>
    <row r="69" spans="1:10">
      <c r="A69" s="84"/>
      <c r="B69" s="3"/>
      <c r="C69" s="96"/>
      <c r="D69" s="3"/>
      <c r="E69" s="105"/>
      <c r="F69" s="92"/>
      <c r="G69" s="92"/>
      <c r="H69" s="92"/>
      <c r="I69" s="92"/>
      <c r="J69" s="93"/>
    </row>
    <row r="70" spans="1:10">
      <c r="A70" s="84"/>
      <c r="B70" s="108" t="s">
        <v>871</v>
      </c>
      <c r="C70" s="109"/>
      <c r="D70" s="3"/>
      <c r="E70" s="105"/>
      <c r="F70" s="92"/>
      <c r="G70" s="92"/>
      <c r="H70" s="92"/>
      <c r="I70" s="92"/>
      <c r="J70" s="93"/>
    </row>
    <row r="71" spans="1:10">
      <c r="A71" s="84"/>
      <c r="B71" s="3"/>
      <c r="C71" s="96"/>
      <c r="D71" s="3"/>
      <c r="E71" s="105"/>
      <c r="F71" s="92"/>
      <c r="G71" s="92"/>
      <c r="H71" s="92"/>
      <c r="I71" s="92"/>
      <c r="J71" s="93"/>
    </row>
    <row r="72" spans="1:10">
      <c r="A72" s="84"/>
      <c r="B72" s="110" t="s">
        <v>863</v>
      </c>
      <c r="C72" s="111"/>
      <c r="D72" s="3"/>
      <c r="E72" s="105"/>
      <c r="F72" s="92"/>
      <c r="G72" s="92"/>
      <c r="H72" s="92"/>
      <c r="I72" s="92"/>
      <c r="J72" s="93"/>
    </row>
    <row r="73" spans="1:10">
      <c r="A73" s="84"/>
      <c r="B73" s="3" t="s">
        <v>866</v>
      </c>
      <c r="C73" s="96">
        <v>117</v>
      </c>
      <c r="D73" s="96">
        <v>4</v>
      </c>
      <c r="E73" s="105">
        <v>486</v>
      </c>
      <c r="F73" s="92">
        <f>+'Schedule 9'!D68</f>
        <v>45.45</v>
      </c>
      <c r="G73" s="92">
        <v>0</v>
      </c>
      <c r="H73" s="92">
        <v>0</v>
      </c>
      <c r="I73" s="92">
        <f>SUM(F73:H73)</f>
        <v>45.45</v>
      </c>
      <c r="J73" s="93"/>
    </row>
    <row r="74" spans="1:10">
      <c r="A74" s="84"/>
      <c r="B74" s="3" t="s">
        <v>864</v>
      </c>
      <c r="C74" s="96">
        <v>118</v>
      </c>
      <c r="D74" s="96">
        <v>2</v>
      </c>
      <c r="E74" s="105">
        <v>66</v>
      </c>
      <c r="F74" s="92">
        <f>+'Schedule 9'!D69</f>
        <v>6.16</v>
      </c>
      <c r="G74" s="92">
        <v>0</v>
      </c>
      <c r="H74" s="92">
        <v>0</v>
      </c>
      <c r="I74" s="92">
        <f>SUM(F74:H74)</f>
        <v>6.16</v>
      </c>
      <c r="J74" s="93"/>
    </row>
    <row r="75" spans="1:10">
      <c r="A75" s="84"/>
      <c r="B75" s="3" t="s">
        <v>865</v>
      </c>
      <c r="C75" s="96">
        <v>119</v>
      </c>
      <c r="D75" s="96">
        <v>4</v>
      </c>
      <c r="E75" s="105">
        <v>364</v>
      </c>
      <c r="F75" s="92">
        <f>+'Schedule 9'!D70</f>
        <v>34.059999999999995</v>
      </c>
      <c r="G75" s="92">
        <v>0</v>
      </c>
      <c r="H75" s="92">
        <v>0</v>
      </c>
      <c r="I75" s="92">
        <f>SUM(F75:H75)</f>
        <v>34.059999999999995</v>
      </c>
      <c r="J75" s="93"/>
    </row>
    <row r="76" spans="1:10">
      <c r="A76" s="84"/>
      <c r="B76" s="3" t="s">
        <v>867</v>
      </c>
      <c r="C76" s="96">
        <v>120</v>
      </c>
      <c r="D76" s="96">
        <v>2</v>
      </c>
      <c r="E76" s="105">
        <v>254</v>
      </c>
      <c r="F76" s="92">
        <f>+'Schedule 9'!D71</f>
        <v>23.770000000000003</v>
      </c>
      <c r="G76" s="92">
        <v>0</v>
      </c>
      <c r="H76" s="92">
        <v>0</v>
      </c>
      <c r="I76" s="92">
        <f>SUM(F76:H76)</f>
        <v>23.770000000000003</v>
      </c>
      <c r="J76" s="93"/>
    </row>
    <row r="77" spans="1:10">
      <c r="A77" s="84"/>
      <c r="B77" s="3" t="s">
        <v>867</v>
      </c>
      <c r="C77" s="96">
        <v>150</v>
      </c>
      <c r="D77" s="96">
        <v>4</v>
      </c>
      <c r="E77" s="105">
        <v>613</v>
      </c>
      <c r="F77" s="92">
        <f>+'Schedule 9'!D72</f>
        <v>57.34</v>
      </c>
      <c r="G77" s="92">
        <v>0</v>
      </c>
      <c r="H77" s="92">
        <v>0</v>
      </c>
      <c r="I77" s="92">
        <f>SUM(F77:H77)</f>
        <v>57.34</v>
      </c>
      <c r="J77" s="93"/>
    </row>
    <row r="78" spans="1:10">
      <c r="A78" s="84"/>
      <c r="B78" s="3"/>
      <c r="C78" s="96"/>
      <c r="D78" s="3"/>
      <c r="E78" s="105"/>
      <c r="F78" s="92"/>
      <c r="G78" s="92"/>
      <c r="H78" s="92"/>
      <c r="I78" s="92"/>
      <c r="J78" s="93"/>
    </row>
    <row r="79" spans="1:10">
      <c r="A79" s="84"/>
      <c r="B79" s="108" t="s">
        <v>872</v>
      </c>
      <c r="C79" s="109"/>
      <c r="D79" s="3"/>
      <c r="E79" s="105"/>
      <c r="F79" s="92"/>
      <c r="G79" s="92"/>
      <c r="H79" s="92"/>
      <c r="I79" s="92"/>
      <c r="J79" s="93"/>
    </row>
    <row r="80" spans="1:10">
      <c r="A80" s="84"/>
      <c r="B80" s="3"/>
      <c r="C80" s="96"/>
      <c r="D80" s="3"/>
      <c r="E80" s="105"/>
      <c r="F80" s="92"/>
      <c r="G80" s="92"/>
      <c r="H80" s="92"/>
      <c r="I80" s="92"/>
      <c r="J80" s="93"/>
    </row>
    <row r="81" spans="1:10">
      <c r="A81" s="84"/>
      <c r="B81" s="110" t="s">
        <v>863</v>
      </c>
      <c r="C81" s="111"/>
      <c r="D81" s="3"/>
      <c r="E81" s="105"/>
      <c r="F81" s="92"/>
      <c r="G81" s="92"/>
      <c r="H81" s="92"/>
      <c r="I81" s="92"/>
      <c r="J81" s="93"/>
    </row>
    <row r="82" spans="1:10">
      <c r="A82" s="84"/>
      <c r="B82" s="3" t="s">
        <v>864</v>
      </c>
      <c r="C82" s="96">
        <v>310</v>
      </c>
      <c r="D82" s="96">
        <v>2</v>
      </c>
      <c r="E82" s="105">
        <v>30</v>
      </c>
      <c r="F82" s="92">
        <f>+'Schedule 9'!D77</f>
        <v>3.6199999999999997</v>
      </c>
      <c r="G82" s="92">
        <v>0</v>
      </c>
      <c r="H82" s="92">
        <v>0</v>
      </c>
      <c r="I82" s="92">
        <f t="shared" ref="I82:I88" si="9">SUM(F82:H82)</f>
        <v>3.6199999999999997</v>
      </c>
      <c r="J82" s="93"/>
    </row>
    <row r="83" spans="1:10">
      <c r="A83" s="84"/>
      <c r="B83" s="3" t="s">
        <v>865</v>
      </c>
      <c r="C83" s="96">
        <v>311</v>
      </c>
      <c r="D83" s="96">
        <v>4</v>
      </c>
      <c r="E83" s="105">
        <v>166</v>
      </c>
      <c r="F83" s="92">
        <f>+'Schedule 9'!D78</f>
        <v>20.02</v>
      </c>
      <c r="G83" s="92">
        <v>0</v>
      </c>
      <c r="H83" s="92">
        <v>0</v>
      </c>
      <c r="I83" s="92">
        <f t="shared" si="9"/>
        <v>20.02</v>
      </c>
      <c r="J83" s="93"/>
    </row>
    <row r="84" spans="1:10">
      <c r="A84" s="84"/>
      <c r="B84" s="3" t="s">
        <v>866</v>
      </c>
      <c r="C84" s="96">
        <v>312</v>
      </c>
      <c r="D84" s="96">
        <v>2</v>
      </c>
      <c r="E84" s="105">
        <v>116</v>
      </c>
      <c r="F84" s="92">
        <f>+'Schedule 9'!D79</f>
        <v>13.99</v>
      </c>
      <c r="G84" s="92">
        <v>0</v>
      </c>
      <c r="H84" s="92">
        <v>0</v>
      </c>
      <c r="I84" s="92">
        <f t="shared" si="9"/>
        <v>13.99</v>
      </c>
      <c r="J84" s="93"/>
    </row>
    <row r="85" spans="1:10">
      <c r="A85" s="84"/>
      <c r="B85" s="3" t="s">
        <v>866</v>
      </c>
      <c r="C85" s="96">
        <v>313</v>
      </c>
      <c r="D85" s="96">
        <v>4</v>
      </c>
      <c r="E85" s="105">
        <v>222</v>
      </c>
      <c r="F85" s="92">
        <f>+'Schedule 9'!D80</f>
        <v>26.72</v>
      </c>
      <c r="G85" s="92">
        <v>0</v>
      </c>
      <c r="H85" s="92">
        <v>0</v>
      </c>
      <c r="I85" s="92">
        <f t="shared" si="9"/>
        <v>26.72</v>
      </c>
      <c r="J85" s="93"/>
    </row>
    <row r="86" spans="1:10">
      <c r="A86" s="84"/>
      <c r="B86" s="112" t="s">
        <v>867</v>
      </c>
      <c r="C86" s="101">
        <v>314</v>
      </c>
      <c r="D86" s="101">
        <v>1</v>
      </c>
      <c r="E86" s="93">
        <v>47</v>
      </c>
      <c r="F86" s="92">
        <f>+'Schedule 9'!D81</f>
        <v>5.65</v>
      </c>
      <c r="G86" s="95">
        <v>0</v>
      </c>
      <c r="H86" s="95">
        <v>0</v>
      </c>
      <c r="I86" s="92">
        <f t="shared" si="9"/>
        <v>5.65</v>
      </c>
      <c r="J86" s="93"/>
    </row>
    <row r="87" spans="1:10">
      <c r="A87" s="84"/>
      <c r="B87" s="112" t="s">
        <v>866</v>
      </c>
      <c r="C87" s="101">
        <v>315</v>
      </c>
      <c r="D87" s="101">
        <v>1</v>
      </c>
      <c r="E87" s="93">
        <v>60</v>
      </c>
      <c r="F87" s="92">
        <f>+'Schedule 9'!D82</f>
        <v>7.23</v>
      </c>
      <c r="G87" s="95">
        <v>0</v>
      </c>
      <c r="H87" s="95">
        <v>0</v>
      </c>
      <c r="I87" s="92">
        <f t="shared" si="9"/>
        <v>7.23</v>
      </c>
      <c r="J87" s="93"/>
    </row>
    <row r="88" spans="1:10">
      <c r="A88" s="84"/>
      <c r="B88" s="3" t="s">
        <v>867</v>
      </c>
      <c r="C88" s="96">
        <v>350</v>
      </c>
      <c r="D88" s="96">
        <v>4</v>
      </c>
      <c r="E88" s="105">
        <v>280</v>
      </c>
      <c r="F88" s="90">
        <f>+'Schedule 9'!D83</f>
        <v>33.739999999999995</v>
      </c>
      <c r="G88" s="90">
        <v>0</v>
      </c>
      <c r="H88" s="90">
        <v>0</v>
      </c>
      <c r="I88" s="90">
        <f t="shared" si="9"/>
        <v>33.739999999999995</v>
      </c>
      <c r="J88" s="93"/>
    </row>
    <row r="89" spans="1:10">
      <c r="A89" s="84"/>
      <c r="B89" s="3"/>
      <c r="C89" s="96"/>
      <c r="D89" s="96"/>
      <c r="E89" s="105"/>
      <c r="F89" s="92"/>
      <c r="G89" s="92"/>
      <c r="H89" s="92"/>
      <c r="I89" s="92"/>
      <c r="J89" s="93"/>
    </row>
    <row r="90" spans="1:10">
      <c r="A90" s="87" t="s">
        <v>873</v>
      </c>
      <c r="B90" s="97" t="s">
        <v>874</v>
      </c>
      <c r="C90" s="4"/>
      <c r="D90" s="3"/>
      <c r="E90" s="105"/>
      <c r="F90" s="92"/>
      <c r="G90" s="92"/>
      <c r="H90" s="92"/>
      <c r="I90" s="92"/>
      <c r="J90" s="93"/>
    </row>
    <row r="91" spans="1:10">
      <c r="A91" s="84"/>
      <c r="B91" s="3"/>
      <c r="C91" s="96"/>
      <c r="D91" s="3"/>
      <c r="E91" s="105"/>
      <c r="F91" s="92"/>
      <c r="G91" s="92"/>
      <c r="H91" s="92"/>
      <c r="I91" s="92"/>
      <c r="J91" s="93"/>
    </row>
    <row r="92" spans="1:10">
      <c r="A92" s="84"/>
      <c r="B92" s="110" t="s">
        <v>875</v>
      </c>
      <c r="C92" s="111"/>
      <c r="D92" s="3"/>
      <c r="E92" s="105"/>
      <c r="F92" s="92"/>
      <c r="G92" s="92"/>
      <c r="H92" s="92"/>
      <c r="I92" s="92"/>
      <c r="J92" s="93"/>
    </row>
    <row r="93" spans="1:10">
      <c r="A93" s="84"/>
      <c r="B93" s="3"/>
      <c r="C93" s="96"/>
      <c r="D93" s="3"/>
      <c r="E93" s="105"/>
      <c r="F93" s="92"/>
      <c r="G93" s="92"/>
      <c r="H93" s="92"/>
      <c r="I93" s="92"/>
      <c r="J93" s="93"/>
    </row>
    <row r="94" spans="1:10">
      <c r="A94" s="84"/>
      <c r="B94" s="98" t="s">
        <v>849</v>
      </c>
      <c r="C94" s="96"/>
      <c r="D94" s="3"/>
      <c r="E94" s="105"/>
      <c r="F94" s="92"/>
      <c r="G94" s="92"/>
      <c r="H94" s="92"/>
      <c r="I94" s="92"/>
      <c r="J94" s="93"/>
    </row>
    <row r="95" spans="1:10">
      <c r="A95" s="84"/>
      <c r="B95" s="22" t="s">
        <v>876</v>
      </c>
      <c r="C95" s="89">
        <v>130</v>
      </c>
      <c r="D95" s="3"/>
      <c r="E95" s="105">
        <v>60</v>
      </c>
      <c r="F95" s="90">
        <f>+'Schedule 9'!D87</f>
        <v>7.23</v>
      </c>
      <c r="G95" s="90">
        <f>+'Schedule 9'!E87</f>
        <v>10.946484321049965</v>
      </c>
      <c r="H95" s="90">
        <f>+'Schedule 9'!F87</f>
        <v>7.1224892924978969</v>
      </c>
      <c r="I95" s="90">
        <f>SUM(F95:H95)</f>
        <v>25.298973613547862</v>
      </c>
      <c r="J95" s="93"/>
    </row>
    <row r="96" spans="1:10">
      <c r="A96" s="84"/>
      <c r="B96" s="22" t="s">
        <v>877</v>
      </c>
      <c r="C96" s="89">
        <v>131</v>
      </c>
      <c r="D96" s="3"/>
      <c r="E96" s="105">
        <v>80</v>
      </c>
      <c r="F96" s="92">
        <f>+'Schedule 9'!D88</f>
        <v>9.64</v>
      </c>
      <c r="G96" s="92">
        <f>+'Schedule 9'!E88</f>
        <v>10.946484321049965</v>
      </c>
      <c r="H96" s="92">
        <f>+'Schedule 9'!F88</f>
        <v>10.383317697297707</v>
      </c>
      <c r="I96" s="92">
        <f>SUM(F96:H96)</f>
        <v>30.969802018347671</v>
      </c>
      <c r="J96" s="93"/>
    </row>
    <row r="97" spans="1:10">
      <c r="A97" s="84"/>
      <c r="B97" s="22" t="s">
        <v>878</v>
      </c>
      <c r="C97" s="89">
        <v>132</v>
      </c>
      <c r="D97" s="3"/>
      <c r="E97" s="105">
        <v>45</v>
      </c>
      <c r="F97" s="92">
        <f>+'Schedule 9'!D89</f>
        <v>5.41</v>
      </c>
      <c r="G97" s="92">
        <f>+'Schedule 9'!E89</f>
        <v>10.946484321049965</v>
      </c>
      <c r="H97" s="92">
        <f>+'Schedule 9'!F89</f>
        <v>7.1224892924978969</v>
      </c>
      <c r="I97" s="92">
        <f>SUM(F97:H97)</f>
        <v>23.478973613547861</v>
      </c>
      <c r="J97" s="93"/>
    </row>
    <row r="98" spans="1:10">
      <c r="A98" s="84"/>
      <c r="J98" s="93"/>
    </row>
    <row r="99" spans="1:10">
      <c r="A99" s="84"/>
      <c r="B99" s="98" t="s">
        <v>858</v>
      </c>
      <c r="J99" s="93"/>
    </row>
    <row r="100" spans="1:10">
      <c r="A100" s="84"/>
      <c r="B100" s="22" t="s">
        <v>877</v>
      </c>
      <c r="C100" s="89">
        <v>231</v>
      </c>
      <c r="D100" s="3"/>
      <c r="E100" s="105">
        <v>80</v>
      </c>
      <c r="F100" s="92">
        <f>+F96</f>
        <v>9.64</v>
      </c>
      <c r="G100" s="92">
        <f>+G96</f>
        <v>10.946484321049965</v>
      </c>
      <c r="H100" s="92">
        <v>0</v>
      </c>
      <c r="I100" s="92">
        <f>SUM(F100:H100)</f>
        <v>20.586484321049966</v>
      </c>
      <c r="J100" s="93" t="s">
        <v>859</v>
      </c>
    </row>
    <row r="101" spans="1:10">
      <c r="A101" s="84"/>
      <c r="B101" s="22"/>
      <c r="C101" s="89"/>
      <c r="D101" s="3"/>
      <c r="E101" s="105"/>
      <c r="F101" s="92"/>
      <c r="G101" s="92"/>
      <c r="H101" s="92"/>
      <c r="I101" s="92"/>
      <c r="J101" s="93"/>
    </row>
    <row r="102" spans="1:10">
      <c r="A102" s="84"/>
      <c r="B102" s="98" t="s">
        <v>860</v>
      </c>
      <c r="C102" s="89"/>
      <c r="D102" s="3"/>
      <c r="E102" s="105"/>
      <c r="F102" s="92"/>
      <c r="G102" s="92"/>
      <c r="H102" s="92"/>
      <c r="I102" s="92"/>
      <c r="J102" s="93"/>
    </row>
    <row r="103" spans="1:10">
      <c r="A103" s="84"/>
      <c r="B103" s="112" t="s">
        <v>877</v>
      </c>
      <c r="C103" s="101">
        <v>331</v>
      </c>
      <c r="D103" s="93"/>
      <c r="E103" s="93">
        <v>80</v>
      </c>
      <c r="F103" s="95">
        <f>+F96</f>
        <v>9.64</v>
      </c>
      <c r="G103" s="95">
        <v>0</v>
      </c>
      <c r="H103" s="95">
        <v>0</v>
      </c>
      <c r="I103" s="92">
        <f>SUM(F103:H103)</f>
        <v>9.64</v>
      </c>
      <c r="J103" s="93"/>
    </row>
    <row r="104" spans="1:10">
      <c r="A104" s="84"/>
      <c r="B104" s="3"/>
      <c r="C104" s="96"/>
      <c r="D104" s="3"/>
      <c r="E104" s="105"/>
      <c r="F104" s="92"/>
      <c r="G104" s="92"/>
      <c r="H104" s="92"/>
      <c r="I104" s="92"/>
      <c r="J104" s="93"/>
    </row>
    <row r="105" spans="1:10">
      <c r="A105" s="87" t="s">
        <v>879</v>
      </c>
      <c r="B105" s="97" t="s">
        <v>880</v>
      </c>
      <c r="C105" s="4"/>
      <c r="D105" s="3"/>
      <c r="E105" s="105"/>
      <c r="F105" s="92"/>
      <c r="G105" s="92"/>
      <c r="H105" s="92"/>
      <c r="I105" s="92"/>
      <c r="J105" s="93"/>
    </row>
    <row r="106" spans="1:10">
      <c r="A106" s="84"/>
      <c r="B106" s="3"/>
      <c r="C106" s="96"/>
      <c r="D106" s="3"/>
      <c r="E106" s="105"/>
      <c r="F106" s="92"/>
      <c r="G106" s="92"/>
      <c r="H106" s="92"/>
      <c r="I106" s="92"/>
      <c r="J106" s="93"/>
    </row>
    <row r="107" spans="1:10">
      <c r="A107" s="84"/>
      <c r="B107" s="110" t="s">
        <v>875</v>
      </c>
      <c r="C107" s="111"/>
      <c r="D107" s="3"/>
      <c r="E107" s="105"/>
      <c r="F107" s="92"/>
      <c r="G107" s="92"/>
      <c r="H107" s="92"/>
      <c r="I107" s="92"/>
      <c r="J107" s="93"/>
    </row>
    <row r="108" spans="1:10">
      <c r="A108" s="84"/>
      <c r="B108" s="3"/>
      <c r="C108" s="96"/>
      <c r="D108" s="3"/>
      <c r="E108" s="105"/>
      <c r="F108" s="92"/>
      <c r="G108" s="92"/>
      <c r="H108" s="92"/>
      <c r="I108" s="92"/>
      <c r="J108" s="93"/>
    </row>
    <row r="109" spans="1:10">
      <c r="A109" s="84"/>
      <c r="B109" s="98" t="s">
        <v>849</v>
      </c>
      <c r="C109" s="96"/>
      <c r="D109" s="3"/>
      <c r="E109" s="105"/>
      <c r="F109" s="92"/>
      <c r="G109" s="92"/>
      <c r="H109" s="92"/>
      <c r="I109" s="92"/>
      <c r="J109" s="93"/>
    </row>
    <row r="110" spans="1:10">
      <c r="A110" s="84"/>
      <c r="B110" s="22" t="s">
        <v>881</v>
      </c>
      <c r="C110" s="89">
        <v>121</v>
      </c>
      <c r="D110" s="3"/>
      <c r="E110" s="105">
        <v>100</v>
      </c>
      <c r="F110" s="92">
        <f>+'Schedule 9'!D97</f>
        <v>12.05</v>
      </c>
      <c r="G110" s="92">
        <f>+'Schedule 9'!E97</f>
        <v>3.6488281070166551</v>
      </c>
      <c r="H110" s="92">
        <f>+'Schedule 9'!F97</f>
        <v>3.8892299999064091</v>
      </c>
      <c r="I110" s="92">
        <f t="shared" ref="I110:I115" si="10">SUM(F110:H110)</f>
        <v>19.588058106923064</v>
      </c>
      <c r="J110" s="93"/>
    </row>
    <row r="111" spans="1:10">
      <c r="A111" s="84"/>
      <c r="B111" s="22" t="s">
        <v>882</v>
      </c>
      <c r="C111" s="89">
        <v>122</v>
      </c>
      <c r="D111" s="3"/>
      <c r="E111" s="105">
        <v>150</v>
      </c>
      <c r="F111" s="92">
        <f>+'Schedule 9'!D98</f>
        <v>18.07</v>
      </c>
      <c r="G111" s="92">
        <f>+'Schedule 9'!E98</f>
        <v>3.6488281070166551</v>
      </c>
      <c r="H111" s="92">
        <f>+'Schedule 9'!F98</f>
        <v>4.0348208300758373</v>
      </c>
      <c r="I111" s="92">
        <f t="shared" si="10"/>
        <v>25.753648937092493</v>
      </c>
      <c r="J111" s="93"/>
    </row>
    <row r="112" spans="1:10">
      <c r="A112" s="84"/>
      <c r="B112" s="22" t="s">
        <v>883</v>
      </c>
      <c r="C112" s="89">
        <v>123</v>
      </c>
      <c r="D112" s="3"/>
      <c r="E112" s="105">
        <v>32</v>
      </c>
      <c r="F112" s="92">
        <f>+'Schedule 9'!D99</f>
        <v>3.8400000000000003</v>
      </c>
      <c r="G112" s="92">
        <f>+'Schedule 9'!E99</f>
        <v>3.6488281070166551</v>
      </c>
      <c r="H112" s="92">
        <f>+'Schedule 9'!F99</f>
        <v>3.6472278943035215</v>
      </c>
      <c r="I112" s="92">
        <f t="shared" si="10"/>
        <v>11.136056001320176</v>
      </c>
      <c r="J112" s="93"/>
    </row>
    <row r="113" spans="1:11">
      <c r="A113" s="84"/>
      <c r="B113" s="22" t="s">
        <v>667</v>
      </c>
      <c r="C113" s="89">
        <v>124</v>
      </c>
      <c r="D113" s="3"/>
      <c r="E113" s="105">
        <v>45</v>
      </c>
      <c r="F113" s="92">
        <f>+'Schedule 9'!D100</f>
        <v>5.41</v>
      </c>
      <c r="G113" s="92">
        <f>+'Schedule 9'!E100</f>
        <v>3.6488281070166551</v>
      </c>
      <c r="H113" s="92">
        <f>+'Schedule 9'!F100</f>
        <v>3.678635591534714</v>
      </c>
      <c r="I113" s="92">
        <f t="shared" si="10"/>
        <v>12.73746369855137</v>
      </c>
      <c r="J113" s="93"/>
    </row>
    <row r="114" spans="1:11">
      <c r="A114" s="84"/>
      <c r="B114" s="22" t="s">
        <v>884</v>
      </c>
      <c r="C114" s="89">
        <v>125</v>
      </c>
      <c r="D114" s="3"/>
      <c r="E114" s="105">
        <v>65</v>
      </c>
      <c r="F114" s="92">
        <f>+'Schedule 9'!D101</f>
        <v>7.83</v>
      </c>
      <c r="G114" s="92">
        <f>+'Schedule 9'!E101</f>
        <v>3.6488281070166551</v>
      </c>
      <c r="H114" s="92">
        <f>+'Schedule 9'!F101</f>
        <v>3.8991434236323066</v>
      </c>
      <c r="I114" s="92">
        <f t="shared" si="10"/>
        <v>15.377971530648962</v>
      </c>
      <c r="J114" s="93"/>
    </row>
    <row r="115" spans="1:11">
      <c r="A115" s="84"/>
      <c r="B115" s="112" t="s">
        <v>667</v>
      </c>
      <c r="C115" s="94">
        <v>126</v>
      </c>
      <c r="D115" s="93"/>
      <c r="E115" s="113">
        <v>99</v>
      </c>
      <c r="F115" s="90">
        <f>+'Schedule 9'!D102</f>
        <v>9.24</v>
      </c>
      <c r="G115" s="90">
        <f>+'Schedule 9'!E102</f>
        <v>7.2976562140333101</v>
      </c>
      <c r="H115" s="90">
        <f>+'Schedule 9'!F102</f>
        <v>3.678635591534714</v>
      </c>
      <c r="I115" s="90">
        <f t="shared" si="10"/>
        <v>20.216291805568027</v>
      </c>
      <c r="J115" s="93" t="s">
        <v>857</v>
      </c>
    </row>
    <row r="116" spans="1:11">
      <c r="A116" s="84"/>
      <c r="B116" s="22"/>
      <c r="C116" s="89"/>
      <c r="D116" s="3"/>
      <c r="E116" s="105"/>
      <c r="F116" s="92"/>
      <c r="G116" s="92"/>
      <c r="H116" s="92"/>
      <c r="I116" s="92"/>
      <c r="J116" s="93"/>
    </row>
    <row r="117" spans="1:11">
      <c r="A117" s="84"/>
      <c r="B117" s="98" t="s">
        <v>858</v>
      </c>
      <c r="C117" s="89"/>
      <c r="D117" s="3"/>
      <c r="E117" s="105"/>
      <c r="F117" s="92"/>
      <c r="G117" s="92"/>
      <c r="H117" s="92"/>
      <c r="I117" s="92"/>
      <c r="J117" s="93"/>
    </row>
    <row r="118" spans="1:11">
      <c r="A118" s="84"/>
      <c r="B118" s="22" t="s">
        <v>881</v>
      </c>
      <c r="C118" s="89">
        <v>221</v>
      </c>
      <c r="D118" s="3"/>
      <c r="E118" s="105">
        <v>100</v>
      </c>
      <c r="F118" s="90">
        <f>+F110</f>
        <v>12.05</v>
      </c>
      <c r="G118" s="90">
        <f>+G110</f>
        <v>3.6488281070166551</v>
      </c>
      <c r="H118" s="90">
        <v>0</v>
      </c>
      <c r="I118" s="90">
        <f>SUM(F118:H118)</f>
        <v>15.698828107016656</v>
      </c>
      <c r="J118" s="93" t="s">
        <v>859</v>
      </c>
    </row>
    <row r="119" spans="1:11">
      <c r="A119" s="84"/>
      <c r="B119" s="22" t="s">
        <v>883</v>
      </c>
      <c r="C119" s="89">
        <v>222</v>
      </c>
      <c r="D119" s="3"/>
      <c r="E119" s="105">
        <v>32</v>
      </c>
      <c r="F119" s="92">
        <f t="shared" ref="F119:G121" si="11">+F112</f>
        <v>3.8400000000000003</v>
      </c>
      <c r="G119" s="92">
        <f t="shared" si="11"/>
        <v>3.6488281070166551</v>
      </c>
      <c r="H119" s="92">
        <v>0</v>
      </c>
      <c r="I119" s="92">
        <f>SUM(F119:H119)</f>
        <v>7.4888281070166549</v>
      </c>
      <c r="J119" s="93" t="s">
        <v>859</v>
      </c>
    </row>
    <row r="120" spans="1:11">
      <c r="A120" s="84"/>
      <c r="B120" s="22" t="s">
        <v>667</v>
      </c>
      <c r="C120" s="89">
        <v>223</v>
      </c>
      <c r="D120" s="3"/>
      <c r="E120" s="105">
        <v>45</v>
      </c>
      <c r="F120" s="92">
        <f t="shared" si="11"/>
        <v>5.41</v>
      </c>
      <c r="G120" s="92">
        <f t="shared" si="11"/>
        <v>3.6488281070166551</v>
      </c>
      <c r="H120" s="92">
        <v>0</v>
      </c>
      <c r="I120" s="92">
        <f>SUM(F120:H120)</f>
        <v>9.0588281070166552</v>
      </c>
      <c r="J120" s="93" t="s">
        <v>859</v>
      </c>
    </row>
    <row r="121" spans="1:11">
      <c r="A121" s="84"/>
      <c r="B121" s="22" t="s">
        <v>884</v>
      </c>
      <c r="C121" s="89">
        <v>224</v>
      </c>
      <c r="D121" s="3"/>
      <c r="E121" s="105">
        <v>65</v>
      </c>
      <c r="F121" s="92">
        <f t="shared" si="11"/>
        <v>7.83</v>
      </c>
      <c r="G121" s="92">
        <f t="shared" si="11"/>
        <v>3.6488281070166551</v>
      </c>
      <c r="H121" s="92">
        <v>0</v>
      </c>
      <c r="I121" s="92">
        <f>SUM(F121:H121)</f>
        <v>11.478828107016655</v>
      </c>
      <c r="J121" s="93" t="s">
        <v>859</v>
      </c>
    </row>
    <row r="122" spans="1:11">
      <c r="A122" s="84"/>
      <c r="J122" s="93"/>
    </row>
    <row r="123" spans="1:11">
      <c r="A123" s="84"/>
      <c r="B123" s="98" t="s">
        <v>860</v>
      </c>
      <c r="C123" s="96"/>
      <c r="D123" s="3"/>
      <c r="E123" s="105"/>
      <c r="F123" s="92"/>
      <c r="G123" s="92"/>
      <c r="H123" s="92"/>
      <c r="I123" s="92"/>
      <c r="J123" s="93"/>
    </row>
    <row r="124" spans="1:11">
      <c r="A124" s="84"/>
      <c r="B124" s="114" t="s">
        <v>881</v>
      </c>
      <c r="C124" s="107">
        <v>321</v>
      </c>
      <c r="D124" s="106"/>
      <c r="E124" s="106">
        <v>100</v>
      </c>
      <c r="F124" s="104">
        <f>+F118</f>
        <v>12.05</v>
      </c>
      <c r="G124" s="104">
        <v>0</v>
      </c>
      <c r="H124" s="104">
        <v>0</v>
      </c>
      <c r="I124" s="104">
        <f t="shared" ref="I124:I130" si="12">SUM(F124:H124)</f>
        <v>12.05</v>
      </c>
      <c r="J124" s="93"/>
    </row>
    <row r="125" spans="1:11">
      <c r="A125" s="84"/>
      <c r="B125" s="114" t="s">
        <v>885</v>
      </c>
      <c r="C125" s="107">
        <v>322</v>
      </c>
      <c r="D125" s="106"/>
      <c r="E125" s="106">
        <v>32</v>
      </c>
      <c r="F125" s="104">
        <f>+F119</f>
        <v>3.8400000000000003</v>
      </c>
      <c r="G125" s="104">
        <v>0</v>
      </c>
      <c r="H125" s="104">
        <v>0</v>
      </c>
      <c r="I125" s="104">
        <f t="shared" si="12"/>
        <v>3.8400000000000003</v>
      </c>
      <c r="J125" s="93"/>
    </row>
    <row r="126" spans="1:11">
      <c r="A126" s="84"/>
      <c r="B126" s="114" t="s">
        <v>667</v>
      </c>
      <c r="C126" s="107">
        <v>323</v>
      </c>
      <c r="D126" s="106"/>
      <c r="E126" s="106">
        <v>45</v>
      </c>
      <c r="F126" s="104">
        <f>+F120</f>
        <v>5.41</v>
      </c>
      <c r="G126" s="104">
        <v>0</v>
      </c>
      <c r="H126" s="104">
        <v>0</v>
      </c>
      <c r="I126" s="104">
        <f t="shared" si="12"/>
        <v>5.41</v>
      </c>
      <c r="J126" s="93"/>
    </row>
    <row r="127" spans="1:11">
      <c r="A127" s="84"/>
      <c r="B127" s="114" t="s">
        <v>884</v>
      </c>
      <c r="C127" s="107">
        <v>324</v>
      </c>
      <c r="D127" s="106"/>
      <c r="E127" s="106">
        <v>65</v>
      </c>
      <c r="F127" s="104">
        <f>+F121</f>
        <v>7.83</v>
      </c>
      <c r="G127" s="104">
        <v>0</v>
      </c>
      <c r="H127" s="104">
        <v>0</v>
      </c>
      <c r="I127" s="104">
        <f t="shared" si="12"/>
        <v>7.83</v>
      </c>
      <c r="J127" s="93"/>
      <c r="K127" s="115"/>
    </row>
    <row r="128" spans="1:11">
      <c r="A128" s="84"/>
      <c r="B128" s="114" t="s">
        <v>882</v>
      </c>
      <c r="C128" s="107">
        <v>326</v>
      </c>
      <c r="D128" s="106"/>
      <c r="E128" s="106">
        <v>150</v>
      </c>
      <c r="F128" s="104">
        <f>+'Schedule 9'!D113</f>
        <v>18.07</v>
      </c>
      <c r="G128" s="104">
        <v>0</v>
      </c>
      <c r="H128" s="104">
        <v>0</v>
      </c>
      <c r="I128" s="104">
        <f t="shared" si="12"/>
        <v>18.07</v>
      </c>
      <c r="J128" s="93"/>
    </row>
    <row r="129" spans="1:10">
      <c r="A129" s="84"/>
      <c r="B129" s="116">
        <v>500</v>
      </c>
      <c r="C129" s="107">
        <v>327</v>
      </c>
      <c r="D129" s="106"/>
      <c r="E129" s="106">
        <v>183</v>
      </c>
      <c r="F129" s="104">
        <f>+'Schedule 9'!D114</f>
        <v>22.05</v>
      </c>
      <c r="G129" s="104">
        <v>0</v>
      </c>
      <c r="H129" s="104">
        <v>0</v>
      </c>
      <c r="I129" s="104">
        <f t="shared" si="12"/>
        <v>22.05</v>
      </c>
      <c r="J129" s="93"/>
    </row>
    <row r="130" spans="1:10">
      <c r="A130" s="84"/>
      <c r="B130" s="116">
        <v>1000</v>
      </c>
      <c r="C130" s="107">
        <v>328</v>
      </c>
      <c r="D130" s="106"/>
      <c r="E130" s="106">
        <v>363</v>
      </c>
      <c r="F130" s="104">
        <f>+'Schedule 9'!D116</f>
        <v>43.739999999999995</v>
      </c>
      <c r="G130" s="104">
        <v>0</v>
      </c>
      <c r="H130" s="104">
        <v>0</v>
      </c>
      <c r="I130" s="104">
        <f t="shared" si="12"/>
        <v>43.739999999999995</v>
      </c>
      <c r="J130" s="93"/>
    </row>
    <row r="131" spans="1:10">
      <c r="A131" s="84"/>
      <c r="B131" s="116">
        <v>1500</v>
      </c>
      <c r="C131" s="107">
        <v>329</v>
      </c>
      <c r="D131" s="106"/>
      <c r="E131" s="106"/>
      <c r="F131" s="104"/>
      <c r="G131" s="104"/>
      <c r="H131" s="104"/>
      <c r="I131" s="104"/>
      <c r="J131" s="93"/>
    </row>
    <row r="132" spans="1:10">
      <c r="A132" s="84"/>
      <c r="B132" s="3"/>
      <c r="C132" s="96"/>
      <c r="D132" s="3"/>
      <c r="E132" s="105"/>
      <c r="F132" s="92"/>
      <c r="G132" s="92"/>
      <c r="H132" s="92"/>
      <c r="I132" s="92"/>
      <c r="J132" s="93"/>
    </row>
    <row r="133" spans="1:10">
      <c r="A133" s="87" t="s">
        <v>886</v>
      </c>
      <c r="B133" s="97" t="s">
        <v>887</v>
      </c>
      <c r="C133" s="4"/>
      <c r="D133" s="3"/>
      <c r="E133" s="105"/>
      <c r="F133" s="92"/>
      <c r="G133" s="92"/>
      <c r="H133" s="92"/>
      <c r="I133" s="92"/>
      <c r="J133" s="93"/>
    </row>
    <row r="134" spans="1:10">
      <c r="A134" s="84"/>
      <c r="B134" s="3"/>
      <c r="C134" s="96"/>
      <c r="D134" s="3"/>
      <c r="E134" s="105"/>
      <c r="F134" s="92"/>
      <c r="G134" s="92"/>
      <c r="H134" s="92"/>
      <c r="I134" s="92"/>
      <c r="J134" s="93"/>
    </row>
    <row r="135" spans="1:10">
      <c r="A135" s="84"/>
      <c r="B135" s="110" t="s">
        <v>875</v>
      </c>
      <c r="C135" s="111"/>
      <c r="D135" s="3"/>
      <c r="E135" s="105"/>
      <c r="F135" s="92"/>
      <c r="G135" s="92"/>
      <c r="H135" s="92"/>
      <c r="I135" s="92"/>
      <c r="J135" s="93"/>
    </row>
    <row r="136" spans="1:10">
      <c r="A136" s="84"/>
      <c r="B136" s="3"/>
      <c r="C136" s="96"/>
      <c r="D136" s="3"/>
      <c r="E136" s="105"/>
      <c r="F136" s="92"/>
      <c r="G136" s="92"/>
      <c r="H136" s="92"/>
      <c r="I136" s="92"/>
      <c r="J136" s="93"/>
    </row>
    <row r="137" spans="1:10">
      <c r="A137" s="84"/>
      <c r="B137" s="98" t="s">
        <v>888</v>
      </c>
      <c r="C137" s="96"/>
      <c r="D137" s="3"/>
      <c r="E137" s="105"/>
      <c r="F137" s="92"/>
      <c r="G137" s="92"/>
      <c r="H137" s="92"/>
      <c r="I137" s="92"/>
      <c r="J137" s="93"/>
    </row>
    <row r="138" spans="1:10">
      <c r="A138" s="84"/>
      <c r="B138" s="22" t="s">
        <v>889</v>
      </c>
      <c r="C138" s="89">
        <v>140</v>
      </c>
      <c r="D138" s="3"/>
      <c r="E138" s="105">
        <v>150</v>
      </c>
      <c r="F138" s="92">
        <f>+'Schedule 9'!D122</f>
        <v>18.07</v>
      </c>
      <c r="G138" s="92">
        <f>+'Schedule 9'!E122</f>
        <v>5.8381249712266481</v>
      </c>
      <c r="H138" s="92">
        <f>+'Schedule 9'!F122</f>
        <v>4.6311474669481338</v>
      </c>
      <c r="I138" s="92">
        <f>SUM(F138:H138)</f>
        <v>28.539272438174784</v>
      </c>
      <c r="J138" s="93"/>
    </row>
    <row r="139" spans="1:10">
      <c r="A139" s="84"/>
      <c r="B139" s="22" t="s">
        <v>890</v>
      </c>
      <c r="C139" s="89">
        <v>141</v>
      </c>
      <c r="D139" s="3"/>
      <c r="E139" s="105">
        <v>360</v>
      </c>
      <c r="F139" s="92">
        <f>+'Schedule 9'!D123</f>
        <v>43.37</v>
      </c>
      <c r="G139" s="92">
        <f>+'Schedule 9'!E123</f>
        <v>8.7571874568399721</v>
      </c>
      <c r="H139" s="92">
        <f>+'Schedule 9'!F123</f>
        <v>6.8383338550968018</v>
      </c>
      <c r="I139" s="92">
        <f>SUM(F139:H139)</f>
        <v>58.965521311936769</v>
      </c>
      <c r="J139" s="93"/>
    </row>
    <row r="140" spans="1:10">
      <c r="A140" s="84"/>
      <c r="B140" s="22" t="s">
        <v>891</v>
      </c>
      <c r="C140" s="89">
        <v>142</v>
      </c>
      <c r="D140" s="3"/>
      <c r="E140" s="105">
        <v>100</v>
      </c>
      <c r="F140" s="92">
        <f>+'Schedule 9'!D124</f>
        <v>12.05</v>
      </c>
      <c r="G140" s="92">
        <f>+'Schedule 9'!E124</f>
        <v>8.7571874568399721</v>
      </c>
      <c r="H140" s="92">
        <f>+'Schedule 9'!F124</f>
        <v>4.5567241833649401</v>
      </c>
      <c r="I140" s="92">
        <f>SUM(F140:H140)</f>
        <v>25.363911640204911</v>
      </c>
      <c r="J140" s="93"/>
    </row>
    <row r="141" spans="1:10">
      <c r="A141" s="84"/>
      <c r="B141" s="22" t="s">
        <v>892</v>
      </c>
      <c r="C141" s="89">
        <v>143</v>
      </c>
      <c r="D141" s="3"/>
      <c r="E141" s="105">
        <v>67</v>
      </c>
      <c r="F141" s="92">
        <f>+'Schedule 9'!D126</f>
        <v>8.06</v>
      </c>
      <c r="G141" s="92">
        <f>+'Schedule 9'!E126</f>
        <v>8.7571874568399721</v>
      </c>
      <c r="H141" s="92">
        <f>+'Schedule 9'!F126</f>
        <v>4.5567241833649401</v>
      </c>
      <c r="I141" s="92">
        <f>SUM(F141:H141)</f>
        <v>21.373911640204916</v>
      </c>
      <c r="J141" s="93"/>
    </row>
    <row r="142" spans="1:10">
      <c r="A142" s="84"/>
      <c r="B142" s="116" t="s">
        <v>893</v>
      </c>
      <c r="C142" s="107">
        <v>144</v>
      </c>
      <c r="D142" s="106"/>
      <c r="E142" s="106">
        <v>50</v>
      </c>
      <c r="F142" s="90">
        <f>+'Schedule 9'!D128</f>
        <v>6.02</v>
      </c>
      <c r="G142" s="90">
        <f>+'Schedule 9'!E128</f>
        <v>8.7571874568399721</v>
      </c>
      <c r="H142" s="90">
        <f>+'Schedule 9'!F128</f>
        <v>4.5567241833649401</v>
      </c>
      <c r="I142" s="102">
        <f>SUM(F142:H142)</f>
        <v>19.33391164020491</v>
      </c>
      <c r="J142" s="93"/>
    </row>
    <row r="143" spans="1:10">
      <c r="A143" s="84"/>
      <c r="B143" s="22"/>
      <c r="C143" s="89"/>
      <c r="D143" s="3"/>
      <c r="E143" s="105"/>
      <c r="F143" s="90"/>
      <c r="G143" s="90"/>
      <c r="H143" s="90"/>
      <c r="I143" s="90"/>
      <c r="J143" s="93"/>
    </row>
    <row r="144" spans="1:10">
      <c r="A144" s="84"/>
      <c r="B144" s="98" t="s">
        <v>860</v>
      </c>
      <c r="C144" s="89"/>
      <c r="D144" s="3"/>
      <c r="E144" s="105"/>
      <c r="F144" s="90"/>
      <c r="G144" s="90"/>
      <c r="H144" s="90"/>
      <c r="I144" s="90"/>
      <c r="J144" s="93"/>
    </row>
    <row r="145" spans="1:10">
      <c r="A145" s="84"/>
      <c r="B145" s="114" t="s">
        <v>890</v>
      </c>
      <c r="C145" s="107">
        <v>341</v>
      </c>
      <c r="D145" s="106"/>
      <c r="E145" s="106">
        <v>360</v>
      </c>
      <c r="F145" s="102">
        <f>+F139</f>
        <v>43.37</v>
      </c>
      <c r="G145" s="102">
        <v>0</v>
      </c>
      <c r="H145" s="102">
        <v>0</v>
      </c>
      <c r="I145" s="102">
        <f t="shared" ref="I145:I150" si="13">SUM(F145:H145)</f>
        <v>43.37</v>
      </c>
      <c r="J145" s="93"/>
    </row>
    <row r="146" spans="1:10">
      <c r="A146" s="84"/>
      <c r="B146" s="114" t="s">
        <v>882</v>
      </c>
      <c r="C146" s="107">
        <v>342</v>
      </c>
      <c r="D146" s="106"/>
      <c r="E146" s="106">
        <v>150</v>
      </c>
      <c r="F146" s="104">
        <f>+F138</f>
        <v>18.07</v>
      </c>
      <c r="G146" s="104">
        <v>0</v>
      </c>
      <c r="H146" s="104">
        <v>0</v>
      </c>
      <c r="I146" s="104">
        <f t="shared" si="13"/>
        <v>18.07</v>
      </c>
      <c r="J146" s="93"/>
    </row>
    <row r="147" spans="1:10">
      <c r="A147" s="84"/>
      <c r="B147" s="114" t="s">
        <v>881</v>
      </c>
      <c r="C147" s="107">
        <v>343</v>
      </c>
      <c r="D147" s="106"/>
      <c r="E147" s="106">
        <v>100</v>
      </c>
      <c r="F147" s="104">
        <f>+F140</f>
        <v>12.05</v>
      </c>
      <c r="G147" s="104">
        <v>0</v>
      </c>
      <c r="H147" s="104">
        <v>0</v>
      </c>
      <c r="I147" s="104">
        <f t="shared" si="13"/>
        <v>12.05</v>
      </c>
      <c r="J147" s="93"/>
    </row>
    <row r="148" spans="1:10">
      <c r="A148" s="84"/>
      <c r="B148" s="116">
        <v>175</v>
      </c>
      <c r="C148" s="107">
        <v>344</v>
      </c>
      <c r="D148" s="106"/>
      <c r="E148" s="106">
        <v>75</v>
      </c>
      <c r="F148" s="104">
        <f>+'Schedule 9'!D133</f>
        <v>9.0299999999999994</v>
      </c>
      <c r="G148" s="104">
        <v>0</v>
      </c>
      <c r="H148" s="104">
        <v>0</v>
      </c>
      <c r="I148" s="104">
        <f>SUM(F148:H148)</f>
        <v>9.0299999999999994</v>
      </c>
      <c r="J148" s="93"/>
    </row>
    <row r="149" spans="1:10">
      <c r="A149" s="84"/>
      <c r="B149" s="116">
        <v>150</v>
      </c>
      <c r="C149" s="107">
        <v>345</v>
      </c>
      <c r="D149" s="106"/>
      <c r="E149" s="106">
        <v>67</v>
      </c>
      <c r="F149" s="104">
        <f>+F141</f>
        <v>8.06</v>
      </c>
      <c r="G149" s="104">
        <v>0</v>
      </c>
      <c r="H149" s="104">
        <v>0</v>
      </c>
      <c r="I149" s="104">
        <f t="shared" si="13"/>
        <v>8.06</v>
      </c>
      <c r="J149" s="93"/>
    </row>
    <row r="150" spans="1:10">
      <c r="A150" s="84"/>
      <c r="B150" s="116">
        <v>100</v>
      </c>
      <c r="C150" s="107">
        <v>346</v>
      </c>
      <c r="D150" s="106"/>
      <c r="E150" s="106">
        <v>50</v>
      </c>
      <c r="F150" s="104">
        <f>+F142</f>
        <v>6.02</v>
      </c>
      <c r="G150" s="104">
        <v>0</v>
      </c>
      <c r="H150" s="104">
        <v>0</v>
      </c>
      <c r="I150" s="104">
        <f t="shared" si="13"/>
        <v>6.02</v>
      </c>
      <c r="J150" s="93"/>
    </row>
    <row r="151" spans="1:10">
      <c r="A151" s="84"/>
      <c r="B151" s="22"/>
      <c r="C151" s="89"/>
      <c r="D151" s="3"/>
      <c r="E151" s="105"/>
      <c r="F151" s="90"/>
      <c r="G151" s="90"/>
      <c r="H151" s="90"/>
      <c r="I151" s="90"/>
      <c r="J151" s="93"/>
    </row>
    <row r="152" spans="1:10">
      <c r="A152" s="84"/>
      <c r="B152" s="98" t="s">
        <v>894</v>
      </c>
      <c r="C152" s="89"/>
      <c r="D152" s="3"/>
      <c r="E152" s="105"/>
      <c r="F152" s="90"/>
      <c r="G152" s="90"/>
      <c r="H152" s="90"/>
      <c r="I152" s="90"/>
      <c r="J152" s="93"/>
    </row>
    <row r="153" spans="1:10">
      <c r="A153" s="84"/>
      <c r="B153" s="117">
        <v>1000</v>
      </c>
      <c r="C153" s="89">
        <v>441</v>
      </c>
      <c r="D153" s="3"/>
      <c r="E153" s="105">
        <v>0</v>
      </c>
      <c r="F153" s="90">
        <v>0</v>
      </c>
      <c r="G153" s="90">
        <f>+'Schedule 2'!H18</f>
        <v>8.7571874568399721</v>
      </c>
      <c r="H153" s="90">
        <f>+'Schedule 4'!K49</f>
        <v>6.8383338550968018</v>
      </c>
      <c r="I153" s="102">
        <f>SUM(F153:H153)</f>
        <v>15.595521311936775</v>
      </c>
      <c r="J153" s="93"/>
    </row>
    <row r="154" spans="1:10">
      <c r="A154" s="84"/>
      <c r="B154" s="22"/>
      <c r="C154" s="89"/>
      <c r="D154" s="3"/>
      <c r="E154" s="105"/>
      <c r="F154" s="90"/>
      <c r="G154" s="90"/>
      <c r="H154" s="90"/>
      <c r="I154" s="90"/>
      <c r="J154" s="93"/>
    </row>
    <row r="155" spans="1:10">
      <c r="A155" s="87" t="s">
        <v>895</v>
      </c>
      <c r="B155" s="97" t="s">
        <v>896</v>
      </c>
      <c r="C155" s="89"/>
      <c r="D155" s="3"/>
      <c r="E155" s="105"/>
      <c r="F155" s="90"/>
      <c r="G155" s="90"/>
      <c r="H155" s="90"/>
      <c r="I155" s="90"/>
      <c r="J155" s="93"/>
    </row>
    <row r="156" spans="1:10">
      <c r="A156" s="84"/>
      <c r="B156" s="22"/>
      <c r="C156" s="89"/>
      <c r="D156" s="3"/>
      <c r="E156" s="105"/>
      <c r="F156" s="90"/>
      <c r="G156" s="90"/>
      <c r="H156" s="90"/>
      <c r="I156" s="90"/>
      <c r="J156" s="93"/>
    </row>
    <row r="157" spans="1:10">
      <c r="A157" s="84"/>
      <c r="B157" s="110" t="s">
        <v>875</v>
      </c>
      <c r="C157" s="89"/>
      <c r="D157" s="3"/>
      <c r="E157" s="105"/>
      <c r="F157" s="90"/>
      <c r="G157" s="90"/>
      <c r="H157" s="90"/>
      <c r="I157" s="90"/>
      <c r="J157" s="93"/>
    </row>
    <row r="158" spans="1:10">
      <c r="A158" s="84"/>
      <c r="B158" s="117">
        <v>4.5999999999999996</v>
      </c>
      <c r="C158" s="89">
        <v>530</v>
      </c>
      <c r="D158" s="3"/>
      <c r="E158" s="105">
        <v>3</v>
      </c>
      <c r="F158" s="104">
        <f>+'Schedule 9'!D140</f>
        <v>0.29000000000000004</v>
      </c>
      <c r="G158" s="92">
        <v>0</v>
      </c>
      <c r="H158" s="92">
        <v>0</v>
      </c>
      <c r="I158" s="92">
        <f>SUM(F158:H158)</f>
        <v>0.29000000000000004</v>
      </c>
      <c r="J158" s="93" t="s">
        <v>897</v>
      </c>
    </row>
    <row r="159" spans="1:10">
      <c r="A159" s="84"/>
      <c r="B159" s="117">
        <v>7.5</v>
      </c>
      <c r="C159" s="89">
        <v>531</v>
      </c>
      <c r="D159" s="3"/>
      <c r="E159" s="105">
        <v>5</v>
      </c>
      <c r="F159" s="104">
        <f>+'Schedule 9'!D141</f>
        <v>0.49</v>
      </c>
      <c r="G159" s="90">
        <v>0</v>
      </c>
      <c r="H159" s="90">
        <v>0</v>
      </c>
      <c r="I159" s="90">
        <f>SUM(F159:H159)</f>
        <v>0.49</v>
      </c>
      <c r="J159" s="93" t="s">
        <v>898</v>
      </c>
    </row>
    <row r="160" spans="1:10">
      <c r="A160" s="84"/>
      <c r="B160" s="117"/>
      <c r="C160" s="89"/>
      <c r="D160" s="3"/>
      <c r="E160" s="105"/>
      <c r="F160" s="102"/>
      <c r="G160" s="90"/>
      <c r="H160" s="90"/>
      <c r="I160" s="90"/>
      <c r="J160" s="93"/>
    </row>
    <row r="161" spans="1:10">
      <c r="A161" s="84" t="s">
        <v>899</v>
      </c>
      <c r="B161" s="118" t="s">
        <v>900</v>
      </c>
      <c r="C161" s="89"/>
      <c r="D161" s="3"/>
      <c r="E161" s="105"/>
      <c r="F161" s="102"/>
      <c r="G161" s="90"/>
      <c r="H161" s="90"/>
      <c r="I161" s="90"/>
      <c r="J161" s="93"/>
    </row>
    <row r="162" spans="1:10">
      <c r="A162" s="84"/>
      <c r="B162" s="118"/>
      <c r="C162" s="89"/>
      <c r="D162" s="3"/>
      <c r="E162" s="105"/>
      <c r="F162" s="102"/>
      <c r="G162" s="90"/>
      <c r="H162" s="90"/>
      <c r="I162" s="90"/>
      <c r="J162" s="93"/>
    </row>
    <row r="163" spans="1:10">
      <c r="A163" s="84"/>
      <c r="B163" s="98" t="s">
        <v>860</v>
      </c>
      <c r="C163" s="89"/>
      <c r="D163" s="3"/>
      <c r="E163" s="105"/>
      <c r="F163" s="102"/>
      <c r="G163" s="90"/>
      <c r="H163" s="90"/>
      <c r="I163" s="90"/>
      <c r="J163" s="93"/>
    </row>
    <row r="164" spans="1:10">
      <c r="A164" s="84"/>
      <c r="B164" s="110" t="s">
        <v>875</v>
      </c>
      <c r="C164" s="89"/>
      <c r="D164" s="3"/>
      <c r="E164" s="105"/>
      <c r="F164" s="102"/>
      <c r="G164" s="90"/>
      <c r="H164" s="90"/>
      <c r="I164" s="90"/>
      <c r="J164" s="93"/>
    </row>
    <row r="165" spans="1:10">
      <c r="A165" s="84"/>
      <c r="B165" s="694" t="s">
        <v>114</v>
      </c>
      <c r="C165" s="695">
        <v>532</v>
      </c>
      <c r="D165" s="3"/>
      <c r="E165" s="105">
        <f>'Schedule 9'!C144</f>
        <v>15</v>
      </c>
      <c r="F165" s="102">
        <f>+'Schedule 9'!D144</f>
        <v>1.81</v>
      </c>
      <c r="G165" s="102">
        <f>+'Schedule 9'!E144</f>
        <v>0</v>
      </c>
      <c r="H165" s="102">
        <f>+'Schedule 9'!F144</f>
        <v>0</v>
      </c>
      <c r="I165" s="90">
        <f>SUM(F165:H165)</f>
        <v>1.81</v>
      </c>
      <c r="J165" s="93"/>
    </row>
    <row r="166" spans="1:10">
      <c r="A166" s="84"/>
      <c r="B166" s="694" t="s">
        <v>115</v>
      </c>
      <c r="C166" s="695">
        <v>533</v>
      </c>
      <c r="D166" s="3"/>
      <c r="E166" s="105">
        <f>'Schedule 9'!C145</f>
        <v>22</v>
      </c>
      <c r="F166" s="102">
        <f>+'Schedule 9'!D145</f>
        <v>2.65</v>
      </c>
      <c r="G166" s="102">
        <f>+'Schedule 9'!E145</f>
        <v>0</v>
      </c>
      <c r="H166" s="102">
        <f>+'Schedule 9'!F145</f>
        <v>0</v>
      </c>
      <c r="I166" s="90">
        <f t="shared" ref="I166:I174" si="14">SUM(F166:H166)</f>
        <v>2.65</v>
      </c>
      <c r="J166" s="93"/>
    </row>
    <row r="167" spans="1:10">
      <c r="A167" s="84"/>
      <c r="B167" s="694" t="s">
        <v>116</v>
      </c>
      <c r="C167" s="695">
        <v>534</v>
      </c>
      <c r="D167" s="3"/>
      <c r="E167" s="105">
        <f>'Schedule 9'!C146</f>
        <v>29</v>
      </c>
      <c r="F167" s="102">
        <f>+'Schedule 9'!D146</f>
        <v>3.49</v>
      </c>
      <c r="G167" s="102">
        <f>+'Schedule 9'!E146</f>
        <v>0</v>
      </c>
      <c r="H167" s="102">
        <f>+'Schedule 9'!F146</f>
        <v>0</v>
      </c>
      <c r="I167" s="90">
        <f t="shared" si="14"/>
        <v>3.49</v>
      </c>
      <c r="J167" s="93"/>
    </row>
    <row r="168" spans="1:10">
      <c r="A168" s="84"/>
      <c r="B168" s="694" t="s">
        <v>541</v>
      </c>
      <c r="C168" s="696">
        <v>535</v>
      </c>
      <c r="D168" s="3"/>
      <c r="E168" s="105">
        <f>'Schedule 9'!C147</f>
        <v>31</v>
      </c>
      <c r="F168" s="102">
        <f>+'Schedule 9'!D147</f>
        <v>3.73</v>
      </c>
      <c r="G168" s="102">
        <f>+'Schedule 9'!E147</f>
        <v>0</v>
      </c>
      <c r="H168" s="102">
        <f>+'Schedule 9'!F147</f>
        <v>0</v>
      </c>
      <c r="I168" s="90">
        <f t="shared" si="14"/>
        <v>3.73</v>
      </c>
      <c r="J168" s="93"/>
    </row>
    <row r="169" spans="1:10">
      <c r="A169" s="84"/>
      <c r="B169" s="694" t="s">
        <v>539</v>
      </c>
      <c r="C169" s="696">
        <v>536</v>
      </c>
      <c r="D169" s="3"/>
      <c r="E169" s="105">
        <f>'Schedule 9'!C148</f>
        <v>35</v>
      </c>
      <c r="F169" s="102">
        <f>+'Schedule 9'!D148</f>
        <v>4.22</v>
      </c>
      <c r="G169" s="102">
        <f>+'Schedule 9'!E148</f>
        <v>0</v>
      </c>
      <c r="H169" s="102">
        <f>+'Schedule 9'!F148</f>
        <v>0</v>
      </c>
      <c r="I169" s="90">
        <f t="shared" si="14"/>
        <v>4.22</v>
      </c>
      <c r="J169" s="93"/>
    </row>
    <row r="170" spans="1:10">
      <c r="A170" s="84"/>
      <c r="B170" s="694" t="s">
        <v>540</v>
      </c>
      <c r="C170" s="696">
        <v>537</v>
      </c>
      <c r="D170" s="3"/>
      <c r="E170" s="105">
        <f>'Schedule 9'!C149</f>
        <v>57</v>
      </c>
      <c r="F170" s="102">
        <f>+'Schedule 9'!D149</f>
        <v>6.87</v>
      </c>
      <c r="G170" s="102">
        <f>+'Schedule 9'!E149</f>
        <v>0</v>
      </c>
      <c r="H170" s="102">
        <f>+'Schedule 9'!F149</f>
        <v>0</v>
      </c>
      <c r="I170" s="90">
        <f t="shared" si="14"/>
        <v>6.87</v>
      </c>
      <c r="J170" s="93"/>
    </row>
    <row r="171" spans="1:10">
      <c r="A171" s="84"/>
      <c r="B171" s="694" t="s">
        <v>637</v>
      </c>
      <c r="C171" s="696">
        <v>539</v>
      </c>
      <c r="D171" s="3"/>
      <c r="E171" s="105">
        <f>'Schedule 9'!C150</f>
        <v>37</v>
      </c>
      <c r="F171" s="102">
        <f>+'Schedule 9'!D150</f>
        <v>4.46</v>
      </c>
      <c r="G171" s="102">
        <f>+'Schedule 9'!E150</f>
        <v>0</v>
      </c>
      <c r="H171" s="102">
        <f>+'Schedule 9'!F150</f>
        <v>0</v>
      </c>
      <c r="I171" s="90">
        <f t="shared" si="14"/>
        <v>4.46</v>
      </c>
      <c r="J171" s="93"/>
    </row>
    <row r="172" spans="1:10">
      <c r="A172" s="84"/>
      <c r="B172" s="694" t="s">
        <v>638</v>
      </c>
      <c r="C172" s="696">
        <v>540</v>
      </c>
      <c r="D172" s="3"/>
      <c r="E172" s="105">
        <f>'Schedule 9'!C151</f>
        <v>22</v>
      </c>
      <c r="F172" s="102">
        <f>+'Schedule 9'!D151</f>
        <v>2.65</v>
      </c>
      <c r="G172" s="102">
        <f>+'Schedule 9'!E151</f>
        <v>0</v>
      </c>
      <c r="H172" s="102">
        <f>+'Schedule 9'!F151</f>
        <v>0</v>
      </c>
      <c r="I172" s="90">
        <f t="shared" si="14"/>
        <v>2.65</v>
      </c>
      <c r="J172" s="93"/>
    </row>
    <row r="173" spans="1:10">
      <c r="A173" s="84"/>
      <c r="B173" s="694" t="s">
        <v>595</v>
      </c>
      <c r="C173" s="696">
        <v>541</v>
      </c>
      <c r="D173" s="3"/>
      <c r="E173" s="105">
        <f>'Schedule 9'!C152</f>
        <v>18</v>
      </c>
      <c r="F173" s="102">
        <f>+'Schedule 9'!D152</f>
        <v>2.17</v>
      </c>
      <c r="G173" s="102">
        <f>+'Schedule 9'!E152</f>
        <v>0</v>
      </c>
      <c r="H173" s="102">
        <f>+'Schedule 9'!F152</f>
        <v>0</v>
      </c>
      <c r="I173" s="90">
        <f t="shared" si="14"/>
        <v>2.17</v>
      </c>
      <c r="J173" s="93"/>
    </row>
    <row r="174" spans="1:10">
      <c r="A174" s="84"/>
      <c r="B174" s="694" t="s">
        <v>596</v>
      </c>
      <c r="C174" s="696">
        <v>542</v>
      </c>
      <c r="D174" s="3"/>
      <c r="E174" s="105">
        <f>'Schedule 9'!C153</f>
        <v>28</v>
      </c>
      <c r="F174" s="102">
        <f>+'Schedule 9'!D153</f>
        <v>3.37</v>
      </c>
      <c r="G174" s="102">
        <f>+'Schedule 9'!E153</f>
        <v>0</v>
      </c>
      <c r="H174" s="102">
        <f>+'Schedule 9'!F153</f>
        <v>0</v>
      </c>
      <c r="I174" s="90">
        <f t="shared" si="14"/>
        <v>3.37</v>
      </c>
      <c r="J174" s="93"/>
    </row>
    <row r="175" spans="1:10">
      <c r="A175" s="84"/>
      <c r="B175" s="694"/>
      <c r="C175" s="193"/>
      <c r="D175" s="3"/>
      <c r="E175" s="105"/>
      <c r="F175" s="102"/>
      <c r="G175" s="90"/>
      <c r="H175" s="90"/>
      <c r="I175" s="90"/>
      <c r="J175" s="93"/>
    </row>
    <row r="176" spans="1:10">
      <c r="A176" s="84"/>
      <c r="B176" s="697" t="s">
        <v>607</v>
      </c>
      <c r="C176" s="89"/>
      <c r="D176" s="3"/>
      <c r="E176" s="105"/>
      <c r="F176" s="102"/>
      <c r="G176" s="90"/>
      <c r="H176" s="90"/>
      <c r="I176" s="90"/>
      <c r="J176" s="93"/>
    </row>
    <row r="177" spans="1:10">
      <c r="A177" s="84"/>
      <c r="B177" s="698" t="s">
        <v>599</v>
      </c>
      <c r="C177" s="696">
        <v>560</v>
      </c>
      <c r="D177" s="3"/>
      <c r="E177" s="105" t="e">
        <f>'Schedule 9'!#REF!</f>
        <v>#REF!</v>
      </c>
      <c r="F177" s="105" t="e">
        <f>'Schedule 9'!#REF!</f>
        <v>#REF!</v>
      </c>
      <c r="G177" s="105" t="e">
        <f>'Schedule 9'!#REF!</f>
        <v>#REF!</v>
      </c>
      <c r="H177" s="701" t="e">
        <f>'Schedule 9'!#REF!</f>
        <v>#REF!</v>
      </c>
      <c r="I177" s="90" t="e">
        <f>SUM(F177:H177)</f>
        <v>#REF!</v>
      </c>
      <c r="J177" s="93"/>
    </row>
    <row r="178" spans="1:10">
      <c r="A178" s="84"/>
      <c r="B178" s="698" t="s">
        <v>600</v>
      </c>
      <c r="C178" s="696">
        <v>561</v>
      </c>
      <c r="D178" s="3"/>
      <c r="E178" s="105" t="e">
        <f>'Schedule 9'!#REF!</f>
        <v>#REF!</v>
      </c>
      <c r="F178" s="105" t="e">
        <f>'Schedule 9'!#REF!</f>
        <v>#REF!</v>
      </c>
      <c r="G178" s="105" t="e">
        <f>'Schedule 9'!#REF!</f>
        <v>#REF!</v>
      </c>
      <c r="H178" s="701" t="e">
        <f>'Schedule 9'!#REF!</f>
        <v>#REF!</v>
      </c>
      <c r="I178" s="90" t="e">
        <f t="shared" ref="I178:I184" si="15">SUM(F178:H178)</f>
        <v>#REF!</v>
      </c>
      <c r="J178" s="93"/>
    </row>
    <row r="179" spans="1:10">
      <c r="A179" s="84"/>
      <c r="B179" s="698" t="s">
        <v>606</v>
      </c>
      <c r="C179" s="696">
        <v>562</v>
      </c>
      <c r="D179" s="3"/>
      <c r="E179" s="105" t="e">
        <f>'Schedule 9'!#REF!</f>
        <v>#REF!</v>
      </c>
      <c r="F179" s="105" t="e">
        <f>'Schedule 9'!#REF!</f>
        <v>#REF!</v>
      </c>
      <c r="G179" s="105" t="e">
        <f>'Schedule 9'!#REF!</f>
        <v>#REF!</v>
      </c>
      <c r="H179" s="701" t="e">
        <f>'Schedule 9'!#REF!</f>
        <v>#REF!</v>
      </c>
      <c r="I179" s="90" t="e">
        <f t="shared" si="15"/>
        <v>#REF!</v>
      </c>
      <c r="J179" s="93"/>
    </row>
    <row r="180" spans="1:10">
      <c r="A180" s="84"/>
      <c r="B180" s="698" t="s">
        <v>601</v>
      </c>
      <c r="C180" s="696">
        <v>563</v>
      </c>
      <c r="D180" s="3"/>
      <c r="E180" s="105" t="e">
        <f>'Schedule 9'!#REF!</f>
        <v>#REF!</v>
      </c>
      <c r="F180" s="105" t="e">
        <f>'Schedule 9'!#REF!</f>
        <v>#REF!</v>
      </c>
      <c r="G180" s="105" t="e">
        <f>'Schedule 9'!#REF!</f>
        <v>#REF!</v>
      </c>
      <c r="H180" s="701" t="e">
        <f>'Schedule 9'!#REF!</f>
        <v>#REF!</v>
      </c>
      <c r="I180" s="90" t="e">
        <f t="shared" si="15"/>
        <v>#REF!</v>
      </c>
      <c r="J180" s="93"/>
    </row>
    <row r="181" spans="1:10">
      <c r="A181" s="84"/>
      <c r="B181" s="699" t="s">
        <v>605</v>
      </c>
      <c r="C181" s="696">
        <v>564</v>
      </c>
      <c r="D181" s="3"/>
      <c r="E181" s="105" t="e">
        <f>'Schedule 9'!#REF!</f>
        <v>#REF!</v>
      </c>
      <c r="F181" s="105" t="e">
        <f>'Schedule 9'!#REF!</f>
        <v>#REF!</v>
      </c>
      <c r="G181" s="105" t="e">
        <f>'Schedule 9'!#REF!</f>
        <v>#REF!</v>
      </c>
      <c r="H181" s="701" t="e">
        <f>'Schedule 9'!#REF!</f>
        <v>#REF!</v>
      </c>
      <c r="I181" s="90" t="e">
        <f t="shared" si="15"/>
        <v>#REF!</v>
      </c>
      <c r="J181" s="93"/>
    </row>
    <row r="182" spans="1:10">
      <c r="A182" s="84"/>
      <c r="B182" s="698" t="s">
        <v>602</v>
      </c>
      <c r="C182" s="696">
        <v>565</v>
      </c>
      <c r="D182" s="3"/>
      <c r="E182" s="105" t="e">
        <f>'Schedule 9'!#REF!</f>
        <v>#REF!</v>
      </c>
      <c r="F182" s="105" t="e">
        <f>'Schedule 9'!#REF!</f>
        <v>#REF!</v>
      </c>
      <c r="G182" s="105" t="e">
        <f>'Schedule 9'!#REF!</f>
        <v>#REF!</v>
      </c>
      <c r="H182" s="701" t="e">
        <f>'Schedule 9'!#REF!</f>
        <v>#REF!</v>
      </c>
      <c r="I182" s="90" t="e">
        <f t="shared" si="15"/>
        <v>#REF!</v>
      </c>
      <c r="J182" s="93"/>
    </row>
    <row r="183" spans="1:10">
      <c r="A183" s="84"/>
      <c r="B183" s="698" t="s">
        <v>604</v>
      </c>
      <c r="C183" s="696">
        <v>566</v>
      </c>
      <c r="D183" s="3"/>
      <c r="E183" s="105" t="e">
        <f>'Schedule 9'!#REF!</f>
        <v>#REF!</v>
      </c>
      <c r="F183" s="105" t="e">
        <f>'Schedule 9'!#REF!</f>
        <v>#REF!</v>
      </c>
      <c r="G183" s="105" t="e">
        <f>'Schedule 9'!#REF!</f>
        <v>#REF!</v>
      </c>
      <c r="H183" s="701" t="e">
        <f>'Schedule 9'!#REF!</f>
        <v>#REF!</v>
      </c>
      <c r="I183" s="90" t="e">
        <f t="shared" si="15"/>
        <v>#REF!</v>
      </c>
      <c r="J183" s="93"/>
    </row>
    <row r="184" spans="1:10">
      <c r="A184" s="84"/>
      <c r="B184" s="698" t="s">
        <v>603</v>
      </c>
      <c r="C184" s="696">
        <v>567</v>
      </c>
      <c r="D184" s="3"/>
      <c r="E184" s="105" t="e">
        <f>'Schedule 9'!#REF!</f>
        <v>#REF!</v>
      </c>
      <c r="F184" s="105" t="e">
        <f>'Schedule 9'!#REF!</f>
        <v>#REF!</v>
      </c>
      <c r="G184" s="105" t="e">
        <f>'Schedule 9'!#REF!</f>
        <v>#REF!</v>
      </c>
      <c r="H184" s="701" t="e">
        <f>'Schedule 9'!#REF!</f>
        <v>#REF!</v>
      </c>
      <c r="I184" s="90" t="e">
        <f t="shared" si="15"/>
        <v>#REF!</v>
      </c>
      <c r="J184" s="93"/>
    </row>
    <row r="185" spans="1:10">
      <c r="A185" s="84"/>
      <c r="B185" s="700"/>
      <c r="C185" s="89"/>
      <c r="D185" s="3"/>
      <c r="E185" s="105"/>
      <c r="F185" s="102"/>
      <c r="G185" s="90"/>
      <c r="H185" s="90"/>
      <c r="I185" s="90"/>
      <c r="J185" s="93"/>
    </row>
    <row r="186" spans="1:10">
      <c r="A186" s="84"/>
      <c r="B186" s="117"/>
      <c r="C186" s="89"/>
      <c r="D186" s="3"/>
      <c r="E186" s="105"/>
      <c r="F186" s="102"/>
      <c r="G186" s="90"/>
      <c r="H186" s="90"/>
      <c r="I186" s="90"/>
      <c r="J186" s="93"/>
    </row>
    <row r="187" spans="1:10">
      <c r="A187" s="84"/>
      <c r="B187" s="117"/>
      <c r="C187" s="89"/>
      <c r="D187" s="3"/>
      <c r="E187" s="105"/>
      <c r="F187" s="102"/>
      <c r="G187" s="90"/>
      <c r="H187" s="90"/>
      <c r="I187" s="90"/>
      <c r="J187" s="93"/>
    </row>
    <row r="188" spans="1:10">
      <c r="A188" s="84"/>
      <c r="B188" s="117"/>
      <c r="C188" s="89"/>
      <c r="D188" s="3"/>
      <c r="E188" s="105"/>
      <c r="F188" s="102"/>
      <c r="G188" s="90"/>
      <c r="H188" s="90"/>
      <c r="I188" s="90"/>
      <c r="J188" s="93"/>
    </row>
    <row r="189" spans="1:10">
      <c r="A189" s="84"/>
      <c r="B189" s="22"/>
      <c r="C189" s="89"/>
      <c r="D189" s="3"/>
      <c r="E189" s="105"/>
      <c r="F189" s="90"/>
      <c r="G189" s="90"/>
      <c r="H189" s="90"/>
      <c r="I189" s="90"/>
      <c r="J189" s="93"/>
    </row>
    <row r="190" spans="1:10">
      <c r="A190" s="84"/>
      <c r="B190" s="22"/>
      <c r="C190" s="89"/>
      <c r="D190" s="3"/>
      <c r="E190" s="105"/>
      <c r="F190" s="90"/>
      <c r="G190" s="90"/>
      <c r="H190" s="90"/>
      <c r="I190" s="90"/>
      <c r="J190" s="93"/>
    </row>
    <row r="191" spans="1:10">
      <c r="A191" s="84"/>
      <c r="B191" s="22"/>
      <c r="C191" s="89"/>
      <c r="D191" s="3"/>
      <c r="E191" s="105"/>
      <c r="F191" s="90"/>
      <c r="G191" s="90"/>
      <c r="H191" s="90"/>
      <c r="I191" s="90"/>
      <c r="J191" s="93"/>
    </row>
    <row r="192" spans="1:10">
      <c r="A192" s="84"/>
      <c r="B192" s="119" t="s">
        <v>901</v>
      </c>
      <c r="C192" s="120" t="s">
        <v>902</v>
      </c>
      <c r="D192" s="121"/>
      <c r="E192" s="122"/>
      <c r="F192" s="123">
        <f>+'2012 Rates'!H9</f>
        <v>0.12245061458973812</v>
      </c>
      <c r="G192" s="124" t="s">
        <v>903</v>
      </c>
      <c r="H192" s="103"/>
      <c r="I192" s="103"/>
      <c r="J192" s="93"/>
    </row>
    <row r="193" spans="1:10">
      <c r="A193" s="84"/>
      <c r="B193" s="112"/>
      <c r="C193" s="94"/>
      <c r="D193" s="93"/>
      <c r="E193" s="113"/>
      <c r="F193" s="103"/>
      <c r="G193" s="103"/>
      <c r="H193" s="103"/>
      <c r="I193" s="103"/>
      <c r="J193" s="93"/>
    </row>
    <row r="194" spans="1:10">
      <c r="A194" s="84"/>
      <c r="B194" s="125" t="s">
        <v>904</v>
      </c>
      <c r="C194" s="126"/>
      <c r="D194" s="126"/>
      <c r="E194" s="126"/>
      <c r="J194" s="93"/>
    </row>
    <row r="195" spans="1:10">
      <c r="A195" s="84"/>
      <c r="B195" s="126"/>
      <c r="C195" s="126"/>
      <c r="D195" s="126"/>
      <c r="E195" s="126"/>
      <c r="J195" s="93"/>
    </row>
    <row r="196" spans="1:10">
      <c r="A196" s="84"/>
      <c r="B196" s="126" t="s">
        <v>880</v>
      </c>
      <c r="C196" s="127"/>
      <c r="D196" s="126"/>
      <c r="E196" s="126"/>
      <c r="F196" s="100"/>
      <c r="G196" s="100"/>
      <c r="H196" s="100"/>
      <c r="I196" s="100"/>
    </row>
    <row r="197" spans="1:10">
      <c r="A197" s="84"/>
      <c r="B197" s="126"/>
      <c r="C197" s="127"/>
      <c r="D197" s="126"/>
      <c r="E197" s="126"/>
      <c r="F197" s="100"/>
      <c r="G197" s="100"/>
      <c r="H197" s="100"/>
      <c r="I197" s="100"/>
    </row>
    <row r="198" spans="1:10">
      <c r="A198" s="84"/>
      <c r="B198" s="128" t="s">
        <v>875</v>
      </c>
      <c r="C198" s="127"/>
      <c r="D198" s="126"/>
      <c r="E198" s="126"/>
      <c r="F198" s="100"/>
      <c r="G198" s="100"/>
      <c r="H198" s="100"/>
      <c r="I198" s="100"/>
    </row>
    <row r="199" spans="1:10">
      <c r="A199" s="84"/>
      <c r="B199" s="129">
        <v>1000</v>
      </c>
      <c r="C199" s="127">
        <v>328</v>
      </c>
      <c r="D199" s="126"/>
      <c r="E199" s="126">
        <v>363</v>
      </c>
      <c r="F199" s="130">
        <f>+'Schedule 9'!D116</f>
        <v>43.739999999999995</v>
      </c>
      <c r="G199" s="130">
        <f>+'Schedule 9'!E116</f>
        <v>0</v>
      </c>
      <c r="H199" s="130">
        <f>+'Schedule 9'!F116</f>
        <v>0</v>
      </c>
      <c r="I199" s="130">
        <f>SUM(F199:H199)</f>
        <v>43.739999999999995</v>
      </c>
    </row>
    <row r="200" spans="1:10">
      <c r="A200" s="84"/>
      <c r="B200" s="129">
        <v>1500</v>
      </c>
      <c r="C200" s="127">
        <v>329</v>
      </c>
      <c r="D200" s="126"/>
      <c r="E200" s="126">
        <v>500</v>
      </c>
      <c r="F200" s="130">
        <f>+'Schedule 9'!D117</f>
        <v>60.23</v>
      </c>
      <c r="G200" s="130">
        <f>+'Schedule 9'!E117</f>
        <v>0</v>
      </c>
      <c r="H200" s="130">
        <f>+'Schedule 9'!F117</f>
        <v>0</v>
      </c>
      <c r="I200" s="130">
        <f>SUM(F200:H200)</f>
        <v>60.23</v>
      </c>
    </row>
    <row r="201" spans="1:10" ht="15.75" thickBot="1">
      <c r="A201" s="84"/>
    </row>
    <row r="202" spans="1:10" ht="15.75" thickBot="1">
      <c r="A202" s="84"/>
      <c r="B202" s="131" t="s">
        <v>905</v>
      </c>
      <c r="C202" s="132">
        <f>COUNT(C13:C201)</f>
        <v>103</v>
      </c>
    </row>
    <row r="203" spans="1:10">
      <c r="A203" s="84"/>
    </row>
    <row r="204" spans="1:10">
      <c r="A204" s="84"/>
    </row>
    <row r="205" spans="1:10">
      <c r="A205" s="3"/>
    </row>
    <row r="206" spans="1:10">
      <c r="A206" s="3"/>
    </row>
    <row r="207" spans="1:10">
      <c r="A207" s="3"/>
    </row>
    <row r="208" spans="1:10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</sheetData>
  <phoneticPr fontId="10" type="noConversion"/>
  <printOptions horizontalCentered="1"/>
  <pageMargins left="0.75" right="0.75" top="0.5" bottom="0.5" header="0.5" footer="0.25"/>
  <pageSetup scale="90" fitToHeight="3" orientation="landscape" r:id="rId1"/>
  <headerFooter alignWithMargins="0">
    <oddFooter>&amp;L&amp;Z&amp;F</oddFooter>
  </headerFooter>
  <rowBreaks count="4" manualBreakCount="4">
    <brk id="36" max="9" man="1"/>
    <brk id="89" max="9" man="1"/>
    <brk id="116" max="9" man="1"/>
    <brk id="143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731"/>
  <sheetViews>
    <sheetView topLeftCell="A23" workbookViewId="0">
      <selection activeCell="B40" sqref="B40"/>
    </sheetView>
  </sheetViews>
  <sheetFormatPr defaultRowHeight="15"/>
  <cols>
    <col min="1" max="1" width="22.21875" customWidth="1"/>
    <col min="2" max="3" width="9.6640625" customWidth="1"/>
    <col min="4" max="4" width="10.6640625" customWidth="1"/>
    <col min="5" max="5" width="11.6640625" customWidth="1"/>
    <col min="6" max="6" width="10.6640625" customWidth="1"/>
    <col min="7" max="7" width="11.6640625" customWidth="1"/>
    <col min="8" max="9" width="10.6640625" customWidth="1"/>
    <col min="10" max="10" width="12.6640625" customWidth="1"/>
    <col min="11" max="12" width="10.6640625" customWidth="1"/>
    <col min="13" max="14" width="12.6640625" customWidth="1"/>
    <col min="15" max="16" width="11.6640625" customWidth="1"/>
    <col min="17" max="17" width="11.5546875" customWidth="1"/>
    <col min="18" max="19" width="9.6640625" customWidth="1"/>
    <col min="20" max="20" width="12.33203125" customWidth="1"/>
    <col min="21" max="21" width="9.6640625" customWidth="1"/>
    <col min="22" max="22" width="11.33203125" customWidth="1"/>
    <col min="23" max="23" width="11.109375" customWidth="1"/>
  </cols>
  <sheetData>
    <row r="1" spans="1:23" ht="20.25">
      <c r="A1" s="194" t="s">
        <v>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195" t="s">
        <v>967</v>
      </c>
      <c r="R1" s="2"/>
      <c r="S1" s="2"/>
      <c r="T1" s="2"/>
      <c r="U1" s="2"/>
    </row>
    <row r="2" spans="1:23" ht="18">
      <c r="M2" s="196" t="s">
        <v>119</v>
      </c>
    </row>
    <row r="3" spans="1:23" ht="21" thickBot="1">
      <c r="A3" s="197" t="s">
        <v>120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98" t="s">
        <v>967</v>
      </c>
      <c r="R3" s="134"/>
      <c r="S3" s="134"/>
      <c r="T3" s="134"/>
      <c r="U3" s="134"/>
      <c r="V3" s="133"/>
      <c r="W3" s="133"/>
    </row>
    <row r="4" spans="1:23" ht="16.5" thickBot="1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N4" s="53" t="s">
        <v>121</v>
      </c>
      <c r="O4" s="133"/>
      <c r="P4" s="199">
        <v>8.5989925682619539E-2</v>
      </c>
      <c r="Q4" s="133"/>
      <c r="R4" s="133"/>
      <c r="S4" s="133"/>
      <c r="T4" s="133"/>
      <c r="U4" s="133"/>
      <c r="V4" s="133"/>
      <c r="W4" s="133"/>
    </row>
    <row r="5" spans="1:23" ht="18.75" thickBot="1">
      <c r="A5" s="196" t="s">
        <v>122</v>
      </c>
      <c r="B5" s="133"/>
      <c r="C5" s="133"/>
      <c r="D5" s="133"/>
      <c r="E5" s="133"/>
      <c r="F5" s="53" t="s">
        <v>121</v>
      </c>
      <c r="G5" s="133"/>
      <c r="H5" s="801">
        <f>'2012 Stlgt Rates'!$C$3</f>
        <v>9.8113304544328997E-2</v>
      </c>
      <c r="I5" s="133"/>
      <c r="J5" s="53" t="s">
        <v>121</v>
      </c>
      <c r="K5" s="133"/>
      <c r="L5" s="199">
        <v>8.1723216998984327E-2</v>
      </c>
      <c r="M5" s="30"/>
      <c r="Q5" s="133"/>
      <c r="R5" s="133"/>
      <c r="S5" s="133"/>
      <c r="T5" s="133"/>
      <c r="U5" s="133"/>
      <c r="V5" s="133"/>
      <c r="W5" s="133"/>
    </row>
    <row r="6" spans="1:23" ht="16.5" thickBot="1">
      <c r="A6" s="30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 t="s">
        <v>123</v>
      </c>
      <c r="N6" s="133"/>
      <c r="O6" s="133"/>
      <c r="P6" s="200">
        <v>12.65</v>
      </c>
      <c r="Q6" s="133"/>
      <c r="R6" s="133"/>
      <c r="S6" s="133"/>
      <c r="T6" s="133"/>
      <c r="U6" s="133"/>
      <c r="V6" s="133"/>
      <c r="W6" s="133"/>
    </row>
    <row r="7" spans="1:23" ht="18.75" thickBot="1">
      <c r="A7" s="133" t="s">
        <v>103</v>
      </c>
      <c r="B7" s="133"/>
      <c r="C7" s="133"/>
      <c r="D7" s="201">
        <f>8.505*(1+'2012 Stlgt Rates'!$C$3)</f>
        <v>9.3394536551495193</v>
      </c>
      <c r="E7" s="133"/>
      <c r="F7" s="202" t="s">
        <v>124</v>
      </c>
      <c r="G7" s="133"/>
      <c r="H7" s="133"/>
      <c r="I7" s="133"/>
      <c r="J7" s="202" t="s">
        <v>125</v>
      </c>
      <c r="K7" s="133"/>
      <c r="L7" s="133"/>
      <c r="M7" s="133" t="s">
        <v>126</v>
      </c>
      <c r="N7" s="133"/>
      <c r="O7" s="133"/>
      <c r="P7" s="203">
        <v>0.13370000000000001</v>
      </c>
      <c r="Q7" s="133"/>
      <c r="R7" s="133"/>
      <c r="S7" s="133"/>
      <c r="T7" s="133"/>
      <c r="U7" s="133"/>
      <c r="V7" s="133"/>
      <c r="W7" s="133"/>
    </row>
    <row r="8" spans="1:23" ht="16.5" thickBot="1">
      <c r="A8" s="133" t="s">
        <v>126</v>
      </c>
      <c r="B8" s="133"/>
      <c r="C8" s="133"/>
      <c r="D8" s="203">
        <f>0.09726*(1+'2012 Stlgt Rates'!$C$3)</f>
        <v>0.10680249999998144</v>
      </c>
      <c r="E8" s="133"/>
      <c r="F8" s="133"/>
      <c r="G8" s="133"/>
      <c r="H8" s="133"/>
      <c r="I8" s="133"/>
      <c r="J8" s="133"/>
      <c r="K8" s="133"/>
      <c r="L8" s="133"/>
      <c r="M8" s="133" t="s">
        <v>127</v>
      </c>
      <c r="N8" s="133"/>
      <c r="O8" s="133"/>
      <c r="P8" s="203">
        <v>0.11762</v>
      </c>
      <c r="Q8" s="133"/>
      <c r="R8" s="133"/>
      <c r="S8" s="133"/>
      <c r="T8" s="133"/>
      <c r="U8" s="133"/>
      <c r="V8" s="133"/>
      <c r="W8" s="133"/>
    </row>
    <row r="9" spans="1:23" ht="16.5" thickBot="1">
      <c r="A9" s="133" t="s">
        <v>127</v>
      </c>
      <c r="B9" s="133"/>
      <c r="C9" s="133"/>
      <c r="D9" s="203">
        <f>0.06457*(1+'2012 Stlgt Rates'!$C$3)</f>
        <v>7.0905176074427326E-2</v>
      </c>
      <c r="E9" s="133"/>
      <c r="F9" s="133" t="s">
        <v>128</v>
      </c>
      <c r="G9" s="133"/>
      <c r="H9" s="204">
        <f>0.11151*(1+'2012 Stlgt Rates'!$C$3)</f>
        <v>0.12245061458973812</v>
      </c>
      <c r="I9" s="133"/>
      <c r="J9" s="133" t="s">
        <v>128</v>
      </c>
      <c r="K9" s="133"/>
      <c r="L9" s="204">
        <v>6.3689999999999997E-2</v>
      </c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</row>
    <row r="10" spans="1:23" ht="15.75" thickBot="1">
      <c r="A10" s="133"/>
      <c r="B10" s="133"/>
      <c r="C10" s="133"/>
      <c r="D10" s="205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</row>
    <row r="11" spans="1:23" ht="16.5" thickBot="1">
      <c r="A11" s="133" t="s">
        <v>129</v>
      </c>
      <c r="B11" s="206">
        <f>2.96*(1+'2012 Stlgt Rates'!$C$3)</f>
        <v>3.2504153814512136</v>
      </c>
      <c r="C11" s="207" t="s">
        <v>130</v>
      </c>
      <c r="D11" s="205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</row>
    <row r="12" spans="1:23" ht="16.5" thickBot="1">
      <c r="A12" s="158" t="s">
        <v>131</v>
      </c>
      <c r="B12" s="206">
        <f>12.65*(1+'2012 Stlgt Rates'!$C$3)</f>
        <v>13.891133302485763</v>
      </c>
      <c r="C12" s="207" t="s">
        <v>130</v>
      </c>
      <c r="D12" s="205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</row>
    <row r="13" spans="1:23">
      <c r="A13" s="133"/>
      <c r="B13" s="133"/>
      <c r="C13" s="133"/>
      <c r="D13" s="205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</row>
    <row r="14" spans="1:23" ht="15.75">
      <c r="A14" s="30"/>
      <c r="B14" s="30"/>
      <c r="C14" s="42" t="s">
        <v>132</v>
      </c>
      <c r="D14" s="42" t="s">
        <v>133</v>
      </c>
      <c r="E14" s="42" t="s">
        <v>132</v>
      </c>
      <c r="F14" s="208" t="s">
        <v>134</v>
      </c>
      <c r="G14" s="209"/>
      <c r="H14" s="210" t="s">
        <v>132</v>
      </c>
      <c r="I14" s="42" t="s">
        <v>135</v>
      </c>
      <c r="J14" s="42" t="s">
        <v>135</v>
      </c>
      <c r="K14" s="208" t="s">
        <v>136</v>
      </c>
      <c r="L14" s="209"/>
      <c r="M14" s="208" t="s">
        <v>137</v>
      </c>
      <c r="N14" s="209"/>
      <c r="O14" s="208" t="s">
        <v>138</v>
      </c>
      <c r="P14" s="211"/>
      <c r="Q14" s="133"/>
      <c r="R14" s="133"/>
      <c r="S14" s="133"/>
      <c r="T14" s="133"/>
      <c r="U14" s="133"/>
      <c r="V14" s="133"/>
      <c r="W14" s="133"/>
    </row>
    <row r="15" spans="1:23" ht="15.75">
      <c r="A15" s="42" t="s">
        <v>656</v>
      </c>
      <c r="B15" s="42" t="s">
        <v>139</v>
      </c>
      <c r="C15" s="42" t="s">
        <v>140</v>
      </c>
      <c r="D15" s="42" t="s">
        <v>141</v>
      </c>
      <c r="E15" s="42" t="s">
        <v>142</v>
      </c>
      <c r="F15" s="212" t="s">
        <v>792</v>
      </c>
      <c r="G15" s="212" t="s">
        <v>898</v>
      </c>
      <c r="H15" s="42" t="s">
        <v>143</v>
      </c>
      <c r="I15" s="42" t="s">
        <v>645</v>
      </c>
      <c r="J15" s="42" t="s">
        <v>144</v>
      </c>
      <c r="K15" s="212" t="s">
        <v>792</v>
      </c>
      <c r="L15" s="212" t="s">
        <v>898</v>
      </c>
      <c r="M15" s="212" t="s">
        <v>792</v>
      </c>
      <c r="N15" s="212" t="s">
        <v>898</v>
      </c>
      <c r="O15" s="212" t="s">
        <v>792</v>
      </c>
      <c r="P15" s="212" t="s">
        <v>898</v>
      </c>
      <c r="Q15" s="133"/>
      <c r="R15" s="133"/>
      <c r="S15" s="133"/>
      <c r="T15" s="133"/>
      <c r="U15" s="133"/>
      <c r="V15" s="133"/>
      <c r="W15" s="133"/>
    </row>
    <row r="16" spans="1:23">
      <c r="A16" s="133"/>
      <c r="B16" s="133"/>
      <c r="C16" s="133"/>
      <c r="D16" s="205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</row>
    <row r="17" spans="1:23" ht="15.75">
      <c r="A17" s="157" t="s">
        <v>145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213" t="s">
        <v>146</v>
      </c>
      <c r="R17" s="53"/>
      <c r="S17" s="133"/>
      <c r="T17" s="133"/>
      <c r="U17" s="133"/>
      <c r="V17" s="133"/>
      <c r="W17" s="133"/>
    </row>
    <row r="18" spans="1:23" ht="16.5" thickBot="1">
      <c r="A18" s="133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213"/>
      <c r="S18" s="133"/>
      <c r="T18" s="133"/>
      <c r="U18" s="133"/>
      <c r="V18" s="133"/>
      <c r="W18" s="133"/>
    </row>
    <row r="19" spans="1:23" ht="16.5" thickBot="1">
      <c r="A19" s="145">
        <v>100</v>
      </c>
      <c r="B19" s="145">
        <v>100</v>
      </c>
      <c r="C19" s="214">
        <f t="shared" ref="C19:C26" si="0">B19/1000</f>
        <v>0.1</v>
      </c>
      <c r="D19" s="215">
        <v>0.28999999999999998</v>
      </c>
      <c r="E19" s="214">
        <f t="shared" ref="E19:E26" si="1">(+C19*D19)+C19</f>
        <v>0.129</v>
      </c>
      <c r="F19" s="142">
        <f t="shared" ref="F19:F26" si="2">ROUND((+$E19*4000)/12,0)</f>
        <v>43</v>
      </c>
      <c r="G19" s="216">
        <f t="shared" ref="G19:G26" si="3">ROUND((+$E19*8760)/12,0)</f>
        <v>94</v>
      </c>
      <c r="H19" s="141">
        <f t="shared" ref="H19:H26" si="4">ROUND(+E19*D$7,2)</f>
        <v>1.2</v>
      </c>
      <c r="I19" s="142">
        <f t="shared" ref="I19:I26" si="5">ROUND(IF((E19*200)&gt;F19,F19,(E19*200)),0)</f>
        <v>26</v>
      </c>
      <c r="J19" s="141">
        <f t="shared" ref="J19:J26" si="6">ROUND(+I19*D$8,2)</f>
        <v>2.78</v>
      </c>
      <c r="K19" s="142">
        <f t="shared" ref="K19:K26" si="7">F19-I19</f>
        <v>17</v>
      </c>
      <c r="L19" s="142"/>
      <c r="M19" s="141">
        <f t="shared" ref="M19:M26" si="8">ROUND(+K19*D$9,2)</f>
        <v>1.21</v>
      </c>
      <c r="N19" s="141"/>
      <c r="O19" s="217">
        <f t="shared" ref="O19:O25" si="9">H19+J19+M19</f>
        <v>5.1899999999999995</v>
      </c>
      <c r="P19" s="218" t="s">
        <v>973</v>
      </c>
      <c r="Q19" s="133"/>
      <c r="R19" s="219">
        <v>5.6</v>
      </c>
      <c r="S19" s="219">
        <f t="shared" ref="S19:S25" si="10">+O19-R19</f>
        <v>-0.41000000000000014</v>
      </c>
      <c r="T19" s="215">
        <f t="shared" ref="T19:T26" si="11">+S19/R19</f>
        <v>-7.3214285714285746E-2</v>
      </c>
      <c r="U19" s="133"/>
      <c r="V19" s="133"/>
      <c r="W19" s="133"/>
    </row>
    <row r="20" spans="1:23" ht="16.5" thickBot="1">
      <c r="A20" s="145">
        <f t="shared" ref="A20:A26" si="12">A19+1</f>
        <v>101</v>
      </c>
      <c r="B20" s="145">
        <v>125</v>
      </c>
      <c r="C20" s="214">
        <f t="shared" si="0"/>
        <v>0.125</v>
      </c>
      <c r="D20" s="215">
        <v>0.248</v>
      </c>
      <c r="E20" s="214">
        <f t="shared" si="1"/>
        <v>0.156</v>
      </c>
      <c r="F20" s="142">
        <f t="shared" si="2"/>
        <v>52</v>
      </c>
      <c r="G20" s="216">
        <f t="shared" si="3"/>
        <v>114</v>
      </c>
      <c r="H20" s="141">
        <f t="shared" si="4"/>
        <v>1.46</v>
      </c>
      <c r="I20" s="142">
        <f t="shared" si="5"/>
        <v>31</v>
      </c>
      <c r="J20" s="141">
        <f t="shared" si="6"/>
        <v>3.31</v>
      </c>
      <c r="K20" s="142">
        <f t="shared" si="7"/>
        <v>21</v>
      </c>
      <c r="L20" s="142"/>
      <c r="M20" s="141">
        <f t="shared" si="8"/>
        <v>1.49</v>
      </c>
      <c r="N20" s="141"/>
      <c r="O20" s="217">
        <f t="shared" si="9"/>
        <v>6.26</v>
      </c>
      <c r="P20" s="218" t="s">
        <v>973</v>
      </c>
      <c r="Q20" s="133"/>
      <c r="R20" s="219">
        <v>6.76</v>
      </c>
      <c r="S20" s="219">
        <f t="shared" si="10"/>
        <v>-0.5</v>
      </c>
      <c r="T20" s="215">
        <f t="shared" si="11"/>
        <v>-7.3964497041420121E-2</v>
      </c>
      <c r="U20" s="133"/>
      <c r="V20" s="133"/>
      <c r="W20" s="133"/>
    </row>
    <row r="21" spans="1:23" ht="16.5" thickBot="1">
      <c r="A21" s="145">
        <f t="shared" si="12"/>
        <v>102</v>
      </c>
      <c r="B21" s="145">
        <v>175</v>
      </c>
      <c r="C21" s="214">
        <f t="shared" si="0"/>
        <v>0.17499999999999999</v>
      </c>
      <c r="D21" s="215">
        <v>0.18290000000000001</v>
      </c>
      <c r="E21" s="214">
        <f t="shared" si="1"/>
        <v>0.20700749999999998</v>
      </c>
      <c r="F21" s="142">
        <f t="shared" si="2"/>
        <v>69</v>
      </c>
      <c r="G21" s="216">
        <f t="shared" si="3"/>
        <v>151</v>
      </c>
      <c r="H21" s="141">
        <f t="shared" si="4"/>
        <v>1.93</v>
      </c>
      <c r="I21" s="142">
        <f t="shared" si="5"/>
        <v>41</v>
      </c>
      <c r="J21" s="141">
        <f t="shared" si="6"/>
        <v>4.38</v>
      </c>
      <c r="K21" s="142">
        <f t="shared" si="7"/>
        <v>28</v>
      </c>
      <c r="L21" s="142"/>
      <c r="M21" s="141">
        <f t="shared" si="8"/>
        <v>1.99</v>
      </c>
      <c r="N21" s="141"/>
      <c r="O21" s="217">
        <f t="shared" si="9"/>
        <v>8.2999999999999989</v>
      </c>
      <c r="P21" s="218" t="s">
        <v>973</v>
      </c>
      <c r="Q21" s="133"/>
      <c r="R21" s="219">
        <v>8.99</v>
      </c>
      <c r="S21" s="219">
        <f t="shared" si="10"/>
        <v>-0.69000000000000128</v>
      </c>
      <c r="T21" s="215">
        <f t="shared" si="11"/>
        <v>-7.6751946607341637E-2</v>
      </c>
      <c r="U21" s="133"/>
      <c r="V21" s="133"/>
      <c r="W21" s="133"/>
    </row>
    <row r="22" spans="1:23" ht="16.5" thickBot="1">
      <c r="A22" s="145">
        <f t="shared" si="12"/>
        <v>103</v>
      </c>
      <c r="B22" s="145">
        <v>250</v>
      </c>
      <c r="C22" s="214">
        <f t="shared" si="0"/>
        <v>0.25</v>
      </c>
      <c r="D22" s="215">
        <v>0.16400000000000001</v>
      </c>
      <c r="E22" s="214">
        <f t="shared" si="1"/>
        <v>0.29099999999999998</v>
      </c>
      <c r="F22" s="142">
        <f t="shared" si="2"/>
        <v>97</v>
      </c>
      <c r="G22" s="216">
        <f t="shared" si="3"/>
        <v>212</v>
      </c>
      <c r="H22" s="141">
        <f t="shared" si="4"/>
        <v>2.72</v>
      </c>
      <c r="I22" s="142">
        <f t="shared" si="5"/>
        <v>58</v>
      </c>
      <c r="J22" s="141">
        <f t="shared" si="6"/>
        <v>6.19</v>
      </c>
      <c r="K22" s="142">
        <f t="shared" si="7"/>
        <v>39</v>
      </c>
      <c r="L22" s="142"/>
      <c r="M22" s="141">
        <f t="shared" si="8"/>
        <v>2.77</v>
      </c>
      <c r="N22" s="141"/>
      <c r="O22" s="217">
        <f t="shared" si="9"/>
        <v>11.68</v>
      </c>
      <c r="P22" s="218" t="s">
        <v>973</v>
      </c>
      <c r="Q22" s="133"/>
      <c r="R22" s="219">
        <v>12.6</v>
      </c>
      <c r="S22" s="219">
        <f t="shared" si="10"/>
        <v>-0.91999999999999993</v>
      </c>
      <c r="T22" s="215">
        <f t="shared" si="11"/>
        <v>-7.3015873015873006E-2</v>
      </c>
      <c r="U22" s="133"/>
      <c r="V22" s="133"/>
      <c r="W22" s="133"/>
    </row>
    <row r="23" spans="1:23" ht="16.5" thickBot="1">
      <c r="A23" s="145">
        <f t="shared" si="12"/>
        <v>104</v>
      </c>
      <c r="B23" s="145">
        <v>400</v>
      </c>
      <c r="C23" s="214">
        <f t="shared" si="0"/>
        <v>0.4</v>
      </c>
      <c r="D23" s="215">
        <v>0.155</v>
      </c>
      <c r="E23" s="214">
        <f t="shared" si="1"/>
        <v>0.46200000000000002</v>
      </c>
      <c r="F23" s="142">
        <f t="shared" si="2"/>
        <v>154</v>
      </c>
      <c r="G23" s="216">
        <f t="shared" si="3"/>
        <v>337</v>
      </c>
      <c r="H23" s="141">
        <f t="shared" si="4"/>
        <v>4.3099999999999996</v>
      </c>
      <c r="I23" s="142">
        <f t="shared" si="5"/>
        <v>92</v>
      </c>
      <c r="J23" s="141">
        <f t="shared" si="6"/>
        <v>9.83</v>
      </c>
      <c r="K23" s="142">
        <f t="shared" si="7"/>
        <v>62</v>
      </c>
      <c r="L23" s="142"/>
      <c r="M23" s="141">
        <f t="shared" si="8"/>
        <v>4.4000000000000004</v>
      </c>
      <c r="N23" s="141"/>
      <c r="O23" s="217">
        <f t="shared" si="9"/>
        <v>18.54</v>
      </c>
      <c r="P23" s="141">
        <f>H23+J23+ROUND((G23-I23)*D$9,2)</f>
        <v>31.51</v>
      </c>
      <c r="Q23" s="133"/>
      <c r="R23" s="219">
        <v>20.02</v>
      </c>
      <c r="S23" s="219">
        <f t="shared" si="10"/>
        <v>-1.4800000000000004</v>
      </c>
      <c r="T23" s="215">
        <f t="shared" si="11"/>
        <v>-7.3926073926073949E-2</v>
      </c>
      <c r="U23" s="133"/>
      <c r="V23" s="133"/>
      <c r="W23" s="133"/>
    </row>
    <row r="24" spans="1:23" ht="16.5" thickBot="1">
      <c r="A24" s="145">
        <f t="shared" si="12"/>
        <v>105</v>
      </c>
      <c r="B24" s="145">
        <v>700</v>
      </c>
      <c r="C24" s="214">
        <f t="shared" si="0"/>
        <v>0.7</v>
      </c>
      <c r="D24" s="215">
        <v>0.114</v>
      </c>
      <c r="E24" s="214">
        <f t="shared" si="1"/>
        <v>0.77979999999999994</v>
      </c>
      <c r="F24" s="142">
        <f t="shared" si="2"/>
        <v>260</v>
      </c>
      <c r="G24" s="216">
        <f t="shared" si="3"/>
        <v>569</v>
      </c>
      <c r="H24" s="141">
        <f t="shared" si="4"/>
        <v>7.28</v>
      </c>
      <c r="I24" s="142">
        <f t="shared" si="5"/>
        <v>156</v>
      </c>
      <c r="J24" s="141">
        <f t="shared" si="6"/>
        <v>16.66</v>
      </c>
      <c r="K24" s="142">
        <f t="shared" si="7"/>
        <v>104</v>
      </c>
      <c r="L24" s="142"/>
      <c r="M24" s="141">
        <f t="shared" si="8"/>
        <v>7.37</v>
      </c>
      <c r="N24" s="141"/>
      <c r="O24" s="217">
        <f t="shared" si="9"/>
        <v>31.310000000000002</v>
      </c>
      <c r="P24" s="141">
        <f>H24+J24+ROUND((G24-I24)*D$9,2)</f>
        <v>53.22</v>
      </c>
      <c r="Q24" s="133"/>
      <c r="R24" s="219">
        <v>33.78</v>
      </c>
      <c r="S24" s="219">
        <f t="shared" si="10"/>
        <v>-2.4699999999999989</v>
      </c>
      <c r="T24" s="215">
        <f t="shared" si="11"/>
        <v>-7.312018946121962E-2</v>
      </c>
      <c r="U24" s="133"/>
      <c r="V24" s="133"/>
      <c r="W24" s="133"/>
    </row>
    <row r="25" spans="1:23" ht="16.5" thickBot="1">
      <c r="A25" s="145">
        <f t="shared" si="12"/>
        <v>106</v>
      </c>
      <c r="B25" s="145">
        <v>1000</v>
      </c>
      <c r="C25" s="214">
        <f t="shared" si="0"/>
        <v>1</v>
      </c>
      <c r="D25" s="215">
        <v>8.8999999999999996E-2</v>
      </c>
      <c r="E25" s="214">
        <f t="shared" si="1"/>
        <v>1.089</v>
      </c>
      <c r="F25" s="142">
        <f t="shared" si="2"/>
        <v>363</v>
      </c>
      <c r="G25" s="216">
        <f t="shared" si="3"/>
        <v>795</v>
      </c>
      <c r="H25" s="141">
        <f t="shared" si="4"/>
        <v>10.17</v>
      </c>
      <c r="I25" s="142">
        <f t="shared" si="5"/>
        <v>218</v>
      </c>
      <c r="J25" s="141">
        <f t="shared" si="6"/>
        <v>23.28</v>
      </c>
      <c r="K25" s="142">
        <f t="shared" si="7"/>
        <v>145</v>
      </c>
      <c r="L25" s="142"/>
      <c r="M25" s="141">
        <f t="shared" si="8"/>
        <v>10.28</v>
      </c>
      <c r="N25" s="141"/>
      <c r="O25" s="217">
        <f t="shared" si="9"/>
        <v>43.730000000000004</v>
      </c>
      <c r="P25" s="141">
        <f>H25+J25+ROUND((G25-I25)*D$9,2)</f>
        <v>74.36</v>
      </c>
      <c r="Q25" s="133"/>
      <c r="R25" s="219">
        <v>47.16</v>
      </c>
      <c r="S25" s="219">
        <f t="shared" si="10"/>
        <v>-3.4299999999999926</v>
      </c>
      <c r="T25" s="215">
        <f t="shared" si="11"/>
        <v>-7.273112807463937E-2</v>
      </c>
      <c r="U25" s="133"/>
      <c r="V25" s="133"/>
      <c r="W25" s="133"/>
    </row>
    <row r="26" spans="1:23" ht="16.5" thickBot="1">
      <c r="A26" s="145">
        <f t="shared" si="12"/>
        <v>107</v>
      </c>
      <c r="B26" s="145">
        <v>250</v>
      </c>
      <c r="C26" s="214">
        <f t="shared" si="0"/>
        <v>0.25</v>
      </c>
      <c r="D26" s="215">
        <v>0.16400000000000001</v>
      </c>
      <c r="E26" s="214">
        <f t="shared" si="1"/>
        <v>0.29099999999999998</v>
      </c>
      <c r="F26" s="142">
        <f t="shared" si="2"/>
        <v>97</v>
      </c>
      <c r="G26" s="216">
        <f t="shared" si="3"/>
        <v>212</v>
      </c>
      <c r="H26" s="141">
        <f t="shared" si="4"/>
        <v>2.72</v>
      </c>
      <c r="I26" s="142">
        <f t="shared" si="5"/>
        <v>58</v>
      </c>
      <c r="J26" s="141">
        <f t="shared" si="6"/>
        <v>6.19</v>
      </c>
      <c r="K26" s="142">
        <f t="shared" si="7"/>
        <v>39</v>
      </c>
      <c r="L26" s="142"/>
      <c r="M26" s="141">
        <f t="shared" si="8"/>
        <v>2.77</v>
      </c>
      <c r="N26" s="141"/>
      <c r="O26" s="218" t="s">
        <v>973</v>
      </c>
      <c r="P26" s="217">
        <f>H26+J26+ROUND((G26-I26)*D$9,2)</f>
        <v>19.829999999999998</v>
      </c>
      <c r="Q26" s="133"/>
      <c r="R26" s="219">
        <v>20.54</v>
      </c>
      <c r="S26" s="219">
        <f>+P26-R26</f>
        <v>-0.71000000000000085</v>
      </c>
      <c r="T26" s="215">
        <f t="shared" si="11"/>
        <v>-3.4566699123661192E-2</v>
      </c>
      <c r="U26" s="133"/>
      <c r="V26" s="133"/>
      <c r="W26" s="133"/>
    </row>
    <row r="27" spans="1:23" ht="16.5" thickBot="1">
      <c r="A27" s="145"/>
      <c r="B27" s="145"/>
      <c r="C27" s="214"/>
      <c r="D27" s="215"/>
      <c r="E27" s="214"/>
      <c r="F27" s="142"/>
      <c r="G27" s="216"/>
      <c r="H27" s="141"/>
      <c r="I27" s="142"/>
      <c r="J27" s="141"/>
      <c r="K27" s="142"/>
      <c r="L27" s="142"/>
      <c r="M27" s="141"/>
      <c r="N27" s="141"/>
      <c r="O27" s="218"/>
      <c r="P27" s="141"/>
      <c r="Q27" s="133"/>
      <c r="R27" s="133"/>
      <c r="S27" s="133"/>
      <c r="T27" s="133"/>
      <c r="U27" s="133"/>
      <c r="V27" s="133"/>
      <c r="W27" s="133"/>
    </row>
    <row r="28" spans="1:23" ht="16.5" thickBot="1">
      <c r="A28" s="145">
        <v>110</v>
      </c>
      <c r="B28" s="145">
        <f>24*2</f>
        <v>48</v>
      </c>
      <c r="C28" s="214">
        <f t="shared" ref="C28:C34" si="13">B28/1000</f>
        <v>4.8000000000000001E-2</v>
      </c>
      <c r="D28" s="215">
        <v>0.9</v>
      </c>
      <c r="E28" s="214">
        <f t="shared" ref="E28:E34" si="14">(+C28*D28)+C28</f>
        <v>9.1200000000000003E-2</v>
      </c>
      <c r="F28" s="142">
        <f t="shared" ref="F28:F34" si="15">ROUND((+$E28*4000)/12,0)</f>
        <v>30</v>
      </c>
      <c r="G28" s="216">
        <f t="shared" ref="G28:G34" si="16">ROUND((+$E28*8760)/12,0)</f>
        <v>67</v>
      </c>
      <c r="H28" s="141">
        <f t="shared" ref="H28:H34" si="17">ROUND(+E28*D$7,2)</f>
        <v>0.85</v>
      </c>
      <c r="I28" s="142">
        <f t="shared" ref="I28:I34" si="18">ROUND(IF((E28*200)&gt;F28,F28,(E28*200)),0)</f>
        <v>18</v>
      </c>
      <c r="J28" s="141">
        <f t="shared" ref="J28:J34" si="19">ROUND(+I28*D$8,2)</f>
        <v>1.92</v>
      </c>
      <c r="K28" s="142">
        <f t="shared" ref="K28:K34" si="20">F28-I28</f>
        <v>12</v>
      </c>
      <c r="L28" s="142"/>
      <c r="M28" s="141">
        <f t="shared" ref="M28:M34" si="21">ROUND(+K28*D$9,2)</f>
        <v>0.85</v>
      </c>
      <c r="N28" s="141"/>
      <c r="O28" s="220">
        <f t="shared" ref="O28:O34" si="22">H28+J28+M28</f>
        <v>3.62</v>
      </c>
      <c r="P28" s="141">
        <f t="shared" ref="P28:P34" si="23">H28+J28+ROUND((G28-I28)*D$9,2)</f>
        <v>6.24</v>
      </c>
      <c r="Q28" s="221"/>
      <c r="R28" s="219">
        <v>3.91</v>
      </c>
      <c r="S28" s="219">
        <f t="shared" ref="S28:S34" si="24">+O28-R28</f>
        <v>-0.29000000000000004</v>
      </c>
      <c r="T28" s="215">
        <f t="shared" ref="T28:T34" si="25">+S28/R28</f>
        <v>-7.4168797953964194E-2</v>
      </c>
      <c r="U28" s="133"/>
      <c r="V28" s="133"/>
      <c r="W28" s="133"/>
    </row>
    <row r="29" spans="1:23" ht="16.5" thickBot="1">
      <c r="A29" s="145">
        <v>111</v>
      </c>
      <c r="B29" s="145">
        <f>48*2</f>
        <v>96</v>
      </c>
      <c r="C29" s="214">
        <f t="shared" si="13"/>
        <v>9.6000000000000002E-2</v>
      </c>
      <c r="D29" s="215">
        <v>1.65</v>
      </c>
      <c r="E29" s="214">
        <f t="shared" si="14"/>
        <v>0.25439999999999996</v>
      </c>
      <c r="F29" s="142">
        <f t="shared" si="15"/>
        <v>85</v>
      </c>
      <c r="G29" s="216">
        <f t="shared" si="16"/>
        <v>186</v>
      </c>
      <c r="H29" s="141">
        <f t="shared" si="17"/>
        <v>2.38</v>
      </c>
      <c r="I29" s="142">
        <f t="shared" si="18"/>
        <v>51</v>
      </c>
      <c r="J29" s="141">
        <f t="shared" si="19"/>
        <v>5.45</v>
      </c>
      <c r="K29" s="142">
        <f t="shared" si="20"/>
        <v>34</v>
      </c>
      <c r="L29" s="142"/>
      <c r="M29" s="141">
        <f t="shared" si="21"/>
        <v>2.41</v>
      </c>
      <c r="N29" s="141"/>
      <c r="O29" s="220">
        <f t="shared" si="22"/>
        <v>10.24</v>
      </c>
      <c r="P29" s="141">
        <f t="shared" si="23"/>
        <v>17.399999999999999</v>
      </c>
      <c r="Q29" s="221"/>
      <c r="R29" s="219">
        <v>11.04</v>
      </c>
      <c r="S29" s="219">
        <f t="shared" si="24"/>
        <v>-0.79999999999999893</v>
      </c>
      <c r="T29" s="215">
        <f t="shared" si="25"/>
        <v>-7.2463768115941934E-2</v>
      </c>
      <c r="U29" s="133"/>
      <c r="V29" s="133"/>
      <c r="W29" s="133"/>
    </row>
    <row r="30" spans="1:23" ht="16.5" thickBot="1">
      <c r="A30" s="145">
        <v>112</v>
      </c>
      <c r="B30" s="145">
        <f>72*2</f>
        <v>144</v>
      </c>
      <c r="C30" s="214">
        <f t="shared" si="13"/>
        <v>0.14399999999999999</v>
      </c>
      <c r="D30" s="215">
        <v>1.42</v>
      </c>
      <c r="E30" s="214">
        <f t="shared" si="14"/>
        <v>0.34847999999999996</v>
      </c>
      <c r="F30" s="142">
        <f t="shared" si="15"/>
        <v>116</v>
      </c>
      <c r="G30" s="216">
        <f t="shared" si="16"/>
        <v>254</v>
      </c>
      <c r="H30" s="141">
        <f t="shared" si="17"/>
        <v>3.25</v>
      </c>
      <c r="I30" s="142">
        <f t="shared" si="18"/>
        <v>70</v>
      </c>
      <c r="J30" s="141">
        <f t="shared" si="19"/>
        <v>7.48</v>
      </c>
      <c r="K30" s="142">
        <f t="shared" si="20"/>
        <v>46</v>
      </c>
      <c r="L30" s="142"/>
      <c r="M30" s="141">
        <f t="shared" si="21"/>
        <v>3.26</v>
      </c>
      <c r="N30" s="141"/>
      <c r="O30" s="220">
        <f t="shared" si="22"/>
        <v>13.99</v>
      </c>
      <c r="P30" s="141">
        <f t="shared" si="23"/>
        <v>23.78</v>
      </c>
      <c r="Q30" s="221"/>
      <c r="R30" s="219">
        <v>15.08</v>
      </c>
      <c r="S30" s="219">
        <f t="shared" si="24"/>
        <v>-1.0899999999999999</v>
      </c>
      <c r="T30" s="215">
        <f t="shared" si="25"/>
        <v>-7.2281167108753305E-2</v>
      </c>
      <c r="U30" s="133"/>
      <c r="V30" s="133"/>
      <c r="W30" s="133"/>
    </row>
    <row r="31" spans="1:23" ht="16.5" thickBot="1">
      <c r="A31" s="145">
        <v>113</v>
      </c>
      <c r="B31" s="145">
        <f>72*4</f>
        <v>288</v>
      </c>
      <c r="C31" s="214">
        <f t="shared" si="13"/>
        <v>0.28799999999999998</v>
      </c>
      <c r="D31" s="215">
        <v>1.31</v>
      </c>
      <c r="E31" s="214">
        <f t="shared" si="14"/>
        <v>0.66527999999999998</v>
      </c>
      <c r="F31" s="142">
        <f t="shared" si="15"/>
        <v>222</v>
      </c>
      <c r="G31" s="216">
        <f t="shared" si="16"/>
        <v>486</v>
      </c>
      <c r="H31" s="141">
        <f t="shared" si="17"/>
        <v>6.21</v>
      </c>
      <c r="I31" s="142">
        <f t="shared" si="18"/>
        <v>133</v>
      </c>
      <c r="J31" s="141">
        <f t="shared" si="19"/>
        <v>14.2</v>
      </c>
      <c r="K31" s="142">
        <f t="shared" si="20"/>
        <v>89</v>
      </c>
      <c r="L31" s="142"/>
      <c r="M31" s="141">
        <f t="shared" si="21"/>
        <v>6.31</v>
      </c>
      <c r="N31" s="141"/>
      <c r="O31" s="220">
        <f t="shared" si="22"/>
        <v>26.72</v>
      </c>
      <c r="P31" s="141">
        <f t="shared" si="23"/>
        <v>45.44</v>
      </c>
      <c r="Q31" s="221"/>
      <c r="R31" s="219">
        <v>28.82</v>
      </c>
      <c r="S31" s="219">
        <f t="shared" si="24"/>
        <v>-2.1000000000000014</v>
      </c>
      <c r="T31" s="215">
        <f t="shared" si="25"/>
        <v>-7.2866065232477489E-2</v>
      </c>
      <c r="U31" s="133"/>
      <c r="V31" s="133"/>
      <c r="W31" s="133"/>
    </row>
    <row r="32" spans="1:23" ht="16.5" thickBot="1">
      <c r="A32" s="145">
        <v>114</v>
      </c>
      <c r="B32" s="145">
        <v>96</v>
      </c>
      <c r="C32" s="214">
        <f t="shared" si="13"/>
        <v>9.6000000000000002E-2</v>
      </c>
      <c r="D32" s="215">
        <v>0.46879999999999999</v>
      </c>
      <c r="E32" s="214">
        <f t="shared" si="14"/>
        <v>0.14100479999999999</v>
      </c>
      <c r="F32" s="142">
        <f t="shared" si="15"/>
        <v>47</v>
      </c>
      <c r="G32" s="216">
        <f t="shared" si="16"/>
        <v>103</v>
      </c>
      <c r="H32" s="141">
        <f t="shared" si="17"/>
        <v>1.32</v>
      </c>
      <c r="I32" s="142">
        <f t="shared" si="18"/>
        <v>28</v>
      </c>
      <c r="J32" s="141">
        <f t="shared" si="19"/>
        <v>2.99</v>
      </c>
      <c r="K32" s="142">
        <f t="shared" si="20"/>
        <v>19</v>
      </c>
      <c r="L32" s="142"/>
      <c r="M32" s="141">
        <f t="shared" si="21"/>
        <v>1.35</v>
      </c>
      <c r="N32" s="141"/>
      <c r="O32" s="220">
        <f t="shared" si="22"/>
        <v>5.66</v>
      </c>
      <c r="P32" s="141">
        <f t="shared" si="23"/>
        <v>9.6300000000000008</v>
      </c>
      <c r="Q32" s="221"/>
      <c r="R32" s="219">
        <v>6.1</v>
      </c>
      <c r="S32" s="219">
        <f t="shared" si="24"/>
        <v>-0.4399999999999995</v>
      </c>
      <c r="T32" s="215">
        <f t="shared" si="25"/>
        <v>-7.2131147540983528E-2</v>
      </c>
      <c r="U32" s="133"/>
      <c r="V32" s="133"/>
      <c r="W32" s="133"/>
    </row>
    <row r="33" spans="1:23" ht="16.5" thickBot="1">
      <c r="A33" s="145">
        <v>115</v>
      </c>
      <c r="B33" s="145">
        <v>72</v>
      </c>
      <c r="C33" s="214">
        <f t="shared" si="13"/>
        <v>7.1999999999999995E-2</v>
      </c>
      <c r="D33" s="215">
        <v>1.5</v>
      </c>
      <c r="E33" s="214">
        <f t="shared" si="14"/>
        <v>0.18</v>
      </c>
      <c r="F33" s="142">
        <f t="shared" si="15"/>
        <v>60</v>
      </c>
      <c r="G33" s="216">
        <f t="shared" si="16"/>
        <v>131</v>
      </c>
      <c r="H33" s="141">
        <f t="shared" si="17"/>
        <v>1.68</v>
      </c>
      <c r="I33" s="142">
        <f t="shared" si="18"/>
        <v>36</v>
      </c>
      <c r="J33" s="141">
        <f t="shared" si="19"/>
        <v>3.84</v>
      </c>
      <c r="K33" s="142">
        <f t="shared" si="20"/>
        <v>24</v>
      </c>
      <c r="L33" s="142"/>
      <c r="M33" s="141">
        <f t="shared" si="21"/>
        <v>1.7</v>
      </c>
      <c r="N33" s="141"/>
      <c r="O33" s="220">
        <f t="shared" si="22"/>
        <v>7.22</v>
      </c>
      <c r="P33" s="141">
        <f t="shared" si="23"/>
        <v>12.26</v>
      </c>
      <c r="Q33" s="221"/>
      <c r="R33" s="219">
        <v>7.82</v>
      </c>
      <c r="S33" s="219">
        <f t="shared" si="24"/>
        <v>-0.60000000000000053</v>
      </c>
      <c r="T33" s="215">
        <f t="shared" si="25"/>
        <v>-7.6726342710997514E-2</v>
      </c>
      <c r="U33" s="133"/>
      <c r="V33" s="133"/>
      <c r="W33" s="133"/>
    </row>
    <row r="34" spans="1:23" ht="16.5" thickBot="1">
      <c r="A34" s="145">
        <v>116</v>
      </c>
      <c r="B34" s="145">
        <f>48*4</f>
        <v>192</v>
      </c>
      <c r="C34" s="214">
        <f t="shared" si="13"/>
        <v>0.192</v>
      </c>
      <c r="D34" s="215">
        <v>1.6</v>
      </c>
      <c r="E34" s="214">
        <f t="shared" si="14"/>
        <v>0.49920000000000003</v>
      </c>
      <c r="F34" s="142">
        <f t="shared" si="15"/>
        <v>166</v>
      </c>
      <c r="G34" s="216">
        <f t="shared" si="16"/>
        <v>364</v>
      </c>
      <c r="H34" s="141">
        <f t="shared" si="17"/>
        <v>4.66</v>
      </c>
      <c r="I34" s="142">
        <f t="shared" si="18"/>
        <v>100</v>
      </c>
      <c r="J34" s="141">
        <f t="shared" si="19"/>
        <v>10.68</v>
      </c>
      <c r="K34" s="142">
        <f t="shared" si="20"/>
        <v>66</v>
      </c>
      <c r="L34" s="142"/>
      <c r="M34" s="141">
        <f t="shared" si="21"/>
        <v>4.68</v>
      </c>
      <c r="N34" s="141"/>
      <c r="O34" s="220">
        <f t="shared" si="22"/>
        <v>20.02</v>
      </c>
      <c r="P34" s="141">
        <f t="shared" si="23"/>
        <v>34.06</v>
      </c>
      <c r="Q34" s="221"/>
      <c r="R34" s="219">
        <v>21.59</v>
      </c>
      <c r="S34" s="219">
        <f t="shared" si="24"/>
        <v>-1.5700000000000003</v>
      </c>
      <c r="T34" s="215">
        <f t="shared" si="25"/>
        <v>-7.2718851320055594E-2</v>
      </c>
      <c r="U34" s="133"/>
      <c r="V34" s="133"/>
      <c r="W34" s="133"/>
    </row>
    <row r="35" spans="1:23" ht="16.5" thickBot="1">
      <c r="A35" s="145"/>
      <c r="B35" s="145"/>
      <c r="C35" s="214"/>
      <c r="D35" s="215"/>
      <c r="E35" s="214"/>
      <c r="F35" s="142"/>
      <c r="G35" s="216"/>
      <c r="H35" s="141"/>
      <c r="I35" s="142"/>
      <c r="J35" s="141"/>
      <c r="K35" s="142"/>
      <c r="L35" s="142"/>
      <c r="M35" s="141"/>
      <c r="N35" s="141"/>
      <c r="O35" s="218"/>
      <c r="P35" s="141"/>
      <c r="Q35" s="133"/>
      <c r="R35" s="133"/>
      <c r="S35" s="133"/>
      <c r="T35" s="133"/>
      <c r="U35" s="133"/>
      <c r="V35" s="133"/>
      <c r="W35" s="133"/>
    </row>
    <row r="36" spans="1:23" ht="16.5" thickBot="1">
      <c r="A36" s="145">
        <v>117</v>
      </c>
      <c r="B36" s="145">
        <f>72*4</f>
        <v>288</v>
      </c>
      <c r="C36" s="214">
        <f>B36/1000</f>
        <v>0.28799999999999998</v>
      </c>
      <c r="D36" s="215">
        <v>1.31</v>
      </c>
      <c r="E36" s="214">
        <f>(+C36*D36)+C36</f>
        <v>0.66527999999999998</v>
      </c>
      <c r="F36" s="142">
        <f>ROUND((+$E36*4000)/12,0)</f>
        <v>222</v>
      </c>
      <c r="G36" s="216">
        <f>ROUND((+$E36*8760)/12,0)</f>
        <v>486</v>
      </c>
      <c r="H36" s="141">
        <f>ROUND(+E36*D$7,2)</f>
        <v>6.21</v>
      </c>
      <c r="I36" s="142">
        <f>ROUND(IF((E36*200)&gt;F36,F36,(E36*200)),0)</f>
        <v>133</v>
      </c>
      <c r="J36" s="141">
        <f>ROUND(+I36*D$8,2)</f>
        <v>14.2</v>
      </c>
      <c r="K36" s="142">
        <f>F36-I36</f>
        <v>89</v>
      </c>
      <c r="L36" s="142"/>
      <c r="M36" s="141">
        <f>ROUND(+K36*D$9,2)</f>
        <v>6.31</v>
      </c>
      <c r="N36" s="141"/>
      <c r="O36" s="141">
        <f>H36+J36+M36</f>
        <v>26.72</v>
      </c>
      <c r="P36" s="220">
        <f>H36+J36+ROUND((G36-I36)*D$9,2)</f>
        <v>45.44</v>
      </c>
      <c r="Q36" s="133"/>
      <c r="R36" s="221" t="s">
        <v>147</v>
      </c>
      <c r="S36" s="133"/>
      <c r="T36" s="133"/>
      <c r="U36" s="133"/>
      <c r="V36" s="133"/>
      <c r="W36" s="133"/>
    </row>
    <row r="37" spans="1:23" ht="16.5" thickBot="1">
      <c r="A37" s="145">
        <v>118</v>
      </c>
      <c r="B37" s="145">
        <f>24*2</f>
        <v>48</v>
      </c>
      <c r="C37" s="214">
        <f>B37/1000</f>
        <v>4.8000000000000001E-2</v>
      </c>
      <c r="D37" s="215">
        <v>0.875</v>
      </c>
      <c r="E37" s="214">
        <f>(+C37*D37)+C37</f>
        <v>0.09</v>
      </c>
      <c r="F37" s="142">
        <f>ROUND((+$E37*4000)/12,0)</f>
        <v>30</v>
      </c>
      <c r="G37" s="216">
        <f>ROUND((+$E37*8760)/12,0)</f>
        <v>66</v>
      </c>
      <c r="H37" s="141">
        <f>ROUND(+E37*D$7,2)</f>
        <v>0.84</v>
      </c>
      <c r="I37" s="142">
        <f>ROUND(IF((E37*200)&gt;F37,F37,(E37*200)),0)</f>
        <v>18</v>
      </c>
      <c r="J37" s="141">
        <f>ROUND(+I37*D$8,2)</f>
        <v>1.92</v>
      </c>
      <c r="K37" s="142">
        <f>F37-I37</f>
        <v>12</v>
      </c>
      <c r="L37" s="142"/>
      <c r="M37" s="141">
        <f>ROUND(+K37*D$9,2)</f>
        <v>0.85</v>
      </c>
      <c r="N37" s="141"/>
      <c r="O37" s="141">
        <f>H37+J37+M37</f>
        <v>3.61</v>
      </c>
      <c r="P37" s="220">
        <f>H37+J37+ROUND((G37-I37)*D$9,2)</f>
        <v>6.16</v>
      </c>
      <c r="Q37" s="133"/>
      <c r="R37" s="221" t="s">
        <v>148</v>
      </c>
      <c r="S37" s="133"/>
      <c r="T37" s="133"/>
      <c r="U37" s="133"/>
      <c r="V37" s="133"/>
      <c r="W37" s="133"/>
    </row>
    <row r="38" spans="1:23" ht="16.5" thickBot="1">
      <c r="A38" s="145">
        <v>119</v>
      </c>
      <c r="B38" s="145">
        <f>48*4</f>
        <v>192</v>
      </c>
      <c r="C38" s="214">
        <f>B38/1000</f>
        <v>0.192</v>
      </c>
      <c r="D38" s="215">
        <v>1.6</v>
      </c>
      <c r="E38" s="214">
        <f>(+C38*D38)+C38</f>
        <v>0.49920000000000003</v>
      </c>
      <c r="F38" s="142">
        <f>ROUND((+$E38*4000)/12,0)</f>
        <v>166</v>
      </c>
      <c r="G38" s="216">
        <f>ROUND((+$E38*8760)/12,0)</f>
        <v>364</v>
      </c>
      <c r="H38" s="141">
        <f>ROUND(+E38*D$7,2)</f>
        <v>4.66</v>
      </c>
      <c r="I38" s="142">
        <f>ROUND(IF((E38*200)&gt;F38,F38,(E38*200)),0)</f>
        <v>100</v>
      </c>
      <c r="J38" s="141">
        <f>ROUND(+I38*D$8,2)</f>
        <v>10.68</v>
      </c>
      <c r="K38" s="142">
        <f>F38-I38</f>
        <v>66</v>
      </c>
      <c r="L38" s="142"/>
      <c r="M38" s="141">
        <f>ROUND(+K38*D$9,2)</f>
        <v>4.68</v>
      </c>
      <c r="N38" s="141"/>
      <c r="O38" s="141">
        <f>H38+J38+M38</f>
        <v>20.02</v>
      </c>
      <c r="P38" s="220">
        <f>H38+J38+ROUND((G38-I38)*D$9,2)</f>
        <v>34.06</v>
      </c>
      <c r="Q38" s="133"/>
      <c r="R38" s="221" t="s">
        <v>149</v>
      </c>
      <c r="S38" s="133"/>
      <c r="T38" s="133"/>
      <c r="U38" s="133"/>
      <c r="V38" s="133"/>
      <c r="W38" s="133"/>
    </row>
    <row r="39" spans="1:23" ht="16.5" thickBot="1">
      <c r="A39" s="145">
        <v>120</v>
      </c>
      <c r="B39" s="145">
        <f>96*2</f>
        <v>192</v>
      </c>
      <c r="C39" s="214">
        <f>B39/1000</f>
        <v>0.192</v>
      </c>
      <c r="D39" s="215">
        <v>0.81</v>
      </c>
      <c r="E39" s="214">
        <f>(+C39*D39)+C39</f>
        <v>0.34752000000000005</v>
      </c>
      <c r="F39" s="142">
        <f>ROUND((+$E39*4000)/12,0)</f>
        <v>116</v>
      </c>
      <c r="G39" s="216">
        <f>ROUND((+$E39*8760)/12,0)</f>
        <v>254</v>
      </c>
      <c r="H39" s="141">
        <f>ROUND(+E39*D$7,2)</f>
        <v>3.25</v>
      </c>
      <c r="I39" s="142">
        <f>ROUND(IF((E39*200)&gt;F39,F39,(E39*200)),0)</f>
        <v>70</v>
      </c>
      <c r="J39" s="141">
        <f>ROUND(+I39*D$8,2)</f>
        <v>7.48</v>
      </c>
      <c r="K39" s="142">
        <f>F39-I39</f>
        <v>46</v>
      </c>
      <c r="L39" s="142"/>
      <c r="M39" s="141">
        <f>ROUND(+K39*D$9,2)</f>
        <v>3.26</v>
      </c>
      <c r="N39" s="141"/>
      <c r="O39" s="141">
        <f>H39+J39+M39</f>
        <v>13.99</v>
      </c>
      <c r="P39" s="220">
        <f>H39+J39+ROUND((G39-I39)*D$9,2)</f>
        <v>23.78</v>
      </c>
      <c r="Q39" s="133"/>
      <c r="R39" s="221" t="s">
        <v>150</v>
      </c>
      <c r="S39" s="133"/>
      <c r="T39" s="133"/>
      <c r="U39" s="133"/>
      <c r="V39" s="133"/>
      <c r="W39" s="133"/>
    </row>
    <row r="40" spans="1:23" ht="16.5" thickBot="1">
      <c r="A40" s="145"/>
      <c r="B40" s="145"/>
      <c r="C40" s="214"/>
      <c r="D40" s="215"/>
      <c r="E40" s="214"/>
      <c r="F40" s="142"/>
      <c r="G40" s="216"/>
      <c r="H40" s="141"/>
      <c r="I40" s="142"/>
      <c r="J40" s="141"/>
      <c r="K40" s="142"/>
      <c r="L40" s="142"/>
      <c r="M40" s="141"/>
      <c r="N40" s="141"/>
      <c r="O40" s="218"/>
      <c r="P40" s="141"/>
      <c r="Q40" s="133"/>
      <c r="R40" s="133"/>
      <c r="S40" s="133"/>
      <c r="T40" s="133"/>
      <c r="U40" s="133"/>
      <c r="V40" s="133"/>
      <c r="W40" s="133"/>
    </row>
    <row r="41" spans="1:23" ht="16.5" thickBot="1">
      <c r="A41" s="145">
        <v>121</v>
      </c>
      <c r="B41" s="145">
        <v>250</v>
      </c>
      <c r="C41" s="214">
        <f t="shared" ref="C41:C46" si="26">B41/1000</f>
        <v>0.25</v>
      </c>
      <c r="D41" s="215">
        <v>0.2</v>
      </c>
      <c r="E41" s="214">
        <f t="shared" ref="E41:E46" si="27">(+C41*D41)+C41</f>
        <v>0.3</v>
      </c>
      <c r="F41" s="142">
        <f t="shared" ref="F41:F46" si="28">ROUND((+$E41*4000)/12,0)</f>
        <v>100</v>
      </c>
      <c r="G41" s="216">
        <f t="shared" ref="G41:G46" si="29">ROUND((+$E41*8760)/12,0)</f>
        <v>219</v>
      </c>
      <c r="H41" s="141">
        <f t="shared" ref="H41:H46" si="30">ROUND(+E41*D$7,2)</f>
        <v>2.8</v>
      </c>
      <c r="I41" s="142">
        <f t="shared" ref="I41:I46" si="31">ROUND(IF((E41*200)&gt;F41,F41,(E41*200)),0)</f>
        <v>60</v>
      </c>
      <c r="J41" s="141">
        <f t="shared" ref="J41:J46" si="32">ROUND(+I41*D$8,2)</f>
        <v>6.41</v>
      </c>
      <c r="K41" s="142">
        <f t="shared" ref="K41:K46" si="33">F41-I41</f>
        <v>40</v>
      </c>
      <c r="L41" s="142"/>
      <c r="M41" s="141">
        <f t="shared" ref="M41:M46" si="34">ROUND(+K41*D$9,2)</f>
        <v>2.84</v>
      </c>
      <c r="N41" s="141"/>
      <c r="O41" s="220">
        <f t="shared" ref="O41:O46" si="35">H41+J41+M41</f>
        <v>12.05</v>
      </c>
      <c r="P41" s="141">
        <f t="shared" ref="P41:P46" si="36">H41+J41+ROUND((G41-I41)*D$9,2)</f>
        <v>20.48</v>
      </c>
      <c r="Q41" s="133"/>
      <c r="R41" s="219">
        <v>13.01</v>
      </c>
      <c r="S41" s="219">
        <f>+O41-R41</f>
        <v>-0.95999999999999908</v>
      </c>
      <c r="T41" s="215">
        <f>+S41/R41</f>
        <v>-7.3789392774788548E-2</v>
      </c>
      <c r="U41" s="133"/>
      <c r="V41" s="133"/>
      <c r="W41" s="133"/>
    </row>
    <row r="42" spans="1:23" ht="16.5" thickBot="1">
      <c r="A42" s="145">
        <f>A41+1</f>
        <v>122</v>
      </c>
      <c r="B42" s="145">
        <v>400</v>
      </c>
      <c r="C42" s="214">
        <f t="shared" si="26"/>
        <v>0.4</v>
      </c>
      <c r="D42" s="215">
        <v>0.125</v>
      </c>
      <c r="E42" s="214">
        <f t="shared" si="27"/>
        <v>0.45</v>
      </c>
      <c r="F42" s="142">
        <f t="shared" si="28"/>
        <v>150</v>
      </c>
      <c r="G42" s="216">
        <f t="shared" si="29"/>
        <v>329</v>
      </c>
      <c r="H42" s="141">
        <f t="shared" si="30"/>
        <v>4.2</v>
      </c>
      <c r="I42" s="142">
        <f t="shared" si="31"/>
        <v>90</v>
      </c>
      <c r="J42" s="141">
        <f t="shared" si="32"/>
        <v>9.61</v>
      </c>
      <c r="K42" s="142">
        <f t="shared" si="33"/>
        <v>60</v>
      </c>
      <c r="L42" s="142"/>
      <c r="M42" s="141">
        <f t="shared" si="34"/>
        <v>4.25</v>
      </c>
      <c r="N42" s="141"/>
      <c r="O42" s="220">
        <f t="shared" si="35"/>
        <v>18.059999999999999</v>
      </c>
      <c r="P42" s="141">
        <f t="shared" si="36"/>
        <v>30.759999999999998</v>
      </c>
      <c r="Q42" s="133"/>
      <c r="R42" s="219">
        <v>19.47</v>
      </c>
      <c r="S42" s="219">
        <f>+O42-R42</f>
        <v>-1.4100000000000001</v>
      </c>
      <c r="T42" s="215">
        <f>+S42/R42</f>
        <v>-7.2419106317411414E-2</v>
      </c>
      <c r="U42" s="133"/>
      <c r="V42" s="133"/>
      <c r="W42" s="133"/>
    </row>
    <row r="43" spans="1:23" ht="16.5" thickBot="1">
      <c r="A43" s="145">
        <f>A42+1</f>
        <v>123</v>
      </c>
      <c r="B43" s="145">
        <v>70</v>
      </c>
      <c r="C43" s="214">
        <f t="shared" si="26"/>
        <v>7.0000000000000007E-2</v>
      </c>
      <c r="D43" s="215">
        <v>0.37</v>
      </c>
      <c r="E43" s="214">
        <f t="shared" si="27"/>
        <v>9.5900000000000013E-2</v>
      </c>
      <c r="F43" s="142">
        <f t="shared" si="28"/>
        <v>32</v>
      </c>
      <c r="G43" s="216">
        <f t="shared" si="29"/>
        <v>70</v>
      </c>
      <c r="H43" s="141">
        <f t="shared" si="30"/>
        <v>0.9</v>
      </c>
      <c r="I43" s="142">
        <f t="shared" si="31"/>
        <v>19</v>
      </c>
      <c r="J43" s="141">
        <f t="shared" si="32"/>
        <v>2.0299999999999998</v>
      </c>
      <c r="K43" s="142">
        <f t="shared" si="33"/>
        <v>13</v>
      </c>
      <c r="L43" s="142"/>
      <c r="M43" s="141">
        <f t="shared" si="34"/>
        <v>0.92</v>
      </c>
      <c r="N43" s="141"/>
      <c r="O43" s="220">
        <f t="shared" si="35"/>
        <v>3.8499999999999996</v>
      </c>
      <c r="P43" s="141">
        <f t="shared" si="36"/>
        <v>6.55</v>
      </c>
      <c r="Q43" s="133"/>
      <c r="R43" s="219">
        <v>4.17</v>
      </c>
      <c r="S43" s="219">
        <f>+O43-R43</f>
        <v>-0.32000000000000028</v>
      </c>
      <c r="T43" s="215">
        <f>+S43/R43</f>
        <v>-7.6738609112709896E-2</v>
      </c>
      <c r="U43" s="133"/>
      <c r="V43" s="133"/>
      <c r="W43" s="133"/>
    </row>
    <row r="44" spans="1:23" ht="16.5" thickBot="1">
      <c r="A44" s="145">
        <f>A43+1</f>
        <v>124</v>
      </c>
      <c r="B44" s="145">
        <v>100</v>
      </c>
      <c r="C44" s="214">
        <f t="shared" si="26"/>
        <v>0.1</v>
      </c>
      <c r="D44" s="215">
        <v>0.35</v>
      </c>
      <c r="E44" s="214">
        <f t="shared" si="27"/>
        <v>0.13500000000000001</v>
      </c>
      <c r="F44" s="142">
        <f t="shared" si="28"/>
        <v>45</v>
      </c>
      <c r="G44" s="216">
        <f t="shared" si="29"/>
        <v>99</v>
      </c>
      <c r="H44" s="141">
        <f t="shared" si="30"/>
        <v>1.26</v>
      </c>
      <c r="I44" s="142">
        <f t="shared" si="31"/>
        <v>27</v>
      </c>
      <c r="J44" s="141">
        <f t="shared" si="32"/>
        <v>2.88</v>
      </c>
      <c r="K44" s="142">
        <f t="shared" si="33"/>
        <v>18</v>
      </c>
      <c r="L44" s="142"/>
      <c r="M44" s="141">
        <f t="shared" si="34"/>
        <v>1.28</v>
      </c>
      <c r="N44" s="141"/>
      <c r="O44" s="220">
        <f t="shared" si="35"/>
        <v>5.42</v>
      </c>
      <c r="P44" s="141">
        <f t="shared" si="36"/>
        <v>9.25</v>
      </c>
      <c r="Q44" s="133"/>
      <c r="R44" s="219">
        <v>5.84</v>
      </c>
      <c r="S44" s="219">
        <f>+O44-R44</f>
        <v>-0.41999999999999993</v>
      </c>
      <c r="T44" s="215">
        <f>+S44/R44</f>
        <v>-7.1917808219178078E-2</v>
      </c>
      <c r="U44" s="133"/>
      <c r="V44" s="133"/>
      <c r="W44" s="133"/>
    </row>
    <row r="45" spans="1:23" ht="16.5" thickBot="1">
      <c r="A45" s="145">
        <f>A44+1</f>
        <v>125</v>
      </c>
      <c r="B45" s="145">
        <v>150</v>
      </c>
      <c r="C45" s="214">
        <f t="shared" si="26"/>
        <v>0.15</v>
      </c>
      <c r="D45" s="215">
        <v>0.3</v>
      </c>
      <c r="E45" s="214">
        <f t="shared" si="27"/>
        <v>0.19500000000000001</v>
      </c>
      <c r="F45" s="142">
        <f t="shared" si="28"/>
        <v>65</v>
      </c>
      <c r="G45" s="216">
        <f t="shared" si="29"/>
        <v>142</v>
      </c>
      <c r="H45" s="141">
        <f t="shared" si="30"/>
        <v>1.82</v>
      </c>
      <c r="I45" s="142">
        <f t="shared" si="31"/>
        <v>39</v>
      </c>
      <c r="J45" s="141">
        <f t="shared" si="32"/>
        <v>4.17</v>
      </c>
      <c r="K45" s="142">
        <f t="shared" si="33"/>
        <v>26</v>
      </c>
      <c r="L45" s="142"/>
      <c r="M45" s="141">
        <f t="shared" si="34"/>
        <v>1.84</v>
      </c>
      <c r="N45" s="141"/>
      <c r="O45" s="220">
        <f t="shared" si="35"/>
        <v>7.83</v>
      </c>
      <c r="P45" s="141">
        <f t="shared" si="36"/>
        <v>13.29</v>
      </c>
      <c r="Q45" s="133"/>
      <c r="R45" s="219">
        <v>8.44</v>
      </c>
      <c r="S45" s="219">
        <f>+O45-R45</f>
        <v>-0.60999999999999943</v>
      </c>
      <c r="T45" s="215">
        <f>+S45/R45</f>
        <v>-7.2274881516587619E-2</v>
      </c>
      <c r="U45" s="133"/>
      <c r="V45" s="133"/>
      <c r="W45" s="133"/>
    </row>
    <row r="46" spans="1:23" ht="16.5" thickBot="1">
      <c r="A46" s="145">
        <f>A45+1</f>
        <v>126</v>
      </c>
      <c r="B46" s="145">
        <v>100</v>
      </c>
      <c r="C46" s="214">
        <f t="shared" si="26"/>
        <v>0.1</v>
      </c>
      <c r="D46" s="215">
        <v>0.35</v>
      </c>
      <c r="E46" s="214">
        <f t="shared" si="27"/>
        <v>0.13500000000000001</v>
      </c>
      <c r="F46" s="142">
        <f t="shared" si="28"/>
        <v>45</v>
      </c>
      <c r="G46" s="216">
        <f t="shared" si="29"/>
        <v>99</v>
      </c>
      <c r="H46" s="141">
        <f t="shared" si="30"/>
        <v>1.26</v>
      </c>
      <c r="I46" s="142">
        <f t="shared" si="31"/>
        <v>27</v>
      </c>
      <c r="J46" s="141">
        <f t="shared" si="32"/>
        <v>2.88</v>
      </c>
      <c r="K46" s="142">
        <f t="shared" si="33"/>
        <v>18</v>
      </c>
      <c r="L46" s="142"/>
      <c r="M46" s="141">
        <f t="shared" si="34"/>
        <v>1.28</v>
      </c>
      <c r="N46" s="141"/>
      <c r="O46" s="141">
        <f t="shared" si="35"/>
        <v>5.42</v>
      </c>
      <c r="P46" s="217">
        <f t="shared" si="36"/>
        <v>9.25</v>
      </c>
      <c r="Q46" s="133"/>
      <c r="R46" s="222" t="s">
        <v>973</v>
      </c>
      <c r="S46" s="222" t="s">
        <v>973</v>
      </c>
      <c r="T46" s="222" t="s">
        <v>973</v>
      </c>
      <c r="U46" s="133"/>
      <c r="V46" s="133"/>
      <c r="W46" s="133"/>
    </row>
    <row r="47" spans="1:23" ht="15.75" thickBot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219"/>
      <c r="S47" s="219"/>
      <c r="T47" s="215"/>
      <c r="U47" s="133"/>
      <c r="V47" s="133"/>
      <c r="W47" s="133"/>
    </row>
    <row r="48" spans="1:23" ht="15.75">
      <c r="A48" s="145">
        <v>130</v>
      </c>
      <c r="B48" s="145">
        <v>135</v>
      </c>
      <c r="C48" s="214">
        <f>B48/1000</f>
        <v>0.13500000000000001</v>
      </c>
      <c r="D48" s="215">
        <v>0.33329999999999999</v>
      </c>
      <c r="E48" s="214">
        <f>(+C48*D48)+C48</f>
        <v>0.1799955</v>
      </c>
      <c r="F48" s="142">
        <f>ROUND((+$E48*4000)/12,0)</f>
        <v>60</v>
      </c>
      <c r="G48" s="216">
        <f>ROUND((+$E48*8760)/12,0)</f>
        <v>131</v>
      </c>
      <c r="H48" s="141">
        <f>ROUND(+E48*D$7,2)</f>
        <v>1.68</v>
      </c>
      <c r="I48" s="142">
        <f>ROUND(IF((E48*200)&gt;F48,F48,(E48*200)),0)</f>
        <v>36</v>
      </c>
      <c r="J48" s="141">
        <f>ROUND(+I48*D$8,2)</f>
        <v>3.84</v>
      </c>
      <c r="K48" s="142">
        <f>F48-I48</f>
        <v>24</v>
      </c>
      <c r="L48" s="142"/>
      <c r="M48" s="141">
        <f>ROUND(+K48*D$9,2)</f>
        <v>1.7</v>
      </c>
      <c r="N48" s="141"/>
      <c r="O48" s="223">
        <f>H48+J48+M48</f>
        <v>7.22</v>
      </c>
      <c r="P48" s="141">
        <f>H48+J48+ROUND((G48-I48)*D$9,2)</f>
        <v>12.26</v>
      </c>
      <c r="Q48" s="133"/>
      <c r="R48" s="219">
        <v>7.8</v>
      </c>
      <c r="S48" s="219">
        <f>+O48-R48</f>
        <v>-0.58000000000000007</v>
      </c>
      <c r="T48" s="215">
        <f>+S48/R48</f>
        <v>-7.4358974358974372E-2</v>
      </c>
      <c r="U48" s="133"/>
      <c r="V48" s="133"/>
      <c r="W48" s="133"/>
    </row>
    <row r="49" spans="1:23" ht="15.75">
      <c r="A49" s="145">
        <f>A48+1</f>
        <v>131</v>
      </c>
      <c r="B49" s="145">
        <v>180</v>
      </c>
      <c r="C49" s="214">
        <f>B49/1000</f>
        <v>0.18</v>
      </c>
      <c r="D49" s="215">
        <v>0.33329999999999999</v>
      </c>
      <c r="E49" s="214">
        <f>(+C49*D49)+C49</f>
        <v>0.23999399999999999</v>
      </c>
      <c r="F49" s="142">
        <f>ROUND((+$E49*4000)/12,0)</f>
        <v>80</v>
      </c>
      <c r="G49" s="216">
        <f>ROUND((+$E49*8760)/12,0)</f>
        <v>175</v>
      </c>
      <c r="H49" s="141">
        <f>ROUND(+E49*D$7,2)</f>
        <v>2.2400000000000002</v>
      </c>
      <c r="I49" s="142">
        <f>ROUND(IF((E49*200)&gt;F49,F49,(E49*200)),0)</f>
        <v>48</v>
      </c>
      <c r="J49" s="141">
        <f>ROUND(+I49*D$8,2)</f>
        <v>5.13</v>
      </c>
      <c r="K49" s="142">
        <f>F49-I49</f>
        <v>32</v>
      </c>
      <c r="L49" s="142"/>
      <c r="M49" s="141">
        <f>ROUND(+K49*D$9,2)</f>
        <v>2.27</v>
      </c>
      <c r="N49" s="141"/>
      <c r="O49" s="224">
        <f>H49+J49+M49</f>
        <v>9.64</v>
      </c>
      <c r="P49" s="141">
        <f>H49+J49+ROUND((G49-I49)*D$9,2)</f>
        <v>16.37</v>
      </c>
      <c r="Q49" s="133"/>
      <c r="R49" s="219">
        <v>10.4</v>
      </c>
      <c r="S49" s="219">
        <f>+O49-R49</f>
        <v>-0.75999999999999979</v>
      </c>
      <c r="T49" s="215">
        <f>+S49/R49</f>
        <v>-7.3076923076923053E-2</v>
      </c>
      <c r="U49" s="133"/>
      <c r="V49" s="133"/>
      <c r="W49" s="133"/>
    </row>
    <row r="50" spans="1:23" ht="16.5" thickBot="1">
      <c r="A50" s="145">
        <f>A49+1</f>
        <v>132</v>
      </c>
      <c r="B50" s="145">
        <v>90</v>
      </c>
      <c r="C50" s="214">
        <f>B50/1000</f>
        <v>0.09</v>
      </c>
      <c r="D50" s="215">
        <v>0.5</v>
      </c>
      <c r="E50" s="214">
        <f>(+C50*D50)+C50</f>
        <v>0.13500000000000001</v>
      </c>
      <c r="F50" s="142">
        <f>ROUND((+$E50*4000)/12,0)</f>
        <v>45</v>
      </c>
      <c r="G50" s="216">
        <f>ROUND((+$E50*8760)/12,0)</f>
        <v>99</v>
      </c>
      <c r="H50" s="141">
        <f>ROUND(+E50*D$7,2)</f>
        <v>1.26</v>
      </c>
      <c r="I50" s="142">
        <f>ROUND(IF((E50*200)&gt;F50,F50,(E50*200)),0)</f>
        <v>27</v>
      </c>
      <c r="J50" s="141">
        <f>ROUND(+I50*D$8,2)</f>
        <v>2.88</v>
      </c>
      <c r="K50" s="142">
        <f>F50-I50</f>
        <v>18</v>
      </c>
      <c r="L50" s="142"/>
      <c r="M50" s="141">
        <f>ROUND(+K50*D$9,2)</f>
        <v>1.28</v>
      </c>
      <c r="N50" s="141"/>
      <c r="O50" s="225">
        <f>H50+J50+M50</f>
        <v>5.42</v>
      </c>
      <c r="P50" s="141">
        <f>H50+J50+ROUND((G50-I50)*D$9,2)</f>
        <v>9.25</v>
      </c>
      <c r="Q50" s="133"/>
      <c r="R50" s="219">
        <v>5.83</v>
      </c>
      <c r="S50" s="219">
        <f>+O50-R50</f>
        <v>-0.41000000000000014</v>
      </c>
      <c r="T50" s="215">
        <f>+S50/R50</f>
        <v>-7.0325900514579778E-2</v>
      </c>
      <c r="U50" s="133"/>
      <c r="V50" s="133"/>
      <c r="W50" s="133"/>
    </row>
    <row r="51" spans="1:23" ht="15.75" thickBot="1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</row>
    <row r="52" spans="1:23" ht="16.5" thickBot="1">
      <c r="A52" s="145">
        <v>140</v>
      </c>
      <c r="B52" s="145">
        <v>400</v>
      </c>
      <c r="C52" s="214">
        <f>B52/1000</f>
        <v>0.4</v>
      </c>
      <c r="D52" s="215">
        <v>0.125</v>
      </c>
      <c r="E52" s="214">
        <f>(+C52*D52)+C52</f>
        <v>0.45</v>
      </c>
      <c r="F52" s="142">
        <f>ROUND((+$E52*4000)/12,0)</f>
        <v>150</v>
      </c>
      <c r="G52" s="216">
        <f>ROUND((+$E52*8760)/12,0)</f>
        <v>329</v>
      </c>
      <c r="H52" s="141">
        <f>ROUND(+E52*D$7,2)</f>
        <v>4.2</v>
      </c>
      <c r="I52" s="142">
        <f>ROUND(IF((E52*200)&gt;F52,F52,(E52*200)),0)</f>
        <v>90</v>
      </c>
      <c r="J52" s="141">
        <f>ROUND(+I52*D$8,2)</f>
        <v>9.61</v>
      </c>
      <c r="K52" s="142">
        <f>F52-I52</f>
        <v>60</v>
      </c>
      <c r="L52" s="142"/>
      <c r="M52" s="141">
        <f>ROUND(+K52*D$9,2)</f>
        <v>4.25</v>
      </c>
      <c r="N52" s="141"/>
      <c r="O52" s="217">
        <f>H52+J52+M52</f>
        <v>18.059999999999999</v>
      </c>
      <c r="P52" s="141">
        <f>H52+J52+ROUND((G52-I52)*D$9,2)</f>
        <v>30.759999999999998</v>
      </c>
      <c r="Q52" s="221"/>
      <c r="R52" s="219">
        <v>19.5</v>
      </c>
      <c r="S52" s="219">
        <f>+O52-R52</f>
        <v>-1.4400000000000013</v>
      </c>
      <c r="T52" s="215">
        <f>+S52/R52</f>
        <v>-7.3846153846153909E-2</v>
      </c>
      <c r="U52" s="133"/>
      <c r="V52" s="133"/>
      <c r="W52" s="133"/>
    </row>
    <row r="53" spans="1:23" ht="16.5" thickBot="1">
      <c r="A53" s="145">
        <f>A52+1</f>
        <v>141</v>
      </c>
      <c r="B53" s="145">
        <v>1000</v>
      </c>
      <c r="C53" s="214">
        <f>B53/1000</f>
        <v>1</v>
      </c>
      <c r="D53" s="215">
        <v>0.08</v>
      </c>
      <c r="E53" s="214">
        <f>(+C53*D53)+C53</f>
        <v>1.08</v>
      </c>
      <c r="F53" s="142">
        <f>ROUND((+$E53*4000)/12,0)</f>
        <v>360</v>
      </c>
      <c r="G53" s="216">
        <f>ROUND((+$E53*8760)/12,0)</f>
        <v>788</v>
      </c>
      <c r="H53" s="141">
        <f>ROUND(+E53*D$7,2)</f>
        <v>10.09</v>
      </c>
      <c r="I53" s="142">
        <f>ROUND(IF((E53*200)&gt;F53,F53,(E53*200)),0)</f>
        <v>216</v>
      </c>
      <c r="J53" s="141">
        <f>ROUND(+I53*D$8,2)</f>
        <v>23.07</v>
      </c>
      <c r="K53" s="142">
        <f>F53-I53</f>
        <v>144</v>
      </c>
      <c r="L53" s="142"/>
      <c r="M53" s="141">
        <f>ROUND(+K53*D$9,2)</f>
        <v>10.210000000000001</v>
      </c>
      <c r="N53" s="141"/>
      <c r="O53" s="217">
        <f>H53+J53+M53</f>
        <v>43.37</v>
      </c>
      <c r="P53" s="141">
        <f>H53+J53+ROUND((G53-I53)*D$9,2)</f>
        <v>73.72</v>
      </c>
      <c r="Q53" s="221"/>
      <c r="R53" s="219">
        <v>46.77</v>
      </c>
      <c r="S53" s="219">
        <f>+O53-R53</f>
        <v>-3.4000000000000057</v>
      </c>
      <c r="T53" s="215">
        <f>+S53/R53</f>
        <v>-7.2696172760316563E-2</v>
      </c>
      <c r="U53" s="133"/>
      <c r="V53" s="133"/>
      <c r="W53" s="133"/>
    </row>
    <row r="54" spans="1:23" ht="16.5" thickBot="1">
      <c r="A54" s="35">
        <v>142</v>
      </c>
      <c r="B54" s="35">
        <v>250</v>
      </c>
      <c r="C54" s="226">
        <f>B54/1000</f>
        <v>0.25</v>
      </c>
      <c r="D54" s="227">
        <v>0.2</v>
      </c>
      <c r="E54" s="226">
        <f>(+C54*D54)+C54</f>
        <v>0.3</v>
      </c>
      <c r="F54" s="36">
        <f>ROUND((+$E54*4000)/12,0)</f>
        <v>100</v>
      </c>
      <c r="G54" s="228">
        <f>ROUND((+$E54*8760)/12,0)</f>
        <v>219</v>
      </c>
      <c r="H54" s="229">
        <f>ROUND(+E54*D$7,2)</f>
        <v>2.8</v>
      </c>
      <c r="I54" s="36">
        <f>ROUND(IF((E54*200)&gt;F54,F54,(E54*200)),0)</f>
        <v>60</v>
      </c>
      <c r="J54" s="229">
        <f>ROUND(+I54*D$8,2)</f>
        <v>6.41</v>
      </c>
      <c r="K54" s="36">
        <f>F54-I54</f>
        <v>40</v>
      </c>
      <c r="L54" s="36"/>
      <c r="M54" s="229">
        <f>ROUND(+K54*D$9,2)</f>
        <v>2.84</v>
      </c>
      <c r="N54" s="229"/>
      <c r="O54" s="217">
        <f>H54+J54+M54</f>
        <v>12.05</v>
      </c>
      <c r="P54" s="229">
        <f>H54+J54+ROUND((G54-I54)*D$9,2)</f>
        <v>20.48</v>
      </c>
      <c r="Q54" s="221"/>
      <c r="R54" s="133"/>
      <c r="S54" s="133"/>
      <c r="T54" s="133"/>
      <c r="U54" s="133"/>
      <c r="V54" s="133"/>
      <c r="W54" s="133"/>
    </row>
    <row r="55" spans="1:23" ht="16.5" thickBot="1">
      <c r="A55" s="35">
        <v>143</v>
      </c>
      <c r="B55" s="35">
        <v>150</v>
      </c>
      <c r="C55" s="226">
        <f>B55/1000</f>
        <v>0.15</v>
      </c>
      <c r="D55" s="227">
        <v>0.33329999999999999</v>
      </c>
      <c r="E55" s="226">
        <f>(+C55*D55)+C55</f>
        <v>0.19999499999999998</v>
      </c>
      <c r="F55" s="36">
        <f>ROUND((+$E55*4000)/12,0)</f>
        <v>67</v>
      </c>
      <c r="G55" s="228">
        <f>ROUND((+$E55*8760)/12,0)</f>
        <v>146</v>
      </c>
      <c r="H55" s="229">
        <f>ROUND(+E55*D$7,2)</f>
        <v>1.87</v>
      </c>
      <c r="I55" s="36">
        <f>ROUND(IF((E55*200)&gt;F55,F55,(E55*200)),0)</f>
        <v>40</v>
      </c>
      <c r="J55" s="229">
        <f>ROUND(+I55*D$8,2)</f>
        <v>4.2699999999999996</v>
      </c>
      <c r="K55" s="36">
        <f>F55-I55</f>
        <v>27</v>
      </c>
      <c r="L55" s="36"/>
      <c r="M55" s="229">
        <f>ROUND(+K55*D$9,2)</f>
        <v>1.91</v>
      </c>
      <c r="N55" s="229"/>
      <c r="O55" s="217">
        <f>H55+J55+M55</f>
        <v>8.0499999999999989</v>
      </c>
      <c r="P55" s="229">
        <f>H55+J55+ROUND((G55-I55)*D$9,2)</f>
        <v>13.66</v>
      </c>
      <c r="Q55" s="133"/>
      <c r="R55" s="133"/>
      <c r="S55" s="133"/>
      <c r="T55" s="133"/>
      <c r="U55" s="133"/>
      <c r="V55" s="133"/>
      <c r="W55" s="133"/>
    </row>
    <row r="56" spans="1:23" ht="16.5" thickBot="1">
      <c r="A56" s="35">
        <v>144</v>
      </c>
      <c r="B56" s="35">
        <v>100</v>
      </c>
      <c r="C56" s="226">
        <f>B56/1000</f>
        <v>0.1</v>
      </c>
      <c r="D56" s="227">
        <v>0.5</v>
      </c>
      <c r="E56" s="226">
        <f>(+C56*D56)+C56</f>
        <v>0.15000000000000002</v>
      </c>
      <c r="F56" s="36">
        <f>ROUND((+$E56*4000)/12,0)</f>
        <v>50</v>
      </c>
      <c r="G56" s="228">
        <f>ROUND((+$E56*8760)/12,0)</f>
        <v>110</v>
      </c>
      <c r="H56" s="229">
        <f>ROUND(+E56*D$7,2)</f>
        <v>1.4</v>
      </c>
      <c r="I56" s="36">
        <f>ROUND(IF((E56*200)&gt;F56,F56,(E56*200)),0)</f>
        <v>30</v>
      </c>
      <c r="J56" s="229">
        <f>ROUND(+I56*D$8,2)</f>
        <v>3.2</v>
      </c>
      <c r="K56" s="36">
        <f>F56-I56</f>
        <v>20</v>
      </c>
      <c r="L56" s="36"/>
      <c r="M56" s="229">
        <f>ROUND(+K56*D$9,2)</f>
        <v>1.42</v>
      </c>
      <c r="N56" s="229"/>
      <c r="O56" s="217">
        <f>H56+J56+M56</f>
        <v>6.02</v>
      </c>
      <c r="P56" s="229">
        <f>H56+J56+ROUND((G56-I56)*D$9,2)</f>
        <v>10.27</v>
      </c>
      <c r="Q56" s="133"/>
      <c r="R56" s="133"/>
      <c r="S56" s="133"/>
      <c r="T56" s="133"/>
      <c r="U56" s="133"/>
      <c r="V56" s="133"/>
      <c r="W56" s="133"/>
    </row>
    <row r="57" spans="1:23" ht="15.75" thickBot="1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</row>
    <row r="58" spans="1:23" ht="16.5" thickBot="1">
      <c r="A58" s="145">
        <v>150</v>
      </c>
      <c r="B58" s="145">
        <v>840</v>
      </c>
      <c r="C58" s="214">
        <f>B58/1000</f>
        <v>0.84</v>
      </c>
      <c r="D58" s="215">
        <v>0</v>
      </c>
      <c r="E58" s="214">
        <f>(+C58*D58)+C58</f>
        <v>0.84</v>
      </c>
      <c r="F58" s="142">
        <f>ROUND((+$E58*4000)/12,0)</f>
        <v>280</v>
      </c>
      <c r="G58" s="216">
        <f>ROUND((+$E58*8760)/12,0)</f>
        <v>613</v>
      </c>
      <c r="H58" s="141">
        <f>ROUND(+E58*D$7,2)</f>
        <v>7.85</v>
      </c>
      <c r="I58" s="142">
        <f>ROUND(IF((E58*200)&gt;F58,F58,(E58*200)),0)</f>
        <v>168</v>
      </c>
      <c r="J58" s="141">
        <f>ROUND(+I58*D$8,2)</f>
        <v>17.940000000000001</v>
      </c>
      <c r="K58" s="142">
        <f>F58-I58</f>
        <v>112</v>
      </c>
      <c r="L58" s="142"/>
      <c r="M58" s="141">
        <f>ROUND(+K58*D$9,2)</f>
        <v>7.94</v>
      </c>
      <c r="N58" s="141"/>
      <c r="O58" s="141">
        <f>H58+J58+M58</f>
        <v>33.729999999999997</v>
      </c>
      <c r="P58" s="217">
        <f>H58+J58+ROUND((G58-I58)*D$9,2)</f>
        <v>57.34</v>
      </c>
      <c r="Q58" s="133"/>
      <c r="R58" s="219">
        <v>59.39</v>
      </c>
      <c r="S58" s="219">
        <f>+P58-R58</f>
        <v>-2.0499999999999972</v>
      </c>
      <c r="T58" s="215">
        <f>+S58/R58</f>
        <v>-3.4517595554807157E-2</v>
      </c>
      <c r="U58" s="133"/>
      <c r="V58" s="133"/>
      <c r="W58" s="133"/>
    </row>
    <row r="59" spans="1:23" ht="15.75" thickBot="1">
      <c r="A59" s="145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</row>
    <row r="60" spans="1:23" ht="16.5" thickBot="1">
      <c r="A60" s="145">
        <v>201</v>
      </c>
      <c r="B60" s="145">
        <v>125</v>
      </c>
      <c r="C60" s="214">
        <f t="shared" ref="C60:C65" si="37">B60/1000</f>
        <v>0.125</v>
      </c>
      <c r="D60" s="215">
        <v>0.248</v>
      </c>
      <c r="E60" s="214">
        <f t="shared" ref="E60:E65" si="38">(+C60*D60)+C60</f>
        <v>0.156</v>
      </c>
      <c r="F60" s="142">
        <f t="shared" ref="F60:F65" si="39">ROUND((+$E60*4000)/12,0)</f>
        <v>52</v>
      </c>
      <c r="G60" s="216">
        <f t="shared" ref="G60:G65" si="40">ROUND((+$E60*8760)/12,0)</f>
        <v>114</v>
      </c>
      <c r="H60" s="141">
        <f t="shared" ref="H60:H65" si="41">ROUND(+E60*D$7,2)</f>
        <v>1.46</v>
      </c>
      <c r="I60" s="142">
        <f t="shared" ref="I60:I65" si="42">ROUND(IF((E60*200)&gt;F60,F60,(E60*200)),0)</f>
        <v>31</v>
      </c>
      <c r="J60" s="141">
        <f t="shared" ref="J60:J65" si="43">ROUND(+I60*D$8,2)</f>
        <v>3.31</v>
      </c>
      <c r="K60" s="142">
        <f t="shared" ref="K60:K65" si="44">F60-I60</f>
        <v>21</v>
      </c>
      <c r="L60" s="142"/>
      <c r="M60" s="141">
        <f t="shared" ref="M60:M65" si="45">ROUND(+K60*D$9,2)</f>
        <v>1.49</v>
      </c>
      <c r="N60" s="141"/>
      <c r="O60" s="217">
        <f t="shared" ref="O60:O65" si="46">H60+J60+M60</f>
        <v>6.26</v>
      </c>
      <c r="P60" s="141">
        <f t="shared" ref="P60:P65" si="47">H60+J60+ROUND((G60-I60)*D$9,2)</f>
        <v>10.66</v>
      </c>
      <c r="Q60" s="133"/>
      <c r="R60" s="147">
        <v>6.76</v>
      </c>
      <c r="S60" s="219">
        <f t="shared" ref="S60:S65" si="48">+O60-R60</f>
        <v>-0.5</v>
      </c>
      <c r="T60" s="215">
        <f t="shared" ref="T60:T65" si="49">+S60/R60</f>
        <v>-7.3964497041420121E-2</v>
      </c>
      <c r="U60" s="133"/>
      <c r="V60" s="133"/>
      <c r="W60" s="133"/>
    </row>
    <row r="61" spans="1:23" ht="16.5" thickBot="1">
      <c r="A61" s="145">
        <v>202</v>
      </c>
      <c r="B61" s="145">
        <v>175</v>
      </c>
      <c r="C61" s="214">
        <f t="shared" si="37"/>
        <v>0.17499999999999999</v>
      </c>
      <c r="D61" s="215">
        <v>0.18290000000000001</v>
      </c>
      <c r="E61" s="214">
        <f t="shared" si="38"/>
        <v>0.20700749999999998</v>
      </c>
      <c r="F61" s="142">
        <f t="shared" si="39"/>
        <v>69</v>
      </c>
      <c r="G61" s="216">
        <f t="shared" si="40"/>
        <v>151</v>
      </c>
      <c r="H61" s="141">
        <f t="shared" si="41"/>
        <v>1.93</v>
      </c>
      <c r="I61" s="142">
        <f t="shared" si="42"/>
        <v>41</v>
      </c>
      <c r="J61" s="141">
        <f t="shared" si="43"/>
        <v>4.38</v>
      </c>
      <c r="K61" s="142">
        <f t="shared" si="44"/>
        <v>28</v>
      </c>
      <c r="L61" s="142"/>
      <c r="M61" s="141">
        <f t="shared" si="45"/>
        <v>1.99</v>
      </c>
      <c r="N61" s="141"/>
      <c r="O61" s="217">
        <f t="shared" si="46"/>
        <v>8.2999999999999989</v>
      </c>
      <c r="P61" s="141">
        <f t="shared" si="47"/>
        <v>14.11</v>
      </c>
      <c r="Q61" s="133"/>
      <c r="R61" s="147">
        <v>8.99</v>
      </c>
      <c r="S61" s="219">
        <f t="shared" si="48"/>
        <v>-0.69000000000000128</v>
      </c>
      <c r="T61" s="215">
        <f t="shared" si="49"/>
        <v>-7.6751946607341637E-2</v>
      </c>
      <c r="U61" s="133"/>
      <c r="V61" s="133"/>
      <c r="W61" s="133"/>
    </row>
    <row r="62" spans="1:23" ht="16.5" thickBot="1">
      <c r="A62" s="145">
        <v>203</v>
      </c>
      <c r="B62" s="145">
        <v>250</v>
      </c>
      <c r="C62" s="214">
        <f t="shared" si="37"/>
        <v>0.25</v>
      </c>
      <c r="D62" s="215">
        <v>0.16400000000000001</v>
      </c>
      <c r="E62" s="214">
        <f t="shared" si="38"/>
        <v>0.29099999999999998</v>
      </c>
      <c r="F62" s="142">
        <f t="shared" si="39"/>
        <v>97</v>
      </c>
      <c r="G62" s="216">
        <f t="shared" si="40"/>
        <v>212</v>
      </c>
      <c r="H62" s="141">
        <f t="shared" si="41"/>
        <v>2.72</v>
      </c>
      <c r="I62" s="142">
        <f t="shared" si="42"/>
        <v>58</v>
      </c>
      <c r="J62" s="141">
        <f t="shared" si="43"/>
        <v>6.19</v>
      </c>
      <c r="K62" s="142">
        <f t="shared" si="44"/>
        <v>39</v>
      </c>
      <c r="L62" s="142"/>
      <c r="M62" s="141">
        <f t="shared" si="45"/>
        <v>2.77</v>
      </c>
      <c r="N62" s="141"/>
      <c r="O62" s="217">
        <f t="shared" si="46"/>
        <v>11.68</v>
      </c>
      <c r="P62" s="141">
        <f t="shared" si="47"/>
        <v>19.829999999999998</v>
      </c>
      <c r="Q62" s="133"/>
      <c r="R62" s="147">
        <v>12.6</v>
      </c>
      <c r="S62" s="219">
        <f t="shared" si="48"/>
        <v>-0.91999999999999993</v>
      </c>
      <c r="T62" s="215">
        <f t="shared" si="49"/>
        <v>-7.3015873015873006E-2</v>
      </c>
      <c r="U62" s="133"/>
      <c r="V62" s="133"/>
      <c r="W62" s="133"/>
    </row>
    <row r="63" spans="1:23" ht="16.5" thickBot="1">
      <c r="A63" s="145">
        <v>204</v>
      </c>
      <c r="B63" s="145">
        <v>400</v>
      </c>
      <c r="C63" s="214">
        <f t="shared" si="37"/>
        <v>0.4</v>
      </c>
      <c r="D63" s="215">
        <v>0.155</v>
      </c>
      <c r="E63" s="214">
        <f t="shared" si="38"/>
        <v>0.46200000000000002</v>
      </c>
      <c r="F63" s="142">
        <f t="shared" si="39"/>
        <v>154</v>
      </c>
      <c r="G63" s="216">
        <f t="shared" si="40"/>
        <v>337</v>
      </c>
      <c r="H63" s="141">
        <f t="shared" si="41"/>
        <v>4.3099999999999996</v>
      </c>
      <c r="I63" s="142">
        <f t="shared" si="42"/>
        <v>92</v>
      </c>
      <c r="J63" s="141">
        <f t="shared" si="43"/>
        <v>9.83</v>
      </c>
      <c r="K63" s="142">
        <f t="shared" si="44"/>
        <v>62</v>
      </c>
      <c r="L63" s="142"/>
      <c r="M63" s="141">
        <f t="shared" si="45"/>
        <v>4.4000000000000004</v>
      </c>
      <c r="N63" s="141"/>
      <c r="O63" s="217">
        <f t="shared" si="46"/>
        <v>18.54</v>
      </c>
      <c r="P63" s="141">
        <f t="shared" si="47"/>
        <v>31.51</v>
      </c>
      <c r="Q63" s="133"/>
      <c r="R63" s="147">
        <v>20.02</v>
      </c>
      <c r="S63" s="219">
        <f t="shared" si="48"/>
        <v>-1.4800000000000004</v>
      </c>
      <c r="T63" s="215">
        <f t="shared" si="49"/>
        <v>-7.3926073926073949E-2</v>
      </c>
      <c r="U63" s="133"/>
      <c r="V63" s="133"/>
      <c r="W63" s="133"/>
    </row>
    <row r="64" spans="1:23" ht="16.5" thickBot="1">
      <c r="A64" s="145">
        <v>205</v>
      </c>
      <c r="B64" s="145">
        <v>700</v>
      </c>
      <c r="C64" s="214">
        <f t="shared" si="37"/>
        <v>0.7</v>
      </c>
      <c r="D64" s="215">
        <v>0.114</v>
      </c>
      <c r="E64" s="214">
        <f t="shared" si="38"/>
        <v>0.77979999999999994</v>
      </c>
      <c r="F64" s="142">
        <f t="shared" si="39"/>
        <v>260</v>
      </c>
      <c r="G64" s="216">
        <f t="shared" si="40"/>
        <v>569</v>
      </c>
      <c r="H64" s="141">
        <f t="shared" si="41"/>
        <v>7.28</v>
      </c>
      <c r="I64" s="142">
        <f t="shared" si="42"/>
        <v>156</v>
      </c>
      <c r="J64" s="141">
        <f t="shared" si="43"/>
        <v>16.66</v>
      </c>
      <c r="K64" s="142">
        <f t="shared" si="44"/>
        <v>104</v>
      </c>
      <c r="L64" s="142"/>
      <c r="M64" s="141">
        <f t="shared" si="45"/>
        <v>7.37</v>
      </c>
      <c r="N64" s="141"/>
      <c r="O64" s="217">
        <f t="shared" si="46"/>
        <v>31.310000000000002</v>
      </c>
      <c r="P64" s="141">
        <f t="shared" si="47"/>
        <v>53.22</v>
      </c>
      <c r="Q64" s="133"/>
      <c r="R64" s="147">
        <v>33.78</v>
      </c>
      <c r="S64" s="219">
        <f t="shared" si="48"/>
        <v>-2.4699999999999989</v>
      </c>
      <c r="T64" s="215">
        <f t="shared" si="49"/>
        <v>-7.312018946121962E-2</v>
      </c>
      <c r="U64" s="133"/>
      <c r="V64" s="133"/>
      <c r="W64" s="133"/>
    </row>
    <row r="65" spans="1:23" ht="16.5" thickBot="1">
      <c r="A65" s="145">
        <v>206</v>
      </c>
      <c r="B65" s="145">
        <v>1000</v>
      </c>
      <c r="C65" s="214">
        <f t="shared" si="37"/>
        <v>1</v>
      </c>
      <c r="D65" s="215">
        <v>8.8999999999999996E-2</v>
      </c>
      <c r="E65" s="214">
        <f t="shared" si="38"/>
        <v>1.089</v>
      </c>
      <c r="F65" s="142">
        <f t="shared" si="39"/>
        <v>363</v>
      </c>
      <c r="G65" s="216">
        <f t="shared" si="40"/>
        <v>795</v>
      </c>
      <c r="H65" s="141">
        <f t="shared" si="41"/>
        <v>10.17</v>
      </c>
      <c r="I65" s="142">
        <f t="shared" si="42"/>
        <v>218</v>
      </c>
      <c r="J65" s="141">
        <f t="shared" si="43"/>
        <v>23.28</v>
      </c>
      <c r="K65" s="142">
        <f t="shared" si="44"/>
        <v>145</v>
      </c>
      <c r="L65" s="142"/>
      <c r="M65" s="141">
        <f t="shared" si="45"/>
        <v>10.28</v>
      </c>
      <c r="N65" s="141"/>
      <c r="O65" s="217">
        <f t="shared" si="46"/>
        <v>43.730000000000004</v>
      </c>
      <c r="P65" s="141">
        <f t="shared" si="47"/>
        <v>74.36</v>
      </c>
      <c r="Q65" s="133"/>
      <c r="R65" s="147">
        <v>47.16</v>
      </c>
      <c r="S65" s="219">
        <f t="shared" si="48"/>
        <v>-3.4299999999999926</v>
      </c>
      <c r="T65" s="215">
        <f t="shared" si="49"/>
        <v>-7.273112807463937E-2</v>
      </c>
      <c r="U65" s="133"/>
      <c r="V65" s="133"/>
      <c r="W65" s="133"/>
    </row>
    <row r="66" spans="1:23" ht="15.75" thickBot="1">
      <c r="A66" s="145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</row>
    <row r="67" spans="1:23" ht="16.5" thickBot="1">
      <c r="A67" s="145">
        <v>213</v>
      </c>
      <c r="B67" s="145">
        <f>85*4</f>
        <v>340</v>
      </c>
      <c r="C67" s="214">
        <f t="shared" ref="C67:C72" si="50">B67/1000</f>
        <v>0.34</v>
      </c>
      <c r="D67" s="215">
        <v>0.96</v>
      </c>
      <c r="E67" s="214">
        <f t="shared" ref="E67:E72" si="51">(+C67*D67)+C67</f>
        <v>0.6664000000000001</v>
      </c>
      <c r="F67" s="142">
        <f t="shared" ref="F67:F72" si="52">ROUND((+$E67*4000)/12,0)</f>
        <v>222</v>
      </c>
      <c r="G67" s="216">
        <f t="shared" ref="G67:G72" si="53">ROUND((+$E67*8760)/12,0)</f>
        <v>486</v>
      </c>
      <c r="H67" s="141">
        <f t="shared" ref="H67:H72" si="54">ROUND(+E67*D$7,2)</f>
        <v>6.22</v>
      </c>
      <c r="I67" s="142">
        <f t="shared" ref="I67:I72" si="55">ROUND(IF((E67*200)&gt;F67,F67,(E67*200)),0)</f>
        <v>133</v>
      </c>
      <c r="J67" s="141">
        <f t="shared" ref="J67:J72" si="56">ROUND(+I67*D$8,2)</f>
        <v>14.2</v>
      </c>
      <c r="K67" s="142">
        <f t="shared" ref="K67:K72" si="57">F67-I67</f>
        <v>89</v>
      </c>
      <c r="L67" s="142"/>
      <c r="M67" s="141">
        <f t="shared" ref="M67:M72" si="58">ROUND(+K67*D$9,2)</f>
        <v>6.31</v>
      </c>
      <c r="N67" s="141"/>
      <c r="O67" s="217">
        <f t="shared" ref="O67:O72" si="59">H67+J67+M67</f>
        <v>26.729999999999997</v>
      </c>
      <c r="P67" s="141">
        <f t="shared" ref="P67:P72" si="60">H67+J67+ROUND((G67-I67)*D$9,2)</f>
        <v>45.45</v>
      </c>
      <c r="Q67" s="221"/>
      <c r="R67" s="147">
        <v>28.82</v>
      </c>
      <c r="S67" s="219">
        <f t="shared" ref="S67:S72" si="61">+O67-R67</f>
        <v>-2.0900000000000034</v>
      </c>
      <c r="T67" s="215">
        <f t="shared" ref="T67:T72" si="62">+S67/R67</f>
        <v>-7.251908396946577E-2</v>
      </c>
      <c r="U67" s="133"/>
      <c r="V67" s="133"/>
      <c r="W67" s="133"/>
    </row>
    <row r="68" spans="1:23" ht="16.5" thickBot="1">
      <c r="A68" s="145">
        <v>214</v>
      </c>
      <c r="B68" s="145">
        <v>110</v>
      </c>
      <c r="C68" s="214">
        <f t="shared" si="50"/>
        <v>0.11</v>
      </c>
      <c r="D68" s="215">
        <v>0.28000000000000003</v>
      </c>
      <c r="E68" s="214">
        <f t="shared" si="51"/>
        <v>0.14080000000000001</v>
      </c>
      <c r="F68" s="142">
        <f t="shared" si="52"/>
        <v>47</v>
      </c>
      <c r="G68" s="216">
        <f t="shared" si="53"/>
        <v>103</v>
      </c>
      <c r="H68" s="141">
        <f t="shared" si="54"/>
        <v>1.31</v>
      </c>
      <c r="I68" s="142">
        <f t="shared" si="55"/>
        <v>28</v>
      </c>
      <c r="J68" s="141">
        <f t="shared" si="56"/>
        <v>2.99</v>
      </c>
      <c r="K68" s="142">
        <f t="shared" si="57"/>
        <v>19</v>
      </c>
      <c r="L68" s="142"/>
      <c r="M68" s="141">
        <f t="shared" si="58"/>
        <v>1.35</v>
      </c>
      <c r="N68" s="141"/>
      <c r="O68" s="217">
        <f t="shared" si="59"/>
        <v>5.65</v>
      </c>
      <c r="P68" s="141">
        <f t="shared" si="60"/>
        <v>9.620000000000001</v>
      </c>
      <c r="Q68" s="221"/>
      <c r="R68" s="147">
        <v>6.1</v>
      </c>
      <c r="S68" s="219">
        <f t="shared" si="61"/>
        <v>-0.44999999999999929</v>
      </c>
      <c r="T68" s="215">
        <f t="shared" si="62"/>
        <v>-7.3770491803278576E-2</v>
      </c>
      <c r="U68" s="133"/>
      <c r="V68" s="133"/>
      <c r="W68" s="133"/>
    </row>
    <row r="69" spans="1:23" ht="16.5" thickBot="1">
      <c r="A69" s="145">
        <v>215</v>
      </c>
      <c r="B69" s="145">
        <v>85</v>
      </c>
      <c r="C69" s="214">
        <f t="shared" si="50"/>
        <v>8.5000000000000006E-2</v>
      </c>
      <c r="D69" s="215">
        <v>1.1000000000000001</v>
      </c>
      <c r="E69" s="214">
        <f t="shared" si="51"/>
        <v>0.17850000000000002</v>
      </c>
      <c r="F69" s="142">
        <f t="shared" si="52"/>
        <v>60</v>
      </c>
      <c r="G69" s="216">
        <f t="shared" si="53"/>
        <v>130</v>
      </c>
      <c r="H69" s="141">
        <f t="shared" si="54"/>
        <v>1.67</v>
      </c>
      <c r="I69" s="142">
        <f t="shared" si="55"/>
        <v>36</v>
      </c>
      <c r="J69" s="141">
        <f t="shared" si="56"/>
        <v>3.84</v>
      </c>
      <c r="K69" s="142">
        <f t="shared" si="57"/>
        <v>24</v>
      </c>
      <c r="L69" s="142"/>
      <c r="M69" s="141">
        <f t="shared" si="58"/>
        <v>1.7</v>
      </c>
      <c r="N69" s="141"/>
      <c r="O69" s="217">
        <f t="shared" si="59"/>
        <v>7.21</v>
      </c>
      <c r="P69" s="141">
        <f t="shared" si="60"/>
        <v>12.18</v>
      </c>
      <c r="Q69" s="221"/>
      <c r="R69" s="147">
        <v>7.82</v>
      </c>
      <c r="S69" s="219">
        <f t="shared" si="61"/>
        <v>-0.61000000000000032</v>
      </c>
      <c r="T69" s="215">
        <f t="shared" si="62"/>
        <v>-7.8005115089514104E-2</v>
      </c>
      <c r="U69" s="133"/>
      <c r="V69" s="133"/>
      <c r="W69" s="133"/>
    </row>
    <row r="70" spans="1:23" ht="16.5" thickBot="1">
      <c r="A70" s="145">
        <v>216</v>
      </c>
      <c r="B70" s="145">
        <f>60*4</f>
        <v>240</v>
      </c>
      <c r="C70" s="214">
        <f t="shared" si="50"/>
        <v>0.24</v>
      </c>
      <c r="D70" s="215">
        <v>1.08</v>
      </c>
      <c r="E70" s="214">
        <f t="shared" si="51"/>
        <v>0.49919999999999998</v>
      </c>
      <c r="F70" s="142">
        <f t="shared" si="52"/>
        <v>166</v>
      </c>
      <c r="G70" s="216">
        <f t="shared" si="53"/>
        <v>364</v>
      </c>
      <c r="H70" s="141">
        <f t="shared" si="54"/>
        <v>4.66</v>
      </c>
      <c r="I70" s="142">
        <f t="shared" si="55"/>
        <v>100</v>
      </c>
      <c r="J70" s="141">
        <f t="shared" si="56"/>
        <v>10.68</v>
      </c>
      <c r="K70" s="142">
        <f t="shared" si="57"/>
        <v>66</v>
      </c>
      <c r="L70" s="142"/>
      <c r="M70" s="141">
        <f t="shared" si="58"/>
        <v>4.68</v>
      </c>
      <c r="N70" s="141"/>
      <c r="O70" s="217">
        <f t="shared" si="59"/>
        <v>20.02</v>
      </c>
      <c r="P70" s="141">
        <f t="shared" si="60"/>
        <v>34.06</v>
      </c>
      <c r="Q70" s="221"/>
      <c r="R70" s="147">
        <v>21.59</v>
      </c>
      <c r="S70" s="219">
        <f t="shared" si="61"/>
        <v>-1.5700000000000003</v>
      </c>
      <c r="T70" s="215">
        <f t="shared" si="62"/>
        <v>-7.2718851320055594E-2</v>
      </c>
      <c r="U70" s="133"/>
      <c r="V70" s="133"/>
      <c r="W70" s="133"/>
    </row>
    <row r="71" spans="1:23" ht="16.5" thickBot="1">
      <c r="A71" s="145">
        <v>217</v>
      </c>
      <c r="B71" s="145">
        <v>60</v>
      </c>
      <c r="C71" s="214">
        <f t="shared" si="50"/>
        <v>0.06</v>
      </c>
      <c r="D71" s="215">
        <v>1.45</v>
      </c>
      <c r="E71" s="214">
        <f t="shared" si="51"/>
        <v>0.14699999999999999</v>
      </c>
      <c r="F71" s="142">
        <f t="shared" si="52"/>
        <v>49</v>
      </c>
      <c r="G71" s="216">
        <f t="shared" si="53"/>
        <v>107</v>
      </c>
      <c r="H71" s="141">
        <f t="shared" si="54"/>
        <v>1.37</v>
      </c>
      <c r="I71" s="142">
        <f t="shared" si="55"/>
        <v>29</v>
      </c>
      <c r="J71" s="141">
        <f t="shared" si="56"/>
        <v>3.1</v>
      </c>
      <c r="K71" s="142">
        <f t="shared" si="57"/>
        <v>20</v>
      </c>
      <c r="L71" s="142"/>
      <c r="M71" s="141">
        <f t="shared" si="58"/>
        <v>1.42</v>
      </c>
      <c r="N71" s="141"/>
      <c r="O71" s="217">
        <f t="shared" si="59"/>
        <v>5.8900000000000006</v>
      </c>
      <c r="P71" s="141">
        <f t="shared" si="60"/>
        <v>10</v>
      </c>
      <c r="Q71" s="221"/>
      <c r="R71" s="147">
        <v>6.37</v>
      </c>
      <c r="S71" s="219">
        <f t="shared" si="61"/>
        <v>-0.47999999999999954</v>
      </c>
      <c r="T71" s="215">
        <f t="shared" si="62"/>
        <v>-7.5353218210360992E-2</v>
      </c>
      <c r="U71" s="133"/>
      <c r="V71" s="133"/>
      <c r="W71" s="133"/>
    </row>
    <row r="72" spans="1:23" ht="16.5" thickBot="1">
      <c r="A72" s="145">
        <v>218</v>
      </c>
      <c r="B72" s="145">
        <f>60*2</f>
        <v>120</v>
      </c>
      <c r="C72" s="214">
        <f t="shared" si="50"/>
        <v>0.12</v>
      </c>
      <c r="D72" s="215">
        <v>1.1299999999999999</v>
      </c>
      <c r="E72" s="214">
        <f t="shared" si="51"/>
        <v>0.25559999999999994</v>
      </c>
      <c r="F72" s="142">
        <f t="shared" si="52"/>
        <v>85</v>
      </c>
      <c r="G72" s="216">
        <f t="shared" si="53"/>
        <v>187</v>
      </c>
      <c r="H72" s="141">
        <f t="shared" si="54"/>
        <v>2.39</v>
      </c>
      <c r="I72" s="142">
        <f t="shared" si="55"/>
        <v>51</v>
      </c>
      <c r="J72" s="141">
        <f t="shared" si="56"/>
        <v>5.45</v>
      </c>
      <c r="K72" s="142">
        <f t="shared" si="57"/>
        <v>34</v>
      </c>
      <c r="L72" s="142"/>
      <c r="M72" s="141">
        <f t="shared" si="58"/>
        <v>2.41</v>
      </c>
      <c r="N72" s="141"/>
      <c r="O72" s="217">
        <f t="shared" si="59"/>
        <v>10.25</v>
      </c>
      <c r="P72" s="141">
        <f t="shared" si="60"/>
        <v>17.48</v>
      </c>
      <c r="Q72" s="221"/>
      <c r="R72" s="147">
        <v>11.04</v>
      </c>
      <c r="S72" s="219">
        <f t="shared" si="61"/>
        <v>-0.78999999999999915</v>
      </c>
      <c r="T72" s="215">
        <f t="shared" si="62"/>
        <v>-7.1557971014492683E-2</v>
      </c>
      <c r="U72" s="133"/>
      <c r="V72" s="133"/>
      <c r="W72" s="133"/>
    </row>
    <row r="73" spans="1:23" ht="15.75" thickBot="1">
      <c r="A73" s="145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</row>
    <row r="74" spans="1:23" ht="16.5" thickBot="1">
      <c r="A74" s="145">
        <v>221</v>
      </c>
      <c r="B74" s="145">
        <v>250</v>
      </c>
      <c r="C74" s="214">
        <f>B74/1000</f>
        <v>0.25</v>
      </c>
      <c r="D74" s="215">
        <v>0.2</v>
      </c>
      <c r="E74" s="214">
        <f>(+C74*D74)+C74</f>
        <v>0.3</v>
      </c>
      <c r="F74" s="142">
        <f>ROUND((+$E74*4000)/12,0)</f>
        <v>100</v>
      </c>
      <c r="G74" s="216">
        <f>ROUND((+$E74*8760)/12,0)</f>
        <v>219</v>
      </c>
      <c r="H74" s="141">
        <f>ROUND(+E74*D$7,2)</f>
        <v>2.8</v>
      </c>
      <c r="I74" s="142">
        <f>ROUND(IF((E74*200)&gt;F74,F74,(E74*200)),0)</f>
        <v>60</v>
      </c>
      <c r="J74" s="141">
        <f>ROUND(+I74*D$8,2)</f>
        <v>6.41</v>
      </c>
      <c r="K74" s="142">
        <f>F74-I74</f>
        <v>40</v>
      </c>
      <c r="L74" s="142"/>
      <c r="M74" s="141">
        <f>ROUND(+K74*D$9,2)</f>
        <v>2.84</v>
      </c>
      <c r="N74" s="141"/>
      <c r="O74" s="217">
        <f>H74+J74+M74</f>
        <v>12.05</v>
      </c>
      <c r="P74" s="141">
        <f>H74+J74+ROUND((G74-I74)*D$9,2)</f>
        <v>20.48</v>
      </c>
      <c r="Q74" s="133"/>
      <c r="R74" s="147">
        <v>13.01</v>
      </c>
      <c r="S74" s="219">
        <f>+O74-R74</f>
        <v>-0.95999999999999908</v>
      </c>
      <c r="T74" s="215">
        <f>+S74/R74</f>
        <v>-7.3789392774788548E-2</v>
      </c>
      <c r="U74" s="133"/>
      <c r="V74" s="133"/>
      <c r="W74" s="133"/>
    </row>
    <row r="75" spans="1:23" ht="16.5" thickBot="1">
      <c r="A75" s="145">
        <v>222</v>
      </c>
      <c r="B75" s="145">
        <v>70</v>
      </c>
      <c r="C75" s="214">
        <f>B75/1000</f>
        <v>7.0000000000000007E-2</v>
      </c>
      <c r="D75" s="215">
        <v>0.37</v>
      </c>
      <c r="E75" s="214">
        <f>(+C75*D75)+C75</f>
        <v>9.5900000000000013E-2</v>
      </c>
      <c r="F75" s="142">
        <f>ROUND((+$E75*4000)/12,0)</f>
        <v>32</v>
      </c>
      <c r="G75" s="216">
        <f>ROUND((+$E75*8760)/12,0)</f>
        <v>70</v>
      </c>
      <c r="H75" s="141">
        <f>ROUND(+E75*D$7,2)</f>
        <v>0.9</v>
      </c>
      <c r="I75" s="142">
        <f>ROUND(IF((E75*200)&gt;F75,F75,(E75*200)),0)</f>
        <v>19</v>
      </c>
      <c r="J75" s="141">
        <f>ROUND(+I75*D$8,2)</f>
        <v>2.0299999999999998</v>
      </c>
      <c r="K75" s="142">
        <f>F75-I75</f>
        <v>13</v>
      </c>
      <c r="L75" s="142"/>
      <c r="M75" s="141">
        <f>ROUND(+K75*D$9,2)</f>
        <v>0.92</v>
      </c>
      <c r="N75" s="141"/>
      <c r="O75" s="217">
        <f>H75+J75+M75</f>
        <v>3.8499999999999996</v>
      </c>
      <c r="P75" s="141">
        <f>H75+J75+ROUND((G75-I75)*D$9,2)</f>
        <v>6.55</v>
      </c>
      <c r="Q75" s="133"/>
      <c r="R75" s="147">
        <v>4.16</v>
      </c>
      <c r="S75" s="219">
        <f>+O75-R75</f>
        <v>-0.3100000000000005</v>
      </c>
      <c r="T75" s="215">
        <f>+S75/R75</f>
        <v>-7.4519230769230893E-2</v>
      </c>
      <c r="U75" s="133"/>
      <c r="V75" s="133"/>
      <c r="W75" s="133"/>
    </row>
    <row r="76" spans="1:23" ht="16.5" thickBot="1">
      <c r="A76" s="145">
        <v>223</v>
      </c>
      <c r="B76" s="145">
        <v>100</v>
      </c>
      <c r="C76" s="214">
        <f>B76/1000</f>
        <v>0.1</v>
      </c>
      <c r="D76" s="215">
        <v>0.35</v>
      </c>
      <c r="E76" s="214">
        <f>(+C76*D76)+C76</f>
        <v>0.13500000000000001</v>
      </c>
      <c r="F76" s="142">
        <f>ROUND((+$E76*4000)/12,0)</f>
        <v>45</v>
      </c>
      <c r="G76" s="216">
        <f>ROUND((+$E76*8760)/12,0)</f>
        <v>99</v>
      </c>
      <c r="H76" s="141">
        <f>ROUND(+E76*D$7,2)</f>
        <v>1.26</v>
      </c>
      <c r="I76" s="142">
        <f>ROUND(IF((E76*200)&gt;F76,F76,(E76*200)),0)</f>
        <v>27</v>
      </c>
      <c r="J76" s="141">
        <f>ROUND(+I76*D$8,2)</f>
        <v>2.88</v>
      </c>
      <c r="K76" s="142">
        <f>F76-I76</f>
        <v>18</v>
      </c>
      <c r="L76" s="142"/>
      <c r="M76" s="141">
        <f>ROUND(+K76*D$9,2)</f>
        <v>1.28</v>
      </c>
      <c r="N76" s="141"/>
      <c r="O76" s="217">
        <f>H76+J76+M76</f>
        <v>5.42</v>
      </c>
      <c r="P76" s="141">
        <f>H76+J76+ROUND((G76-I76)*D$9,2)</f>
        <v>9.25</v>
      </c>
      <c r="Q76" s="133"/>
      <c r="R76" s="147">
        <v>5.84</v>
      </c>
      <c r="S76" s="219">
        <f>+O76-R76</f>
        <v>-0.41999999999999993</v>
      </c>
      <c r="T76" s="215">
        <f>+S76/R76</f>
        <v>-7.1917808219178078E-2</v>
      </c>
      <c r="U76" s="133"/>
      <c r="V76" s="133"/>
      <c r="W76" s="133"/>
    </row>
    <row r="77" spans="1:23" ht="16.5" thickBot="1">
      <c r="A77" s="145">
        <v>224</v>
      </c>
      <c r="B77" s="145">
        <v>150</v>
      </c>
      <c r="C77" s="214">
        <f>B77/1000</f>
        <v>0.15</v>
      </c>
      <c r="D77" s="215">
        <v>0.3</v>
      </c>
      <c r="E77" s="214">
        <f>(+C77*D77)+C77</f>
        <v>0.19500000000000001</v>
      </c>
      <c r="F77" s="142">
        <f>ROUND((+$E77*4000)/12,0)</f>
        <v>65</v>
      </c>
      <c r="G77" s="216">
        <f>ROUND((+$E77*8760)/12,0)</f>
        <v>142</v>
      </c>
      <c r="H77" s="141">
        <f>ROUND(+E77*D$7,2)</f>
        <v>1.82</v>
      </c>
      <c r="I77" s="142">
        <f>ROUND(IF((E77*200)&gt;F77,F77,(E77*200)),0)</f>
        <v>39</v>
      </c>
      <c r="J77" s="141">
        <f>ROUND(+I77*D$8,2)</f>
        <v>4.17</v>
      </c>
      <c r="K77" s="142">
        <f>F77-I77</f>
        <v>26</v>
      </c>
      <c r="L77" s="142"/>
      <c r="M77" s="141">
        <f>ROUND(+K77*D$9,2)</f>
        <v>1.84</v>
      </c>
      <c r="N77" s="141"/>
      <c r="O77" s="217">
        <f>H77+J77+M77</f>
        <v>7.83</v>
      </c>
      <c r="P77" s="141">
        <f>H77+J77+ROUND((G77-I77)*D$9,2)</f>
        <v>13.29</v>
      </c>
      <c r="Q77" s="133"/>
      <c r="R77" s="147">
        <v>8.44</v>
      </c>
      <c r="S77" s="219">
        <f>+O77-R77</f>
        <v>-0.60999999999999943</v>
      </c>
      <c r="T77" s="215">
        <f>+S77/R77</f>
        <v>-7.2274881516587619E-2</v>
      </c>
      <c r="U77" s="133"/>
      <c r="V77" s="133"/>
      <c r="W77" s="133"/>
    </row>
    <row r="78" spans="1:23" ht="15.75" thickBot="1">
      <c r="A78" s="145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</row>
    <row r="79" spans="1:23" ht="16.5" thickBot="1">
      <c r="A79" s="145">
        <v>231</v>
      </c>
      <c r="B79" s="145">
        <v>180</v>
      </c>
      <c r="C79" s="214">
        <f>B79/1000</f>
        <v>0.18</v>
      </c>
      <c r="D79" s="215">
        <v>0.33329999999999999</v>
      </c>
      <c r="E79" s="214">
        <f>(+C79*D79)+C79</f>
        <v>0.23999399999999999</v>
      </c>
      <c r="F79" s="142">
        <f>ROUND((+$E79*4000)/12,0)</f>
        <v>80</v>
      </c>
      <c r="G79" s="216">
        <f>ROUND((+$E79*8760)/12,0)</f>
        <v>175</v>
      </c>
      <c r="H79" s="141">
        <f>ROUND(+E79*D$7,2)</f>
        <v>2.2400000000000002</v>
      </c>
      <c r="I79" s="142">
        <f>ROUND(IF((E79*200)&gt;F79,F79,(E79*200)),0)</f>
        <v>48</v>
      </c>
      <c r="J79" s="141">
        <f>ROUND(+I79*D$8,2)</f>
        <v>5.13</v>
      </c>
      <c r="K79" s="142">
        <f>F79-I79</f>
        <v>32</v>
      </c>
      <c r="L79" s="142"/>
      <c r="M79" s="141">
        <f>ROUND(+K79*D$9,2)</f>
        <v>2.27</v>
      </c>
      <c r="N79" s="141"/>
      <c r="O79" s="217">
        <f>H79+J79+M79</f>
        <v>9.64</v>
      </c>
      <c r="P79" s="141">
        <f>H79+J79+ROUND((G79-I79)*D$9,2)</f>
        <v>16.37</v>
      </c>
      <c r="Q79" s="133"/>
      <c r="R79" s="147">
        <v>10.39</v>
      </c>
      <c r="S79" s="219">
        <f>+O79-R79</f>
        <v>-0.75</v>
      </c>
      <c r="T79" s="215">
        <f>+S79/R79</f>
        <v>-7.2184793070259864E-2</v>
      </c>
      <c r="U79" s="133"/>
      <c r="V79" s="133"/>
      <c r="W79" s="133"/>
    </row>
    <row r="80" spans="1:23" ht="15.75" thickBot="1">
      <c r="A80" s="145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</row>
    <row r="81" spans="1:23" ht="16.5" thickBot="1">
      <c r="A81" s="145">
        <v>300</v>
      </c>
      <c r="B81" s="145">
        <v>100</v>
      </c>
      <c r="C81" s="214">
        <f t="shared" ref="C81:C87" si="63">B81/1000</f>
        <v>0.1</v>
      </c>
      <c r="D81" s="215">
        <v>7.0000000000000007E-2</v>
      </c>
      <c r="E81" s="214">
        <f t="shared" ref="E81:E87" si="64">(+C81*D81)+C81</f>
        <v>0.10700000000000001</v>
      </c>
      <c r="F81" s="142">
        <f t="shared" ref="F81:F87" si="65">ROUND((+$E81*4000)/12,0)</f>
        <v>36</v>
      </c>
      <c r="G81" s="230">
        <f t="shared" ref="G81:G87" si="66">ROUND((+$E81*8760)/12,0)</f>
        <v>78</v>
      </c>
      <c r="H81" s="141">
        <f t="shared" ref="H81:H87" si="67">ROUND(+E81*D$7,2)</f>
        <v>1</v>
      </c>
      <c r="I81" s="142">
        <f t="shared" ref="I81:I87" si="68">ROUND(IF((E81*200)&gt;F81,F81,(E81*200)),0)</f>
        <v>21</v>
      </c>
      <c r="J81" s="141">
        <f t="shared" ref="J81:J87" si="69">ROUND(+I81*D$8,2)</f>
        <v>2.2400000000000002</v>
      </c>
      <c r="K81" s="142">
        <f t="shared" ref="K81:K87" si="70">F81-I81</f>
        <v>15</v>
      </c>
      <c r="L81" s="142"/>
      <c r="M81" s="141">
        <f t="shared" ref="M81:M87" si="71">ROUND(+K81*D$9,2)</f>
        <v>1.06</v>
      </c>
      <c r="N81" s="141"/>
      <c r="O81" s="141">
        <f t="shared" ref="O81:O87" si="72">H81+J81+M81</f>
        <v>4.3000000000000007</v>
      </c>
      <c r="P81" s="217">
        <f t="shared" ref="P81:P87" si="73">H81+J81+ROUND((G81-I81)*D$9,2)</f>
        <v>7.28</v>
      </c>
      <c r="Q81" s="133"/>
      <c r="R81" s="133"/>
      <c r="S81" s="133"/>
      <c r="T81" s="133"/>
      <c r="U81" s="133"/>
      <c r="V81" s="133"/>
      <c r="W81" s="133"/>
    </row>
    <row r="82" spans="1:23" ht="16.5" thickBot="1">
      <c r="A82" s="145">
        <v>301</v>
      </c>
      <c r="B82" s="145">
        <v>125</v>
      </c>
      <c r="C82" s="214">
        <f t="shared" si="63"/>
        <v>0.125</v>
      </c>
      <c r="D82" s="215">
        <v>0.248</v>
      </c>
      <c r="E82" s="214">
        <f t="shared" si="64"/>
        <v>0.156</v>
      </c>
      <c r="F82" s="231">
        <f t="shared" si="65"/>
        <v>52</v>
      </c>
      <c r="G82" s="216">
        <f t="shared" si="66"/>
        <v>114</v>
      </c>
      <c r="H82" s="141">
        <f t="shared" si="67"/>
        <v>1.46</v>
      </c>
      <c r="I82" s="142">
        <f t="shared" si="68"/>
        <v>31</v>
      </c>
      <c r="J82" s="141">
        <f t="shared" si="69"/>
        <v>3.31</v>
      </c>
      <c r="K82" s="142">
        <f t="shared" si="70"/>
        <v>21</v>
      </c>
      <c r="L82" s="142"/>
      <c r="M82" s="141">
        <f t="shared" si="71"/>
        <v>1.49</v>
      </c>
      <c r="N82" s="141"/>
      <c r="O82" s="217">
        <f t="shared" si="72"/>
        <v>6.26</v>
      </c>
      <c r="P82" s="141">
        <f t="shared" si="73"/>
        <v>10.66</v>
      </c>
      <c r="Q82" s="221" t="s">
        <v>153</v>
      </c>
      <c r="R82" s="133"/>
      <c r="S82" s="133"/>
      <c r="T82" s="133"/>
      <c r="U82" s="133"/>
      <c r="V82" s="133"/>
      <c r="W82" s="133"/>
    </row>
    <row r="83" spans="1:23" ht="16.5" thickBot="1">
      <c r="A83" s="145">
        <v>302</v>
      </c>
      <c r="B83" s="145">
        <v>175</v>
      </c>
      <c r="C83" s="214">
        <f t="shared" si="63"/>
        <v>0.17499999999999999</v>
      </c>
      <c r="D83" s="215">
        <v>0.18290000000000001</v>
      </c>
      <c r="E83" s="214">
        <f t="shared" si="64"/>
        <v>0.20700749999999998</v>
      </c>
      <c r="F83" s="231">
        <f t="shared" si="65"/>
        <v>69</v>
      </c>
      <c r="G83" s="216">
        <f t="shared" si="66"/>
        <v>151</v>
      </c>
      <c r="H83" s="141">
        <f t="shared" si="67"/>
        <v>1.93</v>
      </c>
      <c r="I83" s="142">
        <f t="shared" si="68"/>
        <v>41</v>
      </c>
      <c r="J83" s="141">
        <f t="shared" si="69"/>
        <v>4.38</v>
      </c>
      <c r="K83" s="142">
        <f t="shared" si="70"/>
        <v>28</v>
      </c>
      <c r="L83" s="142"/>
      <c r="M83" s="141">
        <f t="shared" si="71"/>
        <v>1.99</v>
      </c>
      <c r="N83" s="141"/>
      <c r="O83" s="217">
        <f t="shared" si="72"/>
        <v>8.2999999999999989</v>
      </c>
      <c r="P83" s="141">
        <f t="shared" si="73"/>
        <v>14.11</v>
      </c>
      <c r="Q83" s="221" t="s">
        <v>154</v>
      </c>
      <c r="R83" s="133"/>
      <c r="S83" s="133"/>
      <c r="T83" s="133"/>
      <c r="U83" s="133"/>
      <c r="V83" s="133"/>
      <c r="W83" s="133"/>
    </row>
    <row r="84" spans="1:23" ht="16.5" thickBot="1">
      <c r="A84" s="145">
        <v>303</v>
      </c>
      <c r="B84" s="145">
        <v>250</v>
      </c>
      <c r="C84" s="214">
        <f t="shared" si="63"/>
        <v>0.25</v>
      </c>
      <c r="D84" s="215">
        <v>0.16400000000000001</v>
      </c>
      <c r="E84" s="214">
        <f t="shared" si="64"/>
        <v>0.29099999999999998</v>
      </c>
      <c r="F84" s="231">
        <f t="shared" si="65"/>
        <v>97</v>
      </c>
      <c r="G84" s="216">
        <f t="shared" si="66"/>
        <v>212</v>
      </c>
      <c r="H84" s="141">
        <f t="shared" si="67"/>
        <v>2.72</v>
      </c>
      <c r="I84" s="142">
        <f t="shared" si="68"/>
        <v>58</v>
      </c>
      <c r="J84" s="141">
        <f t="shared" si="69"/>
        <v>6.19</v>
      </c>
      <c r="K84" s="142">
        <f t="shared" si="70"/>
        <v>39</v>
      </c>
      <c r="L84" s="142"/>
      <c r="M84" s="141">
        <f t="shared" si="71"/>
        <v>2.77</v>
      </c>
      <c r="N84" s="141"/>
      <c r="O84" s="217">
        <f t="shared" si="72"/>
        <v>11.68</v>
      </c>
      <c r="P84" s="141">
        <f t="shared" si="73"/>
        <v>19.829999999999998</v>
      </c>
      <c r="Q84" s="221" t="s">
        <v>155</v>
      </c>
      <c r="R84" s="133"/>
      <c r="S84" s="133"/>
      <c r="T84" s="133"/>
      <c r="U84" s="133"/>
      <c r="V84" s="133"/>
      <c r="W84" s="133"/>
    </row>
    <row r="85" spans="1:23" ht="16.5" thickBot="1">
      <c r="A85" s="145">
        <v>304</v>
      </c>
      <c r="B85" s="145">
        <v>400</v>
      </c>
      <c r="C85" s="214">
        <f t="shared" si="63"/>
        <v>0.4</v>
      </c>
      <c r="D85" s="215">
        <v>0.155</v>
      </c>
      <c r="E85" s="214">
        <f t="shared" si="64"/>
        <v>0.46200000000000002</v>
      </c>
      <c r="F85" s="231">
        <f t="shared" si="65"/>
        <v>154</v>
      </c>
      <c r="G85" s="216">
        <f t="shared" si="66"/>
        <v>337</v>
      </c>
      <c r="H85" s="141">
        <f t="shared" si="67"/>
        <v>4.3099999999999996</v>
      </c>
      <c r="I85" s="142">
        <f t="shared" si="68"/>
        <v>92</v>
      </c>
      <c r="J85" s="141">
        <f t="shared" si="69"/>
        <v>9.83</v>
      </c>
      <c r="K85" s="142">
        <f t="shared" si="70"/>
        <v>62</v>
      </c>
      <c r="L85" s="142"/>
      <c r="M85" s="141">
        <f t="shared" si="71"/>
        <v>4.4000000000000004</v>
      </c>
      <c r="N85" s="141"/>
      <c r="O85" s="217">
        <f t="shared" si="72"/>
        <v>18.54</v>
      </c>
      <c r="P85" s="141">
        <f t="shared" si="73"/>
        <v>31.51</v>
      </c>
      <c r="Q85" s="221"/>
      <c r="R85" s="133"/>
      <c r="S85" s="133"/>
      <c r="T85" s="133"/>
      <c r="U85" s="133"/>
      <c r="V85" s="133"/>
      <c r="W85" s="133"/>
    </row>
    <row r="86" spans="1:23" ht="16.5" thickBot="1">
      <c r="A86" s="145">
        <v>305</v>
      </c>
      <c r="B86" s="145">
        <v>700</v>
      </c>
      <c r="C86" s="214">
        <f t="shared" si="63"/>
        <v>0.7</v>
      </c>
      <c r="D86" s="215">
        <v>0.114</v>
      </c>
      <c r="E86" s="214">
        <f t="shared" si="64"/>
        <v>0.77979999999999994</v>
      </c>
      <c r="F86" s="231">
        <f t="shared" si="65"/>
        <v>260</v>
      </c>
      <c r="G86" s="216">
        <f t="shared" si="66"/>
        <v>569</v>
      </c>
      <c r="H86" s="141">
        <f t="shared" si="67"/>
        <v>7.28</v>
      </c>
      <c r="I86" s="142">
        <f t="shared" si="68"/>
        <v>156</v>
      </c>
      <c r="J86" s="141">
        <f t="shared" si="69"/>
        <v>16.66</v>
      </c>
      <c r="K86" s="142">
        <f t="shared" si="70"/>
        <v>104</v>
      </c>
      <c r="L86" s="142"/>
      <c r="M86" s="141">
        <f t="shared" si="71"/>
        <v>7.37</v>
      </c>
      <c r="N86" s="141"/>
      <c r="O86" s="217">
        <f t="shared" si="72"/>
        <v>31.310000000000002</v>
      </c>
      <c r="P86" s="141">
        <f t="shared" si="73"/>
        <v>53.22</v>
      </c>
      <c r="Q86" s="221"/>
      <c r="R86" s="133"/>
      <c r="S86" s="133"/>
      <c r="T86" s="133"/>
      <c r="U86" s="133"/>
      <c r="V86" s="133"/>
      <c r="W86" s="133"/>
    </row>
    <row r="87" spans="1:23" ht="16.5" thickBot="1">
      <c r="A87" s="145">
        <v>306</v>
      </c>
      <c r="B87" s="145">
        <v>1000</v>
      </c>
      <c r="C87" s="214">
        <f t="shared" si="63"/>
        <v>1</v>
      </c>
      <c r="D87" s="215">
        <v>8.8999999999999996E-2</v>
      </c>
      <c r="E87" s="214">
        <f t="shared" si="64"/>
        <v>1.089</v>
      </c>
      <c r="F87" s="231">
        <f t="shared" si="65"/>
        <v>363</v>
      </c>
      <c r="G87" s="216">
        <f t="shared" si="66"/>
        <v>795</v>
      </c>
      <c r="H87" s="141">
        <f t="shared" si="67"/>
        <v>10.17</v>
      </c>
      <c r="I87" s="142">
        <f t="shared" si="68"/>
        <v>218</v>
      </c>
      <c r="J87" s="141">
        <f t="shared" si="69"/>
        <v>23.28</v>
      </c>
      <c r="K87" s="142">
        <f t="shared" si="70"/>
        <v>145</v>
      </c>
      <c r="L87" s="142"/>
      <c r="M87" s="141">
        <f t="shared" si="71"/>
        <v>10.28</v>
      </c>
      <c r="N87" s="141"/>
      <c r="O87" s="217">
        <f t="shared" si="72"/>
        <v>43.730000000000004</v>
      </c>
      <c r="P87" s="141">
        <f t="shared" si="73"/>
        <v>74.36</v>
      </c>
      <c r="Q87" s="221"/>
      <c r="R87" s="133"/>
      <c r="S87" s="133"/>
      <c r="T87" s="133"/>
      <c r="U87" s="133"/>
      <c r="V87" s="133"/>
      <c r="W87" s="133"/>
    </row>
    <row r="88" spans="1:23" ht="15.75" thickBot="1">
      <c r="A88" s="145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</row>
    <row r="89" spans="1:23" ht="16.5" thickBot="1">
      <c r="A89" s="145">
        <v>310</v>
      </c>
      <c r="B89" s="145">
        <f>30*2</f>
        <v>60</v>
      </c>
      <c r="C89" s="214">
        <f t="shared" ref="C89:C94" si="74">B89/1000</f>
        <v>0.06</v>
      </c>
      <c r="D89" s="215">
        <v>0.5</v>
      </c>
      <c r="E89" s="214">
        <f t="shared" ref="E89:E94" si="75">(+C89*D89)+C89</f>
        <v>0.09</v>
      </c>
      <c r="F89" s="232">
        <f t="shared" ref="F89:F94" si="76">ROUND((+$E89*4000)/12,0)</f>
        <v>30</v>
      </c>
      <c r="G89" s="233">
        <f t="shared" ref="G89:G94" si="77">ROUND((+$E89*8760)/12,0)</f>
        <v>66</v>
      </c>
      <c r="H89" s="141">
        <f t="shared" ref="H89:H94" si="78">ROUND(+E89*D$7,2)</f>
        <v>0.84</v>
      </c>
      <c r="I89" s="142">
        <f t="shared" ref="I89:I94" si="79">ROUND(IF((E89*200)&gt;F89,F89,(E89*200)),0)</f>
        <v>18</v>
      </c>
      <c r="J89" s="141">
        <f t="shared" ref="J89:J94" si="80">ROUND(+I89*D$8,2)</f>
        <v>1.92</v>
      </c>
      <c r="K89" s="142">
        <f t="shared" ref="K89:K94" si="81">F89-I89</f>
        <v>12</v>
      </c>
      <c r="L89" s="142"/>
      <c r="M89" s="141">
        <f t="shared" ref="M89:M94" si="82">ROUND(+K89*D$9,2)</f>
        <v>0.85</v>
      </c>
      <c r="N89" s="141"/>
      <c r="O89" s="217">
        <f t="shared" ref="O89:O94" si="83">H89+J89+M89</f>
        <v>3.61</v>
      </c>
      <c r="P89" s="141">
        <f t="shared" ref="P89:P94" si="84">H89+J89+ROUND((G89-I89)*D$9,2)</f>
        <v>6.16</v>
      </c>
      <c r="Q89" s="221" t="s">
        <v>156</v>
      </c>
      <c r="R89" s="133"/>
      <c r="S89" s="133"/>
      <c r="T89" s="133"/>
      <c r="U89" s="133"/>
      <c r="V89" s="133"/>
      <c r="W89" s="133"/>
    </row>
    <row r="90" spans="1:23" ht="16.5" thickBot="1">
      <c r="A90" s="145">
        <v>311</v>
      </c>
      <c r="B90" s="145">
        <f>60*4</f>
        <v>240</v>
      </c>
      <c r="C90" s="214">
        <f t="shared" si="74"/>
        <v>0.24</v>
      </c>
      <c r="D90" s="215">
        <v>1.08</v>
      </c>
      <c r="E90" s="214">
        <f t="shared" si="75"/>
        <v>0.49919999999999998</v>
      </c>
      <c r="F90" s="232">
        <f t="shared" si="76"/>
        <v>166</v>
      </c>
      <c r="G90" s="233">
        <f t="shared" si="77"/>
        <v>364</v>
      </c>
      <c r="H90" s="141">
        <f t="shared" si="78"/>
        <v>4.66</v>
      </c>
      <c r="I90" s="142">
        <f t="shared" si="79"/>
        <v>100</v>
      </c>
      <c r="J90" s="141">
        <f t="shared" si="80"/>
        <v>10.68</v>
      </c>
      <c r="K90" s="142">
        <f t="shared" si="81"/>
        <v>66</v>
      </c>
      <c r="L90" s="142"/>
      <c r="M90" s="141">
        <f t="shared" si="82"/>
        <v>4.68</v>
      </c>
      <c r="N90" s="141"/>
      <c r="O90" s="217">
        <f t="shared" si="83"/>
        <v>20.02</v>
      </c>
      <c r="P90" s="141">
        <f t="shared" si="84"/>
        <v>34.06</v>
      </c>
      <c r="Q90" s="221" t="s">
        <v>157</v>
      </c>
      <c r="R90" s="133"/>
      <c r="S90" s="133"/>
      <c r="T90" s="133"/>
      <c r="U90" s="133"/>
      <c r="V90" s="133"/>
      <c r="W90" s="133"/>
    </row>
    <row r="91" spans="1:23" ht="16.5" thickBot="1">
      <c r="A91" s="145">
        <v>312</v>
      </c>
      <c r="B91" s="145">
        <f>85*2</f>
        <v>170</v>
      </c>
      <c r="C91" s="214">
        <f t="shared" si="74"/>
        <v>0.17</v>
      </c>
      <c r="D91" s="215">
        <v>1.05</v>
      </c>
      <c r="E91" s="214">
        <f t="shared" si="75"/>
        <v>0.34850000000000003</v>
      </c>
      <c r="F91" s="232">
        <f t="shared" si="76"/>
        <v>116</v>
      </c>
      <c r="G91" s="233">
        <f t="shared" si="77"/>
        <v>254</v>
      </c>
      <c r="H91" s="141">
        <f t="shared" si="78"/>
        <v>3.25</v>
      </c>
      <c r="I91" s="142">
        <f t="shared" si="79"/>
        <v>70</v>
      </c>
      <c r="J91" s="141">
        <f t="shared" si="80"/>
        <v>7.48</v>
      </c>
      <c r="K91" s="142">
        <f t="shared" si="81"/>
        <v>46</v>
      </c>
      <c r="L91" s="142"/>
      <c r="M91" s="141">
        <f t="shared" si="82"/>
        <v>3.26</v>
      </c>
      <c r="N91" s="141"/>
      <c r="O91" s="217">
        <f t="shared" si="83"/>
        <v>13.99</v>
      </c>
      <c r="P91" s="141">
        <f t="shared" si="84"/>
        <v>23.78</v>
      </c>
      <c r="Q91" s="221" t="s">
        <v>158</v>
      </c>
      <c r="R91" s="133"/>
      <c r="S91" s="133"/>
      <c r="T91" s="133"/>
      <c r="U91" s="133"/>
      <c r="V91" s="133"/>
      <c r="W91" s="133"/>
    </row>
    <row r="92" spans="1:23" ht="16.5" thickBot="1">
      <c r="A92" s="145">
        <v>313</v>
      </c>
      <c r="B92" s="145">
        <f>85*4</f>
        <v>340</v>
      </c>
      <c r="C92" s="214">
        <f t="shared" si="74"/>
        <v>0.34</v>
      </c>
      <c r="D92" s="215">
        <v>0.96</v>
      </c>
      <c r="E92" s="214">
        <f t="shared" si="75"/>
        <v>0.6664000000000001</v>
      </c>
      <c r="F92" s="232">
        <f t="shared" si="76"/>
        <v>222</v>
      </c>
      <c r="G92" s="233">
        <f t="shared" si="77"/>
        <v>486</v>
      </c>
      <c r="H92" s="141">
        <f t="shared" si="78"/>
        <v>6.22</v>
      </c>
      <c r="I92" s="142">
        <f t="shared" si="79"/>
        <v>133</v>
      </c>
      <c r="J92" s="141">
        <f t="shared" si="80"/>
        <v>14.2</v>
      </c>
      <c r="K92" s="142">
        <f t="shared" si="81"/>
        <v>89</v>
      </c>
      <c r="L92" s="142"/>
      <c r="M92" s="141">
        <f t="shared" si="82"/>
        <v>6.31</v>
      </c>
      <c r="N92" s="141"/>
      <c r="O92" s="217">
        <f t="shared" si="83"/>
        <v>26.729999999999997</v>
      </c>
      <c r="P92" s="141">
        <f t="shared" si="84"/>
        <v>45.45</v>
      </c>
      <c r="Q92" s="221" t="s">
        <v>159</v>
      </c>
      <c r="R92" s="133"/>
      <c r="S92" s="133"/>
      <c r="T92" s="133"/>
      <c r="U92" s="133"/>
      <c r="V92" s="133"/>
      <c r="W92" s="133"/>
    </row>
    <row r="93" spans="1:23" ht="16.5" thickBot="1">
      <c r="A93" s="145">
        <v>314</v>
      </c>
      <c r="B93" s="145">
        <v>110</v>
      </c>
      <c r="C93" s="214">
        <f t="shared" si="74"/>
        <v>0.11</v>
      </c>
      <c r="D93" s="215">
        <v>0.28000000000000003</v>
      </c>
      <c r="E93" s="214">
        <f t="shared" si="75"/>
        <v>0.14080000000000001</v>
      </c>
      <c r="F93" s="231">
        <f t="shared" si="76"/>
        <v>47</v>
      </c>
      <c r="G93" s="233">
        <f t="shared" si="77"/>
        <v>103</v>
      </c>
      <c r="H93" s="141">
        <f t="shared" si="78"/>
        <v>1.31</v>
      </c>
      <c r="I93" s="142">
        <f t="shared" si="79"/>
        <v>28</v>
      </c>
      <c r="J93" s="141">
        <f t="shared" si="80"/>
        <v>2.99</v>
      </c>
      <c r="K93" s="142">
        <f t="shared" si="81"/>
        <v>19</v>
      </c>
      <c r="L93" s="142"/>
      <c r="M93" s="141">
        <f t="shared" si="82"/>
        <v>1.35</v>
      </c>
      <c r="N93" s="141"/>
      <c r="O93" s="217">
        <f t="shared" si="83"/>
        <v>5.65</v>
      </c>
      <c r="P93" s="141">
        <f t="shared" si="84"/>
        <v>9.620000000000001</v>
      </c>
      <c r="Q93" s="133"/>
      <c r="R93" s="133"/>
      <c r="S93" s="133"/>
      <c r="T93" s="133"/>
      <c r="U93" s="133"/>
      <c r="V93" s="133"/>
      <c r="W93" s="133"/>
    </row>
    <row r="94" spans="1:23" ht="16.5" thickBot="1">
      <c r="A94" s="145">
        <v>315</v>
      </c>
      <c r="B94" s="145">
        <v>85</v>
      </c>
      <c r="C94" s="214">
        <f t="shared" si="74"/>
        <v>8.5000000000000006E-2</v>
      </c>
      <c r="D94" s="215">
        <v>1.1000000000000001</v>
      </c>
      <c r="E94" s="214">
        <f t="shared" si="75"/>
        <v>0.17850000000000002</v>
      </c>
      <c r="F94" s="231">
        <f t="shared" si="76"/>
        <v>60</v>
      </c>
      <c r="G94" s="233">
        <f t="shared" si="77"/>
        <v>130</v>
      </c>
      <c r="H94" s="141">
        <f t="shared" si="78"/>
        <v>1.67</v>
      </c>
      <c r="I94" s="142">
        <f t="shared" si="79"/>
        <v>36</v>
      </c>
      <c r="J94" s="141">
        <f t="shared" si="80"/>
        <v>3.84</v>
      </c>
      <c r="K94" s="142">
        <f t="shared" si="81"/>
        <v>24</v>
      </c>
      <c r="L94" s="142"/>
      <c r="M94" s="141">
        <f t="shared" si="82"/>
        <v>1.7</v>
      </c>
      <c r="N94" s="141"/>
      <c r="O94" s="217">
        <f t="shared" si="83"/>
        <v>7.21</v>
      </c>
      <c r="P94" s="141">
        <f t="shared" si="84"/>
        <v>12.18</v>
      </c>
      <c r="Q94" s="133"/>
      <c r="R94" s="133"/>
      <c r="S94" s="133"/>
      <c r="T94" s="133"/>
      <c r="U94" s="133"/>
      <c r="V94" s="133"/>
      <c r="W94" s="133"/>
    </row>
    <row r="95" spans="1:23" ht="15.75" thickBot="1">
      <c r="A95" s="145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</row>
    <row r="96" spans="1:23" ht="16.5" thickBot="1">
      <c r="A96" s="145">
        <v>321</v>
      </c>
      <c r="B96" s="145">
        <v>250</v>
      </c>
      <c r="C96" s="214">
        <f t="shared" ref="C96:C102" si="85">B96/1000</f>
        <v>0.25</v>
      </c>
      <c r="D96" s="215">
        <v>0.2</v>
      </c>
      <c r="E96" s="214">
        <f t="shared" ref="E96:E102" si="86">(+C96*D96)+C96</f>
        <v>0.3</v>
      </c>
      <c r="F96" s="231">
        <f t="shared" ref="F96:F102" si="87">ROUND((+$E96*4000)/12,0)</f>
        <v>100</v>
      </c>
      <c r="G96" s="216">
        <f t="shared" ref="G96:G102" si="88">ROUND((+$E96*8760)/12,0)</f>
        <v>219</v>
      </c>
      <c r="H96" s="141">
        <f t="shared" ref="H96:H102" si="89">ROUND(+E96*D$7,2)</f>
        <v>2.8</v>
      </c>
      <c r="I96" s="142">
        <f t="shared" ref="I96:I102" si="90">ROUND(IF((E96*200)&gt;F96,F96,(E96*200)),0)</f>
        <v>60</v>
      </c>
      <c r="J96" s="141">
        <f t="shared" ref="J96:J102" si="91">ROUND(+I96*D$8,2)</f>
        <v>6.41</v>
      </c>
      <c r="K96" s="142">
        <f t="shared" ref="K96:K102" si="92">F96-I96</f>
        <v>40</v>
      </c>
      <c r="L96" s="142"/>
      <c r="M96" s="141">
        <f t="shared" ref="M96:M102" si="93">ROUND(+K96*D$9,2)</f>
        <v>2.84</v>
      </c>
      <c r="N96" s="141"/>
      <c r="O96" s="217">
        <f t="shared" ref="O96:O102" si="94">H96+J96+M96</f>
        <v>12.05</v>
      </c>
      <c r="P96" s="141">
        <f t="shared" ref="P96:P102" si="95">H96+J96+ROUND((G96-I96)*D$9,2)</f>
        <v>20.48</v>
      </c>
      <c r="Q96" s="133"/>
      <c r="R96" s="133"/>
      <c r="S96" s="133"/>
      <c r="T96" s="133"/>
      <c r="U96" s="133"/>
      <c r="V96" s="133"/>
      <c r="W96" s="133"/>
    </row>
    <row r="97" spans="1:23" ht="16.5" thickBot="1">
      <c r="A97" s="145">
        <v>322</v>
      </c>
      <c r="B97" s="145">
        <v>70</v>
      </c>
      <c r="C97" s="214">
        <f t="shared" si="85"/>
        <v>7.0000000000000007E-2</v>
      </c>
      <c r="D97" s="215">
        <v>0.37</v>
      </c>
      <c r="E97" s="214">
        <f t="shared" si="86"/>
        <v>9.5900000000000013E-2</v>
      </c>
      <c r="F97" s="231">
        <f t="shared" si="87"/>
        <v>32</v>
      </c>
      <c r="G97" s="216">
        <f t="shared" si="88"/>
        <v>70</v>
      </c>
      <c r="H97" s="141">
        <f t="shared" si="89"/>
        <v>0.9</v>
      </c>
      <c r="I97" s="142">
        <f t="shared" si="90"/>
        <v>19</v>
      </c>
      <c r="J97" s="141">
        <f t="shared" si="91"/>
        <v>2.0299999999999998</v>
      </c>
      <c r="K97" s="142">
        <f t="shared" si="92"/>
        <v>13</v>
      </c>
      <c r="L97" s="142"/>
      <c r="M97" s="141">
        <f t="shared" si="93"/>
        <v>0.92</v>
      </c>
      <c r="N97" s="141"/>
      <c r="O97" s="217">
        <f t="shared" si="94"/>
        <v>3.8499999999999996</v>
      </c>
      <c r="P97" s="141">
        <f t="shared" si="95"/>
        <v>6.55</v>
      </c>
      <c r="Q97" s="133"/>
      <c r="R97" s="133"/>
      <c r="S97" s="133"/>
      <c r="T97" s="133"/>
      <c r="U97" s="133"/>
      <c r="V97" s="133"/>
      <c r="W97" s="133"/>
    </row>
    <row r="98" spans="1:23" ht="16.5" thickBot="1">
      <c r="A98" s="145">
        <v>323</v>
      </c>
      <c r="B98" s="145">
        <v>100</v>
      </c>
      <c r="C98" s="214">
        <f t="shared" si="85"/>
        <v>0.1</v>
      </c>
      <c r="D98" s="215">
        <v>0.35</v>
      </c>
      <c r="E98" s="214">
        <f t="shared" si="86"/>
        <v>0.13500000000000001</v>
      </c>
      <c r="F98" s="231">
        <f t="shared" si="87"/>
        <v>45</v>
      </c>
      <c r="G98" s="216">
        <f t="shared" si="88"/>
        <v>99</v>
      </c>
      <c r="H98" s="141">
        <f t="shared" si="89"/>
        <v>1.26</v>
      </c>
      <c r="I98" s="142">
        <f t="shared" si="90"/>
        <v>27</v>
      </c>
      <c r="J98" s="141">
        <f t="shared" si="91"/>
        <v>2.88</v>
      </c>
      <c r="K98" s="142">
        <f t="shared" si="92"/>
        <v>18</v>
      </c>
      <c r="L98" s="142"/>
      <c r="M98" s="141">
        <f t="shared" si="93"/>
        <v>1.28</v>
      </c>
      <c r="N98" s="141"/>
      <c r="O98" s="217">
        <f t="shared" si="94"/>
        <v>5.42</v>
      </c>
      <c r="P98" s="141">
        <f t="shared" si="95"/>
        <v>9.25</v>
      </c>
      <c r="Q98" s="221" t="s">
        <v>160</v>
      </c>
      <c r="R98" s="133"/>
      <c r="S98" s="133"/>
      <c r="T98" s="133"/>
      <c r="U98" s="133"/>
      <c r="V98" s="133"/>
      <c r="W98" s="133"/>
    </row>
    <row r="99" spans="1:23" ht="16.5" thickBot="1">
      <c r="A99" s="145">
        <v>324</v>
      </c>
      <c r="B99" s="145">
        <v>150</v>
      </c>
      <c r="C99" s="214">
        <f t="shared" si="85"/>
        <v>0.15</v>
      </c>
      <c r="D99" s="215">
        <v>0.3</v>
      </c>
      <c r="E99" s="214">
        <f t="shared" si="86"/>
        <v>0.19500000000000001</v>
      </c>
      <c r="F99" s="231">
        <f t="shared" si="87"/>
        <v>65</v>
      </c>
      <c r="G99" s="216">
        <f t="shared" si="88"/>
        <v>142</v>
      </c>
      <c r="H99" s="141">
        <f t="shared" si="89"/>
        <v>1.82</v>
      </c>
      <c r="I99" s="142">
        <f t="shared" si="90"/>
        <v>39</v>
      </c>
      <c r="J99" s="141">
        <f t="shared" si="91"/>
        <v>4.17</v>
      </c>
      <c r="K99" s="142">
        <f t="shared" si="92"/>
        <v>26</v>
      </c>
      <c r="L99" s="142"/>
      <c r="M99" s="141">
        <f t="shared" si="93"/>
        <v>1.84</v>
      </c>
      <c r="N99" s="141"/>
      <c r="O99" s="217">
        <f t="shared" si="94"/>
        <v>7.83</v>
      </c>
      <c r="P99" s="141">
        <f t="shared" si="95"/>
        <v>13.29</v>
      </c>
      <c r="Q99" s="133"/>
      <c r="R99" s="133"/>
      <c r="S99" s="133"/>
      <c r="T99" s="133"/>
      <c r="U99" s="133"/>
      <c r="V99" s="133"/>
      <c r="W99" s="133"/>
    </row>
    <row r="100" spans="1:23" ht="16.5" thickBot="1">
      <c r="A100" s="145">
        <v>326</v>
      </c>
      <c r="B100" s="145">
        <v>400</v>
      </c>
      <c r="C100" s="214">
        <f t="shared" si="85"/>
        <v>0.4</v>
      </c>
      <c r="D100" s="215">
        <v>0.125</v>
      </c>
      <c r="E100" s="214">
        <f t="shared" si="86"/>
        <v>0.45</v>
      </c>
      <c r="F100" s="231">
        <f t="shared" si="87"/>
        <v>150</v>
      </c>
      <c r="G100" s="216">
        <f t="shared" si="88"/>
        <v>329</v>
      </c>
      <c r="H100" s="141">
        <f t="shared" si="89"/>
        <v>4.2</v>
      </c>
      <c r="I100" s="142">
        <f t="shared" si="90"/>
        <v>90</v>
      </c>
      <c r="J100" s="141">
        <f t="shared" si="91"/>
        <v>9.61</v>
      </c>
      <c r="K100" s="142">
        <f t="shared" si="92"/>
        <v>60</v>
      </c>
      <c r="L100" s="142"/>
      <c r="M100" s="141">
        <f t="shared" si="93"/>
        <v>4.25</v>
      </c>
      <c r="N100" s="141"/>
      <c r="O100" s="217">
        <f t="shared" si="94"/>
        <v>18.059999999999999</v>
      </c>
      <c r="P100" s="141">
        <f t="shared" si="95"/>
        <v>30.759999999999998</v>
      </c>
      <c r="Q100" s="133"/>
      <c r="R100" s="133"/>
      <c r="S100" s="133"/>
      <c r="T100" s="133"/>
      <c r="U100" s="133"/>
      <c r="V100" s="133"/>
      <c r="W100" s="133"/>
    </row>
    <row r="101" spans="1:23" ht="16.5" thickBot="1">
      <c r="A101" s="145">
        <v>327</v>
      </c>
      <c r="B101" s="145">
        <v>500</v>
      </c>
      <c r="C101" s="214">
        <f t="shared" si="85"/>
        <v>0.5</v>
      </c>
      <c r="D101" s="215">
        <v>0.1</v>
      </c>
      <c r="E101" s="214">
        <f t="shared" si="86"/>
        <v>0.55000000000000004</v>
      </c>
      <c r="F101" s="231">
        <f t="shared" si="87"/>
        <v>183</v>
      </c>
      <c r="G101" s="216">
        <f t="shared" si="88"/>
        <v>402</v>
      </c>
      <c r="H101" s="141">
        <f t="shared" si="89"/>
        <v>5.14</v>
      </c>
      <c r="I101" s="142">
        <f t="shared" si="90"/>
        <v>110</v>
      </c>
      <c r="J101" s="141">
        <f t="shared" si="91"/>
        <v>11.75</v>
      </c>
      <c r="K101" s="142">
        <f t="shared" si="92"/>
        <v>73</v>
      </c>
      <c r="L101" s="142"/>
      <c r="M101" s="141">
        <f t="shared" si="93"/>
        <v>5.18</v>
      </c>
      <c r="N101" s="141"/>
      <c r="O101" s="217">
        <f t="shared" si="94"/>
        <v>22.07</v>
      </c>
      <c r="P101" s="141">
        <f t="shared" si="95"/>
        <v>37.590000000000003</v>
      </c>
      <c r="Q101" s="133"/>
      <c r="R101" s="133"/>
      <c r="S101" s="133"/>
      <c r="T101" s="133"/>
      <c r="U101" s="133"/>
      <c r="V101" s="133"/>
      <c r="W101" s="133"/>
    </row>
    <row r="102" spans="1:23" ht="16.5" thickBot="1">
      <c r="A102" s="145">
        <v>328</v>
      </c>
      <c r="B102" s="145">
        <v>1000</v>
      </c>
      <c r="C102" s="214">
        <f t="shared" si="85"/>
        <v>1</v>
      </c>
      <c r="D102" s="215">
        <v>0.09</v>
      </c>
      <c r="E102" s="214">
        <f t="shared" si="86"/>
        <v>1.0900000000000001</v>
      </c>
      <c r="F102" s="231">
        <f t="shared" si="87"/>
        <v>363</v>
      </c>
      <c r="G102" s="216">
        <f t="shared" si="88"/>
        <v>796</v>
      </c>
      <c r="H102" s="141">
        <f t="shared" si="89"/>
        <v>10.18</v>
      </c>
      <c r="I102" s="142">
        <f t="shared" si="90"/>
        <v>218</v>
      </c>
      <c r="J102" s="141">
        <f t="shared" si="91"/>
        <v>23.28</v>
      </c>
      <c r="K102" s="142">
        <f t="shared" si="92"/>
        <v>145</v>
      </c>
      <c r="L102" s="142"/>
      <c r="M102" s="141">
        <f t="shared" si="93"/>
        <v>10.28</v>
      </c>
      <c r="N102" s="141"/>
      <c r="O102" s="217">
        <f t="shared" si="94"/>
        <v>43.74</v>
      </c>
      <c r="P102" s="141">
        <f t="shared" si="95"/>
        <v>74.44</v>
      </c>
      <c r="Q102" s="133"/>
      <c r="R102" s="133"/>
      <c r="S102" s="133"/>
      <c r="T102" s="133"/>
      <c r="U102" s="133"/>
      <c r="V102" s="133"/>
      <c r="W102" s="133"/>
    </row>
    <row r="103" spans="1:23" ht="15.75" thickBot="1">
      <c r="A103" s="145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</row>
    <row r="104" spans="1:23" ht="16.5" thickBot="1">
      <c r="A104" s="145">
        <v>330</v>
      </c>
      <c r="B104" s="145">
        <v>140</v>
      </c>
      <c r="C104" s="214">
        <f>B104/1000</f>
        <v>0.14000000000000001</v>
      </c>
      <c r="D104" s="215">
        <v>0</v>
      </c>
      <c r="E104" s="214">
        <f>(+C104*D104)+C104</f>
        <v>0.14000000000000001</v>
      </c>
      <c r="F104" s="142">
        <f>ROUND((+$E104*4000)/12,0)</f>
        <v>47</v>
      </c>
      <c r="G104" s="216">
        <f>ROUND((+$E104*8760)/12,0)</f>
        <v>102</v>
      </c>
      <c r="H104" s="141">
        <f>ROUND(+E104*D$7,2)</f>
        <v>1.31</v>
      </c>
      <c r="I104" s="142">
        <f>ROUND(IF((E104*200)&gt;F104,F104,(E104*200)),0)</f>
        <v>28</v>
      </c>
      <c r="J104" s="141">
        <f>ROUND(+I104*D$8,2)</f>
        <v>2.99</v>
      </c>
      <c r="K104" s="142">
        <f>F104-I104</f>
        <v>19</v>
      </c>
      <c r="L104" s="142"/>
      <c r="M104" s="141">
        <f>ROUND(+K104*D$9,2)</f>
        <v>1.35</v>
      </c>
      <c r="N104" s="141"/>
      <c r="O104" s="217">
        <f>H104+J104+M104</f>
        <v>5.65</v>
      </c>
      <c r="P104" s="141">
        <f>H104+J104+ROUND((G104-I104)*D$9,2)</f>
        <v>9.5500000000000007</v>
      </c>
      <c r="Q104" s="221" t="s">
        <v>161</v>
      </c>
      <c r="R104" s="133"/>
      <c r="S104" s="133"/>
      <c r="T104" s="133"/>
      <c r="U104" s="133"/>
      <c r="V104" s="133"/>
      <c r="W104" s="133"/>
    </row>
    <row r="105" spans="1:23" ht="16.5" thickBot="1">
      <c r="A105" s="145">
        <v>331</v>
      </c>
      <c r="B105" s="145">
        <v>180</v>
      </c>
      <c r="C105" s="214">
        <f>B105/1000</f>
        <v>0.18</v>
      </c>
      <c r="D105" s="215">
        <v>0.33329999999999999</v>
      </c>
      <c r="E105" s="214">
        <f>(+C105*D105)+C105</f>
        <v>0.23999399999999999</v>
      </c>
      <c r="F105" s="231">
        <f>ROUND((+$E105*4000)/12,0)</f>
        <v>80</v>
      </c>
      <c r="G105" s="216">
        <f>ROUND((+$E105*8760)/12,0)</f>
        <v>175</v>
      </c>
      <c r="H105" s="141">
        <f>ROUND(+E105*D$7,2)</f>
        <v>2.2400000000000002</v>
      </c>
      <c r="I105" s="142">
        <f>ROUND(IF((E105*200)&gt;F105,F105,(E105*200)),0)</f>
        <v>48</v>
      </c>
      <c r="J105" s="141">
        <f>ROUND(+I105*D$8,2)</f>
        <v>5.13</v>
      </c>
      <c r="K105" s="142">
        <f>F105-I105</f>
        <v>32</v>
      </c>
      <c r="L105" s="142"/>
      <c r="M105" s="141">
        <f>ROUND(+K105*D$9,2)</f>
        <v>2.27</v>
      </c>
      <c r="N105" s="141"/>
      <c r="O105" s="217">
        <f>H105+J105+M105</f>
        <v>9.64</v>
      </c>
      <c r="P105" s="141">
        <f>H105+J105+ROUND((G105-I105)*D$9,2)</f>
        <v>16.37</v>
      </c>
      <c r="Q105" s="133"/>
      <c r="R105" s="133"/>
      <c r="S105" s="133"/>
      <c r="T105" s="133"/>
      <c r="U105" s="133"/>
      <c r="V105" s="133"/>
      <c r="W105" s="133"/>
    </row>
    <row r="106" spans="1:23" ht="15.75" thickBot="1">
      <c r="A106" s="145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</row>
    <row r="107" spans="1:23" ht="16.5" thickBot="1">
      <c r="A107" s="145">
        <v>341</v>
      </c>
      <c r="B107" s="145">
        <v>1000</v>
      </c>
      <c r="C107" s="214">
        <f t="shared" ref="C107:C112" si="96">B107/1000</f>
        <v>1</v>
      </c>
      <c r="D107" s="215">
        <v>0.08</v>
      </c>
      <c r="E107" s="214">
        <f t="shared" ref="E107:E112" si="97">(+C107*D107)+C107</f>
        <v>1.08</v>
      </c>
      <c r="F107" s="231">
        <f t="shared" ref="F107:F112" si="98">ROUND((+$E107*4000)/12,0)</f>
        <v>360</v>
      </c>
      <c r="G107" s="216">
        <f t="shared" ref="G107:G112" si="99">ROUND((+$E107*8760)/12,0)</f>
        <v>788</v>
      </c>
      <c r="H107" s="141">
        <f t="shared" ref="H107:H112" si="100">ROUND(+E107*D$7,2)</f>
        <v>10.09</v>
      </c>
      <c r="I107" s="142">
        <f t="shared" ref="I107:I112" si="101">ROUND(IF((E107*200)&gt;F107,F107,(E107*200)),0)</f>
        <v>216</v>
      </c>
      <c r="J107" s="141">
        <f t="shared" ref="J107:J112" si="102">ROUND(+I107*D$8,2)</f>
        <v>23.07</v>
      </c>
      <c r="K107" s="142">
        <f t="shared" ref="K107:K112" si="103">F107-I107</f>
        <v>144</v>
      </c>
      <c r="L107" s="142"/>
      <c r="M107" s="141">
        <f t="shared" ref="M107:M112" si="104">ROUND(+K107*D$9,2)</f>
        <v>10.210000000000001</v>
      </c>
      <c r="N107" s="141"/>
      <c r="O107" s="217">
        <f t="shared" ref="O107:O112" si="105">H107+J107+M107</f>
        <v>43.37</v>
      </c>
      <c r="P107" s="141">
        <f t="shared" ref="P107:P112" si="106">H107+J107+ROUND((G107-I107)*D$9,2)</f>
        <v>73.72</v>
      </c>
      <c r="Q107" s="133"/>
      <c r="R107" s="133"/>
      <c r="S107" s="133"/>
      <c r="T107" s="133"/>
      <c r="U107" s="133"/>
      <c r="V107" s="133"/>
      <c r="W107" s="133"/>
    </row>
    <row r="108" spans="1:23" ht="16.5" thickBot="1">
      <c r="A108" s="145">
        <v>342</v>
      </c>
      <c r="B108" s="145">
        <v>400</v>
      </c>
      <c r="C108" s="214">
        <f t="shared" si="96"/>
        <v>0.4</v>
      </c>
      <c r="D108" s="215">
        <v>0.125</v>
      </c>
      <c r="E108" s="214">
        <f t="shared" si="97"/>
        <v>0.45</v>
      </c>
      <c r="F108" s="142">
        <f t="shared" si="98"/>
        <v>150</v>
      </c>
      <c r="G108" s="216">
        <f t="shared" si="99"/>
        <v>329</v>
      </c>
      <c r="H108" s="141">
        <f t="shared" si="100"/>
        <v>4.2</v>
      </c>
      <c r="I108" s="142">
        <f t="shared" si="101"/>
        <v>90</v>
      </c>
      <c r="J108" s="141">
        <f t="shared" si="102"/>
        <v>9.61</v>
      </c>
      <c r="K108" s="142">
        <f t="shared" si="103"/>
        <v>60</v>
      </c>
      <c r="L108" s="142"/>
      <c r="M108" s="141">
        <f t="shared" si="104"/>
        <v>4.25</v>
      </c>
      <c r="N108" s="141"/>
      <c r="O108" s="217">
        <f t="shared" si="105"/>
        <v>18.059999999999999</v>
      </c>
      <c r="P108" s="141">
        <f t="shared" si="106"/>
        <v>30.759999999999998</v>
      </c>
      <c r="Q108" s="221" t="s">
        <v>162</v>
      </c>
      <c r="R108" s="133"/>
      <c r="S108" s="133"/>
      <c r="T108" s="133"/>
      <c r="U108" s="133"/>
      <c r="V108" s="133"/>
      <c r="W108" s="133"/>
    </row>
    <row r="109" spans="1:23" ht="16.5" thickBot="1">
      <c r="A109" s="145">
        <v>343</v>
      </c>
      <c r="B109" s="145">
        <v>250</v>
      </c>
      <c r="C109" s="214">
        <f t="shared" si="96"/>
        <v>0.25</v>
      </c>
      <c r="D109" s="215">
        <v>0.2</v>
      </c>
      <c r="E109" s="214">
        <f t="shared" si="97"/>
        <v>0.3</v>
      </c>
      <c r="F109" s="142">
        <f t="shared" si="98"/>
        <v>100</v>
      </c>
      <c r="G109" s="216">
        <f t="shared" si="99"/>
        <v>219</v>
      </c>
      <c r="H109" s="141">
        <f t="shared" si="100"/>
        <v>2.8</v>
      </c>
      <c r="I109" s="142">
        <f t="shared" si="101"/>
        <v>60</v>
      </c>
      <c r="J109" s="141">
        <f t="shared" si="102"/>
        <v>6.41</v>
      </c>
      <c r="K109" s="142">
        <f t="shared" si="103"/>
        <v>40</v>
      </c>
      <c r="L109" s="142"/>
      <c r="M109" s="141">
        <f t="shared" si="104"/>
        <v>2.84</v>
      </c>
      <c r="N109" s="141"/>
      <c r="O109" s="217">
        <f t="shared" si="105"/>
        <v>12.05</v>
      </c>
      <c r="P109" s="141">
        <f t="shared" si="106"/>
        <v>20.48</v>
      </c>
      <c r="Q109" s="221" t="s">
        <v>163</v>
      </c>
      <c r="R109" s="133"/>
      <c r="S109" s="133"/>
      <c r="T109" s="133"/>
      <c r="U109" s="133"/>
      <c r="V109" s="133"/>
      <c r="W109" s="133"/>
    </row>
    <row r="110" spans="1:23" ht="16.5" thickBot="1">
      <c r="A110" s="145">
        <v>344</v>
      </c>
      <c r="B110" s="145">
        <v>175</v>
      </c>
      <c r="C110" s="214">
        <f t="shared" si="96"/>
        <v>0.17499999999999999</v>
      </c>
      <c r="D110" s="215">
        <v>0.28570000000000001</v>
      </c>
      <c r="E110" s="214">
        <f t="shared" si="97"/>
        <v>0.22499749999999999</v>
      </c>
      <c r="F110" s="231">
        <f t="shared" si="98"/>
        <v>75</v>
      </c>
      <c r="G110" s="216">
        <f t="shared" si="99"/>
        <v>164</v>
      </c>
      <c r="H110" s="141">
        <f t="shared" si="100"/>
        <v>2.1</v>
      </c>
      <c r="I110" s="142">
        <f t="shared" si="101"/>
        <v>45</v>
      </c>
      <c r="J110" s="141">
        <f t="shared" si="102"/>
        <v>4.8099999999999996</v>
      </c>
      <c r="K110" s="142">
        <f t="shared" si="103"/>
        <v>30</v>
      </c>
      <c r="L110" s="142"/>
      <c r="M110" s="141">
        <f t="shared" si="104"/>
        <v>2.13</v>
      </c>
      <c r="N110" s="141"/>
      <c r="O110" s="217">
        <f t="shared" si="105"/>
        <v>9.0399999999999991</v>
      </c>
      <c r="P110" s="141">
        <f t="shared" si="106"/>
        <v>15.35</v>
      </c>
      <c r="Q110" s="221"/>
      <c r="R110" s="133"/>
      <c r="S110" s="133"/>
      <c r="T110" s="133"/>
      <c r="U110" s="133"/>
      <c r="V110" s="133"/>
      <c r="W110" s="133"/>
    </row>
    <row r="111" spans="1:23" ht="16.5" thickBot="1">
      <c r="A111" s="145">
        <v>345</v>
      </c>
      <c r="B111" s="145">
        <v>150</v>
      </c>
      <c r="C111" s="214">
        <f t="shared" si="96"/>
        <v>0.15</v>
      </c>
      <c r="D111" s="215">
        <v>0.33329999999999999</v>
      </c>
      <c r="E111" s="214">
        <f t="shared" si="97"/>
        <v>0.19999499999999998</v>
      </c>
      <c r="F111" s="231">
        <f t="shared" si="98"/>
        <v>67</v>
      </c>
      <c r="G111" s="216">
        <f t="shared" si="99"/>
        <v>146</v>
      </c>
      <c r="H111" s="141">
        <f t="shared" si="100"/>
        <v>1.87</v>
      </c>
      <c r="I111" s="142">
        <f t="shared" si="101"/>
        <v>40</v>
      </c>
      <c r="J111" s="141">
        <f t="shared" si="102"/>
        <v>4.2699999999999996</v>
      </c>
      <c r="K111" s="142">
        <f t="shared" si="103"/>
        <v>27</v>
      </c>
      <c r="L111" s="142"/>
      <c r="M111" s="141">
        <f t="shared" si="104"/>
        <v>1.91</v>
      </c>
      <c r="N111" s="141"/>
      <c r="O111" s="217">
        <f t="shared" si="105"/>
        <v>8.0499999999999989</v>
      </c>
      <c r="P111" s="141">
        <f t="shared" si="106"/>
        <v>13.66</v>
      </c>
      <c r="Q111" s="133"/>
      <c r="R111" s="133"/>
      <c r="S111" s="133"/>
      <c r="T111" s="133"/>
      <c r="U111" s="133"/>
      <c r="V111" s="133"/>
      <c r="W111" s="133"/>
    </row>
    <row r="112" spans="1:23" ht="16.5" thickBot="1">
      <c r="A112" s="145">
        <v>346</v>
      </c>
      <c r="B112" s="145">
        <v>100</v>
      </c>
      <c r="C112" s="214">
        <f t="shared" si="96"/>
        <v>0.1</v>
      </c>
      <c r="D112" s="215">
        <v>0.5</v>
      </c>
      <c r="E112" s="214">
        <f t="shared" si="97"/>
        <v>0.15000000000000002</v>
      </c>
      <c r="F112" s="231">
        <f t="shared" si="98"/>
        <v>50</v>
      </c>
      <c r="G112" s="216">
        <f t="shared" si="99"/>
        <v>110</v>
      </c>
      <c r="H112" s="141">
        <f t="shared" si="100"/>
        <v>1.4</v>
      </c>
      <c r="I112" s="142">
        <f t="shared" si="101"/>
        <v>30</v>
      </c>
      <c r="J112" s="141">
        <f t="shared" si="102"/>
        <v>3.2</v>
      </c>
      <c r="K112" s="142">
        <f t="shared" si="103"/>
        <v>20</v>
      </c>
      <c r="L112" s="142"/>
      <c r="M112" s="141">
        <f t="shared" si="104"/>
        <v>1.42</v>
      </c>
      <c r="N112" s="141"/>
      <c r="O112" s="217">
        <f t="shared" si="105"/>
        <v>6.02</v>
      </c>
      <c r="P112" s="141">
        <f t="shared" si="106"/>
        <v>10.27</v>
      </c>
      <c r="Q112" s="133"/>
      <c r="R112" s="133"/>
      <c r="S112" s="133"/>
      <c r="T112" s="133"/>
      <c r="U112" s="133"/>
      <c r="V112" s="133"/>
      <c r="W112" s="133"/>
    </row>
    <row r="113" spans="1:23" ht="15.75" thickBot="1">
      <c r="A113" s="145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</row>
    <row r="114" spans="1:23" ht="16.5" thickBot="1">
      <c r="A114" s="145">
        <v>350</v>
      </c>
      <c r="B114" s="145">
        <v>384</v>
      </c>
      <c r="C114" s="214">
        <f>B114/1000</f>
        <v>0.38400000000000001</v>
      </c>
      <c r="D114" s="215">
        <v>1.19</v>
      </c>
      <c r="E114" s="214">
        <f>(+C114*D114)+C114</f>
        <v>0.84095999999999993</v>
      </c>
      <c r="F114" s="142">
        <f>ROUND((+$E114*4000)/12,0)</f>
        <v>280</v>
      </c>
      <c r="G114" s="216">
        <f>ROUND((+$E114*8760)/12,0)</f>
        <v>614</v>
      </c>
      <c r="H114" s="141">
        <f>ROUND(+E114*D$7,2)</f>
        <v>7.85</v>
      </c>
      <c r="I114" s="142">
        <f>ROUND(IF((E114*200)&gt;F114,F114,(E114*200)),0)</f>
        <v>168</v>
      </c>
      <c r="J114" s="141">
        <f>ROUND(+I114*D$8,2)</f>
        <v>17.940000000000001</v>
      </c>
      <c r="K114" s="142">
        <f>F114-I114</f>
        <v>112</v>
      </c>
      <c r="L114" s="142"/>
      <c r="M114" s="141">
        <f>ROUND(+K114*D$9,2)</f>
        <v>7.94</v>
      </c>
      <c r="N114" s="141"/>
      <c r="O114" s="217">
        <f>H114+J114+M114</f>
        <v>33.729999999999997</v>
      </c>
      <c r="P114" s="141">
        <f>H114+J114+ROUND((G114-I114)*D$9,2)</f>
        <v>57.41</v>
      </c>
      <c r="Q114" s="221" t="s">
        <v>164</v>
      </c>
      <c r="R114" s="133"/>
      <c r="S114" s="133"/>
      <c r="T114" s="133"/>
      <c r="U114" s="133"/>
      <c r="V114" s="133"/>
      <c r="W114" s="133"/>
    </row>
    <row r="115" spans="1:23" ht="16.5" thickBot="1">
      <c r="A115" s="145">
        <v>351</v>
      </c>
      <c r="B115" s="145">
        <v>400</v>
      </c>
      <c r="C115" s="214">
        <f>B115/1000</f>
        <v>0.4</v>
      </c>
      <c r="D115" s="215">
        <v>0.33329999999999999</v>
      </c>
      <c r="E115" s="214">
        <f>(+C115*D115)+C115</f>
        <v>0.53332000000000002</v>
      </c>
      <c r="F115" s="231">
        <f>ROUND((+$E115*4000)/12,0)</f>
        <v>178</v>
      </c>
      <c r="G115" s="216">
        <f>ROUND((+$E115*8760)/12,0)</f>
        <v>389</v>
      </c>
      <c r="H115" s="141">
        <f>ROUND(+E115*D$7,2)</f>
        <v>4.9800000000000004</v>
      </c>
      <c r="I115" s="142">
        <f>ROUND(IF((E115*200)&gt;F115,F115,(E115*200)),0)</f>
        <v>107</v>
      </c>
      <c r="J115" s="141">
        <f>ROUND(+I115*D$8,2)</f>
        <v>11.43</v>
      </c>
      <c r="K115" s="142">
        <f>F115-I115</f>
        <v>71</v>
      </c>
      <c r="L115" s="142"/>
      <c r="M115" s="141">
        <f>ROUND(+K115*D$9,2)</f>
        <v>5.03</v>
      </c>
      <c r="N115" s="141"/>
      <c r="O115" s="217">
        <f>H115+J115+M115</f>
        <v>21.44</v>
      </c>
      <c r="P115" s="141">
        <f>H115+J115+ROUND((G115-I115)*D$9,2)</f>
        <v>36.409999999999997</v>
      </c>
      <c r="Q115" s="221"/>
      <c r="R115" s="133"/>
      <c r="S115" s="133"/>
      <c r="T115" s="133"/>
      <c r="U115" s="133"/>
      <c r="V115" s="133"/>
      <c r="W115" s="133"/>
    </row>
    <row r="116" spans="1:23" ht="15.75" thickBot="1">
      <c r="A116" s="145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</row>
    <row r="117" spans="1:23" ht="16.5" thickBot="1">
      <c r="A117" s="145">
        <v>352</v>
      </c>
      <c r="B117" s="35">
        <f>4*14</f>
        <v>56</v>
      </c>
      <c r="C117" s="214">
        <f>B117/1000</f>
        <v>5.6000000000000001E-2</v>
      </c>
      <c r="D117" s="215">
        <v>0</v>
      </c>
      <c r="E117" s="214">
        <f>(+C117*D117)+C117</f>
        <v>5.6000000000000001E-2</v>
      </c>
      <c r="F117" s="234">
        <f>ROUND((+$E117*(20*0.003*365))/12,0)</f>
        <v>0</v>
      </c>
      <c r="G117" s="235">
        <f>ROUND((+$E117*8760)/12,0)</f>
        <v>41</v>
      </c>
      <c r="H117" s="141">
        <f>ROUND(+E117*D$7,2)</f>
        <v>0.52</v>
      </c>
      <c r="I117" s="142">
        <f>ROUND(IF((E117*200)&gt;F117,F117,(E117*200)),0)</f>
        <v>0</v>
      </c>
      <c r="J117" s="141">
        <f>ROUND(+I117*D$8,2)</f>
        <v>0</v>
      </c>
      <c r="K117" s="142">
        <f>F117-I117</f>
        <v>0</v>
      </c>
      <c r="L117" s="142">
        <f>G117-I117</f>
        <v>41</v>
      </c>
      <c r="M117" s="141">
        <f>ROUND(+K117*D$9,2)</f>
        <v>0</v>
      </c>
      <c r="N117" s="141">
        <f>ROUND(+L117*D$9,2)</f>
        <v>2.91</v>
      </c>
      <c r="O117" s="217">
        <f>H117+J117+M117</f>
        <v>0.52</v>
      </c>
      <c r="P117" s="236">
        <f>H117+J117+N117</f>
        <v>3.43</v>
      </c>
      <c r="Q117" s="133"/>
      <c r="R117" s="133"/>
      <c r="S117" s="133"/>
      <c r="T117" s="133"/>
      <c r="U117" s="133"/>
      <c r="V117" s="133"/>
      <c r="W117" s="133"/>
    </row>
    <row r="118" spans="1:23" ht="16.5" thickBot="1">
      <c r="A118" s="145"/>
      <c r="B118" s="35">
        <f>4*175</f>
        <v>700</v>
      </c>
      <c r="C118" s="214">
        <f>B118/1000</f>
        <v>0.7</v>
      </c>
      <c r="D118" s="215">
        <v>0</v>
      </c>
      <c r="E118" s="214">
        <f>(+C118*D118)+C118</f>
        <v>0.7</v>
      </c>
      <c r="F118" s="237">
        <f>ROUND((+$E118*4000)/12,0)</f>
        <v>233</v>
      </c>
      <c r="G118" s="231">
        <f>ROUND((+$E118*8760)/12,0)</f>
        <v>511</v>
      </c>
      <c r="H118" s="141">
        <f>ROUND(+E118*D$7,2)</f>
        <v>6.54</v>
      </c>
      <c r="I118" s="142">
        <f>ROUND(IF((E118*200)&gt;F118,F118,(E118*200)),0)</f>
        <v>140</v>
      </c>
      <c r="J118" s="141">
        <f>ROUND(+I118*D$8,2)</f>
        <v>14.95</v>
      </c>
      <c r="K118" s="142">
        <f>F118-I118</f>
        <v>93</v>
      </c>
      <c r="L118" s="142">
        <f>G118-I118</f>
        <v>371</v>
      </c>
      <c r="M118" s="141">
        <f>ROUND(+K118*D$9,2)</f>
        <v>6.59</v>
      </c>
      <c r="N118" s="141">
        <f>ROUND(+L118*D$9,2)</f>
        <v>26.31</v>
      </c>
      <c r="O118" s="238">
        <f>H118+J118+M118</f>
        <v>28.08</v>
      </c>
      <c r="P118" s="217">
        <f>H118+J118+N118</f>
        <v>47.8</v>
      </c>
      <c r="Q118" s="133"/>
      <c r="R118" s="133"/>
      <c r="S118" s="133"/>
      <c r="T118" s="133"/>
      <c r="U118" s="133"/>
      <c r="V118" s="133"/>
      <c r="W118" s="133"/>
    </row>
    <row r="119" spans="1:23" ht="16.5" thickBot="1">
      <c r="A119" s="145"/>
      <c r="B119" s="35"/>
      <c r="C119" s="214"/>
      <c r="D119" s="215"/>
      <c r="E119" s="214"/>
      <c r="F119" s="16"/>
      <c r="G119" s="231">
        <f>F117+G118</f>
        <v>511</v>
      </c>
      <c r="H119" s="141"/>
      <c r="I119" s="142"/>
      <c r="J119" s="141"/>
      <c r="K119" s="142"/>
      <c r="L119" s="142"/>
      <c r="M119" s="141"/>
      <c r="N119" s="141"/>
      <c r="O119" s="239"/>
      <c r="P119" s="217">
        <f>O117+P118</f>
        <v>48.32</v>
      </c>
      <c r="Q119" s="133"/>
      <c r="R119" s="133"/>
      <c r="S119" s="133"/>
      <c r="T119" s="133"/>
      <c r="U119" s="133"/>
      <c r="V119" s="133"/>
      <c r="W119" s="133"/>
    </row>
    <row r="120" spans="1:23">
      <c r="A120" s="145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</row>
    <row r="121" spans="1:23">
      <c r="A121" s="145">
        <v>360</v>
      </c>
      <c r="B121" s="145">
        <v>105</v>
      </c>
      <c r="C121" s="214">
        <f>B121/1000</f>
        <v>0.105</v>
      </c>
      <c r="D121" s="215">
        <v>0.14000000000000001</v>
      </c>
      <c r="E121" s="214">
        <f>(+C121*D121)+C121</f>
        <v>0.1197</v>
      </c>
      <c r="F121" s="142">
        <f>ROUND((+$E121*4000)/12,0)</f>
        <v>40</v>
      </c>
      <c r="G121" s="240" t="s">
        <v>973</v>
      </c>
      <c r="H121" s="141">
        <f>ROUND(+E121*D$7,2)</f>
        <v>1.1200000000000001</v>
      </c>
      <c r="I121" s="142">
        <f>ROUND(IF((E121*200)&gt;F121,F121,(E121*200)),0)</f>
        <v>24</v>
      </c>
      <c r="J121" s="141">
        <f>ROUND(+I121*D$8,2)</f>
        <v>2.56</v>
      </c>
      <c r="K121" s="142">
        <f>F121-I121</f>
        <v>16</v>
      </c>
      <c r="L121" s="142"/>
      <c r="M121" s="141">
        <f>ROUND(+K121*D$9,2)</f>
        <v>1.1299999999999999</v>
      </c>
      <c r="N121" s="141"/>
      <c r="O121" s="141">
        <f>H121+J121+M121</f>
        <v>4.8100000000000005</v>
      </c>
      <c r="P121" s="241" t="s">
        <v>973</v>
      </c>
      <c r="Q121" s="133"/>
      <c r="R121" s="133"/>
      <c r="S121" s="133"/>
      <c r="T121" s="133"/>
      <c r="U121" s="133"/>
      <c r="V121" s="133"/>
      <c r="W121" s="133"/>
    </row>
    <row r="122" spans="1:23">
      <c r="A122" s="145"/>
      <c r="B122" s="145">
        <v>150</v>
      </c>
      <c r="C122" s="214">
        <f>B122/1000</f>
        <v>0.15</v>
      </c>
      <c r="D122" s="215">
        <v>6.5000000000000002E-2</v>
      </c>
      <c r="E122" s="214">
        <f>(+C122*D122)+C122</f>
        <v>0.15975</v>
      </c>
      <c r="F122" s="142">
        <f>ROUND((+$E122*4000)/12,0)</f>
        <v>53</v>
      </c>
      <c r="G122" s="240" t="s">
        <v>973</v>
      </c>
      <c r="H122" s="141">
        <f>ROUND(+E122*D$7,2)</f>
        <v>1.49</v>
      </c>
      <c r="I122" s="142">
        <f>ROUND(IF((E122*200)&gt;F122,F122,(E122*200)),0)</f>
        <v>32</v>
      </c>
      <c r="J122" s="141">
        <f>ROUND(+I122*D$8,2)</f>
        <v>3.42</v>
      </c>
      <c r="K122" s="142">
        <f>F122-I122</f>
        <v>21</v>
      </c>
      <c r="L122" s="142"/>
      <c r="M122" s="141">
        <f>ROUND(+K122*D$9,2)</f>
        <v>1.49</v>
      </c>
      <c r="N122" s="141"/>
      <c r="O122" s="141">
        <f>H122+J122+M122</f>
        <v>6.4</v>
      </c>
      <c r="P122" s="241" t="s">
        <v>973</v>
      </c>
      <c r="Q122" s="133"/>
      <c r="R122" s="133"/>
      <c r="S122" s="133"/>
      <c r="T122" s="133"/>
      <c r="U122" s="133"/>
      <c r="V122" s="133"/>
      <c r="W122" s="133"/>
    </row>
    <row r="123" spans="1:23" ht="15.75" thickBot="1">
      <c r="A123" s="145"/>
      <c r="B123" s="145">
        <f>2*69</f>
        <v>138</v>
      </c>
      <c r="C123" s="214">
        <f>B123/1000</f>
        <v>0.13800000000000001</v>
      </c>
      <c r="D123" s="215">
        <v>0</v>
      </c>
      <c r="E123" s="214">
        <f>(+C123*D123)+C123</f>
        <v>0.13800000000000001</v>
      </c>
      <c r="F123" s="34">
        <f>ROUND((+$E123*12)/12,0)</f>
        <v>0</v>
      </c>
      <c r="G123" s="240" t="s">
        <v>973</v>
      </c>
      <c r="H123" s="141">
        <f>ROUND(+E123*D$7,2)</f>
        <v>1.29</v>
      </c>
      <c r="I123" s="142">
        <f>ROUND(IF((E123*200)&gt;F123,F123,(E123*200)),0)</f>
        <v>0</v>
      </c>
      <c r="J123" s="141">
        <f>ROUND(+I123*D$8,2)</f>
        <v>0</v>
      </c>
      <c r="K123" s="142">
        <f>F123-I123</f>
        <v>0</v>
      </c>
      <c r="L123" s="142"/>
      <c r="M123" s="141">
        <f>ROUND(+K123*D$9,2)</f>
        <v>0</v>
      </c>
      <c r="N123" s="141"/>
      <c r="O123" s="242">
        <f>H123+J123+M123</f>
        <v>1.29</v>
      </c>
      <c r="P123" s="241" t="s">
        <v>973</v>
      </c>
      <c r="Q123" s="133"/>
      <c r="R123" s="133"/>
      <c r="S123" s="133"/>
      <c r="T123" s="133"/>
      <c r="U123" s="133"/>
      <c r="V123" s="133"/>
      <c r="W123" s="133"/>
    </row>
    <row r="124" spans="1:23" ht="16.5" thickBot="1">
      <c r="A124" s="145"/>
      <c r="B124" s="133"/>
      <c r="C124" s="133"/>
      <c r="D124" s="133"/>
      <c r="E124" s="133"/>
      <c r="F124" s="243">
        <f>SUM(F121:F123)</f>
        <v>93</v>
      </c>
      <c r="G124" s="133"/>
      <c r="H124" s="133"/>
      <c r="I124" s="133"/>
      <c r="J124" s="133"/>
      <c r="K124" s="133"/>
      <c r="L124" s="133"/>
      <c r="M124" s="133"/>
      <c r="N124" s="133"/>
      <c r="O124" s="52">
        <f>SUM(O121:O123)</f>
        <v>12.5</v>
      </c>
      <c r="P124" s="133"/>
      <c r="Q124" s="221" t="s">
        <v>165</v>
      </c>
      <c r="R124" s="133"/>
      <c r="S124" s="133"/>
      <c r="T124" s="133"/>
      <c r="U124" s="133"/>
      <c r="V124" s="133"/>
      <c r="W124" s="133"/>
    </row>
    <row r="125" spans="1:23">
      <c r="A125" s="145"/>
      <c r="B125" s="145"/>
      <c r="C125" s="214"/>
      <c r="D125" s="215"/>
      <c r="E125" s="214"/>
      <c r="F125" s="142"/>
      <c r="G125" s="216"/>
      <c r="H125" s="141"/>
      <c r="I125" s="142"/>
      <c r="J125" s="141"/>
      <c r="K125" s="142"/>
      <c r="L125" s="142"/>
      <c r="M125" s="141"/>
      <c r="N125" s="141"/>
      <c r="O125" s="141"/>
      <c r="P125" s="141"/>
      <c r="Q125" s="133"/>
      <c r="R125" s="133"/>
      <c r="S125" s="133"/>
      <c r="T125" s="133"/>
      <c r="U125" s="133"/>
      <c r="V125" s="133"/>
      <c r="W125" s="133"/>
    </row>
    <row r="126" spans="1:23">
      <c r="A126" s="145">
        <v>361</v>
      </c>
      <c r="B126" s="145">
        <v>175</v>
      </c>
      <c r="C126" s="214">
        <f>B126/1000</f>
        <v>0.17499999999999999</v>
      </c>
      <c r="D126" s="215">
        <v>0</v>
      </c>
      <c r="E126" s="214">
        <f>(+C126*D126)+C126</f>
        <v>0.17499999999999999</v>
      </c>
      <c r="F126" s="142">
        <f>ROUND((+$E126*4000)/12,0)</f>
        <v>58</v>
      </c>
      <c r="G126" s="240" t="s">
        <v>973</v>
      </c>
      <c r="H126" s="141">
        <f>ROUND(+E126*D$7,2)</f>
        <v>1.63</v>
      </c>
      <c r="I126" s="142">
        <f>ROUND(IF((E126*200)&gt;F126,F126,(E126*200)),0)</f>
        <v>35</v>
      </c>
      <c r="J126" s="141">
        <f>ROUND(+I126*D$8,2)</f>
        <v>3.74</v>
      </c>
      <c r="K126" s="142">
        <f>F126-I126</f>
        <v>23</v>
      </c>
      <c r="L126" s="240" t="s">
        <v>973</v>
      </c>
      <c r="M126" s="141">
        <f>ROUND(+K126*D$9,2)</f>
        <v>1.63</v>
      </c>
      <c r="N126" s="240" t="s">
        <v>973</v>
      </c>
      <c r="O126" s="141">
        <f>H126+J126+M126</f>
        <v>7</v>
      </c>
      <c r="P126" s="241" t="s">
        <v>973</v>
      </c>
      <c r="Q126" s="133"/>
      <c r="R126" s="133"/>
      <c r="S126" s="133"/>
      <c r="T126" s="133"/>
      <c r="U126" s="133"/>
      <c r="V126" s="133"/>
      <c r="W126" s="133"/>
    </row>
    <row r="127" spans="1:23" ht="15.75" thickBot="1">
      <c r="A127" s="133"/>
      <c r="B127" s="145">
        <v>120</v>
      </c>
      <c r="C127" s="214">
        <f>B127/1000</f>
        <v>0.12</v>
      </c>
      <c r="D127" s="215">
        <v>0</v>
      </c>
      <c r="E127" s="214">
        <f>(+C127*D127)+C127</f>
        <v>0.12</v>
      </c>
      <c r="F127" s="142">
        <f>ROUND((+$E127*1200)/12,0)</f>
        <v>12</v>
      </c>
      <c r="G127" s="240" t="s">
        <v>973</v>
      </c>
      <c r="H127" s="141">
        <f>ROUND(+E127*D$7,2)</f>
        <v>1.1200000000000001</v>
      </c>
      <c r="I127" s="142">
        <f>ROUND(IF((E127*200)&gt;F127,F127,(E127*200)),0)</f>
        <v>12</v>
      </c>
      <c r="J127" s="141">
        <f>ROUND(+I127*D$8,2)</f>
        <v>1.28</v>
      </c>
      <c r="K127" s="142">
        <f>F127-I127</f>
        <v>0</v>
      </c>
      <c r="L127" s="240" t="s">
        <v>973</v>
      </c>
      <c r="M127" s="141">
        <f>ROUND(+K127*D$9,2)</f>
        <v>0</v>
      </c>
      <c r="N127" s="240" t="s">
        <v>973</v>
      </c>
      <c r="O127" s="242">
        <f>H127+J127+M127</f>
        <v>2.4000000000000004</v>
      </c>
      <c r="P127" s="241" t="s">
        <v>973</v>
      </c>
      <c r="Q127" s="133"/>
      <c r="R127" s="133"/>
      <c r="S127" s="133"/>
      <c r="T127" s="133"/>
      <c r="U127" s="133"/>
      <c r="V127" s="133"/>
      <c r="W127" s="133"/>
    </row>
    <row r="128" spans="1:23" ht="16.5" thickBot="1">
      <c r="A128" s="133"/>
      <c r="B128" s="133"/>
      <c r="C128" s="133"/>
      <c r="D128" s="133"/>
      <c r="E128" s="133"/>
      <c r="F128" s="243">
        <f>SUM(F126:F127)</f>
        <v>70</v>
      </c>
      <c r="G128" s="133"/>
      <c r="H128" s="133"/>
      <c r="I128" s="133"/>
      <c r="J128" s="133"/>
      <c r="K128" s="133"/>
      <c r="L128" s="133"/>
      <c r="M128" s="133"/>
      <c r="N128" s="133"/>
      <c r="O128" s="52">
        <f>SUM(O126:O127)</f>
        <v>9.4</v>
      </c>
      <c r="P128" s="133"/>
      <c r="Q128" s="221" t="s">
        <v>166</v>
      </c>
      <c r="R128" s="133"/>
      <c r="S128" s="133"/>
      <c r="T128" s="133"/>
      <c r="U128" s="133"/>
      <c r="V128" s="133"/>
      <c r="W128" s="133"/>
    </row>
    <row r="129" spans="1:23" ht="15.75" thickBot="1">
      <c r="A129" s="145"/>
      <c r="B129" s="145"/>
      <c r="C129" s="214"/>
      <c r="D129" s="215"/>
      <c r="E129" s="214"/>
      <c r="F129" s="142"/>
      <c r="G129" s="216"/>
      <c r="H129" s="141"/>
      <c r="I129" s="142"/>
      <c r="J129" s="141"/>
      <c r="K129" s="142"/>
      <c r="L129" s="142"/>
      <c r="M129" s="141"/>
      <c r="N129" s="141"/>
      <c r="O129" s="141"/>
      <c r="P129" s="141"/>
      <c r="Q129" s="133"/>
      <c r="R129" s="133"/>
      <c r="S129" s="133"/>
      <c r="T129" s="133"/>
      <c r="U129" s="133"/>
      <c r="V129" s="133"/>
      <c r="W129" s="133"/>
    </row>
    <row r="130" spans="1:23" ht="16.5" thickBot="1">
      <c r="A130" s="145">
        <v>362</v>
      </c>
      <c r="B130" s="145">
        <f>175*2</f>
        <v>350</v>
      </c>
      <c r="C130" s="214">
        <f>B130/1000</f>
        <v>0.35</v>
      </c>
      <c r="D130" s="215">
        <v>0.1</v>
      </c>
      <c r="E130" s="214">
        <f>(+C130*D130)+C130</f>
        <v>0.38499999999999995</v>
      </c>
      <c r="F130" s="231">
        <f>ROUND((+$E130*4000)/12,0)</f>
        <v>128</v>
      </c>
      <c r="G130" s="240" t="s">
        <v>973</v>
      </c>
      <c r="H130" s="141">
        <f>ROUND(+E130*D$7,2)</f>
        <v>3.6</v>
      </c>
      <c r="I130" s="142">
        <f>ROUND(IF((E130*200)&gt;F130,F130,(E130*200)),0)</f>
        <v>77</v>
      </c>
      <c r="J130" s="141">
        <f>ROUND(+I130*D$8,2)</f>
        <v>8.2200000000000006</v>
      </c>
      <c r="K130" s="142">
        <f>F130-I130</f>
        <v>51</v>
      </c>
      <c r="L130" s="240" t="s">
        <v>973</v>
      </c>
      <c r="M130" s="141">
        <f>ROUND(+K130*D$9,2)</f>
        <v>3.62</v>
      </c>
      <c r="N130" s="240" t="s">
        <v>973</v>
      </c>
      <c r="O130" s="217">
        <f>H130+J130+M130</f>
        <v>15.440000000000001</v>
      </c>
      <c r="P130" s="244" t="s">
        <v>973</v>
      </c>
      <c r="Q130" s="133"/>
      <c r="R130" s="133"/>
      <c r="S130" s="133"/>
      <c r="T130" s="133"/>
      <c r="U130" s="133"/>
      <c r="V130" s="133"/>
      <c r="W130" s="133"/>
    </row>
    <row r="131" spans="1:23" ht="15.75">
      <c r="A131" s="145"/>
      <c r="B131" s="145"/>
      <c r="C131" s="214"/>
      <c r="D131" s="215"/>
      <c r="E131" s="214"/>
      <c r="F131" s="151"/>
      <c r="G131" s="240"/>
      <c r="H131" s="141"/>
      <c r="I131" s="142"/>
      <c r="J131" s="141"/>
      <c r="K131" s="142"/>
      <c r="L131" s="240"/>
      <c r="M131" s="141"/>
      <c r="N131" s="240"/>
      <c r="O131" s="239"/>
      <c r="P131" s="244"/>
      <c r="Q131" s="133"/>
      <c r="R131" s="133"/>
      <c r="S131" s="133"/>
      <c r="T131" s="133"/>
      <c r="U131" s="133"/>
      <c r="V131" s="133"/>
      <c r="W131" s="133"/>
    </row>
    <row r="132" spans="1:23">
      <c r="A132" s="145">
        <v>363</v>
      </c>
      <c r="B132" s="145">
        <v>500</v>
      </c>
      <c r="C132" s="214">
        <f>B132/1000</f>
        <v>0.5</v>
      </c>
      <c r="D132" s="215">
        <v>0.1</v>
      </c>
      <c r="E132" s="214">
        <f>(+C132*D132)+C132</f>
        <v>0.55000000000000004</v>
      </c>
      <c r="F132" s="142">
        <f>ROUND((+$E132*4000)/12,0)</f>
        <v>183</v>
      </c>
      <c r="G132" s="240" t="s">
        <v>973</v>
      </c>
      <c r="H132" s="141">
        <f>ROUND(+E132*D$7,2)</f>
        <v>5.14</v>
      </c>
      <c r="I132" s="142">
        <f>ROUND(IF((E132*200)&gt;F132,F132,(E132*200)),0)</f>
        <v>110</v>
      </c>
      <c r="J132" s="141">
        <f>ROUND(+I132*D$8,2)</f>
        <v>11.75</v>
      </c>
      <c r="K132" s="142">
        <f>F132-I132</f>
        <v>73</v>
      </c>
      <c r="L132" s="240" t="s">
        <v>973</v>
      </c>
      <c r="M132" s="141">
        <f>ROUND(+K132*D$9,2)</f>
        <v>5.18</v>
      </c>
      <c r="N132" s="240" t="s">
        <v>973</v>
      </c>
      <c r="O132" s="229">
        <f>H132+J132+M132</f>
        <v>22.07</v>
      </c>
      <c r="P132" s="241" t="s">
        <v>973</v>
      </c>
      <c r="Q132" s="133"/>
      <c r="R132" s="133"/>
      <c r="S132" s="133"/>
      <c r="T132" s="133"/>
      <c r="U132" s="133"/>
      <c r="V132" s="133"/>
      <c r="W132" s="133"/>
    </row>
    <row r="133" spans="1:23">
      <c r="A133" s="133"/>
      <c r="B133" s="145">
        <v>350</v>
      </c>
      <c r="C133" s="214">
        <f>B133/1000</f>
        <v>0.35</v>
      </c>
      <c r="D133" s="215">
        <v>0.1</v>
      </c>
      <c r="E133" s="214">
        <f>(+C133*D133)+C133</f>
        <v>0.38499999999999995</v>
      </c>
      <c r="F133" s="142">
        <f>ROUND((+$E133*4000)/12,0)</f>
        <v>128</v>
      </c>
      <c r="G133" s="240" t="s">
        <v>973</v>
      </c>
      <c r="H133" s="141">
        <f>ROUND(+E133*D$7,2)</f>
        <v>3.6</v>
      </c>
      <c r="I133" s="142">
        <f>ROUND(IF((E133*200)&gt;F133,F133,(E133*200)),0)</f>
        <v>77</v>
      </c>
      <c r="J133" s="141">
        <f>ROUND(+I133*D$8,2)</f>
        <v>8.2200000000000006</v>
      </c>
      <c r="K133" s="142">
        <f>F133-I133</f>
        <v>51</v>
      </c>
      <c r="L133" s="240" t="s">
        <v>973</v>
      </c>
      <c r="M133" s="141">
        <f>ROUND(+K133*D$9,2)</f>
        <v>3.62</v>
      </c>
      <c r="N133" s="240" t="s">
        <v>973</v>
      </c>
      <c r="O133" s="229">
        <f>H133+J133+M133</f>
        <v>15.440000000000001</v>
      </c>
      <c r="P133" s="241" t="s">
        <v>973</v>
      </c>
      <c r="Q133" s="133"/>
      <c r="R133" s="133"/>
      <c r="S133" s="133"/>
      <c r="T133" s="133"/>
      <c r="U133" s="133"/>
      <c r="V133" s="133"/>
      <c r="W133" s="133"/>
    </row>
    <row r="134" spans="1:23" ht="15.75" thickBot="1">
      <c r="A134" s="133"/>
      <c r="B134" s="145">
        <v>276</v>
      </c>
      <c r="C134" s="214">
        <f>B134/1000</f>
        <v>0.27600000000000002</v>
      </c>
      <c r="D134" s="215">
        <v>0.1</v>
      </c>
      <c r="E134" s="214">
        <f>(+C134*D134)+C134</f>
        <v>0.30360000000000004</v>
      </c>
      <c r="F134" s="142">
        <f>ROUND((+$E134*12)/12,0)</f>
        <v>0</v>
      </c>
      <c r="G134" s="240" t="s">
        <v>973</v>
      </c>
      <c r="H134" s="141">
        <f>ROUND(+E134*D$7,2)</f>
        <v>2.84</v>
      </c>
      <c r="I134" s="142">
        <f>ROUND(IF((E134*200)&gt;F134,F134,(E134*200)),0)</f>
        <v>0</v>
      </c>
      <c r="J134" s="141">
        <f>ROUND(+I134*D$8,2)</f>
        <v>0</v>
      </c>
      <c r="K134" s="142">
        <f>F134-I134</f>
        <v>0</v>
      </c>
      <c r="L134" s="240" t="s">
        <v>973</v>
      </c>
      <c r="M134" s="141">
        <f>ROUND(+K134*D$9,2)</f>
        <v>0</v>
      </c>
      <c r="N134" s="240" t="s">
        <v>973</v>
      </c>
      <c r="O134" s="245">
        <f>H134+J134+M134</f>
        <v>2.84</v>
      </c>
      <c r="P134" s="241" t="s">
        <v>973</v>
      </c>
      <c r="Q134" s="133"/>
      <c r="R134" s="133"/>
      <c r="S134" s="133"/>
      <c r="T134" s="133"/>
      <c r="U134" s="133"/>
      <c r="V134" s="133"/>
      <c r="W134" s="133"/>
    </row>
    <row r="135" spans="1:23" ht="16.5" thickBot="1">
      <c r="A135" s="133"/>
      <c r="B135" s="145"/>
      <c r="C135" s="214"/>
      <c r="D135" s="215"/>
      <c r="E135" s="214"/>
      <c r="F135" s="243">
        <f>SUM(F132:F134)</f>
        <v>311</v>
      </c>
      <c r="G135" s="240"/>
      <c r="H135" s="141"/>
      <c r="I135" s="142"/>
      <c r="J135" s="141"/>
      <c r="K135" s="142"/>
      <c r="L135" s="240"/>
      <c r="M135" s="141"/>
      <c r="N135" s="246"/>
      <c r="O135" s="220">
        <f>SUM(O132:O134)</f>
        <v>40.350000000000009</v>
      </c>
      <c r="P135" s="133"/>
      <c r="Q135" s="133"/>
      <c r="R135" s="133"/>
      <c r="S135" s="133"/>
      <c r="T135" s="133"/>
      <c r="U135" s="133"/>
      <c r="V135" s="133"/>
      <c r="W135" s="133"/>
    </row>
    <row r="136" spans="1:23" ht="16.5" thickBot="1">
      <c r="A136" s="133"/>
      <c r="B136" s="145"/>
      <c r="C136" s="214"/>
      <c r="D136" s="215"/>
      <c r="E136" s="214"/>
      <c r="F136" s="247"/>
      <c r="G136" s="240"/>
      <c r="H136" s="141"/>
      <c r="I136" s="142"/>
      <c r="J136" s="141"/>
      <c r="K136" s="142"/>
      <c r="L136" s="240"/>
      <c r="M136" s="141"/>
      <c r="N136" s="246"/>
      <c r="O136" s="220"/>
      <c r="P136" s="133"/>
      <c r="Q136" s="133"/>
      <c r="R136" s="133"/>
      <c r="S136" s="133"/>
      <c r="T136" s="133"/>
      <c r="U136" s="133"/>
      <c r="V136" s="133"/>
      <c r="W136" s="133"/>
    </row>
    <row r="137" spans="1:23" ht="16.5" thickBot="1">
      <c r="A137" s="145">
        <v>364</v>
      </c>
      <c r="B137" s="145">
        <v>912</v>
      </c>
      <c r="C137" s="214">
        <f t="shared" ref="C137:C142" si="107">B137/1000</f>
        <v>0.91200000000000003</v>
      </c>
      <c r="D137" s="215">
        <v>0.1</v>
      </c>
      <c r="E137" s="214">
        <f t="shared" ref="E137:E142" si="108">(+C137*D137)+C137</f>
        <v>1.0032000000000001</v>
      </c>
      <c r="F137" s="231">
        <f>ROUND((+$E137*4000)/12,0)</f>
        <v>334</v>
      </c>
      <c r="G137" s="240" t="s">
        <v>973</v>
      </c>
      <c r="H137" s="141">
        <f t="shared" ref="H137:H142" si="109">ROUND(+E137*D$7,2)</f>
        <v>9.3699999999999992</v>
      </c>
      <c r="I137" s="142">
        <f>ROUND(IF((E137*200)&gt;F137,F137,(E137*200)),0)</f>
        <v>201</v>
      </c>
      <c r="J137" s="141">
        <f t="shared" ref="J137:J142" si="110">ROUND(+I137*D$8,2)</f>
        <v>21.47</v>
      </c>
      <c r="K137" s="142">
        <f t="shared" ref="K137:K142" si="111">F137-I137</f>
        <v>133</v>
      </c>
      <c r="L137" s="240" t="s">
        <v>973</v>
      </c>
      <c r="M137" s="141">
        <f t="shared" ref="M137:M142" si="112">ROUND(+K137*D$9,2)</f>
        <v>9.43</v>
      </c>
      <c r="N137" s="240" t="s">
        <v>973</v>
      </c>
      <c r="O137" s="217">
        <f t="shared" ref="O137:O142" si="113">H137+J137+M137</f>
        <v>40.269999999999996</v>
      </c>
      <c r="P137" s="241" t="s">
        <v>973</v>
      </c>
      <c r="Q137" s="133"/>
      <c r="R137" s="133"/>
      <c r="S137" s="133"/>
      <c r="T137" s="133"/>
      <c r="U137" s="133"/>
      <c r="V137" s="133"/>
      <c r="W137" s="133"/>
    </row>
    <row r="138" spans="1:23" ht="16.5" thickBot="1">
      <c r="A138" s="145">
        <v>365</v>
      </c>
      <c r="B138" s="145">
        <v>701</v>
      </c>
      <c r="C138" s="214">
        <f t="shared" si="107"/>
        <v>0.70099999999999996</v>
      </c>
      <c r="D138" s="215">
        <v>0.17399999999999999</v>
      </c>
      <c r="E138" s="214">
        <f t="shared" si="108"/>
        <v>0.82297399999999998</v>
      </c>
      <c r="F138" s="231">
        <v>265</v>
      </c>
      <c r="G138" s="240" t="s">
        <v>973</v>
      </c>
      <c r="H138" s="141">
        <f t="shared" si="109"/>
        <v>7.69</v>
      </c>
      <c r="I138" s="142">
        <v>165</v>
      </c>
      <c r="J138" s="141">
        <f t="shared" si="110"/>
        <v>17.62</v>
      </c>
      <c r="K138" s="142">
        <f t="shared" si="111"/>
        <v>100</v>
      </c>
      <c r="L138" s="240" t="s">
        <v>973</v>
      </c>
      <c r="M138" s="141">
        <f t="shared" si="112"/>
        <v>7.09</v>
      </c>
      <c r="N138" s="240" t="s">
        <v>973</v>
      </c>
      <c r="O138" s="217">
        <f t="shared" si="113"/>
        <v>32.400000000000006</v>
      </c>
      <c r="P138" s="241" t="s">
        <v>973</v>
      </c>
      <c r="Q138" s="133"/>
      <c r="R138" s="133"/>
      <c r="S138" s="133"/>
      <c r="T138" s="133"/>
      <c r="U138" s="133"/>
      <c r="V138" s="133"/>
      <c r="W138" s="133"/>
    </row>
    <row r="139" spans="1:23" ht="16.5" thickBot="1">
      <c r="A139" s="145">
        <v>366</v>
      </c>
      <c r="B139" s="145">
        <v>650</v>
      </c>
      <c r="C139" s="214">
        <f t="shared" si="107"/>
        <v>0.65</v>
      </c>
      <c r="D139" s="215">
        <v>0.1</v>
      </c>
      <c r="E139" s="214">
        <f t="shared" si="108"/>
        <v>0.71500000000000008</v>
      </c>
      <c r="F139" s="231">
        <f>ROUND((+$E139*4000)/12,0)</f>
        <v>238</v>
      </c>
      <c r="G139" s="240" t="s">
        <v>973</v>
      </c>
      <c r="H139" s="141">
        <f t="shared" si="109"/>
        <v>6.68</v>
      </c>
      <c r="I139" s="142">
        <f>ROUND(IF((E139*200)&gt;F139,F139,(E139*200)),0)</f>
        <v>143</v>
      </c>
      <c r="J139" s="141">
        <f t="shared" si="110"/>
        <v>15.27</v>
      </c>
      <c r="K139" s="142">
        <f t="shared" si="111"/>
        <v>95</v>
      </c>
      <c r="L139" s="240" t="s">
        <v>973</v>
      </c>
      <c r="M139" s="141">
        <f t="shared" si="112"/>
        <v>6.74</v>
      </c>
      <c r="N139" s="240" t="s">
        <v>973</v>
      </c>
      <c r="O139" s="217">
        <f t="shared" si="113"/>
        <v>28.689999999999998</v>
      </c>
      <c r="P139" s="241" t="s">
        <v>973</v>
      </c>
      <c r="Q139" s="133"/>
      <c r="R139" s="133"/>
      <c r="S139" s="133"/>
      <c r="T139" s="133"/>
      <c r="U139" s="133"/>
      <c r="V139" s="133"/>
      <c r="W139" s="133"/>
    </row>
    <row r="140" spans="1:23" ht="16.5" thickBot="1">
      <c r="A140" s="145">
        <v>367</v>
      </c>
      <c r="B140" s="145">
        <v>590</v>
      </c>
      <c r="C140" s="214">
        <f t="shared" si="107"/>
        <v>0.59</v>
      </c>
      <c r="D140" s="215">
        <v>0.1</v>
      </c>
      <c r="E140" s="214">
        <f t="shared" si="108"/>
        <v>0.64900000000000002</v>
      </c>
      <c r="F140" s="231">
        <f>ROUND((+$E140*4000)/12,0)</f>
        <v>216</v>
      </c>
      <c r="G140" s="240" t="s">
        <v>973</v>
      </c>
      <c r="H140" s="141">
        <f t="shared" si="109"/>
        <v>6.06</v>
      </c>
      <c r="I140" s="142">
        <f>ROUND(IF((E140*200)&gt;F140,F140,(E140*200)),0)</f>
        <v>130</v>
      </c>
      <c r="J140" s="141">
        <f t="shared" si="110"/>
        <v>13.88</v>
      </c>
      <c r="K140" s="142">
        <f t="shared" si="111"/>
        <v>86</v>
      </c>
      <c r="L140" s="240" t="s">
        <v>973</v>
      </c>
      <c r="M140" s="141">
        <f t="shared" si="112"/>
        <v>6.1</v>
      </c>
      <c r="N140" s="240" t="s">
        <v>973</v>
      </c>
      <c r="O140" s="217">
        <f t="shared" si="113"/>
        <v>26.04</v>
      </c>
      <c r="P140" s="241" t="s">
        <v>973</v>
      </c>
      <c r="Q140" s="133"/>
      <c r="R140" s="133"/>
      <c r="S140" s="133"/>
      <c r="T140" s="133"/>
      <c r="U140" s="133"/>
      <c r="V140" s="133"/>
      <c r="W140" s="133"/>
    </row>
    <row r="141" spans="1:23" ht="16.5" thickBot="1">
      <c r="A141" s="145">
        <v>368</v>
      </c>
      <c r="B141" s="145">
        <v>250</v>
      </c>
      <c r="C141" s="214">
        <f t="shared" si="107"/>
        <v>0.25</v>
      </c>
      <c r="D141" s="215">
        <v>0.1</v>
      </c>
      <c r="E141" s="214">
        <f t="shared" si="108"/>
        <v>0.27500000000000002</v>
      </c>
      <c r="F141" s="231">
        <f>ROUND((+$E141*4000)/12,0)</f>
        <v>92</v>
      </c>
      <c r="G141" s="240" t="s">
        <v>973</v>
      </c>
      <c r="H141" s="141">
        <f t="shared" si="109"/>
        <v>2.57</v>
      </c>
      <c r="I141" s="142">
        <f>ROUND(IF((E141*200)&gt;F141,F141,(E141*200)),0)</f>
        <v>55</v>
      </c>
      <c r="J141" s="141">
        <f t="shared" si="110"/>
        <v>5.87</v>
      </c>
      <c r="K141" s="142">
        <f t="shared" si="111"/>
        <v>37</v>
      </c>
      <c r="L141" s="240" t="s">
        <v>973</v>
      </c>
      <c r="M141" s="141">
        <f t="shared" si="112"/>
        <v>2.62</v>
      </c>
      <c r="N141" s="240" t="s">
        <v>973</v>
      </c>
      <c r="O141" s="217">
        <f t="shared" si="113"/>
        <v>11.059999999999999</v>
      </c>
      <c r="P141" s="241" t="s">
        <v>973</v>
      </c>
      <c r="Q141" s="133"/>
      <c r="R141" s="133"/>
      <c r="S141" s="133"/>
      <c r="T141" s="133"/>
      <c r="U141" s="133"/>
      <c r="V141" s="133"/>
      <c r="W141" s="133"/>
    </row>
    <row r="142" spans="1:23" ht="16.5" thickBot="1">
      <c r="A142" s="145">
        <v>369</v>
      </c>
      <c r="B142" s="145">
        <v>175</v>
      </c>
      <c r="C142" s="214">
        <f t="shared" si="107"/>
        <v>0.17499999999999999</v>
      </c>
      <c r="D142" s="215">
        <v>0.1</v>
      </c>
      <c r="E142" s="214">
        <f t="shared" si="108"/>
        <v>0.19249999999999998</v>
      </c>
      <c r="F142" s="231">
        <f>ROUND((+$E142*4000)/12,0)</f>
        <v>64</v>
      </c>
      <c r="G142" s="240" t="s">
        <v>973</v>
      </c>
      <c r="H142" s="141">
        <f t="shared" si="109"/>
        <v>1.8</v>
      </c>
      <c r="I142" s="142">
        <f>ROUND(IF((E142*200)&gt;F142,F142,(E142*200)),0)</f>
        <v>39</v>
      </c>
      <c r="J142" s="141">
        <f t="shared" si="110"/>
        <v>4.17</v>
      </c>
      <c r="K142" s="142">
        <f t="shared" si="111"/>
        <v>25</v>
      </c>
      <c r="L142" s="240" t="s">
        <v>973</v>
      </c>
      <c r="M142" s="141">
        <f t="shared" si="112"/>
        <v>1.77</v>
      </c>
      <c r="N142" s="240" t="s">
        <v>973</v>
      </c>
      <c r="O142" s="217">
        <f t="shared" si="113"/>
        <v>7.74</v>
      </c>
      <c r="P142" s="241" t="s">
        <v>973</v>
      </c>
      <c r="Q142" s="133"/>
      <c r="R142" s="133"/>
      <c r="S142" s="133"/>
      <c r="T142" s="133"/>
      <c r="U142" s="133"/>
      <c r="V142" s="133"/>
      <c r="W142" s="133"/>
    </row>
    <row r="143" spans="1:23" ht="15.75" thickBot="1">
      <c r="A143" s="133"/>
      <c r="B143" s="133"/>
      <c r="C143" s="133"/>
      <c r="D143" s="205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</row>
    <row r="144" spans="1:23" ht="16.5" thickBot="1">
      <c r="A144" s="145">
        <v>370</v>
      </c>
      <c r="B144" s="35">
        <v>1500</v>
      </c>
      <c r="C144" s="214">
        <f t="shared" ref="C144:C149" si="114">B144/1000</f>
        <v>1.5</v>
      </c>
      <c r="D144" s="215">
        <v>0</v>
      </c>
      <c r="E144" s="214">
        <f t="shared" ref="E144:E149" si="115">(+C144*D144)+C144</f>
        <v>1.5</v>
      </c>
      <c r="F144" s="231">
        <f>ROUND((+$E144*3.28*365)/12,0)</f>
        <v>150</v>
      </c>
      <c r="G144" s="155">
        <f t="shared" ref="G144:G149" si="116">ROUND((+$E144*8760)/12,0)</f>
        <v>1095</v>
      </c>
      <c r="H144" s="141">
        <f t="shared" ref="H144:H149" si="117">ROUND(+E144*D$7,2)</f>
        <v>14.01</v>
      </c>
      <c r="I144" s="142">
        <f t="shared" ref="I144:I149" si="118">ROUND(IF((E144*200)&gt;F144,F144,(E144*200)),0)</f>
        <v>150</v>
      </c>
      <c r="J144" s="141">
        <f t="shared" ref="J144:J149" si="119">ROUND(+I144*D$8,2)</f>
        <v>16.02</v>
      </c>
      <c r="K144" s="142">
        <f t="shared" ref="K144:K149" si="120">F144-I144</f>
        <v>0</v>
      </c>
      <c r="L144" s="142">
        <f>G144-I144</f>
        <v>945</v>
      </c>
      <c r="M144" s="141">
        <f t="shared" ref="M144:M149" si="121">ROUND(+K144*D$9,2)</f>
        <v>0</v>
      </c>
      <c r="N144" s="141">
        <f>ROUND(+L144*D$9,2)</f>
        <v>67.010000000000005</v>
      </c>
      <c r="O144" s="217">
        <f t="shared" ref="O144:O149" si="122">H144+J144+M144</f>
        <v>30.03</v>
      </c>
      <c r="P144" s="244" t="s">
        <v>973</v>
      </c>
      <c r="Q144" s="133"/>
      <c r="R144" s="133"/>
      <c r="S144" s="133"/>
      <c r="T144" s="133"/>
      <c r="U144" s="133"/>
      <c r="V144" s="133"/>
      <c r="W144" s="133"/>
    </row>
    <row r="145" spans="1:23" ht="16.5" thickBot="1">
      <c r="A145" s="145">
        <v>371</v>
      </c>
      <c r="B145" s="145">
        <v>1500</v>
      </c>
      <c r="C145" s="214">
        <f t="shared" si="114"/>
        <v>1.5</v>
      </c>
      <c r="D145" s="215">
        <v>0</v>
      </c>
      <c r="E145" s="214">
        <f t="shared" si="115"/>
        <v>1.5</v>
      </c>
      <c r="F145" s="231">
        <f>ROUND((+$E145*4.38*365)/12,0)</f>
        <v>200</v>
      </c>
      <c r="G145" s="216">
        <f t="shared" si="116"/>
        <v>1095</v>
      </c>
      <c r="H145" s="141">
        <f t="shared" si="117"/>
        <v>14.01</v>
      </c>
      <c r="I145" s="142">
        <f t="shared" si="118"/>
        <v>200</v>
      </c>
      <c r="J145" s="141">
        <f t="shared" si="119"/>
        <v>21.36</v>
      </c>
      <c r="K145" s="142">
        <f t="shared" si="120"/>
        <v>0</v>
      </c>
      <c r="L145" s="142"/>
      <c r="M145" s="141">
        <f t="shared" si="121"/>
        <v>0</v>
      </c>
      <c r="N145" s="141"/>
      <c r="O145" s="217">
        <f t="shared" si="122"/>
        <v>35.369999999999997</v>
      </c>
      <c r="P145" s="244" t="s">
        <v>973</v>
      </c>
      <c r="Q145" s="133"/>
      <c r="R145" s="133"/>
      <c r="S145" s="133"/>
      <c r="T145" s="133"/>
      <c r="U145" s="133"/>
      <c r="V145" s="133"/>
      <c r="W145" s="133"/>
    </row>
    <row r="146" spans="1:23" ht="16.5" thickBot="1">
      <c r="A146" s="145">
        <v>372</v>
      </c>
      <c r="B146" s="35">
        <v>1500</v>
      </c>
      <c r="C146" s="214">
        <f t="shared" si="114"/>
        <v>1.5</v>
      </c>
      <c r="D146" s="215">
        <v>0</v>
      </c>
      <c r="E146" s="214">
        <f t="shared" si="115"/>
        <v>1.5</v>
      </c>
      <c r="F146" s="231">
        <f>ROUND((+$E146*3.28*365)/12,0)</f>
        <v>150</v>
      </c>
      <c r="G146" s="155">
        <f t="shared" si="116"/>
        <v>1095</v>
      </c>
      <c r="H146" s="141">
        <f t="shared" si="117"/>
        <v>14.01</v>
      </c>
      <c r="I146" s="142">
        <f t="shared" si="118"/>
        <v>150</v>
      </c>
      <c r="J146" s="141">
        <f t="shared" si="119"/>
        <v>16.02</v>
      </c>
      <c r="K146" s="142">
        <f t="shared" si="120"/>
        <v>0</v>
      </c>
      <c r="L146" s="142">
        <f>G146-I146</f>
        <v>945</v>
      </c>
      <c r="M146" s="141">
        <f t="shared" si="121"/>
        <v>0</v>
      </c>
      <c r="N146" s="141">
        <f>ROUND(+L146*D$9,2)</f>
        <v>67.010000000000005</v>
      </c>
      <c r="O146" s="217">
        <f t="shared" si="122"/>
        <v>30.03</v>
      </c>
      <c r="P146" s="244" t="s">
        <v>973</v>
      </c>
      <c r="Q146" s="133"/>
      <c r="R146" s="133"/>
      <c r="S146" s="133"/>
      <c r="T146" s="133"/>
      <c r="U146" s="133"/>
      <c r="V146" s="133"/>
      <c r="W146" s="133"/>
    </row>
    <row r="147" spans="1:23" ht="16.5" thickBot="1">
      <c r="A147" s="145">
        <v>373</v>
      </c>
      <c r="B147" s="35">
        <v>480</v>
      </c>
      <c r="C147" s="214">
        <f t="shared" si="114"/>
        <v>0.48</v>
      </c>
      <c r="D147" s="215">
        <v>0</v>
      </c>
      <c r="E147" s="214">
        <f t="shared" si="115"/>
        <v>0.48</v>
      </c>
      <c r="F147" s="231">
        <f>ROUND((+$E147*3*5*13)/12,0)</f>
        <v>8</v>
      </c>
      <c r="G147" s="232">
        <f t="shared" si="116"/>
        <v>350</v>
      </c>
      <c r="H147" s="154">
        <f t="shared" si="117"/>
        <v>4.4800000000000004</v>
      </c>
      <c r="I147" s="142">
        <f t="shared" si="118"/>
        <v>8</v>
      </c>
      <c r="J147" s="141">
        <f t="shared" si="119"/>
        <v>0.85</v>
      </c>
      <c r="K147" s="142">
        <f t="shared" si="120"/>
        <v>0</v>
      </c>
      <c r="L147" s="142">
        <f>G147-I147</f>
        <v>342</v>
      </c>
      <c r="M147" s="141">
        <f t="shared" si="121"/>
        <v>0</v>
      </c>
      <c r="N147" s="141">
        <f>ROUND(+L147*D$9,2)</f>
        <v>24.25</v>
      </c>
      <c r="O147" s="217">
        <f t="shared" si="122"/>
        <v>5.33</v>
      </c>
      <c r="P147" s="244" t="s">
        <v>973</v>
      </c>
      <c r="Q147" s="133"/>
      <c r="R147" s="133"/>
      <c r="S147" s="133"/>
      <c r="T147" s="133"/>
      <c r="U147" s="133"/>
      <c r="V147" s="133"/>
      <c r="W147" s="133"/>
    </row>
    <row r="148" spans="1:23" ht="16.5" thickBot="1">
      <c r="A148" s="145">
        <v>374</v>
      </c>
      <c r="B148" s="35">
        <v>330</v>
      </c>
      <c r="C148" s="214">
        <f t="shared" si="114"/>
        <v>0.33</v>
      </c>
      <c r="D148" s="215">
        <v>0</v>
      </c>
      <c r="E148" s="214">
        <f t="shared" si="115"/>
        <v>0.33</v>
      </c>
      <c r="F148" s="248">
        <f>ROUND((+$E148*4380)/12,0)</f>
        <v>120</v>
      </c>
      <c r="G148" s="232">
        <f t="shared" si="116"/>
        <v>241</v>
      </c>
      <c r="H148" s="154">
        <f t="shared" si="117"/>
        <v>3.08</v>
      </c>
      <c r="I148" s="142">
        <f t="shared" si="118"/>
        <v>66</v>
      </c>
      <c r="J148" s="141">
        <f t="shared" si="119"/>
        <v>7.05</v>
      </c>
      <c r="K148" s="142">
        <f t="shared" si="120"/>
        <v>54</v>
      </c>
      <c r="L148" s="142">
        <f>G148-I148</f>
        <v>175</v>
      </c>
      <c r="M148" s="141">
        <f t="shared" si="121"/>
        <v>3.83</v>
      </c>
      <c r="N148" s="141">
        <f>ROUND(+L148*D$9,2)</f>
        <v>12.41</v>
      </c>
      <c r="O148" s="217">
        <f t="shared" si="122"/>
        <v>13.959999999999999</v>
      </c>
      <c r="P148" s="244" t="s">
        <v>973</v>
      </c>
      <c r="Q148" s="133"/>
      <c r="R148" s="133"/>
      <c r="S148" s="133"/>
      <c r="T148" s="133"/>
      <c r="U148" s="133"/>
      <c r="V148" s="133"/>
      <c r="W148" s="133"/>
    </row>
    <row r="149" spans="1:23" ht="16.5" thickBot="1">
      <c r="A149" s="145">
        <v>375</v>
      </c>
      <c r="B149" s="35">
        <v>36</v>
      </c>
      <c r="C149" s="214">
        <f t="shared" si="114"/>
        <v>3.5999999999999997E-2</v>
      </c>
      <c r="D149" s="215">
        <v>0</v>
      </c>
      <c r="E149" s="214">
        <f t="shared" si="115"/>
        <v>3.5999999999999997E-2</v>
      </c>
      <c r="F149" s="249">
        <f>ROUND((+$E149*4000)/12,0)</f>
        <v>12</v>
      </c>
      <c r="G149" s="248">
        <f t="shared" si="116"/>
        <v>26</v>
      </c>
      <c r="H149" s="154">
        <f t="shared" si="117"/>
        <v>0.34</v>
      </c>
      <c r="I149" s="142">
        <f t="shared" si="118"/>
        <v>7</v>
      </c>
      <c r="J149" s="141">
        <f t="shared" si="119"/>
        <v>0.75</v>
      </c>
      <c r="K149" s="142">
        <f t="shared" si="120"/>
        <v>5</v>
      </c>
      <c r="L149" s="142">
        <f>G149-I149</f>
        <v>19</v>
      </c>
      <c r="M149" s="141">
        <f t="shared" si="121"/>
        <v>0.35</v>
      </c>
      <c r="N149" s="141">
        <f>ROUND(+L149*D$9,2)</f>
        <v>1.35</v>
      </c>
      <c r="O149" s="217">
        <f t="shared" si="122"/>
        <v>1.44</v>
      </c>
      <c r="P149" s="244" t="s">
        <v>973</v>
      </c>
      <c r="Q149" s="53" t="s">
        <v>167</v>
      </c>
      <c r="R149" s="133"/>
      <c r="S149" s="133"/>
      <c r="T149" s="133"/>
      <c r="U149" s="133"/>
      <c r="V149" s="133"/>
      <c r="W149" s="133"/>
    </row>
    <row r="150" spans="1:23" ht="16.5" thickBot="1">
      <c r="A150" s="145"/>
      <c r="B150" s="35"/>
      <c r="C150" s="214"/>
      <c r="D150" s="215"/>
      <c r="E150" s="214"/>
      <c r="F150" s="250"/>
      <c r="G150" s="251"/>
      <c r="H150" s="154"/>
      <c r="I150" s="142"/>
      <c r="J150" s="141"/>
      <c r="K150" s="142"/>
      <c r="L150" s="142"/>
      <c r="M150" s="141"/>
      <c r="N150" s="141"/>
      <c r="O150" s="217"/>
      <c r="P150" s="244"/>
      <c r="Q150" s="53"/>
      <c r="R150" s="133"/>
      <c r="S150" s="133"/>
      <c r="T150" s="133"/>
      <c r="U150" s="133"/>
      <c r="V150" s="133"/>
      <c r="W150" s="133"/>
    </row>
    <row r="151" spans="1:23" ht="15.75">
      <c r="A151" s="252"/>
      <c r="B151" s="253"/>
      <c r="C151" s="253"/>
      <c r="D151" s="253"/>
      <c r="E151" s="254" t="s">
        <v>135</v>
      </c>
      <c r="F151" s="255" t="s">
        <v>168</v>
      </c>
      <c r="G151" s="256"/>
      <c r="H151" s="133"/>
      <c r="I151" s="133"/>
      <c r="J151" s="133"/>
      <c r="K151" s="133"/>
      <c r="L151" s="133"/>
      <c r="M151" s="133"/>
      <c r="N151" s="133"/>
      <c r="R151" s="133"/>
      <c r="S151" s="133"/>
      <c r="T151" s="133"/>
      <c r="U151" s="133"/>
      <c r="V151" s="133"/>
      <c r="W151" s="133"/>
    </row>
    <row r="152" spans="1:23" ht="15.75">
      <c r="A152" s="257"/>
      <c r="B152" s="258" t="s">
        <v>1002</v>
      </c>
      <c r="C152" s="258" t="s">
        <v>1003</v>
      </c>
      <c r="D152" s="258" t="s">
        <v>169</v>
      </c>
      <c r="E152" s="258" t="s">
        <v>645</v>
      </c>
      <c r="F152" s="258" t="s">
        <v>645</v>
      </c>
      <c r="G152" s="259" t="s">
        <v>1003</v>
      </c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</row>
    <row r="153" spans="1:23" ht="15.75">
      <c r="A153" s="257"/>
      <c r="B153" s="258" t="s">
        <v>645</v>
      </c>
      <c r="C153" s="258" t="s">
        <v>645</v>
      </c>
      <c r="D153" s="260" t="s">
        <v>143</v>
      </c>
      <c r="E153" s="260" t="s">
        <v>143</v>
      </c>
      <c r="F153" s="260" t="s">
        <v>143</v>
      </c>
      <c r="G153" s="259" t="s">
        <v>143</v>
      </c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</row>
    <row r="154" spans="1:23">
      <c r="A154" s="257"/>
      <c r="B154" s="16"/>
      <c r="C154" s="16"/>
      <c r="D154" s="16"/>
      <c r="E154" s="16"/>
      <c r="F154" s="16"/>
      <c r="G154" s="261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</row>
    <row r="155" spans="1:23" ht="15.75">
      <c r="A155" s="257">
        <v>376</v>
      </c>
      <c r="B155" s="262">
        <v>8525</v>
      </c>
      <c r="C155" s="16">
        <f>ROUND(+B155/12,0)</f>
        <v>710</v>
      </c>
      <c r="D155" s="263">
        <f>+P6</f>
        <v>12.65</v>
      </c>
      <c r="E155" s="263">
        <f>ROUND((200*$P$7),2)</f>
        <v>26.74</v>
      </c>
      <c r="F155" s="263">
        <f>ROUND(+((C155-200)*$P$8),2)</f>
        <v>59.99</v>
      </c>
      <c r="G155" s="264">
        <f>SUM(D155:F155)</f>
        <v>99.38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53" t="s">
        <v>170</v>
      </c>
      <c r="R155" s="133"/>
      <c r="S155" s="133"/>
      <c r="T155" s="133"/>
      <c r="U155" s="133"/>
      <c r="V155" s="133"/>
      <c r="W155" s="133"/>
    </row>
    <row r="156" spans="1:23">
      <c r="A156" s="265"/>
      <c r="B156" s="16"/>
      <c r="C156" s="16"/>
      <c r="D156" s="16"/>
      <c r="E156" s="16"/>
      <c r="F156" s="16"/>
      <c r="G156" s="266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</row>
    <row r="157" spans="1:23" ht="16.5" thickBot="1">
      <c r="A157" s="267">
        <v>377</v>
      </c>
      <c r="B157" s="268">
        <f>6*365</f>
        <v>2190</v>
      </c>
      <c r="C157" s="269">
        <f>ROUND(+B157/12,0)</f>
        <v>183</v>
      </c>
      <c r="D157" s="270">
        <f>+P6</f>
        <v>12.65</v>
      </c>
      <c r="E157" s="271">
        <f>ROUND(C157*$P$7,2)</f>
        <v>24.47</v>
      </c>
      <c r="F157" s="270">
        <v>0</v>
      </c>
      <c r="G157" s="272">
        <f>SUM(D157:F157)</f>
        <v>37.119999999999997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53" t="s">
        <v>171</v>
      </c>
      <c r="R157" s="133"/>
      <c r="S157" s="133"/>
      <c r="T157" s="133"/>
      <c r="U157" s="133"/>
      <c r="V157" s="133"/>
      <c r="W157" s="133"/>
    </row>
    <row r="158" spans="1:23" ht="15.75" thickBot="1">
      <c r="A158" s="133"/>
      <c r="B158" s="133"/>
      <c r="C158" s="133"/>
      <c r="D158" s="205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</row>
    <row r="159" spans="1:23" ht="16.5" thickBot="1">
      <c r="A159" s="145">
        <v>378</v>
      </c>
      <c r="B159" s="35">
        <v>2500</v>
      </c>
      <c r="C159" s="214">
        <f>B159/1000</f>
        <v>2.5</v>
      </c>
      <c r="D159" s="215">
        <v>0</v>
      </c>
      <c r="E159" s="214">
        <f>(+C159*D159)+C159</f>
        <v>2.5</v>
      </c>
      <c r="F159" s="232">
        <f>ROUND((+$E159*4000)/12,0)</f>
        <v>833</v>
      </c>
      <c r="G159" s="231">
        <f>ROUND((+$E159*8760)/12,0)</f>
        <v>1825</v>
      </c>
      <c r="H159" s="141">
        <f>ROUND(+E159*D$7,2)</f>
        <v>23.35</v>
      </c>
      <c r="I159" s="142">
        <f>ROUND(IF((E159*200)&gt;F159,F159,(E159*200)),0)</f>
        <v>500</v>
      </c>
      <c r="J159" s="141">
        <f>ROUND(+I159*D$8,2)</f>
        <v>53.4</v>
      </c>
      <c r="K159" s="142">
        <f>F159-I159</f>
        <v>333</v>
      </c>
      <c r="L159" s="142">
        <f>G159-I159</f>
        <v>1325</v>
      </c>
      <c r="M159" s="141">
        <f>ROUND(+K159*D$9,2)</f>
        <v>23.61</v>
      </c>
      <c r="N159" s="141">
        <f>ROUND(+L159*D$9,2)</f>
        <v>93.95</v>
      </c>
      <c r="O159" s="273">
        <f>H159+J159+M159</f>
        <v>100.36</v>
      </c>
      <c r="P159" s="217">
        <f>H159+J159+N159</f>
        <v>170.7</v>
      </c>
      <c r="Q159" s="133"/>
      <c r="R159" s="133"/>
      <c r="S159" s="133"/>
      <c r="T159" s="133"/>
      <c r="U159" s="133"/>
      <c r="V159" s="133"/>
      <c r="W159" s="133"/>
    </row>
    <row r="160" spans="1:23" ht="15.75" thickBot="1">
      <c r="A160" s="133"/>
      <c r="B160" s="133"/>
      <c r="C160" s="133"/>
      <c r="D160" s="205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</row>
    <row r="161" spans="1:23" ht="15.75">
      <c r="A161" s="252"/>
      <c r="B161" s="253"/>
      <c r="C161" s="253"/>
      <c r="D161" s="253"/>
      <c r="E161" s="254" t="s">
        <v>135</v>
      </c>
      <c r="F161" s="255" t="s">
        <v>168</v>
      </c>
      <c r="G161" s="256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</row>
    <row r="162" spans="1:23" ht="15.75">
      <c r="A162" s="257"/>
      <c r="B162" s="258" t="s">
        <v>1002</v>
      </c>
      <c r="C162" s="258" t="s">
        <v>1003</v>
      </c>
      <c r="D162" s="258" t="s">
        <v>169</v>
      </c>
      <c r="E162" s="258" t="s">
        <v>645</v>
      </c>
      <c r="F162" s="258" t="s">
        <v>645</v>
      </c>
      <c r="G162" s="259" t="s">
        <v>1003</v>
      </c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</row>
    <row r="163" spans="1:23" ht="15.75">
      <c r="A163" s="257"/>
      <c r="B163" s="258" t="s">
        <v>645</v>
      </c>
      <c r="C163" s="258" t="s">
        <v>645</v>
      </c>
      <c r="D163" s="260" t="s">
        <v>143</v>
      </c>
      <c r="E163" s="260" t="s">
        <v>143</v>
      </c>
      <c r="F163" s="260" t="s">
        <v>143</v>
      </c>
      <c r="G163" s="259" t="s">
        <v>143</v>
      </c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</row>
    <row r="164" spans="1:23">
      <c r="A164" s="257"/>
      <c r="B164" s="16"/>
      <c r="C164" s="16"/>
      <c r="D164" s="16"/>
      <c r="E164" s="16"/>
      <c r="F164" s="16"/>
      <c r="G164" s="261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</row>
    <row r="165" spans="1:23" ht="15.75" thickBot="1">
      <c r="A165" s="267">
        <v>379</v>
      </c>
      <c r="B165" s="268">
        <v>4745</v>
      </c>
      <c r="C165" s="269">
        <f>ROUND(+B165/12,0)</f>
        <v>395</v>
      </c>
      <c r="D165" s="271">
        <f>P6</f>
        <v>12.65</v>
      </c>
      <c r="E165" s="271">
        <f>ROUND((200*$P$7),2)</f>
        <v>26.74</v>
      </c>
      <c r="F165" s="271">
        <f>ROUND(+((C165-200)*$P$8),2)</f>
        <v>22.94</v>
      </c>
      <c r="G165" s="274">
        <f>SUM(D165:F165)</f>
        <v>62.33</v>
      </c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</row>
    <row r="166" spans="1:23" ht="15.75" thickBot="1">
      <c r="A166" s="133"/>
      <c r="B166" s="133"/>
      <c r="C166" s="133"/>
      <c r="D166" s="205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</row>
    <row r="167" spans="1:23" ht="15.75">
      <c r="A167" s="252"/>
      <c r="B167" s="253"/>
      <c r="C167" s="253"/>
      <c r="D167" s="253"/>
      <c r="E167" s="254" t="s">
        <v>135</v>
      </c>
      <c r="F167" s="255" t="s">
        <v>168</v>
      </c>
      <c r="G167" s="256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</row>
    <row r="168" spans="1:23" ht="15.75">
      <c r="A168" s="257"/>
      <c r="B168" s="258" t="s">
        <v>1002</v>
      </c>
      <c r="C168" s="258" t="s">
        <v>1003</v>
      </c>
      <c r="D168" s="258" t="s">
        <v>169</v>
      </c>
      <c r="E168" s="258" t="s">
        <v>645</v>
      </c>
      <c r="F168" s="258" t="s">
        <v>645</v>
      </c>
      <c r="G168" s="259" t="s">
        <v>1003</v>
      </c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</row>
    <row r="169" spans="1:23" ht="15.75">
      <c r="A169" s="257"/>
      <c r="B169" s="258" t="s">
        <v>645</v>
      </c>
      <c r="C169" s="258" t="s">
        <v>645</v>
      </c>
      <c r="D169" s="260" t="s">
        <v>143</v>
      </c>
      <c r="E169" s="260" t="s">
        <v>143</v>
      </c>
      <c r="F169" s="260" t="s">
        <v>143</v>
      </c>
      <c r="G169" s="259" t="s">
        <v>143</v>
      </c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</row>
    <row r="170" spans="1:23">
      <c r="A170" s="257"/>
      <c r="B170" s="16"/>
      <c r="C170" s="16"/>
      <c r="D170" s="16"/>
      <c r="E170" s="16"/>
      <c r="F170" s="16"/>
      <c r="G170" s="261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</row>
    <row r="171" spans="1:23" ht="15.75" thickBot="1">
      <c r="A171" s="267">
        <v>380</v>
      </c>
      <c r="B171" s="268">
        <v>3285</v>
      </c>
      <c r="C171" s="269">
        <f>ROUND(+B171/12,0)</f>
        <v>274</v>
      </c>
      <c r="D171" s="271">
        <f>P6</f>
        <v>12.65</v>
      </c>
      <c r="E171" s="271">
        <f>ROUND((200*$P$7),2)</f>
        <v>26.74</v>
      </c>
      <c r="F171" s="271">
        <f>ROUND(+((C171-200)*$P$8),2)</f>
        <v>8.6999999999999993</v>
      </c>
      <c r="G171" s="274">
        <f>SUM(D171:F171)</f>
        <v>48.09</v>
      </c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</row>
    <row r="172" spans="1:23" ht="15.75">
      <c r="A172" s="145"/>
      <c r="B172" s="35"/>
      <c r="C172" s="214"/>
      <c r="D172" s="215"/>
      <c r="E172" s="214"/>
      <c r="F172" s="275"/>
      <c r="G172" s="155"/>
      <c r="H172" s="141"/>
      <c r="I172" s="142"/>
      <c r="J172" s="141"/>
      <c r="K172" s="142"/>
      <c r="L172" s="142"/>
      <c r="M172" s="141"/>
      <c r="N172" s="141"/>
      <c r="O172" s="239"/>
      <c r="P172" s="244"/>
      <c r="Q172" s="133"/>
      <c r="R172" s="133"/>
      <c r="S172" s="133"/>
      <c r="T172" s="133"/>
      <c r="U172" s="133"/>
      <c r="V172" s="133"/>
      <c r="W172" s="133"/>
    </row>
    <row r="173" spans="1:23">
      <c r="A173" s="145">
        <v>381</v>
      </c>
      <c r="B173" s="35">
        <v>175</v>
      </c>
      <c r="C173" s="214">
        <f>B173/1000</f>
        <v>0.17499999999999999</v>
      </c>
      <c r="D173" s="215">
        <v>0.25</v>
      </c>
      <c r="E173" s="214">
        <f>(+C173*D173)+C173</f>
        <v>0.21875</v>
      </c>
      <c r="F173" s="232">
        <f>ROUND((+$E173*4000)/12,0)</f>
        <v>73</v>
      </c>
      <c r="G173" s="155">
        <f>ROUND((+$E173*8760)/12,0)</f>
        <v>160</v>
      </c>
      <c r="H173" s="141">
        <f>ROUND(+E173*D$7,2)</f>
        <v>2.04</v>
      </c>
      <c r="I173" s="142">
        <f>ROUND(IF((E173*200)&gt;F173,F173,(E173*200)),0)</f>
        <v>44</v>
      </c>
      <c r="J173" s="141">
        <f>ROUND(+I173*D$8,2)</f>
        <v>4.7</v>
      </c>
      <c r="K173" s="142">
        <f>F173-I173</f>
        <v>29</v>
      </c>
      <c r="L173" s="142">
        <f>G173-I173</f>
        <v>116</v>
      </c>
      <c r="M173" s="141">
        <f>ROUND(+K173*D$9,2)</f>
        <v>2.06</v>
      </c>
      <c r="N173" s="141">
        <f>ROUND(+L173*D$9,2)</f>
        <v>8.23</v>
      </c>
      <c r="O173" s="273">
        <f>H173+J173+M173</f>
        <v>8.8000000000000007</v>
      </c>
      <c r="P173" s="244" t="s">
        <v>973</v>
      </c>
      <c r="Q173" s="133"/>
      <c r="R173" s="133"/>
      <c r="S173" s="133"/>
      <c r="T173" s="133"/>
      <c r="U173" s="133"/>
      <c r="V173" s="133"/>
      <c r="W173" s="133"/>
    </row>
    <row r="174" spans="1:23">
      <c r="A174" s="145"/>
      <c r="B174" s="35">
        <v>250</v>
      </c>
      <c r="C174" s="214">
        <f>B174/1000</f>
        <v>0.25</v>
      </c>
      <c r="D174" s="215">
        <v>0.2</v>
      </c>
      <c r="E174" s="214">
        <f>(+C174*D174)+C174</f>
        <v>0.3</v>
      </c>
      <c r="F174" s="232">
        <f>ROUND((+$E174*4000)/12,0)</f>
        <v>100</v>
      </c>
      <c r="G174" s="155">
        <f>ROUND((+$E174*8760)/12,0)</f>
        <v>219</v>
      </c>
      <c r="H174" s="141">
        <f>ROUND(+E174*D$7,2)</f>
        <v>2.8</v>
      </c>
      <c r="I174" s="142">
        <f>ROUND(IF((E174*200)&gt;F174,F174,(E174*200)),0)</f>
        <v>60</v>
      </c>
      <c r="J174" s="141">
        <f>ROUND(+I174*D$8,2)</f>
        <v>6.41</v>
      </c>
      <c r="K174" s="142">
        <f>F174-I174</f>
        <v>40</v>
      </c>
      <c r="L174" s="142">
        <f>G174-I174</f>
        <v>159</v>
      </c>
      <c r="M174" s="141">
        <f>ROUND(+K174*D$9,2)</f>
        <v>2.84</v>
      </c>
      <c r="N174" s="141">
        <f>ROUND(+L174*D$9,2)</f>
        <v>11.27</v>
      </c>
      <c r="O174" s="273">
        <f>H174+J174+M174</f>
        <v>12.05</v>
      </c>
      <c r="P174" s="244" t="s">
        <v>973</v>
      </c>
      <c r="Q174" s="133"/>
      <c r="R174" s="133"/>
      <c r="S174" s="133"/>
      <c r="T174" s="133"/>
      <c r="U174" s="133"/>
      <c r="V174" s="133"/>
      <c r="W174" s="133"/>
    </row>
    <row r="175" spans="1:23" ht="15.75" thickBot="1">
      <c r="A175" s="145"/>
      <c r="B175" s="276">
        <v>138</v>
      </c>
      <c r="C175" s="214">
        <f>B175/1000</f>
        <v>0.13800000000000001</v>
      </c>
      <c r="D175" s="215">
        <v>0.1</v>
      </c>
      <c r="E175" s="214">
        <f>(+C175*D175)+C175</f>
        <v>0.15180000000000002</v>
      </c>
      <c r="F175" s="232">
        <f>ROUND((+$E175*365*20*0.5)/12,0)</f>
        <v>46</v>
      </c>
      <c r="G175" s="155">
        <f>ROUND((+$E175*8760)/12,0)</f>
        <v>111</v>
      </c>
      <c r="H175" s="141">
        <f>ROUND(+E175*D$7,2)</f>
        <v>1.42</v>
      </c>
      <c r="I175" s="142">
        <f>ROUND(IF((E175*200)&gt;F175,F175,(E175*200)),0)</f>
        <v>30</v>
      </c>
      <c r="J175" s="141">
        <f>ROUND(+I175*D$8,2)</f>
        <v>3.2</v>
      </c>
      <c r="K175" s="142">
        <f>F175-I175</f>
        <v>16</v>
      </c>
      <c r="L175" s="142">
        <f>G175-I175</f>
        <v>81</v>
      </c>
      <c r="M175" s="141">
        <f>ROUND(+K175*D$9,2)</f>
        <v>1.1299999999999999</v>
      </c>
      <c r="N175" s="141">
        <f>ROUND(+L175*D$9,2)</f>
        <v>5.74</v>
      </c>
      <c r="O175" s="273">
        <f>H175+J175+M175</f>
        <v>5.75</v>
      </c>
      <c r="P175" s="244" t="s">
        <v>973</v>
      </c>
      <c r="Q175" s="133"/>
      <c r="R175" s="133"/>
      <c r="S175" s="133"/>
      <c r="T175" s="133"/>
      <c r="U175" s="133"/>
      <c r="V175" s="133"/>
      <c r="W175" s="133"/>
    </row>
    <row r="176" spans="1:23" ht="16.5" thickBot="1">
      <c r="A176" s="145"/>
      <c r="B176" s="35">
        <f>SUM(B173:B175)</f>
        <v>563</v>
      </c>
      <c r="C176" s="214"/>
      <c r="D176" s="215"/>
      <c r="E176" s="214"/>
      <c r="F176" s="243">
        <f>SUM(F173:F175)</f>
        <v>219</v>
      </c>
      <c r="G176" s="155"/>
      <c r="H176" s="141"/>
      <c r="I176" s="142"/>
      <c r="J176" s="141"/>
      <c r="K176" s="142"/>
      <c r="L176" s="142"/>
      <c r="M176" s="141"/>
      <c r="N176" s="141"/>
      <c r="O176" s="217">
        <f>SUM(O173:O175)</f>
        <v>26.6</v>
      </c>
      <c r="P176" s="244"/>
      <c r="Q176" s="133"/>
      <c r="R176" s="133"/>
      <c r="S176" s="133"/>
      <c r="T176" s="133"/>
      <c r="U176" s="133"/>
      <c r="V176" s="133"/>
      <c r="W176" s="133"/>
    </row>
    <row r="177" spans="1:23" ht="16.5" thickBot="1">
      <c r="A177" s="145"/>
      <c r="B177" s="35"/>
      <c r="C177" s="214"/>
      <c r="D177" s="215"/>
      <c r="E177" s="214"/>
      <c r="F177" s="275"/>
      <c r="G177" s="155"/>
      <c r="H177" s="141"/>
      <c r="I177" s="142"/>
      <c r="J177" s="141"/>
      <c r="K177" s="142"/>
      <c r="L177" s="142"/>
      <c r="M177" s="141"/>
      <c r="N177" s="141"/>
      <c r="O177" s="239"/>
      <c r="P177" s="244"/>
      <c r="Q177" s="133"/>
      <c r="R177" s="133"/>
      <c r="S177" s="133"/>
      <c r="T177" s="133"/>
      <c r="U177" s="133"/>
      <c r="V177" s="133"/>
      <c r="W177" s="133"/>
    </row>
    <row r="178" spans="1:23" ht="15.75">
      <c r="A178" s="252"/>
      <c r="B178" s="253"/>
      <c r="C178" s="253"/>
      <c r="D178" s="253"/>
      <c r="E178" s="254" t="s">
        <v>135</v>
      </c>
      <c r="F178" s="255" t="s">
        <v>168</v>
      </c>
      <c r="G178" s="256"/>
      <c r="H178" s="141"/>
      <c r="I178" s="142"/>
      <c r="J178" s="141"/>
      <c r="K178" s="142"/>
      <c r="L178" s="142"/>
      <c r="M178" s="141"/>
      <c r="N178" s="141"/>
      <c r="O178" s="239"/>
      <c r="P178" s="244"/>
      <c r="Q178" s="133"/>
      <c r="R178" s="133"/>
      <c r="S178" s="133"/>
      <c r="T178" s="133"/>
      <c r="U178" s="133"/>
      <c r="V178" s="133"/>
      <c r="W178" s="133"/>
    </row>
    <row r="179" spans="1:23" ht="15.75">
      <c r="A179" s="257"/>
      <c r="B179" s="258" t="s">
        <v>1002</v>
      </c>
      <c r="C179" s="258" t="s">
        <v>1003</v>
      </c>
      <c r="D179" s="258" t="s">
        <v>169</v>
      </c>
      <c r="E179" s="258" t="s">
        <v>645</v>
      </c>
      <c r="F179" s="258" t="s">
        <v>645</v>
      </c>
      <c r="G179" s="259" t="s">
        <v>1003</v>
      </c>
      <c r="H179" s="141"/>
      <c r="I179" s="142"/>
      <c r="J179" s="141"/>
      <c r="K179" s="142"/>
      <c r="L179" s="142"/>
      <c r="M179" s="141"/>
      <c r="N179" s="141"/>
      <c r="O179" s="239"/>
      <c r="P179" s="244"/>
      <c r="Q179" s="133"/>
      <c r="R179" s="133"/>
      <c r="S179" s="133"/>
      <c r="T179" s="133"/>
      <c r="U179" s="133"/>
      <c r="V179" s="133"/>
      <c r="W179" s="133"/>
    </row>
    <row r="180" spans="1:23" ht="15.75">
      <c r="A180" s="257"/>
      <c r="B180" s="258" t="s">
        <v>645</v>
      </c>
      <c r="C180" s="258" t="s">
        <v>645</v>
      </c>
      <c r="D180" s="260" t="s">
        <v>143</v>
      </c>
      <c r="E180" s="260" t="s">
        <v>143</v>
      </c>
      <c r="F180" s="260" t="s">
        <v>143</v>
      </c>
      <c r="G180" s="259" t="s">
        <v>143</v>
      </c>
      <c r="H180" s="141"/>
      <c r="I180" s="142"/>
      <c r="J180" s="141"/>
      <c r="K180" s="142"/>
      <c r="L180" s="142"/>
      <c r="M180" s="141"/>
      <c r="N180" s="141"/>
      <c r="O180" s="239"/>
      <c r="P180" s="244"/>
      <c r="Q180" s="133"/>
      <c r="R180" s="133"/>
      <c r="S180" s="133"/>
      <c r="T180" s="133"/>
      <c r="U180" s="133"/>
      <c r="V180" s="133"/>
      <c r="W180" s="133"/>
    </row>
    <row r="181" spans="1:23" ht="15.75">
      <c r="A181" s="257"/>
      <c r="B181" s="16"/>
      <c r="C181" s="16"/>
      <c r="D181" s="16"/>
      <c r="E181" s="16"/>
      <c r="F181" s="16"/>
      <c r="G181" s="261"/>
      <c r="H181" s="141"/>
      <c r="I181" s="142"/>
      <c r="J181" s="141"/>
      <c r="K181" s="142"/>
      <c r="L181" s="142"/>
      <c r="M181" s="141"/>
      <c r="N181" s="141"/>
      <c r="O181" s="239"/>
      <c r="P181" s="244"/>
      <c r="Q181" s="133"/>
      <c r="R181" s="133"/>
      <c r="S181" s="133"/>
      <c r="T181" s="133"/>
      <c r="U181" s="133"/>
      <c r="V181" s="133"/>
      <c r="W181" s="133"/>
    </row>
    <row r="182" spans="1:23" ht="16.5" thickBot="1">
      <c r="A182" s="267">
        <v>382</v>
      </c>
      <c r="B182" s="268">
        <v>7300</v>
      </c>
      <c r="C182" s="269">
        <f>ROUND(+B182/12,0)</f>
        <v>608</v>
      </c>
      <c r="D182" s="271">
        <f>P6</f>
        <v>12.65</v>
      </c>
      <c r="E182" s="271">
        <f>ROUND((200*$P$7),2)</f>
        <v>26.74</v>
      </c>
      <c r="F182" s="271">
        <f>ROUND(+((C182-200)*$P$8),2)</f>
        <v>47.99</v>
      </c>
      <c r="G182" s="274">
        <f>SUM(D182:F182)</f>
        <v>87.38</v>
      </c>
      <c r="H182" s="141"/>
      <c r="I182" s="142"/>
      <c r="J182" s="141"/>
      <c r="K182" s="142"/>
      <c r="L182" s="142"/>
      <c r="M182" s="141"/>
      <c r="N182" s="141"/>
      <c r="O182" s="239"/>
      <c r="P182" s="244"/>
      <c r="Q182" s="133"/>
      <c r="R182" s="133"/>
      <c r="S182" s="133"/>
      <c r="T182" s="133"/>
      <c r="U182" s="133"/>
      <c r="V182" s="133"/>
      <c r="W182" s="133"/>
    </row>
    <row r="183" spans="1:23" ht="16.5" thickBot="1">
      <c r="A183" s="145"/>
      <c r="B183" s="35"/>
      <c r="C183" s="214"/>
      <c r="D183" s="215"/>
      <c r="E183" s="214"/>
      <c r="F183" s="275"/>
      <c r="G183" s="155"/>
      <c r="H183" s="141"/>
      <c r="I183" s="142"/>
      <c r="J183" s="141"/>
      <c r="K183" s="142"/>
      <c r="L183" s="142"/>
      <c r="M183" s="141"/>
      <c r="N183" s="141"/>
      <c r="O183" s="239"/>
      <c r="P183" s="244"/>
      <c r="Q183" s="133"/>
      <c r="R183" s="133"/>
      <c r="S183" s="133"/>
      <c r="T183" s="133"/>
      <c r="U183" s="133"/>
      <c r="V183" s="133"/>
      <c r="W183" s="133"/>
    </row>
    <row r="184" spans="1:23" ht="15.75">
      <c r="A184" s="252"/>
      <c r="B184" s="253"/>
      <c r="C184" s="253"/>
      <c r="D184" s="253"/>
      <c r="E184" s="254" t="s">
        <v>135</v>
      </c>
      <c r="F184" s="255" t="s">
        <v>168</v>
      </c>
      <c r="G184" s="256"/>
      <c r="H184" s="141"/>
      <c r="I184" s="142"/>
      <c r="J184" s="141"/>
      <c r="K184" s="142"/>
      <c r="L184" s="142"/>
      <c r="M184" s="141"/>
      <c r="N184" s="141"/>
      <c r="O184" s="239"/>
      <c r="P184" s="244"/>
      <c r="Q184" s="133"/>
      <c r="R184" s="133"/>
      <c r="S184" s="133"/>
      <c r="T184" s="133"/>
      <c r="U184" s="133"/>
      <c r="V184" s="133"/>
      <c r="W184" s="133"/>
    </row>
    <row r="185" spans="1:23" ht="15.75">
      <c r="A185" s="257"/>
      <c r="B185" s="258" t="s">
        <v>1002</v>
      </c>
      <c r="C185" s="258" t="s">
        <v>1003</v>
      </c>
      <c r="D185" s="258" t="s">
        <v>169</v>
      </c>
      <c r="E185" s="258" t="s">
        <v>645</v>
      </c>
      <c r="F185" s="258" t="s">
        <v>645</v>
      </c>
      <c r="G185" s="259" t="s">
        <v>1003</v>
      </c>
      <c r="H185" s="141"/>
      <c r="I185" s="142"/>
      <c r="J185" s="141"/>
      <c r="K185" s="142"/>
      <c r="L185" s="142"/>
      <c r="M185" s="141"/>
      <c r="N185" s="141"/>
      <c r="O185" s="239"/>
      <c r="P185" s="244"/>
      <c r="Q185" s="133"/>
      <c r="R185" s="133"/>
      <c r="S185" s="133"/>
      <c r="T185" s="133"/>
      <c r="U185" s="133"/>
      <c r="V185" s="133"/>
      <c r="W185" s="133"/>
    </row>
    <row r="186" spans="1:23" ht="15.75">
      <c r="A186" s="257"/>
      <c r="B186" s="258" t="s">
        <v>645</v>
      </c>
      <c r="C186" s="258" t="s">
        <v>645</v>
      </c>
      <c r="D186" s="260" t="s">
        <v>143</v>
      </c>
      <c r="E186" s="260" t="s">
        <v>143</v>
      </c>
      <c r="F186" s="260" t="s">
        <v>143</v>
      </c>
      <c r="G186" s="259" t="s">
        <v>143</v>
      </c>
      <c r="H186" s="141"/>
      <c r="I186" s="142"/>
      <c r="J186" s="141"/>
      <c r="K186" s="142"/>
      <c r="L186" s="142"/>
      <c r="M186" s="141"/>
      <c r="N186" s="141"/>
      <c r="O186" s="239"/>
      <c r="P186" s="244"/>
      <c r="Q186" s="133"/>
      <c r="R186" s="133"/>
      <c r="S186" s="133"/>
      <c r="T186" s="133"/>
      <c r="U186" s="133"/>
      <c r="V186" s="133"/>
      <c r="W186" s="133"/>
    </row>
    <row r="187" spans="1:23" ht="15.75">
      <c r="A187" s="257"/>
      <c r="B187" s="16"/>
      <c r="C187" s="16"/>
      <c r="D187" s="16"/>
      <c r="E187" s="16"/>
      <c r="F187" s="16"/>
      <c r="G187" s="261"/>
      <c r="H187" s="141"/>
      <c r="I187" s="142"/>
      <c r="J187" s="141"/>
      <c r="K187" s="142"/>
      <c r="L187" s="142"/>
      <c r="M187" s="141"/>
      <c r="N187" s="141"/>
      <c r="O187" s="239"/>
      <c r="P187" s="244"/>
      <c r="Q187" s="133"/>
      <c r="R187" s="133"/>
      <c r="S187" s="133"/>
      <c r="T187" s="133"/>
      <c r="U187" s="133"/>
      <c r="V187" s="133"/>
      <c r="W187" s="133"/>
    </row>
    <row r="188" spans="1:23" ht="16.5" thickBot="1">
      <c r="A188" s="267">
        <v>383</v>
      </c>
      <c r="B188" s="268">
        <v>10950</v>
      </c>
      <c r="C188" s="269">
        <f>ROUND(+B188/12,0)</f>
        <v>913</v>
      </c>
      <c r="D188" s="271">
        <f>P6</f>
        <v>12.65</v>
      </c>
      <c r="E188" s="271">
        <f>ROUND((200*$P$7),2)</f>
        <v>26.74</v>
      </c>
      <c r="F188" s="271">
        <f>ROUND(+((C188-200)*$P$8),2)</f>
        <v>83.86</v>
      </c>
      <c r="G188" s="274">
        <f>SUM(D188:F188)</f>
        <v>123.25</v>
      </c>
      <c r="H188" s="141"/>
      <c r="I188" s="142"/>
      <c r="J188" s="141"/>
      <c r="K188" s="142"/>
      <c r="L188" s="142"/>
      <c r="M188" s="141"/>
      <c r="N188" s="141"/>
      <c r="O188" s="239"/>
      <c r="P188" s="244"/>
      <c r="Q188" s="133"/>
      <c r="R188" s="133"/>
      <c r="S188" s="133"/>
      <c r="T188" s="133"/>
      <c r="U188" s="133"/>
      <c r="V188" s="133"/>
      <c r="W188" s="133"/>
    </row>
    <row r="189" spans="1:23" ht="16.5" thickBot="1">
      <c r="A189" s="145"/>
      <c r="B189" s="35"/>
      <c r="C189" s="214"/>
      <c r="D189" s="215"/>
      <c r="E189" s="214"/>
      <c r="F189" s="275"/>
      <c r="G189" s="155"/>
      <c r="H189" s="141"/>
      <c r="I189" s="142"/>
      <c r="J189" s="141"/>
      <c r="K189" s="142"/>
      <c r="L189" s="142"/>
      <c r="M189" s="141"/>
      <c r="N189" s="141"/>
      <c r="O189" s="239"/>
      <c r="P189" s="244"/>
      <c r="Q189" s="133"/>
      <c r="R189" s="133"/>
      <c r="S189" s="133"/>
      <c r="T189" s="133"/>
      <c r="U189" s="133"/>
      <c r="V189" s="133"/>
      <c r="W189" s="133"/>
    </row>
    <row r="190" spans="1:23" ht="15.75">
      <c r="A190" s="252"/>
      <c r="B190" s="253"/>
      <c r="C190" s="253"/>
      <c r="D190" s="253"/>
      <c r="E190" s="254" t="s">
        <v>135</v>
      </c>
      <c r="F190" s="255" t="s">
        <v>168</v>
      </c>
      <c r="G190" s="256"/>
      <c r="H190" s="141"/>
      <c r="I190" s="142"/>
      <c r="J190" s="141"/>
      <c r="K190" s="142"/>
      <c r="L190" s="142"/>
      <c r="M190" s="141"/>
      <c r="N190" s="141"/>
      <c r="O190" s="239"/>
      <c r="P190" s="244"/>
      <c r="Q190" s="133"/>
      <c r="R190" s="133"/>
      <c r="S190" s="133"/>
      <c r="T190" s="133"/>
      <c r="U190" s="133"/>
      <c r="V190" s="133"/>
      <c r="W190" s="133"/>
    </row>
    <row r="191" spans="1:23" ht="15.75">
      <c r="A191" s="257"/>
      <c r="B191" s="258" t="s">
        <v>1002</v>
      </c>
      <c r="C191" s="258" t="s">
        <v>1003</v>
      </c>
      <c r="D191" s="258" t="s">
        <v>169</v>
      </c>
      <c r="E191" s="258" t="s">
        <v>645</v>
      </c>
      <c r="F191" s="258" t="s">
        <v>645</v>
      </c>
      <c r="G191" s="259" t="s">
        <v>1003</v>
      </c>
      <c r="H191" s="141"/>
      <c r="I191" s="142"/>
      <c r="J191" s="141"/>
      <c r="K191" s="142"/>
      <c r="L191" s="142"/>
      <c r="M191" s="141"/>
      <c r="N191" s="141"/>
      <c r="O191" s="239"/>
      <c r="P191" s="244"/>
      <c r="Q191" s="133"/>
      <c r="R191" s="133"/>
      <c r="S191" s="133"/>
      <c r="T191" s="133"/>
      <c r="U191" s="133"/>
      <c r="V191" s="133"/>
      <c r="W191" s="133"/>
    </row>
    <row r="192" spans="1:23" ht="15.75">
      <c r="A192" s="257"/>
      <c r="B192" s="258" t="s">
        <v>645</v>
      </c>
      <c r="C192" s="258" t="s">
        <v>645</v>
      </c>
      <c r="D192" s="260" t="s">
        <v>143</v>
      </c>
      <c r="E192" s="260" t="s">
        <v>143</v>
      </c>
      <c r="F192" s="260" t="s">
        <v>143</v>
      </c>
      <c r="G192" s="259" t="s">
        <v>143</v>
      </c>
      <c r="H192" s="141"/>
      <c r="I192" s="142"/>
      <c r="J192" s="141"/>
      <c r="K192" s="142"/>
      <c r="L192" s="142"/>
      <c r="M192" s="141"/>
      <c r="N192" s="141"/>
      <c r="O192" s="239"/>
      <c r="P192" s="244"/>
      <c r="Q192" s="133"/>
      <c r="R192" s="133"/>
      <c r="S192" s="133"/>
      <c r="T192" s="133"/>
      <c r="U192" s="133"/>
      <c r="V192" s="133"/>
      <c r="W192" s="133"/>
    </row>
    <row r="193" spans="1:23" ht="15.75">
      <c r="A193" s="257"/>
      <c r="B193" s="16"/>
      <c r="C193" s="16"/>
      <c r="D193" s="16"/>
      <c r="E193" s="16"/>
      <c r="F193" s="16"/>
      <c r="G193" s="261"/>
      <c r="H193" s="141"/>
      <c r="I193" s="142"/>
      <c r="J193" s="141"/>
      <c r="K193" s="142"/>
      <c r="L193" s="142"/>
      <c r="M193" s="141"/>
      <c r="N193" s="141"/>
      <c r="O193" s="239"/>
      <c r="P193" s="244"/>
      <c r="Q193" s="133"/>
      <c r="R193" s="133"/>
      <c r="S193" s="133"/>
      <c r="T193" s="133"/>
      <c r="U193" s="133"/>
      <c r="V193" s="133"/>
      <c r="W193" s="133"/>
    </row>
    <row r="194" spans="1:23" ht="16.5" thickBot="1">
      <c r="A194" s="267">
        <v>384</v>
      </c>
      <c r="B194" s="268">
        <v>16425</v>
      </c>
      <c r="C194" s="269">
        <f>ROUND(+B194/12,0)</f>
        <v>1369</v>
      </c>
      <c r="D194" s="271">
        <f>P6</f>
        <v>12.65</v>
      </c>
      <c r="E194" s="271">
        <f>ROUND((200*$P$7),2)</f>
        <v>26.74</v>
      </c>
      <c r="F194" s="271">
        <f>ROUND(+((C194-200)*$P$8),2)</f>
        <v>137.5</v>
      </c>
      <c r="G194" s="274">
        <f>SUM(D194:F194)</f>
        <v>176.89</v>
      </c>
      <c r="H194" s="141"/>
      <c r="I194" s="142"/>
      <c r="J194" s="141"/>
      <c r="K194" s="142"/>
      <c r="L194" s="142"/>
      <c r="M194" s="141"/>
      <c r="N194" s="141"/>
      <c r="O194" s="239"/>
      <c r="P194" s="244"/>
      <c r="Q194" s="133"/>
      <c r="R194" s="133"/>
      <c r="S194" s="133"/>
      <c r="T194" s="133"/>
      <c r="U194" s="133"/>
      <c r="V194" s="133"/>
      <c r="W194" s="133"/>
    </row>
    <row r="195" spans="1:23" ht="16.5" thickBot="1">
      <c r="A195" s="145"/>
      <c r="B195" s="35"/>
      <c r="C195" s="214"/>
      <c r="D195" s="215"/>
      <c r="E195" s="214"/>
      <c r="F195" s="275"/>
      <c r="G195" s="155"/>
      <c r="H195" s="141"/>
      <c r="I195" s="142"/>
      <c r="J195" s="141"/>
      <c r="K195" s="142"/>
      <c r="L195" s="142"/>
      <c r="M195" s="141"/>
      <c r="N195" s="141"/>
      <c r="O195" s="239"/>
      <c r="P195" s="244"/>
      <c r="Q195" s="133"/>
      <c r="R195" s="133"/>
      <c r="S195" s="133"/>
      <c r="T195" s="133"/>
      <c r="U195" s="133"/>
      <c r="V195" s="133"/>
      <c r="W195" s="133"/>
    </row>
    <row r="196" spans="1:23" ht="15.75">
      <c r="A196" s="252"/>
      <c r="B196" s="253"/>
      <c r="C196" s="253"/>
      <c r="D196" s="253"/>
      <c r="E196" s="254" t="s">
        <v>135</v>
      </c>
      <c r="F196" s="255" t="s">
        <v>168</v>
      </c>
      <c r="G196" s="256"/>
      <c r="H196" s="141"/>
      <c r="I196" s="142"/>
      <c r="J196" s="141"/>
      <c r="K196" s="142"/>
      <c r="L196" s="142"/>
      <c r="M196" s="141"/>
      <c r="N196" s="141"/>
      <c r="O196" s="239"/>
      <c r="P196" s="244"/>
      <c r="Q196" s="133"/>
      <c r="R196" s="133"/>
      <c r="S196" s="133"/>
      <c r="T196" s="133"/>
      <c r="U196" s="133"/>
      <c r="V196" s="133"/>
      <c r="W196" s="133"/>
    </row>
    <row r="197" spans="1:23" ht="15.75">
      <c r="A197" s="257"/>
      <c r="B197" s="258" t="s">
        <v>1002</v>
      </c>
      <c r="C197" s="258" t="s">
        <v>1003</v>
      </c>
      <c r="D197" s="258" t="s">
        <v>169</v>
      </c>
      <c r="E197" s="258" t="s">
        <v>645</v>
      </c>
      <c r="F197" s="258" t="s">
        <v>645</v>
      </c>
      <c r="G197" s="259" t="s">
        <v>1003</v>
      </c>
      <c r="H197" s="141"/>
      <c r="I197" s="142"/>
      <c r="J197" s="141"/>
      <c r="K197" s="142"/>
      <c r="L197" s="142"/>
      <c r="M197" s="141"/>
      <c r="N197" s="141"/>
      <c r="O197" s="239"/>
      <c r="P197" s="244"/>
      <c r="Q197" s="133"/>
      <c r="R197" s="133"/>
      <c r="S197" s="133"/>
      <c r="T197" s="133"/>
      <c r="U197" s="133"/>
      <c r="V197" s="133"/>
      <c r="W197" s="133"/>
    </row>
    <row r="198" spans="1:23" ht="15.75">
      <c r="A198" s="257"/>
      <c r="B198" s="258" t="s">
        <v>645</v>
      </c>
      <c r="C198" s="258" t="s">
        <v>645</v>
      </c>
      <c r="D198" s="260" t="s">
        <v>143</v>
      </c>
      <c r="E198" s="260" t="s">
        <v>143</v>
      </c>
      <c r="F198" s="260" t="s">
        <v>143</v>
      </c>
      <c r="G198" s="259" t="s">
        <v>143</v>
      </c>
      <c r="H198" s="141"/>
      <c r="I198" s="142"/>
      <c r="J198" s="141"/>
      <c r="K198" s="142"/>
      <c r="L198" s="142"/>
      <c r="M198" s="141"/>
      <c r="N198" s="141"/>
      <c r="O198" s="239"/>
      <c r="P198" s="244"/>
      <c r="Q198" s="133"/>
      <c r="R198" s="133"/>
      <c r="S198" s="133"/>
      <c r="T198" s="133"/>
      <c r="U198" s="133"/>
      <c r="V198" s="133"/>
      <c r="W198" s="133"/>
    </row>
    <row r="199" spans="1:23" ht="15.75">
      <c r="A199" s="257"/>
      <c r="B199" s="16"/>
      <c r="C199" s="16"/>
      <c r="D199" s="16"/>
      <c r="E199" s="16"/>
      <c r="F199" s="16"/>
      <c r="G199" s="261"/>
      <c r="H199" s="141"/>
      <c r="I199" s="142"/>
      <c r="J199" s="141"/>
      <c r="K199" s="142"/>
      <c r="L199" s="142"/>
      <c r="M199" s="141"/>
      <c r="N199" s="141"/>
      <c r="O199" s="239"/>
      <c r="P199" s="244"/>
      <c r="Q199" s="133"/>
      <c r="R199" s="133"/>
      <c r="S199" s="133"/>
      <c r="T199" s="133"/>
      <c r="U199" s="133"/>
      <c r="V199" s="133"/>
      <c r="W199" s="133"/>
    </row>
    <row r="200" spans="1:23" ht="16.5" thickBot="1">
      <c r="A200" s="267">
        <v>385</v>
      </c>
      <c r="B200" s="268">
        <v>11315</v>
      </c>
      <c r="C200" s="269">
        <f>ROUND(+B200/12,0)</f>
        <v>943</v>
      </c>
      <c r="D200" s="271">
        <f>P6</f>
        <v>12.65</v>
      </c>
      <c r="E200" s="271">
        <f>ROUND((200*$P$7),2)</f>
        <v>26.74</v>
      </c>
      <c r="F200" s="271">
        <f>ROUND(+((C200-200)*$P$8),2)</f>
        <v>87.39</v>
      </c>
      <c r="G200" s="274">
        <f>SUM(D200:F200)</f>
        <v>126.78</v>
      </c>
      <c r="H200" s="141"/>
      <c r="I200" s="142"/>
      <c r="J200" s="141"/>
      <c r="K200" s="142"/>
      <c r="L200" s="142"/>
      <c r="M200" s="141"/>
      <c r="N200" s="141"/>
      <c r="O200" s="239"/>
      <c r="P200" s="244"/>
      <c r="Q200" s="133"/>
      <c r="R200" s="133"/>
      <c r="S200" s="133"/>
      <c r="T200" s="133"/>
      <c r="U200" s="133"/>
      <c r="V200" s="133"/>
      <c r="W200" s="133"/>
    </row>
    <row r="201" spans="1:23" ht="15.75">
      <c r="A201" s="145"/>
      <c r="B201" s="35"/>
      <c r="C201" s="214"/>
      <c r="D201" s="215"/>
      <c r="E201" s="214"/>
      <c r="F201" s="275"/>
      <c r="G201" s="155"/>
      <c r="H201" s="141"/>
      <c r="I201" s="142"/>
      <c r="J201" s="141"/>
      <c r="K201" s="142"/>
      <c r="L201" s="142"/>
      <c r="M201" s="141"/>
      <c r="N201" s="141"/>
      <c r="O201" s="239"/>
      <c r="P201" s="244"/>
      <c r="Q201" s="133"/>
      <c r="R201" s="133"/>
      <c r="S201" s="133"/>
      <c r="T201" s="133"/>
      <c r="U201" s="133"/>
      <c r="V201" s="133"/>
      <c r="W201" s="133"/>
    </row>
    <row r="202" spans="1:23">
      <c r="A202" s="145">
        <v>386</v>
      </c>
      <c r="B202" s="35">
        <f>650*4</f>
        <v>2600</v>
      </c>
      <c r="C202" s="214">
        <f>B202/1000</f>
        <v>2.6</v>
      </c>
      <c r="D202" s="215">
        <v>0</v>
      </c>
      <c r="E202" s="214">
        <f>(+C202*D202)+C202</f>
        <v>2.6</v>
      </c>
      <c r="F202" s="232">
        <f>ROUND((+$E202*4000)/12,0)</f>
        <v>867</v>
      </c>
      <c r="G202" s="232">
        <f>ROUND((+$E202*8760)/12,0)</f>
        <v>1898</v>
      </c>
      <c r="H202" s="141">
        <f>ROUND(+E202*D$7,2)</f>
        <v>24.28</v>
      </c>
      <c r="I202" s="142">
        <f>ROUND(IF((E202*200)&gt;F202,F202,(E202*200)),0)</f>
        <v>520</v>
      </c>
      <c r="J202" s="141">
        <f>ROUND(+I202*D$8,2)</f>
        <v>55.54</v>
      </c>
      <c r="K202" s="142">
        <f>F202-I202</f>
        <v>347</v>
      </c>
      <c r="L202" s="142">
        <f>G202-I202</f>
        <v>1378</v>
      </c>
      <c r="M202" s="141">
        <f>ROUND(+K202*D$9,2)</f>
        <v>24.6</v>
      </c>
      <c r="N202" s="141">
        <f>ROUND(+L202*D$9,2)</f>
        <v>97.71</v>
      </c>
      <c r="O202" s="273">
        <f>H202+J202+M202</f>
        <v>104.41999999999999</v>
      </c>
      <c r="P202" s="273">
        <f>H202+J202+N202</f>
        <v>177.52999999999997</v>
      </c>
      <c r="Q202" s="133"/>
      <c r="R202" s="133"/>
      <c r="S202" s="133"/>
      <c r="T202" s="133"/>
      <c r="U202" s="133"/>
      <c r="V202" s="133"/>
      <c r="W202" s="133"/>
    </row>
    <row r="203" spans="1:23" ht="15.75" thickBot="1">
      <c r="A203" s="145"/>
      <c r="B203" s="35">
        <f>160*2</f>
        <v>320</v>
      </c>
      <c r="C203" s="277">
        <f>B203/1000</f>
        <v>0.32</v>
      </c>
      <c r="D203" s="215">
        <v>0</v>
      </c>
      <c r="E203" s="214">
        <f>(+C203*D203)+C203</f>
        <v>0.32</v>
      </c>
      <c r="F203" s="232">
        <f>ROUND((+$E203*(5*730))/12,0)</f>
        <v>97</v>
      </c>
      <c r="G203" s="232">
        <f>ROUND((+$E203*8760)/12,0)</f>
        <v>234</v>
      </c>
      <c r="H203" s="141">
        <f>ROUND(+E203*D$7,2)</f>
        <v>2.99</v>
      </c>
      <c r="I203" s="142">
        <f>ROUND(IF((E203*200)&gt;F203,F203,(E203*200)),0)</f>
        <v>64</v>
      </c>
      <c r="J203" s="141">
        <f>ROUND(+I203*D$8,2)</f>
        <v>6.84</v>
      </c>
      <c r="K203" s="142">
        <f>F203-I203</f>
        <v>33</v>
      </c>
      <c r="L203" s="142">
        <f>G203-I203</f>
        <v>170</v>
      </c>
      <c r="M203" s="141">
        <f>ROUND(+K203*D$9,2)</f>
        <v>2.34</v>
      </c>
      <c r="N203" s="141">
        <f>ROUND(+L203*D$9,2)</f>
        <v>12.05</v>
      </c>
      <c r="O203" s="273">
        <f>H203+J203+M203</f>
        <v>12.17</v>
      </c>
      <c r="P203" s="273">
        <f>H203+J203+N203</f>
        <v>21.880000000000003</v>
      </c>
      <c r="Q203" s="133"/>
      <c r="R203" s="133"/>
      <c r="S203" s="133"/>
      <c r="T203" s="133"/>
      <c r="U203" s="133"/>
      <c r="V203" s="133"/>
      <c r="W203" s="133"/>
    </row>
    <row r="204" spans="1:23" ht="16.5" thickBot="1">
      <c r="A204" s="145"/>
      <c r="B204" s="35"/>
      <c r="C204" s="214">
        <f>SUM(C202:C203)</f>
        <v>2.92</v>
      </c>
      <c r="D204" s="215"/>
      <c r="E204" s="214"/>
      <c r="F204" s="232"/>
      <c r="G204" s="231">
        <f>G202+F203</f>
        <v>1995</v>
      </c>
      <c r="H204" s="141"/>
      <c r="I204" s="142"/>
      <c r="J204" s="141"/>
      <c r="K204" s="142"/>
      <c r="L204" s="142"/>
      <c r="M204" s="141"/>
      <c r="N204" s="141"/>
      <c r="O204" s="273"/>
      <c r="P204" s="217">
        <f>P202+O203</f>
        <v>189.69999999999996</v>
      </c>
      <c r="Q204" s="133"/>
      <c r="R204" s="133"/>
      <c r="S204" s="133"/>
      <c r="T204" s="133"/>
      <c r="U204" s="133"/>
      <c r="V204" s="133"/>
      <c r="W204" s="133"/>
    </row>
    <row r="205" spans="1:23" ht="16.5" thickBot="1">
      <c r="A205" s="145"/>
      <c r="B205" s="35"/>
      <c r="C205" s="214"/>
      <c r="D205" s="215"/>
      <c r="E205" s="214"/>
      <c r="F205" s="275"/>
      <c r="G205" s="155"/>
      <c r="H205" s="141"/>
      <c r="I205" s="142"/>
      <c r="J205" s="141"/>
      <c r="K205" s="142"/>
      <c r="L205" s="142"/>
      <c r="M205" s="141"/>
      <c r="N205" s="141"/>
      <c r="O205" s="239"/>
      <c r="P205" s="244"/>
      <c r="Q205" s="133"/>
      <c r="R205" s="133"/>
      <c r="S205" s="133"/>
      <c r="T205" s="133"/>
      <c r="U205" s="133"/>
      <c r="V205" s="133"/>
      <c r="W205" s="133"/>
    </row>
    <row r="206" spans="1:23" ht="16.5" thickBot="1">
      <c r="A206" s="145">
        <v>387</v>
      </c>
      <c r="B206" s="35">
        <f>650*2</f>
        <v>1300</v>
      </c>
      <c r="C206" s="214">
        <f>B206/1000</f>
        <v>1.3</v>
      </c>
      <c r="D206" s="215">
        <v>0</v>
      </c>
      <c r="E206" s="214">
        <f>(+C206*D206)+C206</f>
        <v>1.3</v>
      </c>
      <c r="F206" s="232">
        <f>ROUND((+$E206*4000)/12,0)</f>
        <v>433</v>
      </c>
      <c r="G206" s="231">
        <f>ROUND((+$E206*8760)/12,0)</f>
        <v>949</v>
      </c>
      <c r="H206" s="141">
        <f>ROUND(+E206*D$7,2)</f>
        <v>12.14</v>
      </c>
      <c r="I206" s="142">
        <f>ROUND(IF((E206*200)&gt;F206,F206,(E206*200)),0)</f>
        <v>260</v>
      </c>
      <c r="J206" s="141">
        <f>ROUND(+I206*D$8,2)</f>
        <v>27.77</v>
      </c>
      <c r="K206" s="142">
        <f>F206-I206</f>
        <v>173</v>
      </c>
      <c r="L206" s="142">
        <f>G206-I206</f>
        <v>689</v>
      </c>
      <c r="M206" s="141">
        <f>ROUND(+K206*D$9,2)</f>
        <v>12.27</v>
      </c>
      <c r="N206" s="141">
        <f>ROUND(+L206*D$9,2)</f>
        <v>48.85</v>
      </c>
      <c r="O206" s="273">
        <f>H206+J206+M206</f>
        <v>52.179999999999993</v>
      </c>
      <c r="P206" s="217">
        <f>H206+J206+N206</f>
        <v>88.759999999999991</v>
      </c>
      <c r="Q206" s="133"/>
      <c r="R206" s="133"/>
      <c r="S206" s="133"/>
      <c r="T206" s="133"/>
      <c r="U206" s="133"/>
      <c r="V206" s="133"/>
      <c r="W206" s="133"/>
    </row>
    <row r="207" spans="1:23" ht="16.5" thickBot="1">
      <c r="A207" s="133"/>
      <c r="B207" s="276">
        <f>160*1</f>
        <v>160</v>
      </c>
      <c r="C207" s="277">
        <f>B207/1000</f>
        <v>0.16</v>
      </c>
      <c r="D207" s="215">
        <v>0</v>
      </c>
      <c r="E207" s="214">
        <f>(+C207*D207)+C207</f>
        <v>0.16</v>
      </c>
      <c r="F207" s="231">
        <f>ROUND((+$E207*(5*730))/12,0)</f>
        <v>49</v>
      </c>
      <c r="G207" s="278">
        <f>ROUND((+$E207*8760)/12,0)</f>
        <v>117</v>
      </c>
      <c r="H207" s="141">
        <f>ROUND(+E207*D$7,2)</f>
        <v>1.49</v>
      </c>
      <c r="I207" s="142">
        <f>ROUND(IF((E207*200)&gt;F207,F207,(E207*200)),0)</f>
        <v>32</v>
      </c>
      <c r="J207" s="141">
        <f>ROUND(+I207*D$8,2)</f>
        <v>3.42</v>
      </c>
      <c r="K207" s="142">
        <f>F207-I207</f>
        <v>17</v>
      </c>
      <c r="L207" s="142">
        <f>G207-I207</f>
        <v>85</v>
      </c>
      <c r="M207" s="141">
        <f>ROUND(+K207*D$9,2)</f>
        <v>1.21</v>
      </c>
      <c r="N207" s="141">
        <f>ROUND(+L207*D$9,2)</f>
        <v>6.03</v>
      </c>
      <c r="O207" s="217">
        <f>H207+J207+M207</f>
        <v>6.12</v>
      </c>
      <c r="P207" s="279">
        <f>H207+J207+N207</f>
        <v>10.940000000000001</v>
      </c>
      <c r="Q207" s="133"/>
      <c r="R207" s="133"/>
      <c r="S207" s="133"/>
      <c r="T207" s="133"/>
      <c r="U207" s="133"/>
      <c r="V207" s="133"/>
      <c r="W207" s="133"/>
    </row>
    <row r="208" spans="1:23" ht="16.5" thickBot="1">
      <c r="A208" s="133"/>
      <c r="B208" s="42">
        <f>B206+B207</f>
        <v>1460</v>
      </c>
      <c r="C208" s="214">
        <f>SUM(C206:C207)</f>
        <v>1.46</v>
      </c>
      <c r="D208" s="215"/>
      <c r="E208" s="214"/>
      <c r="F208" s="232"/>
      <c r="G208" s="231">
        <f>G206+F207</f>
        <v>998</v>
      </c>
      <c r="H208" s="141"/>
      <c r="I208" s="142"/>
      <c r="J208" s="141"/>
      <c r="K208" s="142"/>
      <c r="L208" s="142"/>
      <c r="M208" s="141"/>
      <c r="N208" s="141"/>
      <c r="O208" s="273"/>
      <c r="P208" s="217">
        <f>P206+O207</f>
        <v>94.88</v>
      </c>
      <c r="Q208" s="133"/>
      <c r="R208" s="133"/>
      <c r="S208" s="133"/>
      <c r="T208" s="133"/>
      <c r="U208" s="133"/>
      <c r="V208" s="133"/>
      <c r="W208" s="133"/>
    </row>
    <row r="209" spans="1:23" ht="16.5" thickBot="1">
      <c r="A209" s="145"/>
      <c r="B209" s="35"/>
      <c r="C209" s="214"/>
      <c r="D209" s="215"/>
      <c r="E209" s="214"/>
      <c r="F209" s="275"/>
      <c r="G209" s="155"/>
      <c r="H209" s="141"/>
      <c r="I209" s="142"/>
      <c r="J209" s="141"/>
      <c r="K209" s="142"/>
      <c r="L209" s="142"/>
      <c r="M209" s="141"/>
      <c r="N209" s="141"/>
      <c r="O209" s="239"/>
      <c r="P209" s="244"/>
      <c r="Q209" s="133"/>
      <c r="R209" s="133"/>
      <c r="S209" s="133"/>
      <c r="T209" s="133"/>
      <c r="U209" s="133"/>
      <c r="V209" s="133"/>
      <c r="W209" s="133"/>
    </row>
    <row r="210" spans="1:23" ht="16.5" thickBot="1">
      <c r="A210" s="145">
        <v>388</v>
      </c>
      <c r="B210" s="43">
        <v>150</v>
      </c>
      <c r="C210" s="214">
        <f>B210/1000</f>
        <v>0.15</v>
      </c>
      <c r="D210" s="215">
        <v>0</v>
      </c>
      <c r="E210" s="214">
        <f>(+C210*D210)+C210</f>
        <v>0.15</v>
      </c>
      <c r="F210" s="237">
        <f>ROUND((+$E210*4000)/12,0)</f>
        <v>50</v>
      </c>
      <c r="G210" s="231">
        <f>ROUND((+$E210*8760)/12,0)</f>
        <v>110</v>
      </c>
      <c r="H210" s="141">
        <f>ROUND(+E210*D$7,2)</f>
        <v>1.4</v>
      </c>
      <c r="I210" s="142">
        <f>ROUND(IF((E210*200)&gt;F210,F210,(E210*200)),0)</f>
        <v>30</v>
      </c>
      <c r="J210" s="141">
        <f>ROUND(+I210*D$8,2)</f>
        <v>3.2</v>
      </c>
      <c r="K210" s="142">
        <f>F210-I210</f>
        <v>20</v>
      </c>
      <c r="L210" s="142">
        <f>G210-I210</f>
        <v>80</v>
      </c>
      <c r="M210" s="141">
        <f>ROUND(+K210*D$9,2)</f>
        <v>1.42</v>
      </c>
      <c r="N210" s="141">
        <f>ROUND(+L210*D$9,2)</f>
        <v>5.67</v>
      </c>
      <c r="O210" s="280">
        <f>H210+J210+M210</f>
        <v>6.02</v>
      </c>
      <c r="P210" s="217">
        <f>H210+J210+N210</f>
        <v>10.27</v>
      </c>
      <c r="Q210" s="133"/>
      <c r="R210" s="133"/>
      <c r="S210" s="133"/>
      <c r="T210" s="133"/>
      <c r="U210" s="133"/>
      <c r="V210" s="133"/>
      <c r="W210" s="133"/>
    </row>
    <row r="211" spans="1:23" ht="16.5" thickBot="1">
      <c r="A211" s="145">
        <v>389</v>
      </c>
      <c r="B211" s="43">
        <v>1500</v>
      </c>
      <c r="C211" s="214">
        <f>B211/1000</f>
        <v>1.5</v>
      </c>
      <c r="D211" s="215">
        <v>0</v>
      </c>
      <c r="E211" s="214">
        <f>(+C211*D211)+C211</f>
        <v>1.5</v>
      </c>
      <c r="F211" s="231">
        <f>ROUND((+$E211*151*8)/12,0)</f>
        <v>151</v>
      </c>
      <c r="G211" s="235">
        <f>ROUND((+$E211*8760)/12,0)</f>
        <v>1095</v>
      </c>
      <c r="H211" s="141">
        <f>ROUND(+E211*D$7,2)</f>
        <v>14.01</v>
      </c>
      <c r="I211" s="142">
        <f>ROUND(IF((E211*200)&gt;F211,F211,(E211*200)),0)</f>
        <v>151</v>
      </c>
      <c r="J211" s="141">
        <f>ROUND(+I211*D$8,2)</f>
        <v>16.13</v>
      </c>
      <c r="K211" s="142">
        <f>F211-I211</f>
        <v>0</v>
      </c>
      <c r="L211" s="142">
        <f>G211-I211</f>
        <v>944</v>
      </c>
      <c r="M211" s="141">
        <f>ROUND(+K211*D$9,2)</f>
        <v>0</v>
      </c>
      <c r="N211" s="141">
        <f>ROUND(+L211*D$9,2)</f>
        <v>66.930000000000007</v>
      </c>
      <c r="O211" s="217">
        <f>H211+J211+M211</f>
        <v>30.14</v>
      </c>
      <c r="P211" s="236">
        <f>H211+J211+N211</f>
        <v>97.070000000000007</v>
      </c>
      <c r="Q211" s="133"/>
      <c r="R211" s="133"/>
      <c r="S211" s="133"/>
      <c r="T211" s="133"/>
      <c r="U211" s="133"/>
      <c r="V211" s="133"/>
      <c r="W211" s="133"/>
    </row>
    <row r="212" spans="1:23" ht="16.5" thickBot="1">
      <c r="A212" s="145">
        <v>390</v>
      </c>
      <c r="B212" s="43">
        <v>325</v>
      </c>
      <c r="C212" s="214">
        <f>B212/1000</f>
        <v>0.32500000000000001</v>
      </c>
      <c r="D212" s="215">
        <v>0.1</v>
      </c>
      <c r="E212" s="214">
        <f>(+C212*D212)+C212</f>
        <v>0.35750000000000004</v>
      </c>
      <c r="F212" s="237">
        <f>ROUND((+$E212*4000)/12,0)</f>
        <v>119</v>
      </c>
      <c r="G212" s="231">
        <f>ROUND((+$E212*8760)/12,0)</f>
        <v>261</v>
      </c>
      <c r="H212" s="141">
        <f>ROUND(+E212*D$7,2)</f>
        <v>3.34</v>
      </c>
      <c r="I212" s="142">
        <f>ROUND(IF((E212*200)&gt;F212,F212,(E212*200)),0)</f>
        <v>72</v>
      </c>
      <c r="J212" s="141">
        <f>ROUND(+I212*D$8,2)</f>
        <v>7.69</v>
      </c>
      <c r="K212" s="142">
        <f>F212-I212</f>
        <v>47</v>
      </c>
      <c r="L212" s="142">
        <f>G212-I212</f>
        <v>189</v>
      </c>
      <c r="M212" s="141">
        <f>ROUND(+K212*D$9,2)</f>
        <v>3.33</v>
      </c>
      <c r="N212" s="141">
        <f>ROUND(+L212*D$9,2)</f>
        <v>13.4</v>
      </c>
      <c r="O212" s="280">
        <f>H212+J212+M212</f>
        <v>14.360000000000001</v>
      </c>
      <c r="P212" s="217">
        <f>H212+J212+N212</f>
        <v>24.43</v>
      </c>
      <c r="Q212" s="133"/>
      <c r="R212" s="133"/>
      <c r="S212" s="133"/>
      <c r="T212" s="133"/>
      <c r="U212" s="133"/>
      <c r="V212" s="133"/>
      <c r="W212" s="133"/>
    </row>
    <row r="213" spans="1:23" ht="16.5" thickBot="1">
      <c r="A213" s="145">
        <v>391</v>
      </c>
      <c r="B213" s="43">
        <f>120*2.9</f>
        <v>348</v>
      </c>
      <c r="C213" s="214">
        <f>B213/1000</f>
        <v>0.34799999999999998</v>
      </c>
      <c r="D213" s="215">
        <v>0</v>
      </c>
      <c r="E213" s="214">
        <f>(+C213*D213)+C213</f>
        <v>0.34799999999999998</v>
      </c>
      <c r="F213" s="237">
        <f>ROUND((+$E213*4000)/12,0)</f>
        <v>116</v>
      </c>
      <c r="G213" s="231">
        <f>ROUND((+$E213*8760)/12,0)</f>
        <v>254</v>
      </c>
      <c r="H213" s="141">
        <f>ROUND(+E213*D$7,2)</f>
        <v>3.25</v>
      </c>
      <c r="I213" s="142">
        <f>ROUND(IF((E213*200)&gt;F213,F213,(E213*200)),0)</f>
        <v>70</v>
      </c>
      <c r="J213" s="141">
        <f>ROUND(+I213*D$8,2)</f>
        <v>7.48</v>
      </c>
      <c r="K213" s="142">
        <f>F213-I213</f>
        <v>46</v>
      </c>
      <c r="L213" s="142">
        <f>G213-I213</f>
        <v>184</v>
      </c>
      <c r="M213" s="141">
        <f>ROUND(+K213*D$9,2)</f>
        <v>3.26</v>
      </c>
      <c r="N213" s="141">
        <f>ROUND(+L213*D$9,2)</f>
        <v>13.05</v>
      </c>
      <c r="O213" s="280">
        <f>H213+J213+M213</f>
        <v>13.99</v>
      </c>
      <c r="P213" s="217">
        <f>H213+J213+N213</f>
        <v>23.78</v>
      </c>
      <c r="Q213" s="133"/>
      <c r="R213" s="133"/>
      <c r="S213" s="133"/>
      <c r="T213" s="133"/>
      <c r="U213" s="133"/>
      <c r="V213" s="133"/>
      <c r="W213" s="133"/>
    </row>
    <row r="214" spans="1:23" ht="16.5" thickBot="1">
      <c r="A214" s="145">
        <v>392</v>
      </c>
      <c r="B214" s="42"/>
      <c r="C214" s="214">
        <f>B214/1000</f>
        <v>0</v>
      </c>
      <c r="D214" s="215">
        <v>0</v>
      </c>
      <c r="E214" s="214">
        <f>(+C214*D214)+C214</f>
        <v>0</v>
      </c>
      <c r="F214" s="281">
        <f>ROUND((+$E214*4000)/12,0)</f>
        <v>0</v>
      </c>
      <c r="G214" s="282">
        <f>ROUND((+$E214*8760)/12,0)</f>
        <v>0</v>
      </c>
      <c r="H214" s="141">
        <f>ROUND(+E214*D$7,2)</f>
        <v>0</v>
      </c>
      <c r="I214" s="142">
        <f>ROUND(IF((E214*200)&gt;F214,F214,(E214*200)),0)</f>
        <v>0</v>
      </c>
      <c r="J214" s="141">
        <f>ROUND(+I214*D$8,2)</f>
        <v>0</v>
      </c>
      <c r="K214" s="142">
        <f>F214-I214</f>
        <v>0</v>
      </c>
      <c r="L214" s="142">
        <f>G214-I214</f>
        <v>0</v>
      </c>
      <c r="M214" s="141">
        <f>ROUND(+K214*D$9,2)</f>
        <v>0</v>
      </c>
      <c r="N214" s="141">
        <f>ROUND(+L214*D$9,2)</f>
        <v>0</v>
      </c>
      <c r="O214" s="283">
        <f>H214+J214+M214</f>
        <v>0</v>
      </c>
      <c r="P214" s="284">
        <f>B12</f>
        <v>13.891133302485763</v>
      </c>
      <c r="Q214" s="133"/>
      <c r="R214" s="133"/>
      <c r="S214" s="133"/>
      <c r="T214" s="133"/>
      <c r="U214" s="133"/>
      <c r="V214" s="133"/>
      <c r="W214" s="133"/>
    </row>
    <row r="215" spans="1:23" ht="15.75">
      <c r="A215" s="145"/>
      <c r="B215" s="35"/>
      <c r="C215" s="214"/>
      <c r="D215" s="215"/>
      <c r="E215" s="214"/>
      <c r="F215" s="275"/>
      <c r="G215" s="155"/>
      <c r="H215" s="141"/>
      <c r="I215" s="142"/>
      <c r="J215" s="141"/>
      <c r="K215" s="142"/>
      <c r="L215" s="142"/>
      <c r="M215" s="141"/>
      <c r="N215" s="141"/>
      <c r="O215" s="239"/>
      <c r="P215" s="244"/>
      <c r="Q215" s="133"/>
      <c r="R215" s="133"/>
      <c r="S215" s="133"/>
      <c r="T215" s="133"/>
      <c r="U215" s="133"/>
      <c r="V215" s="133"/>
      <c r="W215" s="133"/>
    </row>
    <row r="216" spans="1:23" ht="16.5" thickBot="1">
      <c r="A216" s="145">
        <v>399</v>
      </c>
      <c r="B216" s="35">
        <v>2400</v>
      </c>
      <c r="C216" s="214">
        <f>B216/1000</f>
        <v>2.4</v>
      </c>
      <c r="D216" s="215">
        <v>7.4999999999999997E-2</v>
      </c>
      <c r="E216" s="214">
        <f>(+C216*D216)+C216</f>
        <v>2.58</v>
      </c>
      <c r="F216" s="232">
        <f>ROUND((+$E216*4*365)/12,0)</f>
        <v>314</v>
      </c>
      <c r="G216" s="155">
        <f>ROUND((+$E216*8760)/12,0)</f>
        <v>1883</v>
      </c>
      <c r="H216" s="141">
        <f>ROUND(+E216*D$7,2)</f>
        <v>24.1</v>
      </c>
      <c r="I216" s="142">
        <f>ROUND(IF((E216*200)&gt;F216,F216,(E216*200)),0)</f>
        <v>314</v>
      </c>
      <c r="J216" s="141">
        <f>ROUND(+I216*D$8,2)</f>
        <v>33.54</v>
      </c>
      <c r="K216" s="142">
        <f>F216-I216</f>
        <v>0</v>
      </c>
      <c r="L216" s="142">
        <f>G216-I216</f>
        <v>1569</v>
      </c>
      <c r="M216" s="141">
        <f>ROUND(+K216*D$9,2)</f>
        <v>0</v>
      </c>
      <c r="N216" s="141">
        <f>ROUND(+L216*D$9,2)</f>
        <v>111.25</v>
      </c>
      <c r="O216" s="273">
        <f>H216+J216+M216</f>
        <v>57.64</v>
      </c>
      <c r="P216" s="244" t="s">
        <v>973</v>
      </c>
      <c r="Q216" s="221" t="s">
        <v>172</v>
      </c>
      <c r="R216" s="133"/>
      <c r="S216" s="133"/>
      <c r="T216" s="133"/>
      <c r="U216" s="133"/>
      <c r="V216" s="133"/>
      <c r="W216" s="133"/>
    </row>
    <row r="217" spans="1:23" ht="15.75">
      <c r="A217" s="252"/>
      <c r="B217" s="253"/>
      <c r="C217" s="253"/>
      <c r="D217" s="253"/>
      <c r="E217" s="254" t="s">
        <v>135</v>
      </c>
      <c r="F217" s="255" t="s">
        <v>168</v>
      </c>
      <c r="G217" s="253"/>
      <c r="H217" s="256"/>
      <c r="I217" s="142"/>
      <c r="J217" s="141"/>
      <c r="K217" s="142"/>
      <c r="L217" s="142"/>
      <c r="M217" s="141"/>
      <c r="N217" s="141"/>
      <c r="O217" s="273"/>
      <c r="P217" s="244"/>
      <c r="Q217" s="221"/>
      <c r="R217" s="133"/>
      <c r="S217" s="133"/>
      <c r="T217" s="133"/>
      <c r="U217" s="133"/>
      <c r="V217" s="133"/>
      <c r="W217" s="133"/>
    </row>
    <row r="218" spans="1:23" ht="15.75">
      <c r="A218" s="265"/>
      <c r="B218" s="258" t="s">
        <v>1002</v>
      </c>
      <c r="C218" s="258" t="s">
        <v>1003</v>
      </c>
      <c r="D218" s="258" t="s">
        <v>169</v>
      </c>
      <c r="E218" s="258" t="s">
        <v>645</v>
      </c>
      <c r="F218" s="258" t="s">
        <v>645</v>
      </c>
      <c r="G218" s="258" t="s">
        <v>1003</v>
      </c>
      <c r="H218" s="259" t="s">
        <v>1002</v>
      </c>
      <c r="I218" s="142"/>
      <c r="J218" s="141"/>
      <c r="K218" s="142"/>
      <c r="L218" s="142"/>
      <c r="M218" s="141"/>
      <c r="N218" s="141"/>
      <c r="O218" s="273"/>
      <c r="P218" s="244"/>
      <c r="Q218" s="221"/>
      <c r="R218" s="133"/>
      <c r="S218" s="133"/>
      <c r="T218" s="133"/>
      <c r="U218" s="133"/>
      <c r="V218" s="133"/>
      <c r="W218" s="133"/>
    </row>
    <row r="219" spans="1:23" ht="15.75">
      <c r="A219" s="285" t="s">
        <v>656</v>
      </c>
      <c r="B219" s="258" t="s">
        <v>645</v>
      </c>
      <c r="C219" s="258" t="s">
        <v>645</v>
      </c>
      <c r="D219" s="260" t="s">
        <v>143</v>
      </c>
      <c r="E219" s="258" t="s">
        <v>143</v>
      </c>
      <c r="F219" s="258" t="s">
        <v>143</v>
      </c>
      <c r="G219" s="260" t="s">
        <v>143</v>
      </c>
      <c r="H219" s="286" t="s">
        <v>143</v>
      </c>
      <c r="I219" s="142"/>
      <c r="J219" s="141"/>
      <c r="K219" s="142"/>
      <c r="L219" s="142"/>
      <c r="M219" s="141"/>
      <c r="N219" s="141"/>
      <c r="O219" s="273"/>
      <c r="P219" s="244"/>
      <c r="Q219" s="221"/>
      <c r="R219" s="133"/>
      <c r="S219" s="133"/>
      <c r="T219" s="133"/>
      <c r="U219" s="133"/>
      <c r="V219" s="133"/>
      <c r="W219" s="133"/>
    </row>
    <row r="220" spans="1:23" ht="15.75">
      <c r="A220" s="265"/>
      <c r="B220" s="16"/>
      <c r="C220" s="16"/>
      <c r="D220" s="16"/>
      <c r="E220" s="16"/>
      <c r="F220" s="16"/>
      <c r="G220" s="16"/>
      <c r="H220" s="261"/>
      <c r="I220" s="142"/>
      <c r="J220" s="141"/>
      <c r="K220" s="142"/>
      <c r="L220" s="142"/>
      <c r="M220" s="141"/>
      <c r="N220" s="141"/>
      <c r="O220" s="273"/>
      <c r="P220" s="244"/>
      <c r="Q220" s="221"/>
      <c r="R220" s="133"/>
      <c r="S220" s="133"/>
      <c r="T220" s="133"/>
      <c r="U220" s="133"/>
      <c r="V220" s="133"/>
      <c r="W220" s="133"/>
    </row>
    <row r="221" spans="1:23" ht="16.5" thickBot="1">
      <c r="A221" s="287">
        <v>397</v>
      </c>
      <c r="B221" s="268">
        <f>15.15*365</f>
        <v>5529.75</v>
      </c>
      <c r="C221" s="269">
        <f>ROUND(+B221/12,0)</f>
        <v>461</v>
      </c>
      <c r="D221" s="270">
        <f>P6</f>
        <v>12.65</v>
      </c>
      <c r="E221" s="271">
        <f>ROUND((200*$P$7),2)</f>
        <v>26.74</v>
      </c>
      <c r="F221" s="271">
        <f>ROUND(+((C221-200)*$P$8),2)</f>
        <v>30.7</v>
      </c>
      <c r="G221" s="274">
        <f>SUM(D221:F221)</f>
        <v>70.09</v>
      </c>
      <c r="H221" s="272">
        <f>G221*12</f>
        <v>841.08</v>
      </c>
      <c r="I221" s="142"/>
      <c r="J221" s="141"/>
      <c r="K221" s="142"/>
      <c r="L221" s="142"/>
      <c r="M221" s="141"/>
      <c r="N221" s="141"/>
      <c r="O221" s="273"/>
      <c r="P221" s="244"/>
      <c r="Q221" s="221"/>
      <c r="R221" s="133"/>
      <c r="S221" s="133"/>
      <c r="T221" s="133"/>
      <c r="U221" s="133"/>
      <c r="V221" s="133"/>
      <c r="W221" s="133"/>
    </row>
    <row r="222" spans="1:23" ht="16.5" thickBot="1">
      <c r="A222" s="145"/>
      <c r="B222" s="35"/>
      <c r="C222" s="214"/>
      <c r="D222" s="215"/>
      <c r="E222" s="214"/>
      <c r="F222" s="232"/>
      <c r="G222" s="155"/>
      <c r="H222" s="141"/>
      <c r="I222" s="142"/>
      <c r="J222" s="141"/>
      <c r="K222" s="142"/>
      <c r="L222" s="142"/>
      <c r="M222" s="141"/>
      <c r="N222" s="141"/>
      <c r="O222" s="273"/>
      <c r="P222" s="244"/>
      <c r="Q222" s="221"/>
      <c r="R222" s="133"/>
      <c r="S222" s="133"/>
      <c r="T222" s="133"/>
      <c r="U222" s="133"/>
      <c r="V222" s="133"/>
      <c r="W222" s="133"/>
    </row>
    <row r="223" spans="1:23" ht="15.75">
      <c r="A223" s="252"/>
      <c r="B223" s="253"/>
      <c r="C223" s="253"/>
      <c r="D223" s="253"/>
      <c r="E223" s="254" t="s">
        <v>135</v>
      </c>
      <c r="F223" s="255" t="s">
        <v>168</v>
      </c>
      <c r="G223" s="253"/>
      <c r="H223" s="256"/>
      <c r="I223" s="142"/>
      <c r="J223" s="141"/>
      <c r="K223" s="142"/>
      <c r="L223" s="142"/>
      <c r="M223" s="141"/>
      <c r="N223" s="141"/>
      <c r="O223" s="273"/>
      <c r="P223" s="244"/>
      <c r="Q223" s="221"/>
      <c r="R223" s="133"/>
      <c r="S223" s="133"/>
      <c r="T223" s="133"/>
      <c r="U223" s="133"/>
      <c r="V223" s="133"/>
      <c r="W223" s="133"/>
    </row>
    <row r="224" spans="1:23" ht="15.75">
      <c r="A224" s="265"/>
      <c r="B224" s="258" t="s">
        <v>1002</v>
      </c>
      <c r="C224" s="258" t="s">
        <v>1003</v>
      </c>
      <c r="D224" s="258" t="s">
        <v>169</v>
      </c>
      <c r="E224" s="258" t="s">
        <v>645</v>
      </c>
      <c r="F224" s="258" t="s">
        <v>645</v>
      </c>
      <c r="G224" s="258" t="s">
        <v>1003</v>
      </c>
      <c r="H224" s="259" t="s">
        <v>1002</v>
      </c>
      <c r="I224" s="142"/>
      <c r="J224" s="141"/>
      <c r="K224" s="142"/>
      <c r="L224" s="142"/>
      <c r="M224" s="141"/>
      <c r="N224" s="141"/>
      <c r="O224" s="273"/>
      <c r="P224" s="244"/>
      <c r="Q224" s="221"/>
      <c r="R224" s="133"/>
      <c r="S224" s="133"/>
      <c r="T224" s="133"/>
      <c r="U224" s="133"/>
      <c r="V224" s="133"/>
      <c r="W224" s="133"/>
    </row>
    <row r="225" spans="1:23" ht="15.75">
      <c r="A225" s="285" t="s">
        <v>656</v>
      </c>
      <c r="B225" s="258" t="s">
        <v>645</v>
      </c>
      <c r="C225" s="258" t="s">
        <v>645</v>
      </c>
      <c r="D225" s="260" t="s">
        <v>143</v>
      </c>
      <c r="E225" s="258" t="s">
        <v>143</v>
      </c>
      <c r="F225" s="258" t="s">
        <v>143</v>
      </c>
      <c r="G225" s="260" t="s">
        <v>143</v>
      </c>
      <c r="H225" s="286" t="s">
        <v>143</v>
      </c>
      <c r="I225" s="142"/>
      <c r="J225" s="141"/>
      <c r="K225" s="142"/>
      <c r="L225" s="142"/>
      <c r="M225" s="141"/>
      <c r="N225" s="141"/>
      <c r="O225" s="273"/>
      <c r="P225" s="244"/>
      <c r="Q225" s="221"/>
      <c r="R225" s="133"/>
      <c r="S225" s="133"/>
      <c r="T225" s="133"/>
      <c r="U225" s="133"/>
      <c r="V225" s="133"/>
      <c r="W225" s="133"/>
    </row>
    <row r="226" spans="1:23" ht="15.75">
      <c r="A226" s="265"/>
      <c r="B226" s="16"/>
      <c r="C226" s="16"/>
      <c r="D226" s="16"/>
      <c r="E226" s="16"/>
      <c r="F226" s="16"/>
      <c r="G226" s="16"/>
      <c r="H226" s="261"/>
      <c r="I226" s="142"/>
      <c r="J226" s="141"/>
      <c r="K226" s="142"/>
      <c r="L226" s="142"/>
      <c r="M226" s="141"/>
      <c r="N226" s="141"/>
      <c r="O226" s="273"/>
      <c r="P226" s="244"/>
      <c r="Q226" s="221"/>
      <c r="R226" s="133"/>
      <c r="S226" s="133"/>
      <c r="T226" s="133"/>
      <c r="U226" s="133"/>
      <c r="V226" s="133"/>
      <c r="W226" s="133"/>
    </row>
    <row r="227" spans="1:23" ht="16.5" thickBot="1">
      <c r="A227" s="287">
        <v>398</v>
      </c>
      <c r="B227" s="268">
        <f>17.05*365</f>
        <v>6223.25</v>
      </c>
      <c r="C227" s="269">
        <f>ROUND(+B227/12,0)</f>
        <v>519</v>
      </c>
      <c r="D227" s="270">
        <f>P6</f>
        <v>12.65</v>
      </c>
      <c r="E227" s="271">
        <f>ROUND((200*$P$7),2)</f>
        <v>26.74</v>
      </c>
      <c r="F227" s="271">
        <f>ROUND(+((C227-200)*$P$8),2)</f>
        <v>37.520000000000003</v>
      </c>
      <c r="G227" s="274">
        <f>SUM(D227:F227)</f>
        <v>76.91</v>
      </c>
      <c r="H227" s="272">
        <f>G227*12</f>
        <v>922.92</v>
      </c>
      <c r="I227" s="142"/>
      <c r="J227" s="141"/>
      <c r="K227" s="142"/>
      <c r="L227" s="142"/>
      <c r="M227" s="141"/>
      <c r="N227" s="141"/>
      <c r="O227" s="273"/>
      <c r="P227" s="244"/>
      <c r="Q227" s="221"/>
      <c r="R227" s="133"/>
      <c r="S227" s="133"/>
      <c r="T227" s="133"/>
      <c r="U227" s="133"/>
      <c r="V227" s="133"/>
      <c r="W227" s="133"/>
    </row>
    <row r="228" spans="1:23" ht="15.75">
      <c r="A228" s="157" t="s">
        <v>173</v>
      </c>
      <c r="B228" s="133"/>
      <c r="C228" s="133"/>
      <c r="D228" s="205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</row>
    <row r="229" spans="1:23">
      <c r="A229" s="133"/>
      <c r="B229" s="133"/>
      <c r="C229" s="133"/>
      <c r="D229" s="205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</row>
    <row r="230" spans="1:23" ht="15.75" thickBot="1">
      <c r="A230" s="133"/>
      <c r="B230" s="133"/>
      <c r="C230" s="133"/>
      <c r="D230" s="205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</row>
    <row r="231" spans="1:23" ht="16.5" thickBot="1">
      <c r="A231" s="145">
        <v>400</v>
      </c>
      <c r="B231" s="35">
        <v>100</v>
      </c>
      <c r="C231" s="214">
        <f>B231/1000</f>
        <v>0.1</v>
      </c>
      <c r="D231" s="215">
        <v>0</v>
      </c>
      <c r="E231" s="214">
        <f>(+C231*D231)+C231</f>
        <v>0.1</v>
      </c>
      <c r="F231" s="231">
        <f>ROUND((+$E231*1825)/12,0)</f>
        <v>15</v>
      </c>
      <c r="G231" s="155">
        <f>ROUND((+$E231*8760)/12,0)</f>
        <v>73</v>
      </c>
      <c r="H231" s="141">
        <f>ROUND(+E231*D$7,2)</f>
        <v>0.93</v>
      </c>
      <c r="I231" s="142">
        <f>ROUND(IF((E231*200)&gt;F231,F231,(E231*200)),0)</f>
        <v>15</v>
      </c>
      <c r="J231" s="141">
        <f>ROUND(+I231*D$8,2)</f>
        <v>1.6</v>
      </c>
      <c r="K231" s="142">
        <f>F231-I231</f>
        <v>0</v>
      </c>
      <c r="L231" s="142">
        <f>G231-I231</f>
        <v>58</v>
      </c>
      <c r="M231" s="141">
        <f>ROUND(+K231*D$9,2)</f>
        <v>0</v>
      </c>
      <c r="N231" s="141">
        <f>ROUND(+L231*D$9,2)</f>
        <v>4.1100000000000003</v>
      </c>
      <c r="O231" s="273">
        <f>H231+J231+M231</f>
        <v>2.5300000000000002</v>
      </c>
      <c r="P231" s="141">
        <f>H231+J231+ROUND((G231-I231)*D$9,2)</f>
        <v>6.6400000000000006</v>
      </c>
      <c r="Q231" s="221" t="s">
        <v>174</v>
      </c>
      <c r="R231" s="133"/>
      <c r="S231" s="133"/>
      <c r="T231" s="133"/>
      <c r="U231" s="133"/>
      <c r="V231" s="133"/>
      <c r="W231" s="133"/>
    </row>
    <row r="232" spans="1:23" ht="16.5" thickBot="1">
      <c r="A232" s="145">
        <v>401</v>
      </c>
      <c r="B232" s="35">
        <v>100</v>
      </c>
      <c r="C232" s="214">
        <f>B232/1000</f>
        <v>0.1</v>
      </c>
      <c r="D232" s="215">
        <v>0</v>
      </c>
      <c r="E232" s="214">
        <f>(+C232*D232)+C232</f>
        <v>0.1</v>
      </c>
      <c r="F232" s="231">
        <f>ROUND((+$E232*3650)/12,0)</f>
        <v>30</v>
      </c>
      <c r="G232" s="155">
        <f>ROUND((+$E232*8760)/12,0)</f>
        <v>73</v>
      </c>
      <c r="H232" s="141">
        <f>ROUND(+E232*D$7,2)</f>
        <v>0.93</v>
      </c>
      <c r="I232" s="142">
        <f>ROUND(IF((E232*200)&gt;F232,F232,(E232*200)),0)</f>
        <v>20</v>
      </c>
      <c r="J232" s="141">
        <f>ROUND(+I232*D$8,2)</f>
        <v>2.14</v>
      </c>
      <c r="K232" s="142">
        <f>F232-I232</f>
        <v>10</v>
      </c>
      <c r="L232" s="142">
        <f>G232-I232</f>
        <v>53</v>
      </c>
      <c r="M232" s="141">
        <f>ROUND(+K232*D$9,2)</f>
        <v>0.71</v>
      </c>
      <c r="N232" s="141">
        <f>ROUND(+L232*D$9,2)</f>
        <v>3.76</v>
      </c>
      <c r="O232" s="273">
        <f>H232+J232+M232</f>
        <v>3.7800000000000002</v>
      </c>
      <c r="P232" s="141">
        <f>H232+J232+ROUND((G232-I232)*D$9,2)</f>
        <v>6.83</v>
      </c>
      <c r="Q232" s="221" t="s">
        <v>174</v>
      </c>
      <c r="R232" s="133"/>
      <c r="S232" s="133"/>
      <c r="T232" s="133"/>
      <c r="U232" s="133"/>
      <c r="V232" s="133"/>
      <c r="W232" s="133"/>
    </row>
    <row r="233" spans="1:23" ht="16.5" thickBot="1">
      <c r="A233" s="145">
        <v>402</v>
      </c>
      <c r="B233" s="35">
        <v>100</v>
      </c>
      <c r="C233" s="214">
        <f>B233/1000</f>
        <v>0.1</v>
      </c>
      <c r="D233" s="215">
        <v>0.23</v>
      </c>
      <c r="E233" s="214">
        <f>(+C233*D233)+C233</f>
        <v>0.12300000000000001</v>
      </c>
      <c r="F233" s="232">
        <f>ROUND((+$E233*3650)/12,0)</f>
        <v>37</v>
      </c>
      <c r="G233" s="231">
        <f>ROUND((+$E233*8760)/12,0)</f>
        <v>90</v>
      </c>
      <c r="H233" s="141">
        <f>ROUND(+E233*D$7,2)</f>
        <v>1.1499999999999999</v>
      </c>
      <c r="I233" s="142">
        <f>ROUND(IF((E233*200)&gt;F233,F233,(E233*200)),0)</f>
        <v>25</v>
      </c>
      <c r="J233" s="141">
        <f>ROUND(+I233*D$8,2)</f>
        <v>2.67</v>
      </c>
      <c r="K233" s="142">
        <f>F233-I233</f>
        <v>12</v>
      </c>
      <c r="L233" s="142">
        <f>G233-I233</f>
        <v>65</v>
      </c>
      <c r="M233" s="141">
        <f>ROUND(+K233*D$9,2)</f>
        <v>0.85</v>
      </c>
      <c r="N233" s="141">
        <f>ROUND(+L233*D$9,2)</f>
        <v>4.6100000000000003</v>
      </c>
      <c r="O233" s="273">
        <f>H233+J233+M233</f>
        <v>4.67</v>
      </c>
      <c r="P233" s="141">
        <f>H233+J233+ROUND((G233-I233)*D$9,2)</f>
        <v>8.43</v>
      </c>
      <c r="Q233" s="221" t="s">
        <v>175</v>
      </c>
      <c r="R233" s="133"/>
      <c r="S233" s="133"/>
      <c r="T233" s="133"/>
      <c r="U233" s="133"/>
      <c r="V233" s="133"/>
      <c r="W233" s="133"/>
    </row>
    <row r="234" spans="1:23" ht="15.75" thickBot="1">
      <c r="A234" s="133"/>
      <c r="B234" s="133"/>
      <c r="C234" s="133"/>
      <c r="D234" s="205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</row>
    <row r="235" spans="1:23" ht="16.5" thickBot="1">
      <c r="A235" s="43">
        <v>441</v>
      </c>
      <c r="B235" s="43">
        <v>1000</v>
      </c>
      <c r="C235" s="288">
        <f>B235/1000</f>
        <v>1</v>
      </c>
      <c r="D235" s="289">
        <v>0</v>
      </c>
      <c r="E235" s="288">
        <f>(+C235*D235)+C235</f>
        <v>1</v>
      </c>
      <c r="F235" s="231">
        <f>ROUND((+$E235*4000)/12,0)</f>
        <v>333</v>
      </c>
      <c r="G235" s="290">
        <f>ROUND((+$E235*8760)/12,0)</f>
        <v>730</v>
      </c>
      <c r="H235" s="291">
        <f>ROUND(+E235*D$7,2)</f>
        <v>9.34</v>
      </c>
      <c r="I235" s="292">
        <f>ROUND(IF((E235*200)&gt;F235,F235,(E235*200)),0)</f>
        <v>200</v>
      </c>
      <c r="J235" s="291">
        <f>ROUND(+I235*D$8,2)</f>
        <v>21.36</v>
      </c>
      <c r="K235" s="292">
        <f>F235-I235</f>
        <v>133</v>
      </c>
      <c r="L235" s="292">
        <f>G235-I235</f>
        <v>530</v>
      </c>
      <c r="M235" s="291">
        <f>ROUND(+K235*D$9,2)</f>
        <v>9.43</v>
      </c>
      <c r="N235" s="291">
        <f>ROUND(+L235*D$9,2)</f>
        <v>37.58</v>
      </c>
      <c r="O235" s="545">
        <f>+'Schedule 4'!K43+'Schedule 2'!H18</f>
        <v>16.490580094871877</v>
      </c>
      <c r="P235" s="293">
        <f>H235+J235+N235</f>
        <v>68.28</v>
      </c>
      <c r="Q235" s="146" t="s">
        <v>176</v>
      </c>
      <c r="R235" s="133"/>
      <c r="S235" s="133"/>
      <c r="T235" s="133" t="s">
        <v>535</v>
      </c>
      <c r="U235" s="133"/>
      <c r="V235" s="133"/>
      <c r="W235" s="133"/>
    </row>
    <row r="236" spans="1:23">
      <c r="A236" s="133"/>
      <c r="B236" s="133"/>
      <c r="C236" s="133"/>
      <c r="D236" s="205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</row>
    <row r="237" spans="1:23">
      <c r="A237" s="145">
        <v>444</v>
      </c>
      <c r="B237" s="133"/>
      <c r="C237" s="133"/>
      <c r="D237" s="205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</row>
    <row r="238" spans="1:23">
      <c r="A238" s="133"/>
      <c r="B238" s="133"/>
      <c r="C238" s="133"/>
      <c r="D238" s="205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</row>
    <row r="239" spans="1:23" ht="15.75">
      <c r="A239" s="213" t="s">
        <v>177</v>
      </c>
      <c r="B239" s="133"/>
      <c r="C239" s="133"/>
      <c r="D239" s="205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</row>
    <row r="240" spans="1:23">
      <c r="A240" s="133"/>
      <c r="B240" s="133"/>
      <c r="C240" s="133"/>
      <c r="D240" s="205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</row>
    <row r="241" spans="1:23">
      <c r="A241" s="145">
        <v>449</v>
      </c>
      <c r="B241" s="133"/>
      <c r="C241" s="133"/>
      <c r="D241" s="205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44">
        <f>ROUND('2012 Unpublished Rates'!E69*(1+'2012 Rates'!$H$5),2)</f>
        <v>531.41999999999996</v>
      </c>
      <c r="P241" s="133"/>
      <c r="Q241" s="294">
        <f>ROUND(0.0917*(1+'2012 Rates'!$H$5),4)</f>
        <v>0.1007</v>
      </c>
      <c r="R241" s="143">
        <f>+O241/Q241</f>
        <v>5277.2591857000989</v>
      </c>
      <c r="S241" s="133"/>
      <c r="T241" s="133"/>
      <c r="U241" s="133"/>
      <c r="V241" s="133"/>
      <c r="W241" s="133"/>
    </row>
    <row r="242" spans="1:23">
      <c r="A242" s="145">
        <v>450</v>
      </c>
      <c r="B242" s="133"/>
      <c r="C242" s="133"/>
      <c r="D242" s="205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44">
        <f>ROUND('2012 Unpublished Rates'!E70*(1+'2012 Rates'!$H$5),2)</f>
        <v>45.92</v>
      </c>
      <c r="P242" s="133"/>
      <c r="Q242" s="294">
        <f>ROUND(0.0917*(1+'2012 Rates'!$H$5),4)</f>
        <v>0.1007</v>
      </c>
      <c r="R242" s="143">
        <f>+O242/Q242</f>
        <v>456.00794438927511</v>
      </c>
      <c r="S242" s="133"/>
      <c r="T242" s="133"/>
      <c r="U242" s="133"/>
      <c r="V242" s="133"/>
      <c r="W242" s="133"/>
    </row>
    <row r="243" spans="1:23" ht="15.75" thickBot="1">
      <c r="A243" s="145">
        <v>451</v>
      </c>
      <c r="B243" s="133"/>
      <c r="C243" s="133"/>
      <c r="D243" s="205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44">
        <f>ROUND('2012 Unpublished Rates'!E71*(1+'2012 Rates'!$H$5),2)</f>
        <v>23.07</v>
      </c>
      <c r="P243" s="133"/>
      <c r="Q243" s="294">
        <f>ROUND(0.0917*(1+'2012 Rates'!$H$5),4)</f>
        <v>0.1007</v>
      </c>
      <c r="R243" s="143">
        <f>+O243/Q243</f>
        <v>229.09632571996028</v>
      </c>
      <c r="S243" s="133"/>
      <c r="T243" s="133"/>
      <c r="U243" s="133"/>
      <c r="V243" s="133"/>
      <c r="W243" s="133"/>
    </row>
    <row r="244" spans="1:23" ht="16.5" thickBot="1">
      <c r="A244" s="145">
        <v>452</v>
      </c>
      <c r="B244" s="35">
        <v>1000</v>
      </c>
      <c r="C244" s="214">
        <f>B244/1000</f>
        <v>1</v>
      </c>
      <c r="D244" s="215">
        <v>0.09</v>
      </c>
      <c r="E244" s="214">
        <f>(+C244*D244)+C244</f>
        <v>1.0900000000000001</v>
      </c>
      <c r="F244" s="231">
        <f>ROUND((+$E244*4000)/12,0)</f>
        <v>363</v>
      </c>
      <c r="G244" s="155">
        <f>ROUND((+$E244*8760)/12,0)</f>
        <v>796</v>
      </c>
      <c r="H244" s="141">
        <f>ROUND(+E244*D$7,2)</f>
        <v>10.18</v>
      </c>
      <c r="I244" s="142">
        <f>ROUND(IF((E244*200)&gt;F244,F244,(E244*200)),0)</f>
        <v>218</v>
      </c>
      <c r="J244" s="141">
        <f>ROUND(+I244*D$8,2)</f>
        <v>23.28</v>
      </c>
      <c r="K244" s="142">
        <f>F244-I244</f>
        <v>145</v>
      </c>
      <c r="L244" s="142">
        <f>G244-I244</f>
        <v>578</v>
      </c>
      <c r="M244" s="141">
        <f>ROUND(+K244*D$9,2)</f>
        <v>10.28</v>
      </c>
      <c r="N244" s="141">
        <f>ROUND(+L244*D$9,2)</f>
        <v>40.98</v>
      </c>
      <c r="O244" s="545">
        <f>+'Schedule 4'!K43+'Schedule 2'!H18+H244+J244+M244</f>
        <v>60.230580094871883</v>
      </c>
      <c r="P244" s="141">
        <f>H244+J244+ROUND((G244-I244)*D$9,2)</f>
        <v>74.44</v>
      </c>
      <c r="Q244" s="146" t="s">
        <v>178</v>
      </c>
      <c r="R244" s="133"/>
      <c r="S244" s="133"/>
      <c r="T244" s="133" t="s">
        <v>535</v>
      </c>
      <c r="U244" s="133"/>
      <c r="V244" s="133"/>
      <c r="W244" s="133"/>
    </row>
    <row r="245" spans="1:23" ht="15.75">
      <c r="A245" s="145"/>
      <c r="B245" s="35"/>
      <c r="C245" s="214"/>
      <c r="D245" s="215"/>
      <c r="E245" s="214"/>
      <c r="F245" s="232"/>
      <c r="G245" s="155"/>
      <c r="H245" s="141"/>
      <c r="I245" s="142"/>
      <c r="J245" s="141"/>
      <c r="K245" s="142"/>
      <c r="L245" s="142"/>
      <c r="M245" s="141"/>
      <c r="N245" s="141"/>
      <c r="O245" s="273"/>
      <c r="P245" s="141"/>
      <c r="Q245" s="53" t="s">
        <v>179</v>
      </c>
      <c r="R245" s="133"/>
      <c r="S245" s="133"/>
      <c r="T245" s="133"/>
      <c r="U245" s="133"/>
      <c r="V245" s="133"/>
      <c r="W245" s="133"/>
    </row>
    <row r="246" spans="1:23">
      <c r="A246" s="145">
        <v>453</v>
      </c>
      <c r="B246" s="133"/>
      <c r="C246" s="133"/>
      <c r="D246" s="205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44">
        <f>ROUND('2012 Unpublished Rates'!E73*(1+'2012 Rates'!$H$5),2)</f>
        <v>26.77</v>
      </c>
      <c r="P246" s="133"/>
      <c r="Q246" s="294">
        <f>ROUND(0.0917*(1+'2012 Rates'!$H$5),4)</f>
        <v>0.1007</v>
      </c>
      <c r="R246" s="143">
        <f t="shared" ref="R246:R258" si="123">+O246/Q246</f>
        <v>265.83912611717972</v>
      </c>
      <c r="S246" s="133"/>
      <c r="T246" s="141"/>
      <c r="U246" s="133"/>
      <c r="V246" s="133"/>
      <c r="W246" s="133"/>
    </row>
    <row r="247" spans="1:23">
      <c r="A247" s="145">
        <v>454</v>
      </c>
      <c r="B247" s="133"/>
      <c r="C247" s="133"/>
      <c r="D247" s="205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44">
        <f>ROUND('2012 Unpublished Rates'!E74*(1+'2012 Rates'!$H$5),2)</f>
        <v>34.17</v>
      </c>
      <c r="P247" s="133"/>
      <c r="Q247" s="294">
        <f>ROUND(0.0917*(1+'2012 Rates'!$H$5),4)</f>
        <v>0.1007</v>
      </c>
      <c r="R247" s="143">
        <f t="shared" si="123"/>
        <v>339.32472691161871</v>
      </c>
      <c r="S247" s="133"/>
      <c r="T247" s="133"/>
      <c r="U247" s="133"/>
      <c r="V247" s="133"/>
      <c r="W247" s="133"/>
    </row>
    <row r="248" spans="1:23">
      <c r="A248" s="145">
        <v>455</v>
      </c>
      <c r="B248" s="133"/>
      <c r="C248" s="133"/>
      <c r="D248" s="205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44">
        <f>ROUND('2012 Unpublished Rates'!E75*(1+'2012 Rates'!$H$5),2)</f>
        <v>41.74</v>
      </c>
      <c r="P248" s="133"/>
      <c r="Q248" s="294">
        <f>ROUND(0.0917*(1+'2012 Rates'!$H$5),4)</f>
        <v>0.1007</v>
      </c>
      <c r="R248" s="143">
        <f t="shared" si="123"/>
        <v>414.49851042701096</v>
      </c>
      <c r="S248" s="133"/>
      <c r="T248" s="133"/>
      <c r="U248" s="133"/>
      <c r="V248" s="133"/>
      <c r="W248" s="133"/>
    </row>
    <row r="249" spans="1:23">
      <c r="A249" s="145">
        <v>456</v>
      </c>
      <c r="B249" s="133"/>
      <c r="C249" s="133"/>
      <c r="D249" s="205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44">
        <f>ROUND('2012 Unpublished Rates'!E76*(1+'2012 Rates'!$H$5),2)</f>
        <v>8.75</v>
      </c>
      <c r="P249" s="133"/>
      <c r="Q249" s="294">
        <f>ROUND(0.0917*(1+'2012 Rates'!$H$5),4)</f>
        <v>0.1007</v>
      </c>
      <c r="R249" s="143">
        <f t="shared" si="123"/>
        <v>86.891757696127115</v>
      </c>
      <c r="S249" s="133"/>
      <c r="T249" s="133"/>
      <c r="U249" s="133"/>
      <c r="V249" s="133"/>
      <c r="W249" s="133"/>
    </row>
    <row r="250" spans="1:23">
      <c r="A250" s="145">
        <v>457</v>
      </c>
      <c r="B250" s="133"/>
      <c r="C250" s="133"/>
      <c r="D250" s="205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44">
        <f>ROUND('2012 Unpublished Rates'!E77*(1+'2012 Rates'!$H$5),2)</f>
        <v>46.29</v>
      </c>
      <c r="P250" s="133"/>
      <c r="Q250" s="294">
        <f>ROUND(0.0917*(1+'2012 Rates'!$H$5),4)</f>
        <v>0.1007</v>
      </c>
      <c r="R250" s="143">
        <f t="shared" si="123"/>
        <v>459.68222442899702</v>
      </c>
      <c r="S250" s="133"/>
      <c r="T250" s="133"/>
      <c r="U250" s="133"/>
      <c r="V250" s="133"/>
      <c r="W250" s="133"/>
    </row>
    <row r="251" spans="1:23">
      <c r="A251" s="145">
        <v>458</v>
      </c>
      <c r="B251" s="133"/>
      <c r="C251" s="133"/>
      <c r="D251" s="205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44">
        <f>ROUND('2012 Unpublished Rates'!E78*(1+'2012 Rates'!$H$5),2)</f>
        <v>18.010000000000002</v>
      </c>
      <c r="P251" s="133"/>
      <c r="Q251" s="294">
        <f>ROUND(0.0917*(1+'2012 Rates'!$H$5),4)</f>
        <v>0.1007</v>
      </c>
      <c r="R251" s="143">
        <f t="shared" si="123"/>
        <v>178.84806355511421</v>
      </c>
      <c r="S251" s="133"/>
      <c r="T251" s="133"/>
      <c r="U251" s="133"/>
      <c r="V251" s="133"/>
      <c r="W251" s="133"/>
    </row>
    <row r="252" spans="1:23">
      <c r="A252" s="145">
        <v>459</v>
      </c>
      <c r="B252" s="133"/>
      <c r="C252" s="133"/>
      <c r="D252" s="205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44">
        <f>ROUND('2012 Unpublished Rates'!E79*(1+'2012 Rates'!$H$5),2)</f>
        <v>15.43</v>
      </c>
      <c r="P252" s="133"/>
      <c r="Q252" s="294">
        <f>ROUND(0.0917*(1+'2012 Rates'!$H$5),4)</f>
        <v>0.1007</v>
      </c>
      <c r="R252" s="143">
        <f t="shared" si="123"/>
        <v>153.227408142999</v>
      </c>
      <c r="S252" s="133"/>
      <c r="T252" s="133"/>
      <c r="U252" s="133"/>
      <c r="V252" s="133"/>
      <c r="W252" s="133"/>
    </row>
    <row r="253" spans="1:23">
      <c r="A253" s="145">
        <v>460</v>
      </c>
      <c r="B253" s="133"/>
      <c r="C253" s="133"/>
      <c r="D253" s="205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44">
        <f>ROUND('2012 Unpublished Rates'!E80*(1+'2012 Rates'!$H$5),2)</f>
        <v>10.76</v>
      </c>
      <c r="P253" s="133"/>
      <c r="Q253" s="294">
        <f>ROUND(0.0917*(1+'2012 Rates'!$H$5),4)</f>
        <v>0.1007</v>
      </c>
      <c r="R253" s="143">
        <f t="shared" si="123"/>
        <v>106.85203574975174</v>
      </c>
      <c r="S253" s="133"/>
      <c r="T253" s="133"/>
      <c r="U253" s="133"/>
      <c r="V253" s="133"/>
      <c r="W253" s="133"/>
    </row>
    <row r="254" spans="1:23">
      <c r="A254" s="145">
        <v>461</v>
      </c>
      <c r="B254" s="133"/>
      <c r="C254" s="133"/>
      <c r="D254" s="205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44">
        <f>ROUND('2012 Unpublished Rates'!E81*(1+'2012 Rates'!$H$5),2)</f>
        <v>24.8</v>
      </c>
      <c r="P254" s="133"/>
      <c r="Q254" s="294">
        <f>ROUND(0.0917*(1+'2012 Rates'!$H$5),4)</f>
        <v>0.1007</v>
      </c>
      <c r="R254" s="143">
        <f t="shared" si="123"/>
        <v>246.27606752730884</v>
      </c>
      <c r="S254" s="133"/>
      <c r="T254" s="133"/>
      <c r="U254" s="133"/>
      <c r="V254" s="133"/>
      <c r="W254" s="133"/>
    </row>
    <row r="255" spans="1:23">
      <c r="A255" s="145">
        <v>462</v>
      </c>
      <c r="B255" s="133"/>
      <c r="C255" s="133"/>
      <c r="D255" s="205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44">
        <f>ROUND('2012 Unpublished Rates'!E82*(1+'2012 Rates'!$H$5),2)</f>
        <v>5.27</v>
      </c>
      <c r="P255" s="133"/>
      <c r="Q255" s="294">
        <f>ROUND(0.0917*(1+'2012 Rates'!$H$5),4)</f>
        <v>0.1007</v>
      </c>
      <c r="R255" s="143">
        <f t="shared" si="123"/>
        <v>52.333664349553125</v>
      </c>
      <c r="S255" s="133"/>
      <c r="T255" s="133"/>
      <c r="U255" s="133"/>
      <c r="V255" s="133"/>
      <c r="W255" s="133"/>
    </row>
    <row r="256" spans="1:23">
      <c r="A256" s="145">
        <v>463</v>
      </c>
      <c r="B256" s="133"/>
      <c r="C256" s="133"/>
      <c r="D256" s="205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44">
        <f>ROUND('2012 Unpublished Rates'!E83*(1+'2012 Rates'!$H$5),2)</f>
        <v>43.52</v>
      </c>
      <c r="P256" s="133"/>
      <c r="Q256" s="294">
        <f>ROUND(0.0917*(1+'2012 Rates'!$H$5),4)</f>
        <v>0.1007</v>
      </c>
      <c r="R256" s="143">
        <f t="shared" si="123"/>
        <v>432.17477656405168</v>
      </c>
      <c r="S256" s="133"/>
      <c r="T256" s="133"/>
      <c r="U256" s="133"/>
      <c r="V256" s="133"/>
      <c r="W256" s="133"/>
    </row>
    <row r="257" spans="1:23">
      <c r="A257" s="145">
        <v>464</v>
      </c>
      <c r="B257" s="133"/>
      <c r="C257" s="133"/>
      <c r="D257" s="205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44">
        <f>ROUND('2012 Unpublished Rates'!E84*(1+'2012 Rates'!$H$5),2)</f>
        <v>13.41</v>
      </c>
      <c r="P257" s="133"/>
      <c r="Q257" s="294">
        <f>ROUND(0.0917*(1+'2012 Rates'!$H$5),4)</f>
        <v>0.1007</v>
      </c>
      <c r="R257" s="143">
        <f t="shared" si="123"/>
        <v>133.16782522343595</v>
      </c>
      <c r="S257" s="133"/>
      <c r="T257" s="133"/>
      <c r="U257" s="133"/>
      <c r="V257" s="133"/>
      <c r="W257" s="133"/>
    </row>
    <row r="258" spans="1:23">
      <c r="A258" s="145">
        <v>465</v>
      </c>
      <c r="B258" s="133"/>
      <c r="C258" s="133"/>
      <c r="D258" s="205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44">
        <f>ROUND('2012 Unpublished Rates'!E85*(1+'2012 Rates'!$H$5),2)</f>
        <v>6.59</v>
      </c>
      <c r="P258" s="133"/>
      <c r="Q258" s="294">
        <f>ROUND(0.0917*(1+'2012 Rates'!$H$5),4)</f>
        <v>0.1007</v>
      </c>
      <c r="R258" s="143">
        <f t="shared" si="123"/>
        <v>65.441906653426017</v>
      </c>
      <c r="S258" s="133"/>
      <c r="T258" s="133"/>
      <c r="U258" s="133"/>
      <c r="V258" s="133"/>
      <c r="W258" s="133"/>
    </row>
    <row r="259" spans="1:23">
      <c r="A259" s="145"/>
      <c r="B259" s="133"/>
      <c r="C259" s="133"/>
      <c r="D259" s="205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44"/>
      <c r="P259" s="133"/>
      <c r="Q259" s="133"/>
      <c r="R259" s="133"/>
      <c r="S259" s="133"/>
      <c r="T259" s="133"/>
      <c r="U259" s="133"/>
      <c r="V259" s="133"/>
      <c r="W259" s="133"/>
    </row>
    <row r="260" spans="1:23">
      <c r="A260" s="145">
        <v>470</v>
      </c>
      <c r="B260" s="133"/>
      <c r="C260" s="133"/>
      <c r="D260" s="205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44">
        <f>ROUND('2012 Unpublished Rates'!E86*(1+'2012 Rates'!$H$5),2)</f>
        <v>7.41</v>
      </c>
      <c r="P260" s="133"/>
      <c r="Q260" s="294">
        <f>ROUND(0.0917*(1+'2012 Rates'!$H$5),4)</f>
        <v>0.1007</v>
      </c>
      <c r="R260" s="143">
        <f>+O260/Q260</f>
        <v>73.584905660377359</v>
      </c>
      <c r="S260" s="133"/>
      <c r="T260" s="133"/>
      <c r="U260" s="133"/>
      <c r="V260" s="133"/>
      <c r="W260" s="133"/>
    </row>
    <row r="261" spans="1:23">
      <c r="A261" s="145">
        <v>471</v>
      </c>
      <c r="B261" s="133"/>
      <c r="C261" s="133"/>
      <c r="D261" s="205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44">
        <f>ROUND('2012 Unpublished Rates'!E87*(1+'2012 Rates'!$H$5),2)</f>
        <v>13.77</v>
      </c>
      <c r="P261" s="133"/>
      <c r="Q261" s="294">
        <f>ROUND(0.0917*(1+'2012 Rates'!$H$5),4)</f>
        <v>0.1007</v>
      </c>
      <c r="R261" s="143">
        <f>+O261/Q261</f>
        <v>136.74280039721947</v>
      </c>
      <c r="S261" s="133"/>
      <c r="T261" s="133"/>
      <c r="U261" s="133"/>
      <c r="V261" s="133"/>
      <c r="W261" s="133"/>
    </row>
    <row r="262" spans="1:23" ht="15.75" thickBot="1">
      <c r="A262" s="145">
        <v>472</v>
      </c>
      <c r="B262" s="133"/>
      <c r="C262" s="133"/>
      <c r="D262" s="205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44">
        <f>ROUND('2012 Unpublished Rates'!E88*(1+'2012 Rates'!$H$5),2)</f>
        <v>64.459999999999994</v>
      </c>
      <c r="P262" s="133"/>
      <c r="Q262" s="294">
        <f>ROUND(0.0917*(1+'2012 Rates'!$H$5),4)</f>
        <v>0.1007</v>
      </c>
      <c r="R262" s="143">
        <f>+O262/Q262</f>
        <v>640.11916583912603</v>
      </c>
      <c r="S262" s="133"/>
      <c r="T262" s="133"/>
      <c r="U262" s="133"/>
      <c r="V262" s="133"/>
      <c r="W262" s="133"/>
    </row>
    <row r="263" spans="1:23" ht="16.5" thickBot="1">
      <c r="A263" s="145">
        <v>473</v>
      </c>
      <c r="B263" s="35">
        <v>175</v>
      </c>
      <c r="C263" s="214">
        <f>B263/1000</f>
        <v>0.17499999999999999</v>
      </c>
      <c r="D263" s="215">
        <v>0.18290000000000001</v>
      </c>
      <c r="E263" s="214">
        <f>(+C263*D263)+C263</f>
        <v>0.20700749999999998</v>
      </c>
      <c r="F263" s="231">
        <f>ROUND((+$E263*4000)/12,0)</f>
        <v>69</v>
      </c>
      <c r="G263" s="155">
        <f>ROUND((+$E263*8760)/12,0)</f>
        <v>151</v>
      </c>
      <c r="H263" s="141">
        <f>ROUND(+E263*D$7,2)</f>
        <v>1.93</v>
      </c>
      <c r="I263" s="142">
        <f>ROUND(IF((E263*200)&gt;F263,F263,(E263*200)),0)</f>
        <v>41</v>
      </c>
      <c r="J263" s="141">
        <f>ROUND(+I263*D$8,2)</f>
        <v>4.38</v>
      </c>
      <c r="K263" s="142">
        <f>F263-I263</f>
        <v>28</v>
      </c>
      <c r="L263" s="142">
        <f>G263-I263</f>
        <v>110</v>
      </c>
      <c r="M263" s="141">
        <f>ROUND(+K263*D$9,2)</f>
        <v>1.99</v>
      </c>
      <c r="N263" s="141">
        <f>ROUND(+L263*D$9,2)</f>
        <v>7.8</v>
      </c>
      <c r="O263" s="295">
        <f>H263+J263+M263</f>
        <v>8.2999999999999989</v>
      </c>
      <c r="P263" s="141">
        <f>H263+J263+ROUND((G263-I263)*D$9,2)</f>
        <v>14.11</v>
      </c>
      <c r="Q263" s="53" t="s">
        <v>180</v>
      </c>
      <c r="R263" s="133"/>
      <c r="S263" s="133"/>
      <c r="T263" s="133"/>
      <c r="U263" s="133"/>
      <c r="V263" s="133"/>
      <c r="W263" s="133"/>
    </row>
    <row r="264" spans="1:23" ht="16.5" thickBot="1">
      <c r="A264" s="145">
        <v>474</v>
      </c>
      <c r="B264" s="35">
        <v>125</v>
      </c>
      <c r="C264" s="214">
        <f>B264/1000</f>
        <v>0.125</v>
      </c>
      <c r="D264" s="215">
        <v>0.248</v>
      </c>
      <c r="E264" s="214">
        <f>(+C264*D264)+C264</f>
        <v>0.156</v>
      </c>
      <c r="F264" s="231">
        <f>ROUND((+$E264*4000)/12,0)</f>
        <v>52</v>
      </c>
      <c r="G264" s="155">
        <f>ROUND((+$E264*8760)/12,0)</f>
        <v>114</v>
      </c>
      <c r="H264" s="141">
        <f>ROUND(+E264*D$7,2)</f>
        <v>1.46</v>
      </c>
      <c r="I264" s="142">
        <f>ROUND(IF((E264*200)&gt;F264,F264,(E264*200)),0)</f>
        <v>31</v>
      </c>
      <c r="J264" s="141">
        <f>ROUND(+I264*D$8,2)</f>
        <v>3.31</v>
      </c>
      <c r="K264" s="142">
        <f>F264-I264</f>
        <v>21</v>
      </c>
      <c r="L264" s="142">
        <f>G264-I264</f>
        <v>83</v>
      </c>
      <c r="M264" s="141">
        <f>ROUND(+K264*D$9,2)</f>
        <v>1.49</v>
      </c>
      <c r="N264" s="141">
        <f>ROUND(+L264*D$9,2)</f>
        <v>5.89</v>
      </c>
      <c r="O264" s="295">
        <f>H264+J264+M264</f>
        <v>6.26</v>
      </c>
      <c r="P264" s="141">
        <f>H264+J264+ROUND((G264-I264)*D$9,2)</f>
        <v>10.66</v>
      </c>
      <c r="Q264" s="53" t="s">
        <v>181</v>
      </c>
      <c r="R264" s="133"/>
      <c r="S264" s="133"/>
      <c r="T264" s="133"/>
      <c r="U264" s="133"/>
      <c r="V264" s="133"/>
      <c r="W264" s="133"/>
    </row>
    <row r="265" spans="1:23" ht="16.5" thickBot="1">
      <c r="A265" s="145">
        <v>475</v>
      </c>
      <c r="B265" s="35">
        <v>70</v>
      </c>
      <c r="C265" s="214">
        <f>B265/1000</f>
        <v>7.0000000000000007E-2</v>
      </c>
      <c r="D265" s="215">
        <v>0.37</v>
      </c>
      <c r="E265" s="214">
        <f>(+C265*D265)+C265</f>
        <v>9.5900000000000013E-2</v>
      </c>
      <c r="F265" s="231">
        <f>ROUND((+$E265*4000)/12,0)</f>
        <v>32</v>
      </c>
      <c r="G265" s="155">
        <f>ROUND((+$E265*8760)/12,0)</f>
        <v>70</v>
      </c>
      <c r="H265" s="141">
        <f>ROUND(+E265*D$7,2)</f>
        <v>0.9</v>
      </c>
      <c r="I265" s="142">
        <f>ROUND(IF((E265*200)&gt;F265,F265,(E265*200)),0)</f>
        <v>19</v>
      </c>
      <c r="J265" s="141">
        <f>ROUND(+I265*D$8,2)</f>
        <v>2.0299999999999998</v>
      </c>
      <c r="K265" s="142">
        <f>F265-I265</f>
        <v>13</v>
      </c>
      <c r="L265" s="142">
        <f>G265-I265</f>
        <v>51</v>
      </c>
      <c r="M265" s="141">
        <f>ROUND(+K265*D$9,2)</f>
        <v>0.92</v>
      </c>
      <c r="N265" s="141">
        <f>ROUND(+L265*D$9,2)</f>
        <v>3.62</v>
      </c>
      <c r="O265" s="295">
        <f>H265+J265+M265</f>
        <v>3.8499999999999996</v>
      </c>
      <c r="P265" s="141">
        <f>H265+J265+ROUND((G265-I265)*D$9,2)</f>
        <v>6.55</v>
      </c>
      <c r="Q265" s="53" t="s">
        <v>182</v>
      </c>
      <c r="R265" s="133"/>
      <c r="S265" s="133"/>
      <c r="T265" s="133"/>
      <c r="U265" s="133"/>
      <c r="V265" s="133"/>
      <c r="W265" s="133"/>
    </row>
    <row r="266" spans="1:23">
      <c r="A266" s="145">
        <v>476</v>
      </c>
      <c r="B266" s="133"/>
      <c r="C266" s="133"/>
      <c r="D266" s="205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44">
        <f>ROUND('2012 Unpublished Rates'!E92*(1+'2012 Rates'!$H$5),2)</f>
        <v>318.97000000000003</v>
      </c>
      <c r="P266" s="133"/>
      <c r="Q266" s="294">
        <f>ROUND(0.0917*(1+'2012 Rates'!$H$5),4)</f>
        <v>0.1007</v>
      </c>
      <c r="R266" s="143">
        <f>+O266/Q266</f>
        <v>3167.5273088381332</v>
      </c>
      <c r="S266" s="133"/>
      <c r="T266" s="133"/>
      <c r="U266" s="133"/>
      <c r="V266" s="133"/>
      <c r="W266" s="133"/>
    </row>
    <row r="267" spans="1:23" ht="15.75" thickBot="1">
      <c r="A267" s="145">
        <v>477</v>
      </c>
      <c r="B267" s="133"/>
      <c r="C267" s="133"/>
      <c r="D267" s="205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44">
        <f>ROUND('2012 Unpublished Rates'!E93*(1+'2012 Rates'!$H$5),2)</f>
        <v>868.11</v>
      </c>
      <c r="P267" s="133"/>
      <c r="Q267" s="294">
        <f>ROUND(0.0917*(1+'2012 Rates'!$H$5),4)</f>
        <v>0.1007</v>
      </c>
      <c r="R267" s="143">
        <f>+O267/Q267</f>
        <v>8620.7547169811332</v>
      </c>
      <c r="S267" s="133"/>
      <c r="T267" s="133"/>
      <c r="U267" s="133"/>
      <c r="V267" s="133"/>
      <c r="W267" s="133"/>
    </row>
    <row r="268" spans="1:23" ht="16.5" thickBot="1">
      <c r="A268" s="145">
        <v>478</v>
      </c>
      <c r="B268" s="133"/>
      <c r="C268" s="133"/>
      <c r="D268" s="205"/>
      <c r="E268" s="133"/>
      <c r="F268" s="296">
        <v>1938</v>
      </c>
      <c r="G268" s="133"/>
      <c r="H268" s="133"/>
      <c r="I268" s="133"/>
      <c r="J268" s="133"/>
      <c r="K268" s="133"/>
      <c r="L268" s="133"/>
      <c r="M268" s="133"/>
      <c r="N268" s="133"/>
      <c r="O268" s="144">
        <f>ROUND('2012 Unpublished Rates'!E94*(1+'2012 Rates'!$H$5),2)</f>
        <v>520.88</v>
      </c>
      <c r="P268" s="133"/>
      <c r="Q268" s="294">
        <f>ROUND(0.0917*(1+'2012 Rates'!$H$5),4)</f>
        <v>0.1007</v>
      </c>
      <c r="R268" s="143">
        <f>+O268/Q268</f>
        <v>5172.5918570009935</v>
      </c>
      <c r="S268" s="133"/>
      <c r="T268" s="133"/>
      <c r="U268" s="133"/>
      <c r="V268" s="133"/>
      <c r="W268" s="133"/>
    </row>
    <row r="269" spans="1:23" ht="15.75">
      <c r="A269" s="145"/>
      <c r="B269" s="133"/>
      <c r="C269" s="133"/>
      <c r="D269" s="205"/>
      <c r="E269" s="133"/>
      <c r="F269" s="297"/>
      <c r="G269" s="133"/>
      <c r="H269" s="133"/>
      <c r="I269" s="133"/>
      <c r="J269" s="133"/>
      <c r="K269" s="133"/>
      <c r="L269" s="133"/>
      <c r="M269" s="133"/>
      <c r="N269" s="133"/>
      <c r="O269" s="144"/>
      <c r="P269" s="133"/>
      <c r="Q269" s="294"/>
      <c r="R269" s="143"/>
      <c r="S269" s="133"/>
      <c r="T269" s="133"/>
      <c r="U269" s="133"/>
      <c r="V269" s="133"/>
      <c r="W269" s="133"/>
    </row>
    <row r="270" spans="1:23" ht="15.75">
      <c r="A270" s="157" t="s">
        <v>192</v>
      </c>
      <c r="B270" s="133"/>
      <c r="C270" s="133"/>
      <c r="D270" s="205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</row>
    <row r="271" spans="1:23" ht="15.75" thickBot="1">
      <c r="A271" s="133"/>
      <c r="B271" s="133"/>
      <c r="C271" s="133"/>
      <c r="D271" s="205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</row>
    <row r="272" spans="1:23" ht="16.5" thickBot="1">
      <c r="A272" s="145">
        <v>500</v>
      </c>
      <c r="B272" s="35">
        <v>210</v>
      </c>
      <c r="C272" s="214">
        <f t="shared" ref="C272:C285" si="124">B272/1000</f>
        <v>0.21</v>
      </c>
      <c r="D272" s="215">
        <v>0</v>
      </c>
      <c r="E272" s="214">
        <f t="shared" ref="E272:E285" si="125">(+C272*D272)+C272</f>
        <v>0.21</v>
      </c>
      <c r="F272" s="231">
        <f t="shared" ref="F272:F284" si="126">ROUND((+$E272*2920)/12,0)</f>
        <v>51</v>
      </c>
      <c r="G272" s="155">
        <f t="shared" ref="G272:G285" si="127">ROUND((+$E272*8760)/12,0)</f>
        <v>153</v>
      </c>
      <c r="H272" s="141">
        <f t="shared" ref="H272:H285" si="128">ROUND(+E272*D$7,2)</f>
        <v>1.96</v>
      </c>
      <c r="I272" s="142">
        <f t="shared" ref="I272:I285" si="129">ROUND(IF((E272*200)&gt;F272,F272,(E272*200)),0)</f>
        <v>42</v>
      </c>
      <c r="J272" s="141">
        <f t="shared" ref="J272:J285" si="130">ROUND(+I272*D$8,2)</f>
        <v>4.49</v>
      </c>
      <c r="K272" s="142">
        <f t="shared" ref="K272:K285" si="131">F272-I272</f>
        <v>9</v>
      </c>
      <c r="L272" s="142">
        <f t="shared" ref="L272:L285" si="132">G272-I272</f>
        <v>111</v>
      </c>
      <c r="M272" s="141">
        <f t="shared" ref="M272:M285" si="133">ROUND(+K272*D$9,2)</f>
        <v>0.64</v>
      </c>
      <c r="N272" s="141">
        <f t="shared" ref="N272:N285" si="134">ROUND(+L272*D$9,2)</f>
        <v>7.87</v>
      </c>
      <c r="O272" s="217">
        <f t="shared" ref="O272:O285" si="135">H272+J272+M272</f>
        <v>7.09</v>
      </c>
      <c r="P272" s="141">
        <f t="shared" ref="P272:P284" si="136">H272+J272+ROUND((G272-I272)*D$9,2)</f>
        <v>14.32</v>
      </c>
      <c r="Q272" s="133"/>
      <c r="R272" s="133"/>
      <c r="S272" s="133"/>
      <c r="T272" s="133"/>
      <c r="U272" s="133"/>
      <c r="V272" s="133"/>
      <c r="W272" s="133"/>
    </row>
    <row r="273" spans="1:23" ht="16.5" thickBot="1">
      <c r="A273" s="145" t="s">
        <v>193</v>
      </c>
      <c r="B273" s="35">
        <v>23</v>
      </c>
      <c r="C273" s="214">
        <f t="shared" si="124"/>
        <v>2.3E-2</v>
      </c>
      <c r="D273" s="215">
        <v>0</v>
      </c>
      <c r="E273" s="214">
        <f t="shared" si="125"/>
        <v>2.3E-2</v>
      </c>
      <c r="F273" s="298">
        <f t="shared" si="126"/>
        <v>6</v>
      </c>
      <c r="G273" s="231">
        <f t="shared" si="127"/>
        <v>17</v>
      </c>
      <c r="H273" s="141">
        <f t="shared" si="128"/>
        <v>0.21</v>
      </c>
      <c r="I273" s="142">
        <f t="shared" si="129"/>
        <v>5</v>
      </c>
      <c r="J273" s="141">
        <f t="shared" si="130"/>
        <v>0.53</v>
      </c>
      <c r="K273" s="142">
        <f t="shared" si="131"/>
        <v>1</v>
      </c>
      <c r="L273" s="142">
        <f t="shared" si="132"/>
        <v>12</v>
      </c>
      <c r="M273" s="141">
        <f t="shared" si="133"/>
        <v>7.0000000000000007E-2</v>
      </c>
      <c r="N273" s="141">
        <f t="shared" si="134"/>
        <v>0.85</v>
      </c>
      <c r="O273" s="273">
        <f t="shared" si="135"/>
        <v>0.81</v>
      </c>
      <c r="P273" s="141">
        <f t="shared" si="136"/>
        <v>1.5899999999999999</v>
      </c>
      <c r="Q273" s="221" t="s">
        <v>194</v>
      </c>
      <c r="R273" s="133"/>
      <c r="S273" s="133"/>
      <c r="T273" s="133"/>
      <c r="U273" s="133"/>
      <c r="V273" s="133"/>
      <c r="W273" s="133"/>
    </row>
    <row r="274" spans="1:23" ht="16.5" thickBot="1">
      <c r="A274" s="145" t="s">
        <v>195</v>
      </c>
      <c r="B274" s="35">
        <v>27</v>
      </c>
      <c r="C274" s="214">
        <f t="shared" si="124"/>
        <v>2.7E-2</v>
      </c>
      <c r="D274" s="215">
        <v>0</v>
      </c>
      <c r="E274" s="214">
        <f t="shared" si="125"/>
        <v>2.7E-2</v>
      </c>
      <c r="F274" s="232">
        <f t="shared" si="126"/>
        <v>7</v>
      </c>
      <c r="G274" s="231">
        <f t="shared" si="127"/>
        <v>20</v>
      </c>
      <c r="H274" s="141">
        <f t="shared" si="128"/>
        <v>0.25</v>
      </c>
      <c r="I274" s="142">
        <f t="shared" si="129"/>
        <v>5</v>
      </c>
      <c r="J274" s="141">
        <f t="shared" si="130"/>
        <v>0.53</v>
      </c>
      <c r="K274" s="142">
        <f t="shared" si="131"/>
        <v>2</v>
      </c>
      <c r="L274" s="142">
        <f t="shared" si="132"/>
        <v>15</v>
      </c>
      <c r="M274" s="141">
        <f t="shared" si="133"/>
        <v>0.14000000000000001</v>
      </c>
      <c r="N274" s="141">
        <f t="shared" si="134"/>
        <v>1.06</v>
      </c>
      <c r="O274" s="273">
        <f t="shared" si="135"/>
        <v>0.92</v>
      </c>
      <c r="P274" s="141">
        <f t="shared" si="136"/>
        <v>1.84</v>
      </c>
      <c r="Q274" s="221" t="s">
        <v>196</v>
      </c>
      <c r="R274" s="133"/>
      <c r="S274" s="133"/>
      <c r="T274" s="133"/>
      <c r="U274" s="133"/>
      <c r="V274" s="133"/>
      <c r="W274" s="133"/>
    </row>
    <row r="275" spans="1:23" ht="16.5" thickBot="1">
      <c r="A275" s="145" t="s">
        <v>197</v>
      </c>
      <c r="B275" s="35">
        <v>33</v>
      </c>
      <c r="C275" s="214">
        <f t="shared" si="124"/>
        <v>3.3000000000000002E-2</v>
      </c>
      <c r="D275" s="215">
        <v>0</v>
      </c>
      <c r="E275" s="214">
        <f t="shared" si="125"/>
        <v>3.3000000000000002E-2</v>
      </c>
      <c r="F275" s="232">
        <f t="shared" si="126"/>
        <v>8</v>
      </c>
      <c r="G275" s="231">
        <f t="shared" si="127"/>
        <v>24</v>
      </c>
      <c r="H275" s="141">
        <f t="shared" si="128"/>
        <v>0.31</v>
      </c>
      <c r="I275" s="142">
        <f t="shared" si="129"/>
        <v>7</v>
      </c>
      <c r="J275" s="141">
        <f t="shared" si="130"/>
        <v>0.75</v>
      </c>
      <c r="K275" s="142">
        <f t="shared" si="131"/>
        <v>1</v>
      </c>
      <c r="L275" s="142">
        <f t="shared" si="132"/>
        <v>17</v>
      </c>
      <c r="M275" s="141">
        <f t="shared" si="133"/>
        <v>7.0000000000000007E-2</v>
      </c>
      <c r="N275" s="141">
        <f t="shared" si="134"/>
        <v>1.21</v>
      </c>
      <c r="O275" s="273">
        <f t="shared" si="135"/>
        <v>1.1300000000000001</v>
      </c>
      <c r="P275" s="141">
        <f t="shared" si="136"/>
        <v>2.27</v>
      </c>
      <c r="Q275" s="221" t="s">
        <v>198</v>
      </c>
      <c r="R275" s="133"/>
      <c r="S275" s="133"/>
      <c r="T275" s="133"/>
      <c r="U275" s="133"/>
      <c r="V275" s="133"/>
      <c r="W275" s="133"/>
    </row>
    <row r="276" spans="1:23" ht="16.5" thickBot="1">
      <c r="A276" s="145" t="s">
        <v>199</v>
      </c>
      <c r="B276" s="35">
        <v>39</v>
      </c>
      <c r="C276" s="214">
        <f t="shared" si="124"/>
        <v>3.9E-2</v>
      </c>
      <c r="D276" s="215">
        <v>0</v>
      </c>
      <c r="E276" s="214">
        <f t="shared" si="125"/>
        <v>3.9E-2</v>
      </c>
      <c r="F276" s="232">
        <f t="shared" si="126"/>
        <v>9</v>
      </c>
      <c r="G276" s="231">
        <f t="shared" si="127"/>
        <v>28</v>
      </c>
      <c r="H276" s="141">
        <f t="shared" si="128"/>
        <v>0.36</v>
      </c>
      <c r="I276" s="142">
        <f t="shared" si="129"/>
        <v>8</v>
      </c>
      <c r="J276" s="141">
        <f t="shared" si="130"/>
        <v>0.85</v>
      </c>
      <c r="K276" s="142">
        <f t="shared" si="131"/>
        <v>1</v>
      </c>
      <c r="L276" s="142">
        <f t="shared" si="132"/>
        <v>20</v>
      </c>
      <c r="M276" s="141">
        <f t="shared" si="133"/>
        <v>7.0000000000000007E-2</v>
      </c>
      <c r="N276" s="141">
        <f t="shared" si="134"/>
        <v>1.42</v>
      </c>
      <c r="O276" s="273">
        <f t="shared" si="135"/>
        <v>1.28</v>
      </c>
      <c r="P276" s="141">
        <f t="shared" si="136"/>
        <v>2.63</v>
      </c>
      <c r="Q276" s="221" t="s">
        <v>200</v>
      </c>
      <c r="R276" s="133"/>
      <c r="S276" s="133"/>
      <c r="T276" s="133"/>
      <c r="U276" s="133"/>
      <c r="V276" s="133"/>
      <c r="W276" s="133"/>
    </row>
    <row r="277" spans="1:23" ht="16.5" thickBot="1">
      <c r="A277" s="145" t="s">
        <v>201</v>
      </c>
      <c r="B277" s="35">
        <v>50</v>
      </c>
      <c r="C277" s="214">
        <f t="shared" si="124"/>
        <v>0.05</v>
      </c>
      <c r="D277" s="215">
        <v>0</v>
      </c>
      <c r="E277" s="214">
        <f t="shared" si="125"/>
        <v>0.05</v>
      </c>
      <c r="F277" s="299">
        <f t="shared" si="126"/>
        <v>12</v>
      </c>
      <c r="G277" s="231">
        <f t="shared" si="127"/>
        <v>37</v>
      </c>
      <c r="H277" s="141">
        <f t="shared" si="128"/>
        <v>0.47</v>
      </c>
      <c r="I277" s="142">
        <f t="shared" si="129"/>
        <v>10</v>
      </c>
      <c r="J277" s="141">
        <f t="shared" si="130"/>
        <v>1.07</v>
      </c>
      <c r="K277" s="142">
        <f t="shared" si="131"/>
        <v>2</v>
      </c>
      <c r="L277" s="142">
        <f t="shared" si="132"/>
        <v>27</v>
      </c>
      <c r="M277" s="141">
        <f t="shared" si="133"/>
        <v>0.14000000000000001</v>
      </c>
      <c r="N277" s="141">
        <f t="shared" si="134"/>
        <v>1.91</v>
      </c>
      <c r="O277" s="273">
        <f t="shared" si="135"/>
        <v>1.6800000000000002</v>
      </c>
      <c r="P277" s="141">
        <f t="shared" si="136"/>
        <v>3.45</v>
      </c>
      <c r="Q277" s="221" t="s">
        <v>202</v>
      </c>
      <c r="R277" s="133"/>
      <c r="S277" s="133"/>
      <c r="T277" s="133"/>
      <c r="U277" s="133"/>
      <c r="V277" s="133"/>
      <c r="W277" s="133"/>
    </row>
    <row r="278" spans="1:23" ht="16.5" thickBot="1">
      <c r="A278" s="145">
        <v>506</v>
      </c>
      <c r="B278" s="35">
        <v>200</v>
      </c>
      <c r="C278" s="214">
        <f t="shared" si="124"/>
        <v>0.2</v>
      </c>
      <c r="D278" s="215">
        <v>0</v>
      </c>
      <c r="E278" s="214">
        <f t="shared" si="125"/>
        <v>0.2</v>
      </c>
      <c r="F278" s="231">
        <f t="shared" si="126"/>
        <v>49</v>
      </c>
      <c r="G278" s="155">
        <f t="shared" si="127"/>
        <v>146</v>
      </c>
      <c r="H278" s="141">
        <f t="shared" si="128"/>
        <v>1.87</v>
      </c>
      <c r="I278" s="142">
        <f t="shared" si="129"/>
        <v>40</v>
      </c>
      <c r="J278" s="141">
        <f t="shared" si="130"/>
        <v>4.2699999999999996</v>
      </c>
      <c r="K278" s="142">
        <f t="shared" si="131"/>
        <v>9</v>
      </c>
      <c r="L278" s="142">
        <f t="shared" si="132"/>
        <v>106</v>
      </c>
      <c r="M278" s="141">
        <f t="shared" si="133"/>
        <v>0.64</v>
      </c>
      <c r="N278" s="141">
        <f t="shared" si="134"/>
        <v>7.52</v>
      </c>
      <c r="O278" s="217">
        <f t="shared" si="135"/>
        <v>6.7799999999999994</v>
      </c>
      <c r="P278" s="141">
        <f t="shared" si="136"/>
        <v>13.66</v>
      </c>
      <c r="Q278" s="133"/>
      <c r="R278" s="133"/>
      <c r="S278" s="133"/>
      <c r="T278" s="133"/>
      <c r="U278" s="133"/>
      <c r="V278" s="133"/>
      <c r="W278" s="133"/>
    </row>
    <row r="279" spans="1:23" ht="16.5" thickBot="1">
      <c r="A279" s="145">
        <v>507</v>
      </c>
      <c r="B279" s="35">
        <v>860</v>
      </c>
      <c r="C279" s="214">
        <f t="shared" si="124"/>
        <v>0.86</v>
      </c>
      <c r="D279" s="215">
        <v>0</v>
      </c>
      <c r="E279" s="214">
        <f t="shared" si="125"/>
        <v>0.86</v>
      </c>
      <c r="F279" s="231">
        <f t="shared" si="126"/>
        <v>209</v>
      </c>
      <c r="G279" s="155">
        <f t="shared" si="127"/>
        <v>628</v>
      </c>
      <c r="H279" s="141">
        <f t="shared" si="128"/>
        <v>8.0299999999999994</v>
      </c>
      <c r="I279" s="142">
        <f t="shared" si="129"/>
        <v>172</v>
      </c>
      <c r="J279" s="141">
        <f t="shared" si="130"/>
        <v>18.37</v>
      </c>
      <c r="K279" s="142">
        <f t="shared" si="131"/>
        <v>37</v>
      </c>
      <c r="L279" s="142">
        <f t="shared" si="132"/>
        <v>456</v>
      </c>
      <c r="M279" s="141">
        <f t="shared" si="133"/>
        <v>2.62</v>
      </c>
      <c r="N279" s="141">
        <f t="shared" si="134"/>
        <v>32.33</v>
      </c>
      <c r="O279" s="217">
        <f t="shared" si="135"/>
        <v>29.02</v>
      </c>
      <c r="P279" s="141">
        <f t="shared" si="136"/>
        <v>58.73</v>
      </c>
      <c r="Q279" s="133"/>
      <c r="R279" s="133"/>
      <c r="S279" s="133"/>
      <c r="T279" s="133"/>
      <c r="U279" s="133"/>
      <c r="V279" s="133"/>
      <c r="W279" s="133"/>
    </row>
    <row r="280" spans="1:23" ht="16.5" thickBot="1">
      <c r="A280" s="145" t="s">
        <v>203</v>
      </c>
      <c r="B280" s="35">
        <v>20</v>
      </c>
      <c r="C280" s="214">
        <f t="shared" si="124"/>
        <v>0.02</v>
      </c>
      <c r="D280" s="215">
        <v>0</v>
      </c>
      <c r="E280" s="214">
        <f t="shared" si="125"/>
        <v>0.02</v>
      </c>
      <c r="F280" s="298">
        <f t="shared" si="126"/>
        <v>5</v>
      </c>
      <c r="G280" s="231">
        <f t="shared" si="127"/>
        <v>15</v>
      </c>
      <c r="H280" s="141">
        <f t="shared" si="128"/>
        <v>0.19</v>
      </c>
      <c r="I280" s="142">
        <f t="shared" si="129"/>
        <v>4</v>
      </c>
      <c r="J280" s="141">
        <f t="shared" si="130"/>
        <v>0.43</v>
      </c>
      <c r="K280" s="142">
        <f t="shared" si="131"/>
        <v>1</v>
      </c>
      <c r="L280" s="142">
        <f t="shared" si="132"/>
        <v>11</v>
      </c>
      <c r="M280" s="141">
        <f t="shared" si="133"/>
        <v>7.0000000000000007E-2</v>
      </c>
      <c r="N280" s="141">
        <f t="shared" si="134"/>
        <v>0.78</v>
      </c>
      <c r="O280" s="273">
        <f t="shared" si="135"/>
        <v>0.69</v>
      </c>
      <c r="P280" s="141">
        <f t="shared" si="136"/>
        <v>1.4</v>
      </c>
      <c r="Q280" s="221" t="s">
        <v>204</v>
      </c>
      <c r="R280" s="133"/>
      <c r="S280" s="133"/>
      <c r="T280" s="133"/>
      <c r="U280" s="133"/>
      <c r="V280" s="133"/>
      <c r="W280" s="133"/>
    </row>
    <row r="281" spans="1:23" ht="16.5" thickBot="1">
      <c r="A281" s="145" t="s">
        <v>205</v>
      </c>
      <c r="B281" s="35">
        <v>45</v>
      </c>
      <c r="C281" s="214">
        <f t="shared" si="124"/>
        <v>4.4999999999999998E-2</v>
      </c>
      <c r="D281" s="215">
        <v>0</v>
      </c>
      <c r="E281" s="214">
        <f t="shared" si="125"/>
        <v>4.4999999999999998E-2</v>
      </c>
      <c r="F281" s="232">
        <f t="shared" si="126"/>
        <v>11</v>
      </c>
      <c r="G281" s="231">
        <f t="shared" si="127"/>
        <v>33</v>
      </c>
      <c r="H281" s="141">
        <f t="shared" si="128"/>
        <v>0.42</v>
      </c>
      <c r="I281" s="142">
        <f t="shared" si="129"/>
        <v>9</v>
      </c>
      <c r="J281" s="141">
        <f t="shared" si="130"/>
        <v>0.96</v>
      </c>
      <c r="K281" s="142">
        <f t="shared" si="131"/>
        <v>2</v>
      </c>
      <c r="L281" s="142">
        <f t="shared" si="132"/>
        <v>24</v>
      </c>
      <c r="M281" s="141">
        <f t="shared" si="133"/>
        <v>0.14000000000000001</v>
      </c>
      <c r="N281" s="141">
        <f t="shared" si="134"/>
        <v>1.7</v>
      </c>
      <c r="O281" s="273">
        <f t="shared" si="135"/>
        <v>1.52</v>
      </c>
      <c r="P281" s="141">
        <f t="shared" si="136"/>
        <v>3.08</v>
      </c>
      <c r="Q281" s="221" t="s">
        <v>206</v>
      </c>
      <c r="R281" s="133"/>
      <c r="S281" s="133"/>
      <c r="T281" s="133"/>
      <c r="U281" s="133"/>
      <c r="V281" s="133"/>
      <c r="W281" s="133"/>
    </row>
    <row r="282" spans="1:23" ht="16.5" thickBot="1">
      <c r="A282" s="145" t="s">
        <v>207</v>
      </c>
      <c r="B282" s="35">
        <v>7</v>
      </c>
      <c r="C282" s="214">
        <f t="shared" si="124"/>
        <v>7.0000000000000001E-3</v>
      </c>
      <c r="D282" s="215">
        <v>0</v>
      </c>
      <c r="E282" s="214">
        <f t="shared" si="125"/>
        <v>7.0000000000000001E-3</v>
      </c>
      <c r="F282" s="232">
        <f t="shared" si="126"/>
        <v>2</v>
      </c>
      <c r="G282" s="231">
        <f t="shared" si="127"/>
        <v>5</v>
      </c>
      <c r="H282" s="141">
        <f t="shared" si="128"/>
        <v>7.0000000000000007E-2</v>
      </c>
      <c r="I282" s="142">
        <f t="shared" si="129"/>
        <v>1</v>
      </c>
      <c r="J282" s="141">
        <f t="shared" si="130"/>
        <v>0.11</v>
      </c>
      <c r="K282" s="142">
        <f t="shared" si="131"/>
        <v>1</v>
      </c>
      <c r="L282" s="142">
        <f t="shared" si="132"/>
        <v>4</v>
      </c>
      <c r="M282" s="141">
        <f t="shared" si="133"/>
        <v>7.0000000000000007E-2</v>
      </c>
      <c r="N282" s="141">
        <f t="shared" si="134"/>
        <v>0.28000000000000003</v>
      </c>
      <c r="O282" s="273">
        <f t="shared" si="135"/>
        <v>0.25</v>
      </c>
      <c r="P282" s="141">
        <f t="shared" si="136"/>
        <v>0.46</v>
      </c>
      <c r="Q282" s="221" t="s">
        <v>208</v>
      </c>
      <c r="R282" s="133"/>
      <c r="S282" s="133"/>
      <c r="T282" s="133"/>
      <c r="U282" s="133"/>
      <c r="V282" s="133"/>
      <c r="W282" s="133"/>
    </row>
    <row r="283" spans="1:23" ht="16.5" thickBot="1">
      <c r="A283" s="145" t="s">
        <v>209</v>
      </c>
      <c r="B283" s="35">
        <v>17</v>
      </c>
      <c r="C283" s="214">
        <f t="shared" si="124"/>
        <v>1.7000000000000001E-2</v>
      </c>
      <c r="D283" s="215">
        <v>0</v>
      </c>
      <c r="E283" s="214">
        <f t="shared" si="125"/>
        <v>1.7000000000000001E-2</v>
      </c>
      <c r="F283" s="232">
        <f t="shared" si="126"/>
        <v>4</v>
      </c>
      <c r="G283" s="231">
        <f t="shared" si="127"/>
        <v>12</v>
      </c>
      <c r="H283" s="141">
        <f t="shared" si="128"/>
        <v>0.16</v>
      </c>
      <c r="I283" s="142">
        <f t="shared" si="129"/>
        <v>3</v>
      </c>
      <c r="J283" s="141">
        <f t="shared" si="130"/>
        <v>0.32</v>
      </c>
      <c r="K283" s="142">
        <f t="shared" si="131"/>
        <v>1</v>
      </c>
      <c r="L283" s="142">
        <f t="shared" si="132"/>
        <v>9</v>
      </c>
      <c r="M283" s="141">
        <f t="shared" si="133"/>
        <v>7.0000000000000007E-2</v>
      </c>
      <c r="N283" s="141">
        <f t="shared" si="134"/>
        <v>0.64</v>
      </c>
      <c r="O283" s="273">
        <f t="shared" si="135"/>
        <v>0.55000000000000004</v>
      </c>
      <c r="P283" s="217">
        <f t="shared" si="136"/>
        <v>1.1200000000000001</v>
      </c>
      <c r="Q283" s="133"/>
      <c r="R283" s="133"/>
      <c r="S283" s="133"/>
      <c r="T283" s="133"/>
      <c r="U283" s="133"/>
      <c r="V283" s="133"/>
      <c r="W283" s="133"/>
    </row>
    <row r="284" spans="1:23" ht="16.5" thickBot="1">
      <c r="A284" s="145" t="s">
        <v>210</v>
      </c>
      <c r="B284" s="35">
        <v>25</v>
      </c>
      <c r="C284" s="214">
        <f t="shared" si="124"/>
        <v>2.5000000000000001E-2</v>
      </c>
      <c r="D284" s="215">
        <v>0</v>
      </c>
      <c r="E284" s="214">
        <f t="shared" si="125"/>
        <v>2.5000000000000001E-2</v>
      </c>
      <c r="F284" s="232">
        <f t="shared" si="126"/>
        <v>6</v>
      </c>
      <c r="G284" s="231">
        <f t="shared" si="127"/>
        <v>18</v>
      </c>
      <c r="H284" s="141">
        <f t="shared" si="128"/>
        <v>0.23</v>
      </c>
      <c r="I284" s="142">
        <f t="shared" si="129"/>
        <v>5</v>
      </c>
      <c r="J284" s="141">
        <f t="shared" si="130"/>
        <v>0.53</v>
      </c>
      <c r="K284" s="142">
        <f t="shared" si="131"/>
        <v>1</v>
      </c>
      <c r="L284" s="142">
        <f t="shared" si="132"/>
        <v>13</v>
      </c>
      <c r="M284" s="141">
        <f t="shared" si="133"/>
        <v>7.0000000000000007E-2</v>
      </c>
      <c r="N284" s="141">
        <f t="shared" si="134"/>
        <v>0.92</v>
      </c>
      <c r="O284" s="273">
        <f t="shared" si="135"/>
        <v>0.83000000000000007</v>
      </c>
      <c r="P284" s="217">
        <f t="shared" si="136"/>
        <v>1.6800000000000002</v>
      </c>
      <c r="Q284" s="133"/>
      <c r="R284" s="133"/>
      <c r="S284" s="133"/>
      <c r="T284" s="133"/>
      <c r="U284" s="133"/>
      <c r="V284" s="133"/>
      <c r="W284" s="133"/>
    </row>
    <row r="285" spans="1:23" ht="16.5" thickBot="1">
      <c r="A285" s="145">
        <v>513</v>
      </c>
      <c r="B285" s="35">
        <v>60</v>
      </c>
      <c r="C285" s="214">
        <f t="shared" si="124"/>
        <v>0.06</v>
      </c>
      <c r="D285" s="215">
        <v>0</v>
      </c>
      <c r="E285" s="214">
        <f t="shared" si="125"/>
        <v>0.06</v>
      </c>
      <c r="F285" s="231">
        <f>ROUND((+$E285*(8760*0.5))/12,0)</f>
        <v>22</v>
      </c>
      <c r="G285" s="235">
        <f t="shared" si="127"/>
        <v>44</v>
      </c>
      <c r="H285" s="141">
        <f t="shared" si="128"/>
        <v>0.56000000000000005</v>
      </c>
      <c r="I285" s="142">
        <f t="shared" si="129"/>
        <v>12</v>
      </c>
      <c r="J285" s="141">
        <f t="shared" si="130"/>
        <v>1.28</v>
      </c>
      <c r="K285" s="142">
        <f t="shared" si="131"/>
        <v>10</v>
      </c>
      <c r="L285" s="142">
        <f t="shared" si="132"/>
        <v>32</v>
      </c>
      <c r="M285" s="141">
        <f t="shared" si="133"/>
        <v>0.71</v>
      </c>
      <c r="N285" s="141">
        <f t="shared" si="134"/>
        <v>2.27</v>
      </c>
      <c r="O285" s="217">
        <f t="shared" si="135"/>
        <v>2.5499999999999998</v>
      </c>
      <c r="P285" s="236">
        <f>H285+J285+N285</f>
        <v>4.1100000000000003</v>
      </c>
      <c r="Q285" s="133"/>
      <c r="R285" s="133"/>
      <c r="S285" s="133"/>
      <c r="T285" s="133"/>
      <c r="U285" s="133"/>
      <c r="V285" s="133"/>
      <c r="W285" s="133"/>
    </row>
    <row r="286" spans="1:23" ht="15.75">
      <c r="A286" s="145"/>
      <c r="B286" s="35"/>
      <c r="C286" s="214"/>
      <c r="D286" s="215"/>
      <c r="E286" s="214"/>
      <c r="F286" s="151"/>
      <c r="G286" s="155"/>
      <c r="H286" s="141"/>
      <c r="I286" s="142"/>
      <c r="J286" s="141"/>
      <c r="K286" s="142"/>
      <c r="L286" s="142"/>
      <c r="M286" s="141"/>
      <c r="N286" s="141"/>
      <c r="O286" s="239"/>
      <c r="P286" s="141"/>
      <c r="Q286" s="133"/>
      <c r="R286" s="133"/>
      <c r="S286" s="133"/>
      <c r="T286" s="133"/>
      <c r="U286" s="133"/>
      <c r="V286" s="133"/>
      <c r="W286" s="133"/>
    </row>
    <row r="287" spans="1:23" ht="15.75">
      <c r="A287" s="300" t="s">
        <v>211</v>
      </c>
      <c r="B287" s="35"/>
      <c r="C287" s="214"/>
      <c r="D287" s="215"/>
      <c r="E287" s="214"/>
      <c r="F287" s="151"/>
      <c r="G287" s="155"/>
      <c r="H287" s="141"/>
      <c r="I287" s="142"/>
      <c r="J287" s="141"/>
      <c r="K287" s="142"/>
      <c r="L287" s="142"/>
      <c r="M287" s="141"/>
      <c r="N287" s="141"/>
      <c r="O287" s="239"/>
      <c r="P287" s="141"/>
      <c r="Q287" s="133"/>
      <c r="R287" s="133"/>
      <c r="S287" s="133"/>
      <c r="T287" s="133"/>
      <c r="U287" s="133"/>
      <c r="V287" s="133"/>
      <c r="W287" s="133"/>
    </row>
    <row r="288" spans="1:23" ht="16.5" thickBot="1">
      <c r="A288" s="145"/>
      <c r="B288" s="35"/>
      <c r="C288" s="214"/>
      <c r="D288" s="215"/>
      <c r="E288" s="214"/>
      <c r="F288" s="151"/>
      <c r="G288" s="155"/>
      <c r="H288" s="141"/>
      <c r="I288" s="142"/>
      <c r="J288" s="141"/>
      <c r="K288" s="142"/>
      <c r="L288" s="142"/>
      <c r="M288" s="141"/>
      <c r="N288" s="141"/>
      <c r="O288" s="239"/>
      <c r="P288" s="141"/>
      <c r="Q288" s="133"/>
      <c r="R288" s="133"/>
      <c r="S288" s="133"/>
      <c r="T288" s="133"/>
      <c r="U288" s="133"/>
      <c r="V288" s="133"/>
      <c r="W288" s="133"/>
    </row>
    <row r="289" spans="1:23" ht="16.5" thickBot="1">
      <c r="A289" s="140" t="s">
        <v>212</v>
      </c>
      <c r="B289" s="35">
        <v>7</v>
      </c>
      <c r="C289" s="214">
        <f t="shared" ref="C289:C298" si="137">B289/1000</f>
        <v>7.0000000000000001E-3</v>
      </c>
      <c r="D289" s="215">
        <v>0</v>
      </c>
      <c r="E289" s="214">
        <f t="shared" ref="E289:E298" si="138">(+C289*D289)+C289</f>
        <v>7.0000000000000001E-3</v>
      </c>
      <c r="F289" s="232">
        <f>ROUND((+$E289*(3/5)*8760)/12,0)</f>
        <v>3</v>
      </c>
      <c r="G289" s="155">
        <f t="shared" ref="G289:G298" si="139">ROUND((+$E289*8760)/12,0)</f>
        <v>5</v>
      </c>
      <c r="H289" s="141">
        <f t="shared" ref="H289:H298" si="140">ROUND(+E289*D$7,2)</f>
        <v>7.0000000000000007E-2</v>
      </c>
      <c r="I289" s="142">
        <f t="shared" ref="I289:I297" si="141">ROUND(IF((E289*200)&gt;F289,F289,(E289*200)),0)</f>
        <v>1</v>
      </c>
      <c r="J289" s="141">
        <f t="shared" ref="J289:J298" si="142">ROUND(+I289*D$8,2)</f>
        <v>0.11</v>
      </c>
      <c r="K289" s="142">
        <f t="shared" ref="K289:K297" si="143">F289-I289</f>
        <v>2</v>
      </c>
      <c r="L289" s="142">
        <f t="shared" ref="L289:L298" si="144">G289-I289</f>
        <v>4</v>
      </c>
      <c r="M289" s="141">
        <f t="shared" ref="M289:M298" si="145">ROUND(+K289*D$9,2)</f>
        <v>0.14000000000000001</v>
      </c>
      <c r="N289" s="141">
        <f t="shared" ref="N289:N298" si="146">ROUND(+L289*D$9,2)</f>
        <v>0.28000000000000003</v>
      </c>
      <c r="O289" s="217">
        <f t="shared" ref="O289:O296" si="147">H289+J289+M289</f>
        <v>0.32</v>
      </c>
      <c r="P289" s="141">
        <f t="shared" ref="P289:P298" si="148">H289+J289+ROUND((G289-I289)*D$9,2)</f>
        <v>0.46</v>
      </c>
      <c r="Q289" s="133"/>
      <c r="R289" s="133"/>
      <c r="S289" s="133"/>
      <c r="T289" s="133"/>
      <c r="U289" s="133"/>
      <c r="V289" s="133"/>
      <c r="W289" s="133"/>
    </row>
    <row r="290" spans="1:23" ht="16.5" thickBot="1">
      <c r="A290" s="140" t="s">
        <v>213</v>
      </c>
      <c r="B290" s="35">
        <v>7</v>
      </c>
      <c r="C290" s="214">
        <f t="shared" si="137"/>
        <v>7.0000000000000001E-3</v>
      </c>
      <c r="D290" s="215">
        <v>0</v>
      </c>
      <c r="E290" s="214">
        <f t="shared" si="138"/>
        <v>7.0000000000000001E-3</v>
      </c>
      <c r="F290" s="232">
        <f>ROUND((+$E290*(1.5/5)*8760)/12,0)</f>
        <v>2</v>
      </c>
      <c r="G290" s="155">
        <f t="shared" si="139"/>
        <v>5</v>
      </c>
      <c r="H290" s="141">
        <f t="shared" si="140"/>
        <v>7.0000000000000007E-2</v>
      </c>
      <c r="I290" s="142">
        <f t="shared" si="141"/>
        <v>1</v>
      </c>
      <c r="J290" s="141">
        <f t="shared" si="142"/>
        <v>0.11</v>
      </c>
      <c r="K290" s="142">
        <f t="shared" si="143"/>
        <v>1</v>
      </c>
      <c r="L290" s="142">
        <f t="shared" si="144"/>
        <v>4</v>
      </c>
      <c r="M290" s="141">
        <f t="shared" si="145"/>
        <v>7.0000000000000007E-2</v>
      </c>
      <c r="N290" s="141">
        <f t="shared" si="146"/>
        <v>0.28000000000000003</v>
      </c>
      <c r="O290" s="217">
        <f t="shared" si="147"/>
        <v>0.25</v>
      </c>
      <c r="P290" s="141">
        <f t="shared" si="148"/>
        <v>0.46</v>
      </c>
      <c r="Q290" s="133"/>
      <c r="R290" s="133"/>
      <c r="S290" s="133"/>
      <c r="T290" s="133"/>
      <c r="U290" s="133"/>
      <c r="V290" s="133"/>
      <c r="W290" s="133"/>
    </row>
    <row r="291" spans="1:23" ht="16.5" thickBot="1">
      <c r="A291" s="140" t="s">
        <v>214</v>
      </c>
      <c r="B291" s="35">
        <v>10</v>
      </c>
      <c r="C291" s="214">
        <f t="shared" si="137"/>
        <v>0.01</v>
      </c>
      <c r="D291" s="215">
        <v>0</v>
      </c>
      <c r="E291" s="214">
        <f t="shared" si="138"/>
        <v>0.01</v>
      </c>
      <c r="F291" s="232">
        <f>ROUND((+$E291*(3/5)*8760)/12,0)</f>
        <v>4</v>
      </c>
      <c r="G291" s="155">
        <f t="shared" si="139"/>
        <v>7</v>
      </c>
      <c r="H291" s="141">
        <f t="shared" si="140"/>
        <v>0.09</v>
      </c>
      <c r="I291" s="142">
        <f t="shared" si="141"/>
        <v>2</v>
      </c>
      <c r="J291" s="141">
        <f t="shared" si="142"/>
        <v>0.21</v>
      </c>
      <c r="K291" s="142">
        <f t="shared" si="143"/>
        <v>2</v>
      </c>
      <c r="L291" s="142">
        <f t="shared" si="144"/>
        <v>5</v>
      </c>
      <c r="M291" s="141">
        <f t="shared" si="145"/>
        <v>0.14000000000000001</v>
      </c>
      <c r="N291" s="141">
        <f t="shared" si="146"/>
        <v>0.35</v>
      </c>
      <c r="O291" s="217">
        <f t="shared" si="147"/>
        <v>0.44</v>
      </c>
      <c r="P291" s="141">
        <f t="shared" si="148"/>
        <v>0.64999999999999991</v>
      </c>
      <c r="Q291" s="133"/>
      <c r="R291" s="133"/>
      <c r="S291" s="133"/>
      <c r="T291" s="133"/>
      <c r="U291" s="133"/>
      <c r="V291" s="133"/>
      <c r="W291" s="133"/>
    </row>
    <row r="292" spans="1:23" ht="16.5" thickBot="1">
      <c r="A292" s="140" t="s">
        <v>215</v>
      </c>
      <c r="B292" s="35">
        <v>10</v>
      </c>
      <c r="C292" s="214">
        <f t="shared" si="137"/>
        <v>0.01</v>
      </c>
      <c r="D292" s="215">
        <v>0</v>
      </c>
      <c r="E292" s="214">
        <f t="shared" si="138"/>
        <v>0.01</v>
      </c>
      <c r="F292" s="232">
        <f>ROUND((+$E292*(1.5/5)*8760)/12,0)</f>
        <v>2</v>
      </c>
      <c r="G292" s="155">
        <f t="shared" si="139"/>
        <v>7</v>
      </c>
      <c r="H292" s="141">
        <f t="shared" si="140"/>
        <v>0.09</v>
      </c>
      <c r="I292" s="142">
        <f t="shared" si="141"/>
        <v>2</v>
      </c>
      <c r="J292" s="141">
        <f t="shared" si="142"/>
        <v>0.21</v>
      </c>
      <c r="K292" s="142">
        <f t="shared" si="143"/>
        <v>0</v>
      </c>
      <c r="L292" s="142">
        <f t="shared" si="144"/>
        <v>5</v>
      </c>
      <c r="M292" s="141">
        <f t="shared" si="145"/>
        <v>0</v>
      </c>
      <c r="N292" s="141">
        <f t="shared" si="146"/>
        <v>0.35</v>
      </c>
      <c r="O292" s="217">
        <f t="shared" si="147"/>
        <v>0.3</v>
      </c>
      <c r="P292" s="141">
        <f t="shared" si="148"/>
        <v>0.64999999999999991</v>
      </c>
      <c r="Q292" s="133"/>
      <c r="R292" s="133"/>
      <c r="S292" s="133"/>
      <c r="T292" s="133"/>
      <c r="U292" s="133"/>
      <c r="V292" s="133"/>
      <c r="W292" s="133"/>
    </row>
    <row r="293" spans="1:23" ht="16.5" thickBot="1">
      <c r="A293" s="140" t="s">
        <v>216</v>
      </c>
      <c r="B293" s="35">
        <v>12</v>
      </c>
      <c r="C293" s="214">
        <f t="shared" si="137"/>
        <v>1.2E-2</v>
      </c>
      <c r="D293" s="215">
        <v>0</v>
      </c>
      <c r="E293" s="214">
        <f t="shared" si="138"/>
        <v>1.2E-2</v>
      </c>
      <c r="F293" s="232">
        <f>ROUND((+$E293*(1.5/5)*8760)/12,0)</f>
        <v>3</v>
      </c>
      <c r="G293" s="155">
        <f t="shared" si="139"/>
        <v>9</v>
      </c>
      <c r="H293" s="141">
        <f t="shared" si="140"/>
        <v>0.11</v>
      </c>
      <c r="I293" s="142">
        <f t="shared" si="141"/>
        <v>2</v>
      </c>
      <c r="J293" s="141">
        <f t="shared" si="142"/>
        <v>0.21</v>
      </c>
      <c r="K293" s="142">
        <f t="shared" si="143"/>
        <v>1</v>
      </c>
      <c r="L293" s="142">
        <f t="shared" si="144"/>
        <v>7</v>
      </c>
      <c r="M293" s="141">
        <f t="shared" si="145"/>
        <v>7.0000000000000007E-2</v>
      </c>
      <c r="N293" s="141">
        <f t="shared" si="146"/>
        <v>0.5</v>
      </c>
      <c r="O293" s="217">
        <f t="shared" si="147"/>
        <v>0.39</v>
      </c>
      <c r="P293" s="141">
        <f t="shared" si="148"/>
        <v>0.82000000000000006</v>
      </c>
      <c r="Q293" s="133"/>
      <c r="R293" s="133"/>
      <c r="S293" s="133"/>
      <c r="T293" s="133"/>
      <c r="U293" s="133"/>
      <c r="V293" s="133"/>
      <c r="W293" s="133"/>
    </row>
    <row r="294" spans="1:23" ht="16.5" thickBot="1">
      <c r="A294" s="140" t="s">
        <v>217</v>
      </c>
      <c r="B294" s="35">
        <v>14.5</v>
      </c>
      <c r="C294" s="214">
        <f t="shared" si="137"/>
        <v>1.4500000000000001E-2</v>
      </c>
      <c r="D294" s="215">
        <v>0</v>
      </c>
      <c r="E294" s="214">
        <f t="shared" si="138"/>
        <v>1.4500000000000001E-2</v>
      </c>
      <c r="F294" s="232">
        <f>ROUND((+$E294*(0.5/5)*8760)/12,0)</f>
        <v>1</v>
      </c>
      <c r="G294" s="155">
        <f t="shared" si="139"/>
        <v>11</v>
      </c>
      <c r="H294" s="141">
        <f t="shared" si="140"/>
        <v>0.14000000000000001</v>
      </c>
      <c r="I294" s="142">
        <f t="shared" si="141"/>
        <v>1</v>
      </c>
      <c r="J294" s="141">
        <f t="shared" si="142"/>
        <v>0.11</v>
      </c>
      <c r="K294" s="142">
        <f t="shared" si="143"/>
        <v>0</v>
      </c>
      <c r="L294" s="142">
        <f t="shared" si="144"/>
        <v>10</v>
      </c>
      <c r="M294" s="141">
        <f t="shared" si="145"/>
        <v>0</v>
      </c>
      <c r="N294" s="141">
        <f t="shared" si="146"/>
        <v>0.71</v>
      </c>
      <c r="O294" s="217">
        <f t="shared" si="147"/>
        <v>0.25</v>
      </c>
      <c r="P294" s="141">
        <f t="shared" si="148"/>
        <v>0.96</v>
      </c>
      <c r="Q294" s="133"/>
      <c r="R294" s="133"/>
      <c r="S294" s="133"/>
      <c r="T294" s="133"/>
      <c r="U294" s="133"/>
      <c r="V294" s="133"/>
      <c r="W294" s="133"/>
    </row>
    <row r="295" spans="1:23" ht="16.5" thickBot="1">
      <c r="A295" s="140" t="s">
        <v>218</v>
      </c>
      <c r="B295" s="35">
        <v>20</v>
      </c>
      <c r="C295" s="214">
        <f t="shared" si="137"/>
        <v>0.02</v>
      </c>
      <c r="D295" s="215">
        <v>0</v>
      </c>
      <c r="E295" s="214">
        <f t="shared" si="138"/>
        <v>0.02</v>
      </c>
      <c r="F295" s="232">
        <f>ROUND((+$E295*(3/5)*8760)/12,0)</f>
        <v>9</v>
      </c>
      <c r="G295" s="155">
        <f t="shared" si="139"/>
        <v>15</v>
      </c>
      <c r="H295" s="141">
        <f t="shared" si="140"/>
        <v>0.19</v>
      </c>
      <c r="I295" s="142">
        <f t="shared" si="141"/>
        <v>4</v>
      </c>
      <c r="J295" s="141">
        <f t="shared" si="142"/>
        <v>0.43</v>
      </c>
      <c r="K295" s="142">
        <f t="shared" si="143"/>
        <v>5</v>
      </c>
      <c r="L295" s="142">
        <f t="shared" si="144"/>
        <v>11</v>
      </c>
      <c r="M295" s="141">
        <f t="shared" si="145"/>
        <v>0.35</v>
      </c>
      <c r="N295" s="141">
        <f t="shared" si="146"/>
        <v>0.78</v>
      </c>
      <c r="O295" s="217">
        <f t="shared" si="147"/>
        <v>0.97</v>
      </c>
      <c r="P295" s="141">
        <f t="shared" si="148"/>
        <v>1.4</v>
      </c>
      <c r="Q295" s="133"/>
      <c r="R295" s="133"/>
      <c r="S295" s="133"/>
      <c r="T295" s="133"/>
      <c r="U295" s="133"/>
      <c r="V295" s="133"/>
      <c r="W295" s="133"/>
    </row>
    <row r="296" spans="1:23" ht="16.5" thickBot="1">
      <c r="A296" s="140" t="s">
        <v>219</v>
      </c>
      <c r="B296" s="35">
        <v>22</v>
      </c>
      <c r="C296" s="214">
        <f t="shared" si="137"/>
        <v>2.1999999999999999E-2</v>
      </c>
      <c r="D296" s="215">
        <v>0</v>
      </c>
      <c r="E296" s="214">
        <f t="shared" si="138"/>
        <v>2.1999999999999999E-2</v>
      </c>
      <c r="F296" s="232">
        <f>ROUND((+$E296*(0.5/5)*8760)/12,0)</f>
        <v>2</v>
      </c>
      <c r="G296" s="155">
        <f t="shared" si="139"/>
        <v>16</v>
      </c>
      <c r="H296" s="141">
        <f t="shared" si="140"/>
        <v>0.21</v>
      </c>
      <c r="I296" s="142">
        <f t="shared" si="141"/>
        <v>2</v>
      </c>
      <c r="J296" s="141">
        <f t="shared" si="142"/>
        <v>0.21</v>
      </c>
      <c r="K296" s="142">
        <f t="shared" si="143"/>
        <v>0</v>
      </c>
      <c r="L296" s="142">
        <f t="shared" si="144"/>
        <v>14</v>
      </c>
      <c r="M296" s="141">
        <f t="shared" si="145"/>
        <v>0</v>
      </c>
      <c r="N296" s="141">
        <f t="shared" si="146"/>
        <v>0.99</v>
      </c>
      <c r="O296" s="217">
        <f t="shared" si="147"/>
        <v>0.42</v>
      </c>
      <c r="P296" s="141">
        <f t="shared" si="148"/>
        <v>1.41</v>
      </c>
      <c r="Q296" s="133"/>
      <c r="R296" s="133"/>
      <c r="S296" s="133"/>
      <c r="T296" s="133"/>
      <c r="U296" s="133"/>
      <c r="V296" s="133"/>
      <c r="W296" s="133"/>
    </row>
    <row r="297" spans="1:23" ht="16.5" thickBot="1">
      <c r="A297" s="301" t="s">
        <v>220</v>
      </c>
      <c r="B297" s="35">
        <v>6</v>
      </c>
      <c r="C297" s="214">
        <f t="shared" si="137"/>
        <v>6.0000000000000001E-3</v>
      </c>
      <c r="D297" s="215">
        <v>0</v>
      </c>
      <c r="E297" s="214">
        <f t="shared" si="138"/>
        <v>6.0000000000000001E-3</v>
      </c>
      <c r="F297" s="232">
        <f>ROUND((+$E297*(0.5/5)*8760)/12,0)</f>
        <v>0</v>
      </c>
      <c r="G297" s="231">
        <f t="shared" si="139"/>
        <v>4</v>
      </c>
      <c r="H297" s="141">
        <f t="shared" si="140"/>
        <v>0.06</v>
      </c>
      <c r="I297" s="142">
        <f t="shared" si="141"/>
        <v>0</v>
      </c>
      <c r="J297" s="141">
        <f t="shared" si="142"/>
        <v>0</v>
      </c>
      <c r="K297" s="142">
        <f t="shared" si="143"/>
        <v>0</v>
      </c>
      <c r="L297" s="142">
        <f t="shared" si="144"/>
        <v>4</v>
      </c>
      <c r="M297" s="141">
        <f t="shared" si="145"/>
        <v>0</v>
      </c>
      <c r="N297" s="141">
        <f t="shared" si="146"/>
        <v>0.28000000000000003</v>
      </c>
      <c r="O297" s="302" t="s">
        <v>973</v>
      </c>
      <c r="P297" s="217">
        <f t="shared" si="148"/>
        <v>0.34</v>
      </c>
      <c r="Q297" s="133"/>
      <c r="R297" s="133"/>
      <c r="S297" s="133"/>
      <c r="T297" s="133"/>
      <c r="U297" s="133"/>
      <c r="V297" s="133"/>
      <c r="W297" s="133"/>
    </row>
    <row r="298" spans="1:23" ht="16.5" thickBot="1">
      <c r="A298" s="140" t="s">
        <v>221</v>
      </c>
      <c r="B298" s="35">
        <v>9</v>
      </c>
      <c r="C298" s="214">
        <f t="shared" si="137"/>
        <v>8.9999999999999993E-3</v>
      </c>
      <c r="D298" s="215">
        <v>0</v>
      </c>
      <c r="E298" s="214">
        <f t="shared" si="138"/>
        <v>8.9999999999999993E-3</v>
      </c>
      <c r="F298" s="232">
        <f>ROUND((+$E298*(8760/3))/12,0)</f>
        <v>2</v>
      </c>
      <c r="G298" s="231">
        <f t="shared" si="139"/>
        <v>7</v>
      </c>
      <c r="H298" s="141">
        <f t="shared" si="140"/>
        <v>0.08</v>
      </c>
      <c r="I298" s="142">
        <f>ROUND(IF((E298*200)&gt;G298,G298,(E298*200)),0)</f>
        <v>2</v>
      </c>
      <c r="J298" s="141">
        <f t="shared" si="142"/>
        <v>0.21</v>
      </c>
      <c r="K298" s="142">
        <v>0</v>
      </c>
      <c r="L298" s="142">
        <f t="shared" si="144"/>
        <v>5</v>
      </c>
      <c r="M298" s="141">
        <f t="shared" si="145"/>
        <v>0</v>
      </c>
      <c r="N298" s="141">
        <f t="shared" si="146"/>
        <v>0.35</v>
      </c>
      <c r="O298" s="273">
        <f>H298+J298+M298</f>
        <v>0.28999999999999998</v>
      </c>
      <c r="P298" s="217">
        <f t="shared" si="148"/>
        <v>0.6399999999999999</v>
      </c>
      <c r="Q298" s="133"/>
      <c r="R298" s="133"/>
      <c r="S298" s="133"/>
      <c r="T298" s="133"/>
      <c r="U298" s="133"/>
      <c r="V298" s="133"/>
      <c r="W298" s="133"/>
    </row>
    <row r="299" spans="1:23" ht="15.75" thickBot="1">
      <c r="Q299" s="133"/>
      <c r="R299" s="133"/>
      <c r="S299" s="133"/>
      <c r="T299" s="133"/>
      <c r="U299" s="133"/>
      <c r="V299" s="133"/>
      <c r="W299" s="133"/>
    </row>
    <row r="300" spans="1:23" ht="16.5" thickBot="1">
      <c r="A300" s="140" t="s">
        <v>222</v>
      </c>
      <c r="B300" s="303">
        <v>4.5999999999999996</v>
      </c>
      <c r="C300" s="304">
        <f>B300/1000</f>
        <v>4.5999999999999999E-3</v>
      </c>
      <c r="D300" s="215">
        <v>0</v>
      </c>
      <c r="E300" s="304">
        <f>(+C300*D300)+C300</f>
        <v>4.5999999999999999E-3</v>
      </c>
      <c r="F300" s="232">
        <f>ROUND((+$E300*(8760/3))/12,0)</f>
        <v>1</v>
      </c>
      <c r="G300" s="231">
        <f>ROUND((+$E300*8760)/12,0)</f>
        <v>3</v>
      </c>
      <c r="H300" s="141">
        <f>ROUND(+E300*D$7,2)</f>
        <v>0.04</v>
      </c>
      <c r="I300" s="142">
        <f>ROUND(IF((E300*200)&gt;G300,G300,(E300*200)),0)</f>
        <v>1</v>
      </c>
      <c r="J300" s="141">
        <f>ROUND(+I300*D$8,2)</f>
        <v>0.11</v>
      </c>
      <c r="K300" s="142">
        <f>F300-I300</f>
        <v>0</v>
      </c>
      <c r="L300" s="142">
        <f>G300-I300</f>
        <v>2</v>
      </c>
      <c r="M300" s="141">
        <f>ROUND(+K300*D$9,2)</f>
        <v>0</v>
      </c>
      <c r="N300" s="141">
        <f>ROUND(+L300*D$9,2)</f>
        <v>0.14000000000000001</v>
      </c>
      <c r="O300" s="280">
        <f>H300+J300+M300</f>
        <v>0.15</v>
      </c>
      <c r="P300" s="217">
        <f>H300+J300+ROUND((G300-I300)*D$9,2)</f>
        <v>0.29000000000000004</v>
      </c>
      <c r="Q300" s="133"/>
      <c r="R300" s="133"/>
      <c r="S300" s="133"/>
      <c r="T300" s="133"/>
      <c r="U300" s="133"/>
      <c r="V300" s="133"/>
      <c r="W300" s="133"/>
    </row>
    <row r="301" spans="1:23" ht="16.5" thickBot="1">
      <c r="A301" s="140" t="s">
        <v>223</v>
      </c>
      <c r="B301" s="35">
        <f>(B297+B298)/2</f>
        <v>7.5</v>
      </c>
      <c r="C301" s="304">
        <f>B301/1000</f>
        <v>7.4999999999999997E-3</v>
      </c>
      <c r="D301" s="215">
        <v>0</v>
      </c>
      <c r="E301" s="304">
        <f>(+C301*D301)+C301</f>
        <v>7.4999999999999997E-3</v>
      </c>
      <c r="F301" s="232">
        <f>ROUND((+$E301*(8760/3))/12,0)</f>
        <v>2</v>
      </c>
      <c r="G301" s="231">
        <f>ROUND((+$E301*8760)/12,0)</f>
        <v>5</v>
      </c>
      <c r="H301" s="141">
        <f>ROUND(+E301*D$7,2)</f>
        <v>7.0000000000000007E-2</v>
      </c>
      <c r="I301" s="142">
        <f>ROUND(IF((E301*200)&gt;G301,G301,(E301*200)),0)</f>
        <v>2</v>
      </c>
      <c r="J301" s="141">
        <f>ROUND(+I301*D$8,2)</f>
        <v>0.21</v>
      </c>
      <c r="K301" s="142">
        <v>0</v>
      </c>
      <c r="L301" s="142">
        <f>G301-I301</f>
        <v>3</v>
      </c>
      <c r="M301" s="141">
        <f>ROUND(+K301*D$9,2)</f>
        <v>0</v>
      </c>
      <c r="N301" s="141">
        <f>ROUND(+L301*D$9,2)</f>
        <v>0.21</v>
      </c>
      <c r="O301" s="273">
        <f>H301+J301+M301</f>
        <v>0.28000000000000003</v>
      </c>
      <c r="P301" s="217">
        <f>H301+J301+ROUND((G301-I301)*D$9,2)</f>
        <v>0.49</v>
      </c>
      <c r="Q301" s="133"/>
      <c r="R301" s="133"/>
      <c r="S301" s="133"/>
      <c r="T301" s="133"/>
      <c r="U301" s="133"/>
      <c r="V301" s="133"/>
      <c r="W301" s="133"/>
    </row>
    <row r="302" spans="1:23" ht="15.75">
      <c r="A302" s="145"/>
      <c r="B302" s="35"/>
      <c r="C302" s="214"/>
      <c r="D302" s="215"/>
      <c r="E302" s="214"/>
      <c r="F302" s="151"/>
      <c r="G302" s="155"/>
      <c r="H302" s="141"/>
      <c r="I302" s="142"/>
      <c r="J302" s="141"/>
      <c r="K302" s="142"/>
      <c r="L302" s="142"/>
      <c r="M302" s="141"/>
      <c r="N302" s="141"/>
      <c r="O302" s="273"/>
      <c r="P302" s="141"/>
      <c r="Q302" s="133"/>
      <c r="R302" s="133"/>
      <c r="S302" s="133"/>
      <c r="T302" s="133"/>
      <c r="U302" s="133"/>
      <c r="V302" s="133"/>
      <c r="W302" s="133"/>
    </row>
    <row r="303" spans="1:23" ht="15.75">
      <c r="A303" s="157" t="s">
        <v>224</v>
      </c>
      <c r="B303" s="133"/>
      <c r="C303" s="133"/>
      <c r="D303" s="205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</row>
    <row r="304" spans="1:23" ht="15.75" thickBot="1">
      <c r="A304" s="133"/>
      <c r="B304" s="133"/>
      <c r="C304" s="133"/>
      <c r="D304" s="205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</row>
    <row r="305" spans="1:23" ht="16.5" thickBot="1">
      <c r="A305" s="145">
        <v>600</v>
      </c>
      <c r="B305" s="35">
        <v>116</v>
      </c>
      <c r="C305" s="214">
        <f t="shared" ref="C305:C315" si="149">B305/1000</f>
        <v>0.11600000000000001</v>
      </c>
      <c r="D305" s="215">
        <v>0</v>
      </c>
      <c r="E305" s="214">
        <f t="shared" ref="E305:E315" si="150">(+C305*D305)+C305</f>
        <v>0.11600000000000001</v>
      </c>
      <c r="F305" s="232">
        <f t="shared" ref="F305:F310" si="151">ROUND((+$E305*4000)/12,0)</f>
        <v>39</v>
      </c>
      <c r="G305" s="231">
        <f t="shared" ref="G305:G315" si="152">ROUND((+$E305*8760)/12,0)</f>
        <v>85</v>
      </c>
      <c r="H305" s="141">
        <f t="shared" ref="H305:H315" si="153">ROUND(+E305*D$7,2)</f>
        <v>1.08</v>
      </c>
      <c r="I305" s="142">
        <f t="shared" ref="I305:I315" si="154">ROUND(IF((E305*200)&gt;F305,F305,(E305*200)),0)</f>
        <v>23</v>
      </c>
      <c r="J305" s="141">
        <f t="shared" ref="J305:J315" si="155">ROUND(+I305*D$8,2)</f>
        <v>2.46</v>
      </c>
      <c r="K305" s="142">
        <f t="shared" ref="K305:K315" si="156">F305-I305</f>
        <v>16</v>
      </c>
      <c r="L305" s="142">
        <f t="shared" ref="L305:L315" si="157">G305-I305</f>
        <v>62</v>
      </c>
      <c r="M305" s="141">
        <f t="shared" ref="M305:M315" si="158">ROUND(+K305*D$9,2)</f>
        <v>1.1299999999999999</v>
      </c>
      <c r="N305" s="141">
        <f t="shared" ref="N305:N315" si="159">ROUND(+L305*D$9,2)</f>
        <v>4.4000000000000004</v>
      </c>
      <c r="O305" s="273">
        <f t="shared" ref="O305:O315" si="160">H305+J305+M305</f>
        <v>4.67</v>
      </c>
      <c r="P305" s="217">
        <f t="shared" ref="P305:P315" si="161">H305+J305+ROUND((G305-I305)*D$9,2)</f>
        <v>7.94</v>
      </c>
      <c r="Q305" s="133"/>
      <c r="R305" s="133"/>
      <c r="S305" s="133"/>
      <c r="T305" s="133"/>
      <c r="U305" s="133"/>
      <c r="V305" s="133"/>
      <c r="W305" s="133"/>
    </row>
    <row r="306" spans="1:23" ht="16.5" thickBot="1">
      <c r="A306" s="145">
        <v>601</v>
      </c>
      <c r="B306" s="35">
        <v>500</v>
      </c>
      <c r="C306" s="214">
        <f t="shared" si="149"/>
        <v>0.5</v>
      </c>
      <c r="D306" s="215">
        <v>0</v>
      </c>
      <c r="E306" s="214">
        <f t="shared" si="150"/>
        <v>0.5</v>
      </c>
      <c r="F306" s="232">
        <f t="shared" si="151"/>
        <v>167</v>
      </c>
      <c r="G306" s="155">
        <f t="shared" si="152"/>
        <v>365</v>
      </c>
      <c r="H306" s="141">
        <f t="shared" si="153"/>
        <v>4.67</v>
      </c>
      <c r="I306" s="142">
        <f t="shared" si="154"/>
        <v>100</v>
      </c>
      <c r="J306" s="141">
        <f t="shared" si="155"/>
        <v>10.68</v>
      </c>
      <c r="K306" s="142">
        <f t="shared" si="156"/>
        <v>67</v>
      </c>
      <c r="L306" s="142">
        <f t="shared" si="157"/>
        <v>265</v>
      </c>
      <c r="M306" s="141">
        <f t="shared" si="158"/>
        <v>4.75</v>
      </c>
      <c r="N306" s="141">
        <f t="shared" si="159"/>
        <v>18.79</v>
      </c>
      <c r="O306" s="273">
        <f t="shared" si="160"/>
        <v>20.100000000000001</v>
      </c>
      <c r="P306" s="141">
        <f t="shared" si="161"/>
        <v>34.14</v>
      </c>
      <c r="Q306" s="221" t="s">
        <v>225</v>
      </c>
      <c r="R306" s="133"/>
      <c r="S306" s="133"/>
      <c r="T306" s="133"/>
      <c r="U306" s="133"/>
      <c r="V306" s="133"/>
      <c r="W306" s="133"/>
    </row>
    <row r="307" spans="1:23" ht="16.5" thickBot="1">
      <c r="A307" s="145">
        <v>602</v>
      </c>
      <c r="B307" s="35">
        <v>400</v>
      </c>
      <c r="C307" s="214">
        <f t="shared" si="149"/>
        <v>0.4</v>
      </c>
      <c r="D307" s="215">
        <v>0.155</v>
      </c>
      <c r="E307" s="214">
        <f t="shared" si="150"/>
        <v>0.46200000000000002</v>
      </c>
      <c r="F307" s="232">
        <f t="shared" si="151"/>
        <v>154</v>
      </c>
      <c r="G307" s="231">
        <f t="shared" si="152"/>
        <v>337</v>
      </c>
      <c r="H307" s="141">
        <f t="shared" si="153"/>
        <v>4.3099999999999996</v>
      </c>
      <c r="I307" s="142">
        <f t="shared" si="154"/>
        <v>92</v>
      </c>
      <c r="J307" s="141">
        <f t="shared" si="155"/>
        <v>9.83</v>
      </c>
      <c r="K307" s="142">
        <f t="shared" si="156"/>
        <v>62</v>
      </c>
      <c r="L307" s="142">
        <f t="shared" si="157"/>
        <v>245</v>
      </c>
      <c r="M307" s="141">
        <f t="shared" si="158"/>
        <v>4.4000000000000004</v>
      </c>
      <c r="N307" s="141">
        <f t="shared" si="159"/>
        <v>17.37</v>
      </c>
      <c r="O307" s="273">
        <f t="shared" si="160"/>
        <v>18.54</v>
      </c>
      <c r="P307" s="217">
        <f t="shared" si="161"/>
        <v>31.51</v>
      </c>
      <c r="Q307" s="133"/>
      <c r="R307" s="133"/>
      <c r="S307" s="133"/>
      <c r="T307" s="133"/>
      <c r="U307" s="133"/>
      <c r="V307" s="133"/>
      <c r="W307" s="133"/>
    </row>
    <row r="308" spans="1:23" ht="16.5" thickBot="1">
      <c r="A308" s="145">
        <v>603</v>
      </c>
      <c r="B308" s="35">
        <v>100</v>
      </c>
      <c r="C308" s="214">
        <f t="shared" si="149"/>
        <v>0.1</v>
      </c>
      <c r="D308" s="215">
        <v>0</v>
      </c>
      <c r="E308" s="214">
        <f t="shared" si="150"/>
        <v>0.1</v>
      </c>
      <c r="F308" s="231">
        <f t="shared" si="151"/>
        <v>33</v>
      </c>
      <c r="G308" s="155">
        <f t="shared" si="152"/>
        <v>73</v>
      </c>
      <c r="H308" s="141">
        <f t="shared" si="153"/>
        <v>0.93</v>
      </c>
      <c r="I308" s="142">
        <f t="shared" si="154"/>
        <v>20</v>
      </c>
      <c r="J308" s="141">
        <f t="shared" si="155"/>
        <v>2.14</v>
      </c>
      <c r="K308" s="142">
        <f t="shared" si="156"/>
        <v>13</v>
      </c>
      <c r="L308" s="142">
        <f t="shared" si="157"/>
        <v>53</v>
      </c>
      <c r="M308" s="141">
        <f t="shared" si="158"/>
        <v>0.92</v>
      </c>
      <c r="N308" s="141">
        <f t="shared" si="159"/>
        <v>3.76</v>
      </c>
      <c r="O308" s="217">
        <f t="shared" si="160"/>
        <v>3.99</v>
      </c>
      <c r="P308" s="141">
        <f t="shared" si="161"/>
        <v>6.83</v>
      </c>
      <c r="Q308" s="133"/>
      <c r="R308" s="133"/>
      <c r="S308" s="133"/>
      <c r="T308" s="133"/>
      <c r="U308" s="133"/>
      <c r="V308" s="133"/>
      <c r="W308" s="133"/>
    </row>
    <row r="309" spans="1:23" ht="16.5" thickBot="1">
      <c r="A309" s="145">
        <v>604</v>
      </c>
      <c r="B309" s="35">
        <v>276</v>
      </c>
      <c r="C309" s="214">
        <f t="shared" si="149"/>
        <v>0.27600000000000002</v>
      </c>
      <c r="D309" s="215">
        <v>0</v>
      </c>
      <c r="E309" s="214">
        <f t="shared" si="150"/>
        <v>0.27600000000000002</v>
      </c>
      <c r="F309" s="231">
        <f t="shared" si="151"/>
        <v>92</v>
      </c>
      <c r="G309" s="155">
        <f t="shared" si="152"/>
        <v>201</v>
      </c>
      <c r="H309" s="141">
        <f t="shared" si="153"/>
        <v>2.58</v>
      </c>
      <c r="I309" s="142">
        <f t="shared" si="154"/>
        <v>55</v>
      </c>
      <c r="J309" s="141">
        <f t="shared" si="155"/>
        <v>5.87</v>
      </c>
      <c r="K309" s="142">
        <f t="shared" si="156"/>
        <v>37</v>
      </c>
      <c r="L309" s="142">
        <f t="shared" si="157"/>
        <v>146</v>
      </c>
      <c r="M309" s="141">
        <f t="shared" si="158"/>
        <v>2.62</v>
      </c>
      <c r="N309" s="141">
        <f t="shared" si="159"/>
        <v>10.35</v>
      </c>
      <c r="O309" s="217">
        <f t="shared" si="160"/>
        <v>11.07</v>
      </c>
      <c r="P309" s="141">
        <f t="shared" si="161"/>
        <v>18.799999999999997</v>
      </c>
      <c r="Q309" s="133"/>
      <c r="R309" s="133"/>
      <c r="S309" s="133"/>
      <c r="T309" s="133"/>
      <c r="U309" s="133"/>
      <c r="V309" s="133"/>
      <c r="W309" s="133"/>
    </row>
    <row r="310" spans="1:23" ht="16.5" thickBot="1">
      <c r="A310" s="145">
        <v>605</v>
      </c>
      <c r="B310" s="35">
        <v>10</v>
      </c>
      <c r="C310" s="214">
        <f t="shared" si="149"/>
        <v>0.01</v>
      </c>
      <c r="D310" s="215">
        <v>0</v>
      </c>
      <c r="E310" s="214">
        <f t="shared" si="150"/>
        <v>0.01</v>
      </c>
      <c r="F310" s="232">
        <f t="shared" si="151"/>
        <v>3</v>
      </c>
      <c r="G310" s="155">
        <f t="shared" si="152"/>
        <v>7</v>
      </c>
      <c r="H310" s="141">
        <f t="shared" si="153"/>
        <v>0.09</v>
      </c>
      <c r="I310" s="142">
        <f t="shared" si="154"/>
        <v>2</v>
      </c>
      <c r="J310" s="141">
        <f t="shared" si="155"/>
        <v>0.21</v>
      </c>
      <c r="K310" s="142">
        <f t="shared" si="156"/>
        <v>1</v>
      </c>
      <c r="L310" s="142">
        <f t="shared" si="157"/>
        <v>5</v>
      </c>
      <c r="M310" s="141">
        <f t="shared" si="158"/>
        <v>7.0000000000000007E-2</v>
      </c>
      <c r="N310" s="141">
        <f t="shared" si="159"/>
        <v>0.35</v>
      </c>
      <c r="O310" s="273">
        <f t="shared" si="160"/>
        <v>0.37</v>
      </c>
      <c r="P310" s="141">
        <f t="shared" si="161"/>
        <v>0.64999999999999991</v>
      </c>
      <c r="Q310" s="221" t="s">
        <v>174</v>
      </c>
      <c r="R310" s="133"/>
      <c r="S310" s="133"/>
      <c r="T310" s="133"/>
      <c r="U310" s="133"/>
      <c r="V310" s="133"/>
      <c r="W310" s="133"/>
    </row>
    <row r="311" spans="1:23" ht="16.5" thickBot="1">
      <c r="A311" s="145">
        <v>606</v>
      </c>
      <c r="B311" s="35">
        <v>480</v>
      </c>
      <c r="C311" s="214">
        <f t="shared" si="149"/>
        <v>0.48</v>
      </c>
      <c r="D311" s="215">
        <v>0</v>
      </c>
      <c r="E311" s="214">
        <f t="shared" si="150"/>
        <v>0.48</v>
      </c>
      <c r="F311" s="232">
        <f>ROUND((+$E311*6*364)/12,0)</f>
        <v>87</v>
      </c>
      <c r="G311" s="155">
        <f t="shared" si="152"/>
        <v>350</v>
      </c>
      <c r="H311" s="141">
        <f t="shared" si="153"/>
        <v>4.4800000000000004</v>
      </c>
      <c r="I311" s="142">
        <f t="shared" si="154"/>
        <v>87</v>
      </c>
      <c r="J311" s="141">
        <f t="shared" si="155"/>
        <v>9.2899999999999991</v>
      </c>
      <c r="K311" s="142">
        <f t="shared" si="156"/>
        <v>0</v>
      </c>
      <c r="L311" s="142">
        <f t="shared" si="157"/>
        <v>263</v>
      </c>
      <c r="M311" s="141">
        <f t="shared" si="158"/>
        <v>0</v>
      </c>
      <c r="N311" s="141">
        <f t="shared" si="159"/>
        <v>18.649999999999999</v>
      </c>
      <c r="O311" s="217">
        <f t="shared" si="160"/>
        <v>13.77</v>
      </c>
      <c r="P311" s="141">
        <f t="shared" si="161"/>
        <v>32.42</v>
      </c>
      <c r="Q311" s="133"/>
      <c r="R311" s="133"/>
      <c r="S311" s="133"/>
      <c r="T311" s="133"/>
      <c r="U311" s="133"/>
      <c r="V311" s="133"/>
      <c r="W311" s="133"/>
    </row>
    <row r="312" spans="1:23" ht="16.5" thickBot="1">
      <c r="A312" s="145">
        <v>607</v>
      </c>
      <c r="B312" s="35">
        <v>4440</v>
      </c>
      <c r="C312" s="214">
        <f t="shared" si="149"/>
        <v>4.4400000000000004</v>
      </c>
      <c r="D312" s="215">
        <v>0</v>
      </c>
      <c r="E312" s="214">
        <f t="shared" si="150"/>
        <v>4.4400000000000004</v>
      </c>
      <c r="F312" s="232">
        <f>ROUND((+$E312*4000)/12,0)</f>
        <v>1480</v>
      </c>
      <c r="G312" s="155">
        <f t="shared" si="152"/>
        <v>3241</v>
      </c>
      <c r="H312" s="141">
        <f t="shared" si="153"/>
        <v>41.47</v>
      </c>
      <c r="I312" s="142">
        <f t="shared" si="154"/>
        <v>888</v>
      </c>
      <c r="J312" s="141">
        <f t="shared" si="155"/>
        <v>94.84</v>
      </c>
      <c r="K312" s="142">
        <f t="shared" si="156"/>
        <v>592</v>
      </c>
      <c r="L312" s="142">
        <f t="shared" si="157"/>
        <v>2353</v>
      </c>
      <c r="M312" s="141">
        <f t="shared" si="158"/>
        <v>41.98</v>
      </c>
      <c r="N312" s="141">
        <f t="shared" si="159"/>
        <v>166.84</v>
      </c>
      <c r="O312" s="273">
        <f t="shared" si="160"/>
        <v>178.29</v>
      </c>
      <c r="P312" s="141">
        <f t="shared" si="161"/>
        <v>303.14999999999998</v>
      </c>
      <c r="Q312" s="221" t="s">
        <v>226</v>
      </c>
      <c r="R312" s="133"/>
      <c r="S312" s="133"/>
      <c r="T312" s="133"/>
      <c r="U312" s="133"/>
      <c r="V312" s="133"/>
      <c r="W312" s="133"/>
    </row>
    <row r="313" spans="1:23" ht="16.5" thickBot="1">
      <c r="A313" s="145">
        <v>608</v>
      </c>
      <c r="B313" s="35">
        <v>138</v>
      </c>
      <c r="C313" s="214">
        <f t="shared" si="149"/>
        <v>0.13800000000000001</v>
      </c>
      <c r="D313" s="215">
        <v>0</v>
      </c>
      <c r="E313" s="214">
        <f t="shared" si="150"/>
        <v>0.13800000000000001</v>
      </c>
      <c r="F313" s="232">
        <f>ROUND((+$E313*4000)/12,0)</f>
        <v>46</v>
      </c>
      <c r="G313" s="155">
        <f t="shared" si="152"/>
        <v>101</v>
      </c>
      <c r="H313" s="141">
        <f t="shared" si="153"/>
        <v>1.29</v>
      </c>
      <c r="I313" s="142">
        <f t="shared" si="154"/>
        <v>28</v>
      </c>
      <c r="J313" s="141">
        <f t="shared" si="155"/>
        <v>2.99</v>
      </c>
      <c r="K313" s="142">
        <f t="shared" si="156"/>
        <v>18</v>
      </c>
      <c r="L313" s="142">
        <f t="shared" si="157"/>
        <v>73</v>
      </c>
      <c r="M313" s="141">
        <f t="shared" si="158"/>
        <v>1.28</v>
      </c>
      <c r="N313" s="141">
        <f t="shared" si="159"/>
        <v>5.18</v>
      </c>
      <c r="O313" s="217">
        <f t="shared" si="160"/>
        <v>5.5600000000000005</v>
      </c>
      <c r="P313" s="141">
        <f t="shared" si="161"/>
        <v>9.4600000000000009</v>
      </c>
      <c r="Q313" s="133"/>
      <c r="R313" s="133"/>
      <c r="S313" s="133"/>
      <c r="T313" s="133"/>
      <c r="U313" s="133"/>
      <c r="V313" s="133"/>
      <c r="W313" s="133"/>
    </row>
    <row r="314" spans="1:23" ht="16.5" thickBot="1">
      <c r="A314" s="145">
        <v>609</v>
      </c>
      <c r="B314" s="35">
        <v>175</v>
      </c>
      <c r="C314" s="214">
        <f t="shared" si="149"/>
        <v>0.17499999999999999</v>
      </c>
      <c r="D314" s="215">
        <v>0</v>
      </c>
      <c r="E314" s="214">
        <f t="shared" si="150"/>
        <v>0.17499999999999999</v>
      </c>
      <c r="F314" s="232">
        <f>ROUND((+$E314*4000)/12,0)</f>
        <v>58</v>
      </c>
      <c r="G314" s="155">
        <f t="shared" si="152"/>
        <v>128</v>
      </c>
      <c r="H314" s="141">
        <f t="shared" si="153"/>
        <v>1.63</v>
      </c>
      <c r="I314" s="142">
        <f t="shared" si="154"/>
        <v>35</v>
      </c>
      <c r="J314" s="141">
        <f t="shared" si="155"/>
        <v>3.74</v>
      </c>
      <c r="K314" s="142">
        <f t="shared" si="156"/>
        <v>23</v>
      </c>
      <c r="L314" s="142">
        <f t="shared" si="157"/>
        <v>93</v>
      </c>
      <c r="M314" s="141">
        <f t="shared" si="158"/>
        <v>1.63</v>
      </c>
      <c r="N314" s="141">
        <f t="shared" si="159"/>
        <v>6.59</v>
      </c>
      <c r="O314" s="217">
        <f t="shared" si="160"/>
        <v>7</v>
      </c>
      <c r="P314" s="141">
        <f t="shared" si="161"/>
        <v>11.96</v>
      </c>
      <c r="Q314" s="133"/>
      <c r="R314" s="133"/>
      <c r="S314" s="133"/>
      <c r="T314" s="133"/>
      <c r="U314" s="133"/>
      <c r="V314" s="133"/>
      <c r="W314" s="133"/>
    </row>
    <row r="315" spans="1:23" ht="16.5" thickBot="1">
      <c r="A315" s="145">
        <v>610</v>
      </c>
      <c r="B315" s="35">
        <v>244</v>
      </c>
      <c r="C315" s="214">
        <f t="shared" si="149"/>
        <v>0.24399999999999999</v>
      </c>
      <c r="D315" s="215">
        <v>0</v>
      </c>
      <c r="E315" s="214">
        <f t="shared" si="150"/>
        <v>0.24399999999999999</v>
      </c>
      <c r="F315" s="232">
        <f>ROUND((+$E315*4000)/12,0)</f>
        <v>81</v>
      </c>
      <c r="G315" s="155">
        <f t="shared" si="152"/>
        <v>178</v>
      </c>
      <c r="H315" s="141">
        <f t="shared" si="153"/>
        <v>2.2799999999999998</v>
      </c>
      <c r="I315" s="142">
        <f t="shared" si="154"/>
        <v>49</v>
      </c>
      <c r="J315" s="141">
        <f t="shared" si="155"/>
        <v>5.23</v>
      </c>
      <c r="K315" s="142">
        <f t="shared" si="156"/>
        <v>32</v>
      </c>
      <c r="L315" s="142">
        <f t="shared" si="157"/>
        <v>129</v>
      </c>
      <c r="M315" s="141">
        <f t="shared" si="158"/>
        <v>2.27</v>
      </c>
      <c r="N315" s="141">
        <f t="shared" si="159"/>
        <v>9.15</v>
      </c>
      <c r="O315" s="217">
        <f t="shared" si="160"/>
        <v>9.7799999999999994</v>
      </c>
      <c r="P315" s="141">
        <f t="shared" si="161"/>
        <v>16.66</v>
      </c>
      <c r="Q315" s="133"/>
      <c r="R315" s="133"/>
      <c r="S315" s="133"/>
      <c r="T315" s="133"/>
      <c r="U315" s="133"/>
      <c r="V315" s="133"/>
      <c r="W315" s="133"/>
    </row>
    <row r="316" spans="1:23">
      <c r="A316" s="145"/>
      <c r="B316" s="133"/>
      <c r="C316" s="133"/>
      <c r="D316" s="205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</row>
    <row r="317" spans="1:23">
      <c r="A317" s="133"/>
      <c r="B317" s="133"/>
      <c r="C317" s="133"/>
      <c r="D317" s="205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</row>
    <row r="318" spans="1:23" ht="15.75">
      <c r="A318" s="157" t="s">
        <v>227</v>
      </c>
      <c r="B318" s="133"/>
      <c r="C318" s="133"/>
      <c r="D318" s="205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</row>
    <row r="319" spans="1:23">
      <c r="A319" s="133"/>
      <c r="B319" s="133"/>
      <c r="C319" s="133"/>
      <c r="D319" s="205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</row>
    <row r="320" spans="1:23" ht="15.75">
      <c r="A320" s="145">
        <v>700</v>
      </c>
      <c r="B320" s="133"/>
      <c r="C320" s="133"/>
      <c r="D320" s="205"/>
      <c r="E320" s="133"/>
      <c r="F320" s="133">
        <v>13</v>
      </c>
      <c r="G320" s="133"/>
      <c r="H320" s="133"/>
      <c r="I320" s="133"/>
      <c r="J320" s="133"/>
      <c r="K320" s="133"/>
      <c r="L320" s="133"/>
      <c r="M320" s="133"/>
      <c r="N320" s="133"/>
      <c r="O320" s="305">
        <f>B11</f>
        <v>3.2504153814512136</v>
      </c>
      <c r="P320" s="141"/>
      <c r="Q320" s="133"/>
      <c r="R320" s="133"/>
      <c r="S320" s="133"/>
      <c r="T320" s="133"/>
      <c r="U320" s="133"/>
      <c r="V320" s="133"/>
      <c r="W320" s="133"/>
    </row>
    <row r="321" spans="1:23" ht="15.75">
      <c r="A321" s="145">
        <v>701</v>
      </c>
      <c r="B321" s="133"/>
      <c r="C321" s="133"/>
      <c r="D321" s="205"/>
      <c r="E321" s="133"/>
      <c r="F321" s="133">
        <v>0</v>
      </c>
      <c r="G321" s="133"/>
      <c r="H321" s="133"/>
      <c r="I321" s="133"/>
      <c r="J321" s="133"/>
      <c r="K321" s="133"/>
      <c r="L321" s="133"/>
      <c r="M321" s="133"/>
      <c r="N321" s="133"/>
      <c r="O321" s="305">
        <f>B12</f>
        <v>13.891133302485763</v>
      </c>
      <c r="P321" s="133"/>
      <c r="Q321" s="133"/>
      <c r="R321" s="133"/>
      <c r="S321" s="133"/>
      <c r="T321" s="133"/>
      <c r="U321" s="133"/>
      <c r="V321" s="133"/>
      <c r="W321" s="133"/>
    </row>
    <row r="322" spans="1:23" ht="15.75">
      <c r="A322" s="145">
        <v>702</v>
      </c>
      <c r="B322" s="133"/>
      <c r="C322" s="133"/>
      <c r="D322" s="205"/>
      <c r="E322" s="133"/>
      <c r="F322" s="133">
        <v>0</v>
      </c>
      <c r="G322" s="133"/>
      <c r="H322" s="133"/>
      <c r="I322" s="133"/>
      <c r="J322" s="133"/>
      <c r="K322" s="133"/>
      <c r="L322" s="133"/>
      <c r="M322" s="133"/>
      <c r="N322" s="133"/>
      <c r="O322" s="305">
        <f>ROUND('2012 Unpublished Rates'!E138*(1+$H$5),2)</f>
        <v>20.56</v>
      </c>
      <c r="P322" s="133"/>
      <c r="Q322" s="133"/>
      <c r="R322" s="133"/>
      <c r="S322" s="133"/>
      <c r="T322" s="133"/>
      <c r="U322" s="133"/>
      <c r="V322" s="133"/>
      <c r="W322" s="133"/>
    </row>
    <row r="323" spans="1:23" ht="15.75">
      <c r="A323" s="145">
        <v>703</v>
      </c>
      <c r="B323" s="133"/>
      <c r="C323" s="133"/>
      <c r="D323" s="205"/>
      <c r="E323" s="133"/>
      <c r="F323" s="133">
        <v>0</v>
      </c>
      <c r="G323" s="133"/>
      <c r="H323" s="133"/>
      <c r="I323" s="133"/>
      <c r="J323" s="133"/>
      <c r="K323" s="133"/>
      <c r="L323" s="133"/>
      <c r="M323" s="133"/>
      <c r="N323" s="133"/>
      <c r="O323" s="305">
        <f>ROUND('2012 Unpublished Rates'!E139*(1+$H$5),2)</f>
        <v>34.590000000000003</v>
      </c>
      <c r="P323" s="133"/>
      <c r="Q323" s="133"/>
      <c r="R323" s="133"/>
      <c r="S323" s="133"/>
      <c r="T323" s="133"/>
      <c r="U323" s="133"/>
      <c r="V323" s="133"/>
      <c r="W323" s="133"/>
    </row>
    <row r="324" spans="1:23" ht="15.75">
      <c r="A324" s="145">
        <v>704</v>
      </c>
      <c r="B324" s="133"/>
      <c r="C324" s="133"/>
      <c r="D324" s="205"/>
      <c r="E324" s="133"/>
      <c r="F324" s="133">
        <v>0</v>
      </c>
      <c r="G324" s="133"/>
      <c r="H324" s="133"/>
      <c r="I324" s="133"/>
      <c r="J324" s="133"/>
      <c r="K324" s="133"/>
      <c r="L324" s="133"/>
      <c r="M324" s="133"/>
      <c r="N324" s="133"/>
      <c r="O324" s="305">
        <f>B11</f>
        <v>3.2504153814512136</v>
      </c>
      <c r="P324" s="133"/>
      <c r="Q324" s="133"/>
      <c r="R324" s="133"/>
      <c r="S324" s="133"/>
      <c r="T324" s="133"/>
      <c r="U324" s="133"/>
      <c r="V324" s="133"/>
      <c r="W324" s="133"/>
    </row>
    <row r="325" spans="1:23" ht="15.75">
      <c r="A325" s="145">
        <v>705</v>
      </c>
      <c r="B325" s="133"/>
      <c r="C325" s="133"/>
      <c r="D325" s="205"/>
      <c r="E325" s="133"/>
      <c r="F325" s="133">
        <v>44</v>
      </c>
      <c r="G325" s="133"/>
      <c r="H325" s="133"/>
      <c r="I325" s="133"/>
      <c r="J325" s="133"/>
      <c r="K325" s="133"/>
      <c r="L325" s="133"/>
      <c r="M325" s="133"/>
      <c r="N325" s="133"/>
      <c r="O325" s="305">
        <f>ROUND('2012 Unpublished Rates'!E141*(1+$H$5),2)</f>
        <v>4.22</v>
      </c>
      <c r="P325" s="141"/>
      <c r="Q325" s="133"/>
      <c r="R325" s="133"/>
      <c r="S325" s="133"/>
      <c r="T325" s="133"/>
      <c r="U325" s="133"/>
      <c r="V325" s="133"/>
      <c r="W325" s="133"/>
    </row>
    <row r="326" spans="1:23">
      <c r="A326" s="133"/>
      <c r="B326" s="133"/>
      <c r="C326" s="133"/>
      <c r="D326" s="205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</row>
    <row r="327" spans="1:23" ht="15.75">
      <c r="A327" s="157" t="s">
        <v>228</v>
      </c>
      <c r="B327" s="133"/>
      <c r="C327" s="133"/>
      <c r="D327" s="205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</row>
    <row r="328" spans="1:23" ht="15.75" thickBot="1">
      <c r="A328" s="133"/>
      <c r="B328" s="133"/>
      <c r="C328" s="133"/>
      <c r="D328" s="205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</row>
    <row r="329" spans="1:23" ht="16.5" thickBot="1">
      <c r="A329" s="145">
        <v>801</v>
      </c>
      <c r="B329" s="35">
        <v>100</v>
      </c>
      <c r="C329" s="214">
        <f t="shared" ref="C329:C341" si="162">B329/1000</f>
        <v>0.1</v>
      </c>
      <c r="D329" s="215">
        <v>0</v>
      </c>
      <c r="E329" s="214">
        <f t="shared" ref="E329:E341" si="163">(+C329*D329)+C329</f>
        <v>0.1</v>
      </c>
      <c r="F329" s="232">
        <f t="shared" ref="F329:F341" si="164">ROUND((+$E329*4000)/12,0)</f>
        <v>33</v>
      </c>
      <c r="G329" s="155">
        <f t="shared" ref="G329:G341" si="165">ROUND((+$E329*8760)/12,0)</f>
        <v>73</v>
      </c>
      <c r="H329" s="141">
        <f t="shared" ref="H329:H341" si="166">ROUND(+E329*D$7,2)</f>
        <v>0.93</v>
      </c>
      <c r="I329" s="142">
        <f t="shared" ref="I329:I341" si="167">ROUND(IF((E329*200)&gt;F329,F329,(E329*200)),0)</f>
        <v>20</v>
      </c>
      <c r="J329" s="141">
        <f t="shared" ref="J329:J341" si="168">ROUND(+I329*D$8,2)</f>
        <v>2.14</v>
      </c>
      <c r="K329" s="142">
        <f t="shared" ref="K329:K341" si="169">F329-I329</f>
        <v>13</v>
      </c>
      <c r="L329" s="142">
        <f t="shared" ref="L329:L341" si="170">G329-I329</f>
        <v>53</v>
      </c>
      <c r="M329" s="141">
        <f t="shared" ref="M329:M341" si="171">ROUND(+K329*D$9,2)</f>
        <v>0.92</v>
      </c>
      <c r="N329" s="141">
        <f t="shared" ref="N329:N341" si="172">ROUND(+L329*D$9,2)</f>
        <v>3.76</v>
      </c>
      <c r="O329" s="273">
        <f t="shared" ref="O329:O341" si="173">H329+J329+M329</f>
        <v>3.99</v>
      </c>
      <c r="P329" s="217">
        <f t="shared" ref="P329:P341" si="174">H329+J329+ROUND((G329-I329)*D$9,2)</f>
        <v>6.83</v>
      </c>
      <c r="Q329" s="133"/>
      <c r="R329" s="133"/>
      <c r="S329" s="133"/>
      <c r="T329" s="133"/>
      <c r="U329" s="133"/>
      <c r="V329" s="133"/>
      <c r="W329" s="133"/>
    </row>
    <row r="330" spans="1:23" ht="16.5" thickBot="1">
      <c r="A330" s="145">
        <v>802</v>
      </c>
      <c r="B330" s="35">
        <v>150</v>
      </c>
      <c r="C330" s="214">
        <f t="shared" si="162"/>
        <v>0.15</v>
      </c>
      <c r="D330" s="215">
        <v>0</v>
      </c>
      <c r="E330" s="214">
        <f t="shared" si="163"/>
        <v>0.15</v>
      </c>
      <c r="F330" s="232">
        <f t="shared" si="164"/>
        <v>50</v>
      </c>
      <c r="G330" s="155">
        <f t="shared" si="165"/>
        <v>110</v>
      </c>
      <c r="H330" s="141">
        <f t="shared" si="166"/>
        <v>1.4</v>
      </c>
      <c r="I330" s="142">
        <f t="shared" si="167"/>
        <v>30</v>
      </c>
      <c r="J330" s="141">
        <f t="shared" si="168"/>
        <v>3.2</v>
      </c>
      <c r="K330" s="142">
        <f t="shared" si="169"/>
        <v>20</v>
      </c>
      <c r="L330" s="142">
        <f t="shared" si="170"/>
        <v>80</v>
      </c>
      <c r="M330" s="141">
        <f t="shared" si="171"/>
        <v>1.42</v>
      </c>
      <c r="N330" s="141">
        <f t="shared" si="172"/>
        <v>5.67</v>
      </c>
      <c r="O330" s="273">
        <f t="shared" si="173"/>
        <v>6.02</v>
      </c>
      <c r="P330" s="217">
        <f t="shared" si="174"/>
        <v>10.27</v>
      </c>
      <c r="Q330" s="133"/>
      <c r="R330" s="133"/>
      <c r="S330" s="133"/>
      <c r="T330" s="133"/>
      <c r="U330" s="133"/>
      <c r="V330" s="133"/>
      <c r="W330" s="133"/>
    </row>
    <row r="331" spans="1:23" ht="16.5" thickBot="1">
      <c r="A331" s="145">
        <v>803</v>
      </c>
      <c r="B331" s="35">
        <v>200</v>
      </c>
      <c r="C331" s="214">
        <f t="shared" si="162"/>
        <v>0.2</v>
      </c>
      <c r="D331" s="215">
        <v>0</v>
      </c>
      <c r="E331" s="214">
        <f t="shared" si="163"/>
        <v>0.2</v>
      </c>
      <c r="F331" s="232">
        <f t="shared" si="164"/>
        <v>67</v>
      </c>
      <c r="G331" s="155">
        <f t="shared" si="165"/>
        <v>146</v>
      </c>
      <c r="H331" s="141">
        <f t="shared" si="166"/>
        <v>1.87</v>
      </c>
      <c r="I331" s="142">
        <f t="shared" si="167"/>
        <v>40</v>
      </c>
      <c r="J331" s="141">
        <f t="shared" si="168"/>
        <v>4.2699999999999996</v>
      </c>
      <c r="K331" s="142">
        <f t="shared" si="169"/>
        <v>27</v>
      </c>
      <c r="L331" s="142">
        <f t="shared" si="170"/>
        <v>106</v>
      </c>
      <c r="M331" s="141">
        <f t="shared" si="171"/>
        <v>1.91</v>
      </c>
      <c r="N331" s="141">
        <f t="shared" si="172"/>
        <v>7.52</v>
      </c>
      <c r="O331" s="273">
        <f t="shared" si="173"/>
        <v>8.0499999999999989</v>
      </c>
      <c r="P331" s="217">
        <f t="shared" si="174"/>
        <v>13.66</v>
      </c>
      <c r="Q331" s="133"/>
      <c r="R331" s="133"/>
      <c r="S331" s="133"/>
      <c r="T331" s="133"/>
      <c r="U331" s="133"/>
      <c r="V331" s="133"/>
      <c r="W331" s="133"/>
    </row>
    <row r="332" spans="1:23" ht="16.5" thickBot="1">
      <c r="A332" s="145">
        <v>804</v>
      </c>
      <c r="B332" s="35">
        <v>250</v>
      </c>
      <c r="C332" s="214">
        <f t="shared" si="162"/>
        <v>0.25</v>
      </c>
      <c r="D332" s="215">
        <v>0</v>
      </c>
      <c r="E332" s="214">
        <f t="shared" si="163"/>
        <v>0.25</v>
      </c>
      <c r="F332" s="232">
        <f t="shared" si="164"/>
        <v>83</v>
      </c>
      <c r="G332" s="155">
        <f t="shared" si="165"/>
        <v>183</v>
      </c>
      <c r="H332" s="141">
        <f t="shared" si="166"/>
        <v>2.33</v>
      </c>
      <c r="I332" s="142">
        <f t="shared" si="167"/>
        <v>50</v>
      </c>
      <c r="J332" s="141">
        <f t="shared" si="168"/>
        <v>5.34</v>
      </c>
      <c r="K332" s="142">
        <f t="shared" si="169"/>
        <v>33</v>
      </c>
      <c r="L332" s="142">
        <f t="shared" si="170"/>
        <v>133</v>
      </c>
      <c r="M332" s="141">
        <f t="shared" si="171"/>
        <v>2.34</v>
      </c>
      <c r="N332" s="141">
        <f t="shared" si="172"/>
        <v>9.43</v>
      </c>
      <c r="O332" s="273">
        <f t="shared" si="173"/>
        <v>10.01</v>
      </c>
      <c r="P332" s="306">
        <f t="shared" si="174"/>
        <v>17.100000000000001</v>
      </c>
      <c r="Q332" s="221" t="s">
        <v>229</v>
      </c>
      <c r="R332" s="133"/>
      <c r="S332" s="133"/>
      <c r="T332" s="133"/>
      <c r="U332" s="133"/>
      <c r="V332" s="133"/>
      <c r="W332" s="133"/>
    </row>
    <row r="333" spans="1:23" ht="16.5" thickBot="1">
      <c r="A333" s="145">
        <v>805</v>
      </c>
      <c r="B333" s="35">
        <v>300</v>
      </c>
      <c r="C333" s="214">
        <f t="shared" si="162"/>
        <v>0.3</v>
      </c>
      <c r="D333" s="215">
        <v>0</v>
      </c>
      <c r="E333" s="214">
        <f t="shared" si="163"/>
        <v>0.3</v>
      </c>
      <c r="F333" s="232">
        <f t="shared" si="164"/>
        <v>100</v>
      </c>
      <c r="G333" s="155">
        <f t="shared" si="165"/>
        <v>219</v>
      </c>
      <c r="H333" s="141">
        <f t="shared" si="166"/>
        <v>2.8</v>
      </c>
      <c r="I333" s="142">
        <f t="shared" si="167"/>
        <v>60</v>
      </c>
      <c r="J333" s="141">
        <f t="shared" si="168"/>
        <v>6.41</v>
      </c>
      <c r="K333" s="142">
        <f t="shared" si="169"/>
        <v>40</v>
      </c>
      <c r="L333" s="142">
        <f t="shared" si="170"/>
        <v>159</v>
      </c>
      <c r="M333" s="141">
        <f t="shared" si="171"/>
        <v>2.84</v>
      </c>
      <c r="N333" s="141">
        <f t="shared" si="172"/>
        <v>11.27</v>
      </c>
      <c r="O333" s="273">
        <f t="shared" si="173"/>
        <v>12.05</v>
      </c>
      <c r="P333" s="217">
        <f t="shared" si="174"/>
        <v>20.48</v>
      </c>
      <c r="Q333" s="133"/>
      <c r="R333" s="133"/>
      <c r="S333" s="133"/>
      <c r="T333" s="133"/>
      <c r="U333" s="133"/>
      <c r="V333" s="133"/>
      <c r="W333" s="133"/>
    </row>
    <row r="334" spans="1:23" ht="16.5" thickBot="1">
      <c r="A334" s="145">
        <v>806</v>
      </c>
      <c r="B334" s="35">
        <v>350</v>
      </c>
      <c r="C334" s="214">
        <f t="shared" si="162"/>
        <v>0.35</v>
      </c>
      <c r="D334" s="215">
        <v>0</v>
      </c>
      <c r="E334" s="214">
        <f t="shared" si="163"/>
        <v>0.35</v>
      </c>
      <c r="F334" s="232">
        <f t="shared" si="164"/>
        <v>117</v>
      </c>
      <c r="G334" s="155">
        <f t="shared" si="165"/>
        <v>256</v>
      </c>
      <c r="H334" s="141">
        <f t="shared" si="166"/>
        <v>3.27</v>
      </c>
      <c r="I334" s="142">
        <f t="shared" si="167"/>
        <v>70</v>
      </c>
      <c r="J334" s="141">
        <f t="shared" si="168"/>
        <v>7.48</v>
      </c>
      <c r="K334" s="142">
        <f t="shared" si="169"/>
        <v>47</v>
      </c>
      <c r="L334" s="142">
        <f t="shared" si="170"/>
        <v>186</v>
      </c>
      <c r="M334" s="141">
        <f t="shared" si="171"/>
        <v>3.33</v>
      </c>
      <c r="N334" s="141">
        <f t="shared" si="172"/>
        <v>13.19</v>
      </c>
      <c r="O334" s="273">
        <f t="shared" si="173"/>
        <v>14.08</v>
      </c>
      <c r="P334" s="306">
        <f t="shared" si="174"/>
        <v>23.939999999999998</v>
      </c>
      <c r="Q334" s="221" t="s">
        <v>230</v>
      </c>
      <c r="R334" s="133"/>
      <c r="S334" s="133"/>
      <c r="T334" s="133"/>
      <c r="U334" s="133"/>
      <c r="V334" s="133"/>
      <c r="W334" s="133"/>
    </row>
    <row r="335" spans="1:23" ht="16.5" thickBot="1">
      <c r="A335" s="145">
        <v>807</v>
      </c>
      <c r="B335" s="35">
        <v>400</v>
      </c>
      <c r="C335" s="214">
        <f t="shared" si="162"/>
        <v>0.4</v>
      </c>
      <c r="D335" s="215">
        <v>0</v>
      </c>
      <c r="E335" s="214">
        <f t="shared" si="163"/>
        <v>0.4</v>
      </c>
      <c r="F335" s="232">
        <f t="shared" si="164"/>
        <v>133</v>
      </c>
      <c r="G335" s="155">
        <f t="shared" si="165"/>
        <v>292</v>
      </c>
      <c r="H335" s="141">
        <f t="shared" si="166"/>
        <v>3.74</v>
      </c>
      <c r="I335" s="142">
        <f t="shared" si="167"/>
        <v>80</v>
      </c>
      <c r="J335" s="141">
        <f t="shared" si="168"/>
        <v>8.5399999999999991</v>
      </c>
      <c r="K335" s="142">
        <f t="shared" si="169"/>
        <v>53</v>
      </c>
      <c r="L335" s="142">
        <f t="shared" si="170"/>
        <v>212</v>
      </c>
      <c r="M335" s="141">
        <f t="shared" si="171"/>
        <v>3.76</v>
      </c>
      <c r="N335" s="141">
        <f t="shared" si="172"/>
        <v>15.03</v>
      </c>
      <c r="O335" s="273">
        <f t="shared" si="173"/>
        <v>16.04</v>
      </c>
      <c r="P335" s="217">
        <f t="shared" si="174"/>
        <v>27.31</v>
      </c>
      <c r="Q335" s="133"/>
      <c r="R335" s="133"/>
      <c r="S335" s="133"/>
      <c r="T335" s="133"/>
      <c r="U335" s="133"/>
      <c r="V335" s="133"/>
      <c r="W335" s="133"/>
    </row>
    <row r="336" spans="1:23" ht="16.5" thickBot="1">
      <c r="A336" s="145">
        <v>808</v>
      </c>
      <c r="B336" s="35">
        <v>450</v>
      </c>
      <c r="C336" s="214">
        <f t="shared" si="162"/>
        <v>0.45</v>
      </c>
      <c r="D336" s="215">
        <v>0</v>
      </c>
      <c r="E336" s="214">
        <f t="shared" si="163"/>
        <v>0.45</v>
      </c>
      <c r="F336" s="232">
        <f t="shared" si="164"/>
        <v>150</v>
      </c>
      <c r="G336" s="155">
        <f t="shared" si="165"/>
        <v>329</v>
      </c>
      <c r="H336" s="141">
        <f t="shared" si="166"/>
        <v>4.2</v>
      </c>
      <c r="I336" s="142">
        <f t="shared" si="167"/>
        <v>90</v>
      </c>
      <c r="J336" s="141">
        <f t="shared" si="168"/>
        <v>9.61</v>
      </c>
      <c r="K336" s="142">
        <f t="shared" si="169"/>
        <v>60</v>
      </c>
      <c r="L336" s="142">
        <f t="shared" si="170"/>
        <v>239</v>
      </c>
      <c r="M336" s="141">
        <f t="shared" si="171"/>
        <v>4.25</v>
      </c>
      <c r="N336" s="141">
        <f t="shared" si="172"/>
        <v>16.95</v>
      </c>
      <c r="O336" s="273">
        <f t="shared" si="173"/>
        <v>18.059999999999999</v>
      </c>
      <c r="P336" s="306">
        <f t="shared" si="174"/>
        <v>30.759999999999998</v>
      </c>
      <c r="Q336" s="221" t="s">
        <v>231</v>
      </c>
      <c r="R336" s="133"/>
      <c r="S336" s="133"/>
      <c r="T336" s="133"/>
      <c r="U336" s="133"/>
      <c r="V336" s="133"/>
      <c r="W336" s="133"/>
    </row>
    <row r="337" spans="1:23" ht="16.5" thickBot="1">
      <c r="A337" s="145">
        <v>809</v>
      </c>
      <c r="B337" s="35">
        <v>500</v>
      </c>
      <c r="C337" s="214">
        <f t="shared" si="162"/>
        <v>0.5</v>
      </c>
      <c r="D337" s="215">
        <v>0</v>
      </c>
      <c r="E337" s="214">
        <f t="shared" si="163"/>
        <v>0.5</v>
      </c>
      <c r="F337" s="232">
        <f t="shared" si="164"/>
        <v>167</v>
      </c>
      <c r="G337" s="155">
        <f t="shared" si="165"/>
        <v>365</v>
      </c>
      <c r="H337" s="141">
        <f t="shared" si="166"/>
        <v>4.67</v>
      </c>
      <c r="I337" s="142">
        <f t="shared" si="167"/>
        <v>100</v>
      </c>
      <c r="J337" s="141">
        <f t="shared" si="168"/>
        <v>10.68</v>
      </c>
      <c r="K337" s="142">
        <f t="shared" si="169"/>
        <v>67</v>
      </c>
      <c r="L337" s="142">
        <f t="shared" si="170"/>
        <v>265</v>
      </c>
      <c r="M337" s="141">
        <f t="shared" si="171"/>
        <v>4.75</v>
      </c>
      <c r="N337" s="141">
        <f t="shared" si="172"/>
        <v>18.79</v>
      </c>
      <c r="O337" s="273">
        <f t="shared" si="173"/>
        <v>20.100000000000001</v>
      </c>
      <c r="P337" s="217">
        <f t="shared" si="174"/>
        <v>34.14</v>
      </c>
      <c r="Q337" s="133"/>
      <c r="R337" s="133"/>
      <c r="S337" s="133"/>
      <c r="T337" s="133"/>
      <c r="U337" s="133"/>
      <c r="V337" s="133"/>
      <c r="W337" s="133"/>
    </row>
    <row r="338" spans="1:23" ht="16.5" thickBot="1">
      <c r="A338" s="145">
        <v>810</v>
      </c>
      <c r="B338" s="35">
        <v>550</v>
      </c>
      <c r="C338" s="214">
        <f t="shared" si="162"/>
        <v>0.55000000000000004</v>
      </c>
      <c r="D338" s="215">
        <v>0</v>
      </c>
      <c r="E338" s="214">
        <f t="shared" si="163"/>
        <v>0.55000000000000004</v>
      </c>
      <c r="F338" s="232">
        <f t="shared" si="164"/>
        <v>183</v>
      </c>
      <c r="G338" s="155">
        <f t="shared" si="165"/>
        <v>402</v>
      </c>
      <c r="H338" s="141">
        <f t="shared" si="166"/>
        <v>5.14</v>
      </c>
      <c r="I338" s="142">
        <f t="shared" si="167"/>
        <v>110</v>
      </c>
      <c r="J338" s="141">
        <f t="shared" si="168"/>
        <v>11.75</v>
      </c>
      <c r="K338" s="142">
        <f t="shared" si="169"/>
        <v>73</v>
      </c>
      <c r="L338" s="142">
        <f t="shared" si="170"/>
        <v>292</v>
      </c>
      <c r="M338" s="141">
        <f t="shared" si="171"/>
        <v>5.18</v>
      </c>
      <c r="N338" s="141">
        <f t="shared" si="172"/>
        <v>20.7</v>
      </c>
      <c r="O338" s="273">
        <f t="shared" si="173"/>
        <v>22.07</v>
      </c>
      <c r="P338" s="306">
        <f t="shared" si="174"/>
        <v>37.590000000000003</v>
      </c>
      <c r="Q338" s="221" t="s">
        <v>232</v>
      </c>
      <c r="R338" s="133"/>
      <c r="S338" s="133"/>
      <c r="T338" s="133"/>
      <c r="U338" s="133"/>
      <c r="V338" s="133"/>
      <c r="W338" s="133"/>
    </row>
    <row r="339" spans="1:23" ht="16.5" thickBot="1">
      <c r="A339" s="145">
        <v>811</v>
      </c>
      <c r="B339" s="35">
        <v>600</v>
      </c>
      <c r="C339" s="214">
        <f t="shared" si="162"/>
        <v>0.6</v>
      </c>
      <c r="D339" s="215">
        <v>0</v>
      </c>
      <c r="E339" s="214">
        <f t="shared" si="163"/>
        <v>0.6</v>
      </c>
      <c r="F339" s="232">
        <f t="shared" si="164"/>
        <v>200</v>
      </c>
      <c r="G339" s="155">
        <f t="shared" si="165"/>
        <v>438</v>
      </c>
      <c r="H339" s="141">
        <f t="shared" si="166"/>
        <v>5.6</v>
      </c>
      <c r="I339" s="142">
        <f t="shared" si="167"/>
        <v>120</v>
      </c>
      <c r="J339" s="141">
        <f t="shared" si="168"/>
        <v>12.82</v>
      </c>
      <c r="K339" s="142">
        <f t="shared" si="169"/>
        <v>80</v>
      </c>
      <c r="L339" s="142">
        <f t="shared" si="170"/>
        <v>318</v>
      </c>
      <c r="M339" s="141">
        <f t="shared" si="171"/>
        <v>5.67</v>
      </c>
      <c r="N339" s="141">
        <f t="shared" si="172"/>
        <v>22.55</v>
      </c>
      <c r="O339" s="273">
        <f t="shared" si="173"/>
        <v>24.090000000000003</v>
      </c>
      <c r="P339" s="217">
        <f t="shared" si="174"/>
        <v>40.97</v>
      </c>
      <c r="Q339" s="133"/>
      <c r="R339" s="133"/>
      <c r="S339" s="133"/>
      <c r="T339" s="133"/>
      <c r="U339" s="133"/>
      <c r="V339" s="133"/>
      <c r="W339" s="133"/>
    </row>
    <row r="340" spans="1:23" ht="16.5" thickBot="1">
      <c r="A340" s="145">
        <v>812</v>
      </c>
      <c r="B340" s="35">
        <v>650</v>
      </c>
      <c r="C340" s="214">
        <f t="shared" si="162"/>
        <v>0.65</v>
      </c>
      <c r="D340" s="215">
        <v>0</v>
      </c>
      <c r="E340" s="214">
        <f t="shared" si="163"/>
        <v>0.65</v>
      </c>
      <c r="F340" s="232">
        <f t="shared" si="164"/>
        <v>217</v>
      </c>
      <c r="G340" s="155">
        <f t="shared" si="165"/>
        <v>475</v>
      </c>
      <c r="H340" s="141">
        <f t="shared" si="166"/>
        <v>6.07</v>
      </c>
      <c r="I340" s="142">
        <f t="shared" si="167"/>
        <v>130</v>
      </c>
      <c r="J340" s="141">
        <f t="shared" si="168"/>
        <v>13.88</v>
      </c>
      <c r="K340" s="142">
        <f t="shared" si="169"/>
        <v>87</v>
      </c>
      <c r="L340" s="142">
        <f t="shared" si="170"/>
        <v>345</v>
      </c>
      <c r="M340" s="141">
        <f t="shared" si="171"/>
        <v>6.17</v>
      </c>
      <c r="N340" s="141">
        <f t="shared" si="172"/>
        <v>24.46</v>
      </c>
      <c r="O340" s="273">
        <f t="shared" si="173"/>
        <v>26.120000000000005</v>
      </c>
      <c r="P340" s="306">
        <f t="shared" si="174"/>
        <v>44.410000000000004</v>
      </c>
      <c r="Q340" s="221" t="s">
        <v>233</v>
      </c>
      <c r="R340" s="133"/>
      <c r="S340" s="133"/>
      <c r="T340" s="133"/>
      <c r="U340" s="133"/>
      <c r="V340" s="133"/>
      <c r="W340" s="133"/>
    </row>
    <row r="341" spans="1:23" ht="16.5" thickBot="1">
      <c r="A341" s="145">
        <v>813</v>
      </c>
      <c r="B341" s="35">
        <v>700</v>
      </c>
      <c r="C341" s="214">
        <f t="shared" si="162"/>
        <v>0.7</v>
      </c>
      <c r="D341" s="215">
        <v>0</v>
      </c>
      <c r="E341" s="214">
        <f t="shared" si="163"/>
        <v>0.7</v>
      </c>
      <c r="F341" s="232">
        <f t="shared" si="164"/>
        <v>233</v>
      </c>
      <c r="G341" s="155">
        <f t="shared" si="165"/>
        <v>511</v>
      </c>
      <c r="H341" s="141">
        <f t="shared" si="166"/>
        <v>6.54</v>
      </c>
      <c r="I341" s="142">
        <f t="shared" si="167"/>
        <v>140</v>
      </c>
      <c r="J341" s="141">
        <f t="shared" si="168"/>
        <v>14.95</v>
      </c>
      <c r="K341" s="142">
        <f t="shared" si="169"/>
        <v>93</v>
      </c>
      <c r="L341" s="142">
        <f t="shared" si="170"/>
        <v>371</v>
      </c>
      <c r="M341" s="141">
        <f t="shared" si="171"/>
        <v>6.59</v>
      </c>
      <c r="N341" s="141">
        <f t="shared" si="172"/>
        <v>26.31</v>
      </c>
      <c r="O341" s="273">
        <f t="shared" si="173"/>
        <v>28.08</v>
      </c>
      <c r="P341" s="217">
        <f t="shared" si="174"/>
        <v>47.8</v>
      </c>
      <c r="Q341" s="133"/>
      <c r="R341" s="133"/>
      <c r="S341" s="133"/>
      <c r="T341" s="133"/>
      <c r="U341" s="133"/>
      <c r="V341" s="133"/>
      <c r="W341" s="133"/>
    </row>
    <row r="342" spans="1:23" ht="15.75" thickBot="1">
      <c r="A342" s="145"/>
      <c r="B342" s="133"/>
      <c r="C342" s="133"/>
      <c r="D342" s="205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</row>
    <row r="343" spans="1:23" ht="16.5" thickBot="1">
      <c r="A343" s="145">
        <v>820</v>
      </c>
      <c r="B343" s="35">
        <v>420</v>
      </c>
      <c r="C343" s="214">
        <f t="shared" ref="C343:C350" si="175">B343/1000</f>
        <v>0.42</v>
      </c>
      <c r="D343" s="215">
        <v>0</v>
      </c>
      <c r="E343" s="214">
        <f t="shared" ref="E343:E350" si="176">(+C343*D343)+C343</f>
        <v>0.42</v>
      </c>
      <c r="F343" s="232">
        <f>ROUND((+$E343*7*365)/12,0)</f>
        <v>89</v>
      </c>
      <c r="G343" s="155">
        <f t="shared" ref="G343:G349" si="177">ROUND((+$E343*8760)/12,0)</f>
        <v>307</v>
      </c>
      <c r="H343" s="141">
        <f t="shared" ref="H343:H350" si="178">ROUND(+E343*D$7,2)</f>
        <v>3.92</v>
      </c>
      <c r="I343" s="142">
        <f>ROUND(IF((E343*200)&gt;F343,F343,(E343*200)),0)</f>
        <v>84</v>
      </c>
      <c r="J343" s="141">
        <f t="shared" ref="J343:J350" si="179">ROUND(+I343*D$8,2)</f>
        <v>8.9700000000000006</v>
      </c>
      <c r="K343" s="142">
        <f t="shared" ref="K343:K350" si="180">F343-I343</f>
        <v>5</v>
      </c>
      <c r="L343" s="142">
        <f t="shared" ref="L343:L350" si="181">G343-I343</f>
        <v>223</v>
      </c>
      <c r="M343" s="141">
        <f t="shared" ref="M343:M350" si="182">ROUND(+K343*D$9,2)</f>
        <v>0.35</v>
      </c>
      <c r="N343" s="141">
        <f t="shared" ref="N343:N350" si="183">ROUND(+L343*D$9,2)</f>
        <v>15.81</v>
      </c>
      <c r="O343" s="307">
        <f>H343+J343+M343</f>
        <v>13.24</v>
      </c>
      <c r="P343" s="308">
        <f t="shared" ref="P343:P350" si="184">H343+J343+N343</f>
        <v>28.700000000000003</v>
      </c>
      <c r="Q343" s="133"/>
      <c r="R343" s="133"/>
      <c r="S343" s="133"/>
      <c r="T343" s="133"/>
      <c r="U343" s="133"/>
      <c r="V343" s="133"/>
      <c r="W343" s="133"/>
    </row>
    <row r="344" spans="1:23" ht="16.5" thickBot="1">
      <c r="A344" s="145">
        <v>821</v>
      </c>
      <c r="B344" s="35">
        <v>960</v>
      </c>
      <c r="C344" s="214">
        <f t="shared" si="175"/>
        <v>0.96</v>
      </c>
      <c r="D344" s="215">
        <v>0</v>
      </c>
      <c r="E344" s="214">
        <f t="shared" si="176"/>
        <v>0.96</v>
      </c>
      <c r="F344" s="232">
        <f>ROUND((+$E344*24*10*12)/12,0)</f>
        <v>230</v>
      </c>
      <c r="G344" s="155">
        <f t="shared" si="177"/>
        <v>701</v>
      </c>
      <c r="H344" s="141">
        <f t="shared" si="178"/>
        <v>8.9700000000000006</v>
      </c>
      <c r="I344" s="142">
        <f>ROUND(IF((E344*200)&gt;F344,F344,(E344*200)),0)</f>
        <v>192</v>
      </c>
      <c r="J344" s="141">
        <f t="shared" si="179"/>
        <v>20.51</v>
      </c>
      <c r="K344" s="142">
        <f t="shared" si="180"/>
        <v>38</v>
      </c>
      <c r="L344" s="142">
        <f t="shared" si="181"/>
        <v>509</v>
      </c>
      <c r="M344" s="141">
        <f t="shared" si="182"/>
        <v>2.69</v>
      </c>
      <c r="N344" s="141">
        <f t="shared" si="183"/>
        <v>36.090000000000003</v>
      </c>
      <c r="O344" s="309">
        <f>H344+J344+M344</f>
        <v>32.17</v>
      </c>
      <c r="P344" s="308">
        <f t="shared" si="184"/>
        <v>65.570000000000007</v>
      </c>
      <c r="Q344" s="133"/>
      <c r="R344" s="133"/>
      <c r="S344" s="133"/>
      <c r="T344" s="133"/>
      <c r="U344" s="133"/>
      <c r="V344" s="133"/>
      <c r="W344" s="133"/>
    </row>
    <row r="345" spans="1:23" ht="16.5" thickBot="1">
      <c r="A345" s="145">
        <v>822</v>
      </c>
      <c r="B345" s="35">
        <v>900</v>
      </c>
      <c r="C345" s="214">
        <f t="shared" si="175"/>
        <v>0.9</v>
      </c>
      <c r="D345" s="215">
        <v>0</v>
      </c>
      <c r="E345" s="214">
        <f t="shared" si="176"/>
        <v>0.9</v>
      </c>
      <c r="F345" s="310">
        <f>ROUND((+$E345*150*24)/12,0)</f>
        <v>270</v>
      </c>
      <c r="G345" s="155">
        <f t="shared" si="177"/>
        <v>657</v>
      </c>
      <c r="H345" s="141">
        <f t="shared" si="178"/>
        <v>8.41</v>
      </c>
      <c r="I345" s="142">
        <f>ROUND(IF((E345*200)&gt;F345,F345,(E345*200)),0)</f>
        <v>180</v>
      </c>
      <c r="J345" s="141">
        <f t="shared" si="179"/>
        <v>19.22</v>
      </c>
      <c r="K345" s="142">
        <f t="shared" si="180"/>
        <v>90</v>
      </c>
      <c r="L345" s="142">
        <f t="shared" si="181"/>
        <v>477</v>
      </c>
      <c r="M345" s="141">
        <f t="shared" si="182"/>
        <v>6.38</v>
      </c>
      <c r="N345" s="141">
        <f t="shared" si="183"/>
        <v>33.82</v>
      </c>
      <c r="O345" s="309">
        <f>H345+J345+M345</f>
        <v>34.01</v>
      </c>
      <c r="P345" s="308">
        <f t="shared" si="184"/>
        <v>61.45</v>
      </c>
      <c r="Q345" s="133"/>
      <c r="R345" s="133"/>
      <c r="S345" s="133"/>
      <c r="T345" s="133"/>
      <c r="U345" s="133"/>
      <c r="V345" s="133"/>
      <c r="W345" s="133"/>
    </row>
    <row r="346" spans="1:23" ht="16.5" thickBot="1">
      <c r="A346" s="145">
        <v>823</v>
      </c>
      <c r="B346" s="35">
        <v>38.4</v>
      </c>
      <c r="C346" s="214">
        <f t="shared" si="175"/>
        <v>3.8399999999999997E-2</v>
      </c>
      <c r="D346" s="215">
        <v>0</v>
      </c>
      <c r="E346" s="214">
        <f t="shared" si="176"/>
        <v>3.8399999999999997E-2</v>
      </c>
      <c r="F346" s="311">
        <f>ROUND((+$E346*4000)/12,0)</f>
        <v>13</v>
      </c>
      <c r="G346" s="312">
        <f t="shared" si="177"/>
        <v>28</v>
      </c>
      <c r="H346" s="141">
        <f t="shared" si="178"/>
        <v>0.36</v>
      </c>
      <c r="I346" s="142">
        <f>ROUND(IF((E346*200)&gt;F346,F346,(E346*200)),0)</f>
        <v>8</v>
      </c>
      <c r="J346" s="141">
        <f t="shared" si="179"/>
        <v>0.85</v>
      </c>
      <c r="K346" s="142">
        <f t="shared" si="180"/>
        <v>5</v>
      </c>
      <c r="L346" s="142">
        <f t="shared" si="181"/>
        <v>20</v>
      </c>
      <c r="M346" s="141">
        <f t="shared" si="182"/>
        <v>0.35</v>
      </c>
      <c r="N346" s="141">
        <f t="shared" si="183"/>
        <v>1.42</v>
      </c>
      <c r="O346" s="313">
        <f>H346+J346+M346</f>
        <v>1.56</v>
      </c>
      <c r="P346" s="284">
        <f t="shared" si="184"/>
        <v>2.63</v>
      </c>
      <c r="Q346" s="53" t="s">
        <v>234</v>
      </c>
      <c r="R346" s="133"/>
      <c r="S346" s="133"/>
      <c r="T346" s="133"/>
      <c r="U346" s="133"/>
      <c r="V346" s="133"/>
      <c r="W346" s="133"/>
    </row>
    <row r="347" spans="1:23" ht="16.5" thickBot="1">
      <c r="A347" s="145">
        <v>824</v>
      </c>
      <c r="B347" s="35">
        <v>0</v>
      </c>
      <c r="C347" s="214">
        <f t="shared" si="175"/>
        <v>0</v>
      </c>
      <c r="D347" s="215">
        <v>0</v>
      </c>
      <c r="E347" s="314">
        <f t="shared" si="176"/>
        <v>0</v>
      </c>
      <c r="F347" s="232">
        <f>ROUND((+$E347*7*365)/12,0)</f>
        <v>0</v>
      </c>
      <c r="G347" s="155">
        <f t="shared" si="177"/>
        <v>0</v>
      </c>
      <c r="H347" s="141">
        <f t="shared" si="178"/>
        <v>0</v>
      </c>
      <c r="I347" s="142">
        <f>ROUND(IF((E347*200)&gt;F347,F347,(E347*200)),0)</f>
        <v>0</v>
      </c>
      <c r="J347" s="141">
        <f t="shared" si="179"/>
        <v>0</v>
      </c>
      <c r="K347" s="142">
        <f t="shared" si="180"/>
        <v>0</v>
      </c>
      <c r="L347" s="142">
        <f t="shared" si="181"/>
        <v>0</v>
      </c>
      <c r="M347" s="141">
        <f t="shared" si="182"/>
        <v>0</v>
      </c>
      <c r="N347" s="141">
        <f t="shared" si="183"/>
        <v>0</v>
      </c>
      <c r="O347" s="309">
        <f>B12</f>
        <v>13.891133302485763</v>
      </c>
      <c r="P347" s="308">
        <f t="shared" si="184"/>
        <v>0</v>
      </c>
      <c r="Q347" s="53" t="s">
        <v>235</v>
      </c>
      <c r="R347" s="133"/>
      <c r="S347" s="133"/>
      <c r="T347" s="133"/>
      <c r="U347" s="133"/>
      <c r="V347" s="133"/>
      <c r="W347" s="133"/>
    </row>
    <row r="348" spans="1:23" ht="16.5" thickBot="1">
      <c r="A348" s="145">
        <v>825</v>
      </c>
      <c r="B348" s="35">
        <v>3248</v>
      </c>
      <c r="C348" s="214">
        <f t="shared" si="175"/>
        <v>3.2480000000000002</v>
      </c>
      <c r="D348" s="215">
        <v>0</v>
      </c>
      <c r="E348" s="214">
        <f t="shared" si="176"/>
        <v>3.2480000000000002</v>
      </c>
      <c r="F348" s="310">
        <v>401</v>
      </c>
      <c r="G348" s="155">
        <f t="shared" si="177"/>
        <v>2371</v>
      </c>
      <c r="H348" s="141">
        <f t="shared" si="178"/>
        <v>30.33</v>
      </c>
      <c r="I348" s="310">
        <v>376</v>
      </c>
      <c r="J348" s="141">
        <f t="shared" si="179"/>
        <v>40.159999999999997</v>
      </c>
      <c r="K348" s="142">
        <f t="shared" si="180"/>
        <v>25</v>
      </c>
      <c r="L348" s="142">
        <f t="shared" si="181"/>
        <v>1995</v>
      </c>
      <c r="M348" s="141">
        <f t="shared" si="182"/>
        <v>1.77</v>
      </c>
      <c r="N348" s="141">
        <f t="shared" si="183"/>
        <v>141.46</v>
      </c>
      <c r="O348" s="309">
        <f>H348+J348+M348</f>
        <v>72.259999999999991</v>
      </c>
      <c r="P348" s="308">
        <f t="shared" si="184"/>
        <v>211.95</v>
      </c>
      <c r="Q348" s="133"/>
      <c r="R348" s="133"/>
      <c r="S348" s="133"/>
      <c r="T348" s="133"/>
      <c r="U348" s="133"/>
      <c r="V348" s="133"/>
      <c r="W348" s="133"/>
    </row>
    <row r="349" spans="1:23" ht="16.5" thickBot="1">
      <c r="A349" s="145">
        <v>826</v>
      </c>
      <c r="B349" s="35">
        <v>450</v>
      </c>
      <c r="C349" s="214">
        <f t="shared" si="175"/>
        <v>0.45</v>
      </c>
      <c r="D349" s="215">
        <v>0</v>
      </c>
      <c r="E349" s="214">
        <f t="shared" si="176"/>
        <v>0.45</v>
      </c>
      <c r="F349" s="310">
        <f>ROUND((+$E349*7*365)/12,0)</f>
        <v>96</v>
      </c>
      <c r="G349" s="155">
        <f t="shared" si="177"/>
        <v>329</v>
      </c>
      <c r="H349" s="141">
        <f t="shared" si="178"/>
        <v>4.2</v>
      </c>
      <c r="I349" s="142">
        <f>ROUND(IF((E349*200)&gt;F349,F349,(E349*200)),0)</f>
        <v>90</v>
      </c>
      <c r="J349" s="141">
        <f t="shared" si="179"/>
        <v>9.61</v>
      </c>
      <c r="K349" s="142">
        <f t="shared" si="180"/>
        <v>6</v>
      </c>
      <c r="L349" s="142">
        <f t="shared" si="181"/>
        <v>239</v>
      </c>
      <c r="M349" s="141">
        <f t="shared" si="182"/>
        <v>0.43</v>
      </c>
      <c r="N349" s="141">
        <f t="shared" si="183"/>
        <v>16.95</v>
      </c>
      <c r="O349" s="309">
        <f>H349+J349+M349</f>
        <v>14.239999999999998</v>
      </c>
      <c r="P349" s="308">
        <f t="shared" si="184"/>
        <v>30.759999999999998</v>
      </c>
      <c r="Q349" s="133"/>
      <c r="R349" s="133"/>
      <c r="S349" s="133"/>
      <c r="T349" s="133"/>
      <c r="U349" s="133"/>
      <c r="V349" s="133"/>
      <c r="W349" s="133"/>
    </row>
    <row r="350" spans="1:23" ht="16.5" thickBot="1">
      <c r="A350" s="145">
        <v>827</v>
      </c>
      <c r="B350" s="35">
        <v>600</v>
      </c>
      <c r="C350" s="214">
        <f t="shared" si="175"/>
        <v>0.6</v>
      </c>
      <c r="D350" s="215">
        <v>0</v>
      </c>
      <c r="E350" s="214">
        <f t="shared" si="176"/>
        <v>0.6</v>
      </c>
      <c r="F350" s="315">
        <f>ROUND((+$E350*7*365)/12,0)</f>
        <v>128</v>
      </c>
      <c r="G350" s="312">
        <f>ROUND((+$E350*8760*0.834)/12,0)</f>
        <v>365</v>
      </c>
      <c r="H350" s="141">
        <f t="shared" si="178"/>
        <v>5.6</v>
      </c>
      <c r="I350" s="142">
        <f>ROUND(IF((E350*200)&gt;F350,F350,(E350*200)),0)</f>
        <v>120</v>
      </c>
      <c r="J350" s="141">
        <f t="shared" si="179"/>
        <v>12.82</v>
      </c>
      <c r="K350" s="142">
        <f t="shared" si="180"/>
        <v>8</v>
      </c>
      <c r="L350" s="142">
        <f t="shared" si="181"/>
        <v>245</v>
      </c>
      <c r="M350" s="141">
        <f t="shared" si="182"/>
        <v>0.56999999999999995</v>
      </c>
      <c r="N350" s="141">
        <f t="shared" si="183"/>
        <v>17.37</v>
      </c>
      <c r="O350" s="316">
        <f>H350+J350+M350</f>
        <v>18.990000000000002</v>
      </c>
      <c r="P350" s="217">
        <f t="shared" si="184"/>
        <v>35.790000000000006</v>
      </c>
      <c r="Q350" s="133"/>
      <c r="R350" s="133"/>
      <c r="S350" s="133"/>
      <c r="T350" s="133"/>
      <c r="U350" s="133"/>
      <c r="V350" s="133"/>
      <c r="W350" s="133"/>
    </row>
    <row r="351" spans="1:23" ht="16.5" thickBot="1">
      <c r="A351" s="145"/>
      <c r="B351" s="35"/>
      <c r="C351" s="214"/>
      <c r="D351" s="215"/>
      <c r="E351" s="214"/>
      <c r="F351" s="315"/>
      <c r="G351" s="151"/>
      <c r="H351" s="141"/>
      <c r="I351" s="142"/>
      <c r="J351" s="141"/>
      <c r="K351" s="142"/>
      <c r="L351" s="142"/>
      <c r="M351" s="141"/>
      <c r="N351" s="141"/>
      <c r="O351" s="273"/>
      <c r="P351" s="239"/>
      <c r="Q351" s="133"/>
      <c r="R351" s="133"/>
      <c r="S351" s="133"/>
      <c r="T351" s="133"/>
      <c r="U351" s="133"/>
      <c r="V351" s="133"/>
      <c r="W351" s="133"/>
    </row>
    <row r="352" spans="1:23" ht="16.5" thickBot="1">
      <c r="A352" s="145">
        <v>828</v>
      </c>
      <c r="B352" s="42">
        <f>3*100</f>
        <v>300</v>
      </c>
      <c r="C352" s="214">
        <f>B352/1000</f>
        <v>0.3</v>
      </c>
      <c r="D352" s="215">
        <v>0</v>
      </c>
      <c r="E352" s="214">
        <f>(+C352*D352)+C352</f>
        <v>0.3</v>
      </c>
      <c r="F352" s="317">
        <f>ROUND((+$E352*(2*12))/12,0)</f>
        <v>1</v>
      </c>
      <c r="G352" s="318">
        <f>ROUND((+$E352*8760)/12,0)</f>
        <v>219</v>
      </c>
      <c r="H352" s="141">
        <f>ROUND(+E352*D$7,2)</f>
        <v>2.8</v>
      </c>
      <c r="I352" s="142">
        <f>ROUND(IF((E352*200)&gt;F352,F352,(E352*200)),0)</f>
        <v>1</v>
      </c>
      <c r="J352" s="141">
        <f>ROUND(+I352*D$8,2)</f>
        <v>0.11</v>
      </c>
      <c r="K352" s="142">
        <f>F352-I352</f>
        <v>0</v>
      </c>
      <c r="L352" s="142">
        <f>G352-I352</f>
        <v>218</v>
      </c>
      <c r="M352" s="141">
        <f>ROUND(+K352*D$9,2)</f>
        <v>0</v>
      </c>
      <c r="N352" s="141">
        <f>ROUND(+L352*D$9,2)</f>
        <v>15.46</v>
      </c>
      <c r="O352" s="307">
        <f>H352+J352+M352</f>
        <v>2.9099999999999997</v>
      </c>
      <c r="P352" s="308">
        <f>H352+J352+N352</f>
        <v>18.37</v>
      </c>
      <c r="Q352" s="133"/>
      <c r="R352" s="133"/>
      <c r="S352" s="133"/>
      <c r="T352" s="133"/>
      <c r="U352" s="133"/>
      <c r="V352" s="133"/>
      <c r="W352" s="133"/>
    </row>
    <row r="353" spans="1:23" ht="16.5" thickBot="1">
      <c r="A353" s="145"/>
      <c r="B353" s="42">
        <v>100</v>
      </c>
      <c r="C353" s="214">
        <f>B353/1000</f>
        <v>0.1</v>
      </c>
      <c r="D353" s="215">
        <v>0</v>
      </c>
      <c r="E353" s="214">
        <f>(+C353*D353)+C353</f>
        <v>0.1</v>
      </c>
      <c r="F353" s="319">
        <f>ROUND((+$E353*2*12)/12,0)</f>
        <v>0</v>
      </c>
      <c r="G353" s="235">
        <f>ROUND((+$E353*8760)/12,0)</f>
        <v>73</v>
      </c>
      <c r="H353" s="141">
        <f>ROUND(+E353*D$7,2)</f>
        <v>0.93</v>
      </c>
      <c r="I353" s="142">
        <f>ROUND(IF((E353*200)&gt;F353,F353,(E353*200)),0)</f>
        <v>0</v>
      </c>
      <c r="J353" s="141">
        <f>ROUND(+I353*D$8,2)</f>
        <v>0</v>
      </c>
      <c r="K353" s="142">
        <f>F353-I353</f>
        <v>0</v>
      </c>
      <c r="L353" s="142">
        <f>G353-I353</f>
        <v>73</v>
      </c>
      <c r="M353" s="141">
        <f>ROUND(+K353*D$9,2)</f>
        <v>0</v>
      </c>
      <c r="N353" s="141">
        <f>ROUND(+L353*D$9,2)</f>
        <v>5.18</v>
      </c>
      <c r="O353" s="320">
        <f>H353+J353+M353</f>
        <v>0.93</v>
      </c>
      <c r="P353" s="236">
        <f>H353+J353+N353</f>
        <v>6.1099999999999994</v>
      </c>
      <c r="Q353" s="133"/>
      <c r="R353" s="133"/>
      <c r="S353" s="133"/>
      <c r="T353" s="133"/>
      <c r="U353" s="133"/>
      <c r="V353" s="133"/>
      <c r="W353" s="133"/>
    </row>
    <row r="354" spans="1:23" ht="16.5" thickBot="1">
      <c r="A354" s="145"/>
      <c r="B354" s="321">
        <v>2000</v>
      </c>
      <c r="C354" s="214">
        <f>B354/1000</f>
        <v>2</v>
      </c>
      <c r="D354" s="215">
        <v>0</v>
      </c>
      <c r="E354" s="214">
        <f>(+C354*D354)+C354</f>
        <v>2</v>
      </c>
      <c r="F354" s="317">
        <f>ROUND((+$E354*((8760/12)*4*0.5))/12,0)</f>
        <v>243</v>
      </c>
      <c r="G354" s="318">
        <f>ROUND((+$E354*8760)/12,0)</f>
        <v>1460</v>
      </c>
      <c r="H354" s="141">
        <f>ROUND(+E354*D$7,2)</f>
        <v>18.68</v>
      </c>
      <c r="I354" s="142">
        <f>ROUND(IF((E354*200)&gt;F354,F354,(E354*200)),0)</f>
        <v>243</v>
      </c>
      <c r="J354" s="141">
        <f>ROUND(+I354*D$8,2)</f>
        <v>25.95</v>
      </c>
      <c r="K354" s="142">
        <f>F354-I354</f>
        <v>0</v>
      </c>
      <c r="L354" s="142">
        <f>G354-I354</f>
        <v>1217</v>
      </c>
      <c r="M354" s="141">
        <f>ROUND(+K354*D$9,2)</f>
        <v>0</v>
      </c>
      <c r="N354" s="141">
        <f>ROUND(+L354*D$9,2)</f>
        <v>86.29</v>
      </c>
      <c r="O354" s="307">
        <f>H354+J354+M354</f>
        <v>44.629999999999995</v>
      </c>
      <c r="P354" s="308">
        <f>H354+J354+N354</f>
        <v>130.92000000000002</v>
      </c>
      <c r="Q354" s="133"/>
      <c r="R354" s="133"/>
      <c r="S354" s="133"/>
      <c r="T354" s="133"/>
      <c r="U354" s="133"/>
      <c r="V354" s="133"/>
      <c r="W354" s="133"/>
    </row>
    <row r="355" spans="1:23" ht="16.5" thickBot="1">
      <c r="A355" s="145"/>
      <c r="B355" s="42">
        <f>SUM(B352:B354)</f>
        <v>2400</v>
      </c>
      <c r="C355" s="214"/>
      <c r="D355" s="215"/>
      <c r="E355" s="214"/>
      <c r="F355" s="317">
        <f>+F352+F353+F354</f>
        <v>244</v>
      </c>
      <c r="G355" s="318"/>
      <c r="H355" s="141"/>
      <c r="I355" s="142"/>
      <c r="J355" s="141"/>
      <c r="K355" s="142"/>
      <c r="L355" s="142"/>
      <c r="M355" s="141"/>
      <c r="N355" s="141"/>
      <c r="O355" s="307">
        <f>+O352+O353+O354</f>
        <v>48.47</v>
      </c>
      <c r="P355" s="308"/>
      <c r="Q355" s="133"/>
      <c r="R355" s="133"/>
      <c r="S355" s="133"/>
      <c r="T355" s="133"/>
      <c r="U355" s="133"/>
      <c r="V355" s="133"/>
      <c r="W355" s="133"/>
    </row>
    <row r="356" spans="1:23" ht="16.5" thickBot="1">
      <c r="A356" s="145"/>
      <c r="B356" s="42"/>
      <c r="C356" s="214"/>
      <c r="D356" s="215"/>
      <c r="E356" s="214"/>
      <c r="F356" s="322"/>
      <c r="G356" s="155"/>
      <c r="H356" s="141"/>
      <c r="I356" s="142"/>
      <c r="J356" s="141"/>
      <c r="K356" s="142"/>
      <c r="L356" s="142"/>
      <c r="M356" s="141"/>
      <c r="N356" s="141"/>
      <c r="O356" s="323"/>
      <c r="P356" s="154"/>
      <c r="Q356" s="133"/>
      <c r="R356" s="133"/>
      <c r="S356" s="133"/>
      <c r="T356" s="133"/>
      <c r="U356" s="133"/>
      <c r="V356" s="133"/>
      <c r="W356" s="133"/>
    </row>
    <row r="357" spans="1:23" ht="16.5" thickBot="1">
      <c r="A357" s="145">
        <v>829</v>
      </c>
      <c r="B357" s="35">
        <v>4.4000000000000004</v>
      </c>
      <c r="C357" s="214">
        <f>B357/1000</f>
        <v>4.4000000000000003E-3</v>
      </c>
      <c r="D357" s="215">
        <v>0</v>
      </c>
      <c r="E357" s="214">
        <f>(+C357*D357)+C357</f>
        <v>4.4000000000000003E-3</v>
      </c>
      <c r="F357" s="237">
        <f>ROUND((+$E357*4000)/12,0)</f>
        <v>1</v>
      </c>
      <c r="G357" s="231">
        <f>ROUND((+$E357*8760)/12,0)</f>
        <v>3</v>
      </c>
      <c r="H357" s="141">
        <f>ROUND(+E357*D$7,2)</f>
        <v>0.04</v>
      </c>
      <c r="I357" s="142">
        <f>ROUND(IF((E357*200)&gt;F357,F357,(E357*200)),0)</f>
        <v>1</v>
      </c>
      <c r="J357" s="141">
        <f>ROUND(+I357*D$8,2)</f>
        <v>0.11</v>
      </c>
      <c r="K357" s="142">
        <f>F357-I357</f>
        <v>0</v>
      </c>
      <c r="L357" s="142">
        <f>G357-I357</f>
        <v>2</v>
      </c>
      <c r="M357" s="141">
        <f>ROUND(+K357*D$9,2)</f>
        <v>0</v>
      </c>
      <c r="N357" s="141">
        <f>ROUND(+L357*D$9,2)</f>
        <v>0.14000000000000001</v>
      </c>
      <c r="O357" s="280">
        <f>H357+J357+M357</f>
        <v>0.15</v>
      </c>
      <c r="P357" s="217">
        <f>H357+J357+N357</f>
        <v>0.29000000000000004</v>
      </c>
      <c r="Q357" s="133"/>
      <c r="R357" s="133"/>
      <c r="S357" s="133"/>
      <c r="T357" s="133"/>
      <c r="U357" s="133"/>
      <c r="V357" s="133"/>
      <c r="W357" s="133"/>
    </row>
    <row r="358" spans="1:23">
      <c r="A358" s="145"/>
      <c r="B358" s="133"/>
      <c r="C358" s="133"/>
      <c r="D358" s="205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</row>
    <row r="359" spans="1:23">
      <c r="A359" s="145">
        <v>830</v>
      </c>
      <c r="B359" s="35">
        <v>746</v>
      </c>
      <c r="C359" s="214">
        <f>B359/1000</f>
        <v>0.746</v>
      </c>
      <c r="D359" s="215">
        <v>0</v>
      </c>
      <c r="E359" s="214">
        <f>(+C359*D359)+C359</f>
        <v>0.746</v>
      </c>
      <c r="F359" s="232">
        <f>ROUND((+$E359*(365*5*0.2))/12,0)</f>
        <v>23</v>
      </c>
      <c r="G359" s="155">
        <f>ROUND((+$E359*8760)/12,0)</f>
        <v>545</v>
      </c>
      <c r="H359" s="141">
        <f>ROUND(+E359*D$7,2)</f>
        <v>6.97</v>
      </c>
      <c r="I359" s="142">
        <f>ROUND(IF((E359*200)&gt;F359,F359,(E359*200)),0)</f>
        <v>23</v>
      </c>
      <c r="J359" s="141">
        <f>ROUND(+I359*D$8,2)</f>
        <v>2.46</v>
      </c>
      <c r="K359" s="142">
        <f>F359-I359</f>
        <v>0</v>
      </c>
      <c r="L359" s="142">
        <f>G359-I359</f>
        <v>522</v>
      </c>
      <c r="M359" s="141">
        <f>ROUND(+K359*D$9,2)</f>
        <v>0</v>
      </c>
      <c r="N359" s="141">
        <f>ROUND(+L359*D$9,2)</f>
        <v>37.01</v>
      </c>
      <c r="O359" s="273">
        <f>H359+J359+M359</f>
        <v>9.43</v>
      </c>
      <c r="P359" s="154">
        <f>H359+J359+N359</f>
        <v>46.44</v>
      </c>
      <c r="Q359" s="133"/>
      <c r="R359" s="133"/>
      <c r="S359" s="133"/>
      <c r="T359" s="133"/>
      <c r="U359" s="133"/>
      <c r="V359" s="133"/>
      <c r="W359" s="133"/>
    </row>
    <row r="360" spans="1:23" ht="15.75" thickBot="1">
      <c r="A360" s="145"/>
      <c r="B360" s="35">
        <v>125</v>
      </c>
      <c r="C360" s="214">
        <f>B360/1000</f>
        <v>0.125</v>
      </c>
      <c r="D360" s="215">
        <v>0</v>
      </c>
      <c r="E360" s="214">
        <f>(+C360*D360)+C360</f>
        <v>0.125</v>
      </c>
      <c r="F360" s="232">
        <f>ROUND((+$E360*(5*730))/12,0)</f>
        <v>38</v>
      </c>
      <c r="G360" s="155">
        <f>ROUND((+$E360*8760)/12,0)</f>
        <v>91</v>
      </c>
      <c r="H360" s="141">
        <f>ROUND(+E360*D$7,2)</f>
        <v>1.17</v>
      </c>
      <c r="I360" s="142">
        <f>ROUND(IF((E360*200)&gt;F360,F360,(E360*200)),0)</f>
        <v>25</v>
      </c>
      <c r="J360" s="141">
        <f>ROUND(+I360*D$8,2)</f>
        <v>2.67</v>
      </c>
      <c r="K360" s="142">
        <f>F360-I360</f>
        <v>13</v>
      </c>
      <c r="L360" s="142">
        <f>G360-I360</f>
        <v>66</v>
      </c>
      <c r="M360" s="141">
        <f>ROUND(+K360*D$9,2)</f>
        <v>0.92</v>
      </c>
      <c r="N360" s="141">
        <f>ROUND(+L360*D$9,2)</f>
        <v>4.68</v>
      </c>
      <c r="O360" s="273">
        <f>H360+J360+M360</f>
        <v>4.76</v>
      </c>
      <c r="P360" s="154">
        <f>H360+J360+N360</f>
        <v>8.52</v>
      </c>
      <c r="Q360" s="133"/>
      <c r="R360" s="133"/>
      <c r="S360" s="133"/>
      <c r="T360" s="133"/>
      <c r="U360" s="133"/>
      <c r="V360" s="133"/>
      <c r="W360" s="133"/>
    </row>
    <row r="361" spans="1:23" ht="16.5" thickBot="1">
      <c r="A361" s="145"/>
      <c r="B361" s="324">
        <f>SUM(B359:B360)</f>
        <v>871</v>
      </c>
      <c r="C361" s="133"/>
      <c r="D361" s="205"/>
      <c r="E361" s="133"/>
      <c r="F361" s="231">
        <f>SUM(F359:F360)</f>
        <v>61</v>
      </c>
      <c r="G361" s="133"/>
      <c r="H361" s="133"/>
      <c r="I361" s="133"/>
      <c r="J361" s="133"/>
      <c r="K361" s="133"/>
      <c r="L361" s="133"/>
      <c r="M361" s="133"/>
      <c r="N361" s="133"/>
      <c r="O361" s="217">
        <f>SUM(O359:O360)</f>
        <v>14.19</v>
      </c>
      <c r="P361" s="133"/>
      <c r="Q361" s="133"/>
      <c r="R361" s="133"/>
      <c r="S361" s="133"/>
      <c r="T361" s="133"/>
      <c r="U361" s="133"/>
      <c r="V361" s="133"/>
      <c r="W361" s="133"/>
    </row>
    <row r="362" spans="1:23">
      <c r="A362" s="145"/>
      <c r="B362" s="133"/>
      <c r="C362" s="133"/>
      <c r="D362" s="205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</row>
    <row r="363" spans="1:23" ht="15.75">
      <c r="A363" s="145">
        <v>831</v>
      </c>
      <c r="B363" s="35">
        <v>302.39999999999998</v>
      </c>
      <c r="C363" s="214">
        <f>B363/1000</f>
        <v>0.3024</v>
      </c>
      <c r="D363" s="215">
        <v>0.15</v>
      </c>
      <c r="E363" s="214">
        <f>(+C363*D363)+C363</f>
        <v>0.34776000000000001</v>
      </c>
      <c r="F363" s="232">
        <f>ROUND((+$E363*4000)/12,0)</f>
        <v>116</v>
      </c>
      <c r="G363" s="312">
        <f>ROUND((+$E363*8760)/12,0)</f>
        <v>254</v>
      </c>
      <c r="H363" s="141">
        <f>ROUND(+E363*D$7,2)</f>
        <v>3.25</v>
      </c>
      <c r="I363" s="142">
        <f>ROUND(IF((E363*200)&gt;F363,F363,(E363*200)),0)</f>
        <v>70</v>
      </c>
      <c r="J363" s="141">
        <f>ROUND(+I363*D$8,2)</f>
        <v>7.48</v>
      </c>
      <c r="K363" s="142">
        <f>F363-I363</f>
        <v>46</v>
      </c>
      <c r="L363" s="142">
        <f>G363-I363</f>
        <v>184</v>
      </c>
      <c r="M363" s="141">
        <f>ROUND(+K363*D$9,2)</f>
        <v>3.26</v>
      </c>
      <c r="N363" s="141">
        <f>ROUND(+L363*D$9,2)</f>
        <v>13.05</v>
      </c>
      <c r="O363" s="273">
        <f>H363+J363+M363</f>
        <v>13.99</v>
      </c>
      <c r="P363" s="295">
        <f>H363+J363+N363</f>
        <v>23.78</v>
      </c>
      <c r="Q363" s="133"/>
      <c r="R363" s="133"/>
      <c r="S363" s="133"/>
      <c r="T363" s="133"/>
      <c r="U363" s="133"/>
      <c r="V363" s="133"/>
      <c r="W363" s="133"/>
    </row>
    <row r="364" spans="1:23" ht="15.75">
      <c r="A364" s="145"/>
      <c r="B364" s="35">
        <v>300</v>
      </c>
      <c r="C364" s="214">
        <f>B364/1000</f>
        <v>0.3</v>
      </c>
      <c r="D364" s="215">
        <v>0.15</v>
      </c>
      <c r="E364" s="214">
        <f>(+C364*D364)+C364</f>
        <v>0.34499999999999997</v>
      </c>
      <c r="F364" s="312">
        <f>ROUND((+$E364*4380)/12,0)</f>
        <v>126</v>
      </c>
      <c r="G364" s="155">
        <f>ROUND((+$E364*8760)/12,0)</f>
        <v>252</v>
      </c>
      <c r="H364" s="141">
        <f>ROUND(+E364*D$7,2)</f>
        <v>3.22</v>
      </c>
      <c r="I364" s="142">
        <f>ROUND(IF((E364*200)&gt;F364,F364,(E364*200)),0)</f>
        <v>69</v>
      </c>
      <c r="J364" s="141">
        <f>ROUND(+I364*D$8,2)</f>
        <v>7.37</v>
      </c>
      <c r="K364" s="142">
        <f>F364-I364</f>
        <v>57</v>
      </c>
      <c r="L364" s="142">
        <f>G364-I364</f>
        <v>183</v>
      </c>
      <c r="M364" s="141">
        <f>ROUND(+K364*D$9,2)</f>
        <v>4.04</v>
      </c>
      <c r="N364" s="141">
        <f>ROUND(+L364*D$9,2)</f>
        <v>12.98</v>
      </c>
      <c r="O364" s="325">
        <f>H364+J364+M364</f>
        <v>14.629999999999999</v>
      </c>
      <c r="P364" s="154">
        <f>H364+J364+N364</f>
        <v>23.57</v>
      </c>
      <c r="Q364" s="133"/>
      <c r="R364" s="133"/>
      <c r="S364" s="133"/>
      <c r="T364" s="133"/>
      <c r="U364" s="133"/>
      <c r="V364" s="133"/>
      <c r="W364" s="133"/>
    </row>
    <row r="365" spans="1:23" ht="16.5" thickBot="1">
      <c r="A365" s="145"/>
      <c r="B365" s="35">
        <v>2538</v>
      </c>
      <c r="C365" s="214">
        <f>B365/1000</f>
        <v>2.5379999999999998</v>
      </c>
      <c r="D365" s="215">
        <v>0</v>
      </c>
      <c r="E365" s="214">
        <f>(+C365*D365)+C365</f>
        <v>2.5379999999999998</v>
      </c>
      <c r="F365" s="326">
        <f>ROUND((+$E365*(8760/49*20))/12,0)</f>
        <v>756</v>
      </c>
      <c r="G365" s="155">
        <f>ROUND((+$E365*8760)/12,0)</f>
        <v>1853</v>
      </c>
      <c r="H365" s="141">
        <f>ROUND(+E365*D$7,2)</f>
        <v>23.7</v>
      </c>
      <c r="I365" s="142">
        <f>ROUND(IF((E365*200)&gt;F365,F365,(E365*200)),0)</f>
        <v>508</v>
      </c>
      <c r="J365" s="141">
        <f>ROUND(+I365*D$8,2)</f>
        <v>54.26</v>
      </c>
      <c r="K365" s="142">
        <f>F365-I365</f>
        <v>248</v>
      </c>
      <c r="L365" s="142">
        <f>G365-I365</f>
        <v>1345</v>
      </c>
      <c r="M365" s="141">
        <f>ROUND(+K365*D$9,2)</f>
        <v>17.579999999999998</v>
      </c>
      <c r="N365" s="141">
        <f>ROUND(+L365*D$9,2)</f>
        <v>95.37</v>
      </c>
      <c r="O365" s="327">
        <f>H365+J365+M365</f>
        <v>95.539999999999992</v>
      </c>
      <c r="P365" s="154">
        <f>H365+J365+N365</f>
        <v>173.32999999999998</v>
      </c>
      <c r="Q365" s="133"/>
      <c r="R365" s="133"/>
      <c r="S365" s="133"/>
      <c r="T365" s="133"/>
      <c r="U365" s="133"/>
      <c r="V365" s="133"/>
      <c r="W365" s="133"/>
    </row>
    <row r="366" spans="1:23" ht="16.5" thickBot="1">
      <c r="A366" s="145"/>
      <c r="B366" s="324">
        <f>SUM(B363:B365)</f>
        <v>3140.4</v>
      </c>
      <c r="C366" s="133"/>
      <c r="D366" s="205"/>
      <c r="E366" s="133"/>
      <c r="F366" s="231">
        <f>SUM(F363:F365)</f>
        <v>998</v>
      </c>
      <c r="G366" s="133"/>
      <c r="H366" s="133"/>
      <c r="I366" s="133"/>
      <c r="J366" s="133"/>
      <c r="K366" s="133"/>
      <c r="L366" s="133"/>
      <c r="M366" s="133"/>
      <c r="N366" s="133"/>
      <c r="O366" s="217">
        <f>+P363+O364+O365</f>
        <v>133.94999999999999</v>
      </c>
      <c r="P366" s="133"/>
      <c r="Q366" s="133"/>
      <c r="R366" s="133"/>
      <c r="S366" s="133"/>
      <c r="T366" s="133"/>
      <c r="U366" s="133"/>
      <c r="V366" s="133"/>
      <c r="W366" s="133"/>
    </row>
    <row r="367" spans="1:23">
      <c r="A367" s="145"/>
      <c r="B367" s="133"/>
      <c r="C367" s="133"/>
      <c r="D367" s="205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</row>
    <row r="368" spans="1:23" ht="15.75">
      <c r="A368" s="145">
        <v>832</v>
      </c>
      <c r="B368" s="35">
        <v>3</v>
      </c>
      <c r="C368" s="214">
        <f>B368/1000</f>
        <v>3.0000000000000001E-3</v>
      </c>
      <c r="D368" s="215">
        <v>0.1</v>
      </c>
      <c r="E368" s="214">
        <f>(+C368*D368)+C368</f>
        <v>3.3E-3</v>
      </c>
      <c r="F368" s="232">
        <f>ROUND((+$E368*4000)/12,0)</f>
        <v>1</v>
      </c>
      <c r="G368" s="312">
        <f>ROUND((+$E368*8760)/12,0)</f>
        <v>2</v>
      </c>
      <c r="H368" s="141">
        <f>ROUND(+E368*D$7,2)</f>
        <v>0.03</v>
      </c>
      <c r="I368" s="142">
        <f>ROUND(IF((E368*200)&gt;F368,F368,(E368*200)),0)</f>
        <v>1</v>
      </c>
      <c r="J368" s="141">
        <f>ROUND(+I368*D$8,2)</f>
        <v>0.11</v>
      </c>
      <c r="K368" s="142">
        <f>F368-I368</f>
        <v>0</v>
      </c>
      <c r="L368" s="142">
        <f>G368-I368</f>
        <v>1</v>
      </c>
      <c r="M368" s="141">
        <f>ROUND(+K368*D$9,2)</f>
        <v>0</v>
      </c>
      <c r="N368" s="141">
        <f>ROUND(+L368*D$9,2)</f>
        <v>7.0000000000000007E-2</v>
      </c>
      <c r="O368" s="273">
        <f>H368+J368+M368</f>
        <v>0.14000000000000001</v>
      </c>
      <c r="P368" s="295">
        <f>H368+J368+N368</f>
        <v>0.21000000000000002</v>
      </c>
      <c r="Q368" s="133"/>
      <c r="R368" s="133"/>
      <c r="S368" s="133"/>
      <c r="T368" s="133"/>
      <c r="U368" s="133"/>
      <c r="V368" s="133"/>
      <c r="W368" s="133"/>
    </row>
    <row r="369" spans="1:23" ht="16.5" thickBot="1">
      <c r="A369" s="145"/>
      <c r="B369" s="276">
        <v>100</v>
      </c>
      <c r="C369" s="214">
        <f>B369/1000</f>
        <v>0.1</v>
      </c>
      <c r="D369" s="215">
        <v>0.1</v>
      </c>
      <c r="E369" s="214">
        <f>(+C369*D369)+C369</f>
        <v>0.11000000000000001</v>
      </c>
      <c r="F369" s="232">
        <f>ROUND((+$E369*4000)/12,0)</f>
        <v>37</v>
      </c>
      <c r="G369" s="326">
        <f>ROUND((+$E369*8760)/12,0)</f>
        <v>80</v>
      </c>
      <c r="H369" s="141">
        <f>ROUND(+E369*D$7,2)</f>
        <v>1.03</v>
      </c>
      <c r="I369" s="142">
        <f>ROUND(IF((E369*200)&gt;F369,F369,(E369*200)),0)</f>
        <v>22</v>
      </c>
      <c r="J369" s="141">
        <f>ROUND(+I369*D$8,2)</f>
        <v>2.35</v>
      </c>
      <c r="K369" s="142">
        <f>F369-I369</f>
        <v>15</v>
      </c>
      <c r="L369" s="142">
        <f>G369-I369</f>
        <v>58</v>
      </c>
      <c r="M369" s="141">
        <f>ROUND(+K369*D$9,2)</f>
        <v>1.06</v>
      </c>
      <c r="N369" s="141">
        <f>ROUND(+L369*D$9,2)</f>
        <v>4.1100000000000003</v>
      </c>
      <c r="O369" s="273">
        <f>H369+J369+M369</f>
        <v>4.4399999999999995</v>
      </c>
      <c r="P369" s="328">
        <f>H369+J369+N369</f>
        <v>7.49</v>
      </c>
      <c r="Q369" s="133"/>
      <c r="R369" s="133"/>
      <c r="S369" s="133"/>
      <c r="T369" s="133"/>
      <c r="U369" s="133"/>
      <c r="V369" s="133"/>
      <c r="W369" s="133"/>
    </row>
    <row r="370" spans="1:23" ht="16.5" thickBot="1">
      <c r="A370" s="145"/>
      <c r="B370" s="43">
        <f>SUM(B368:B369)</f>
        <v>103</v>
      </c>
      <c r="C370" s="133"/>
      <c r="D370" s="205"/>
      <c r="E370" s="133"/>
      <c r="F370" s="133"/>
      <c r="G370" s="231">
        <f>SUM(G368:G369)</f>
        <v>82</v>
      </c>
      <c r="H370" s="133"/>
      <c r="I370" s="133"/>
      <c r="J370" s="133"/>
      <c r="K370" s="133"/>
      <c r="L370" s="133"/>
      <c r="M370" s="133"/>
      <c r="N370" s="133"/>
      <c r="O370" s="133"/>
      <c r="P370" s="217">
        <f>SUM(P368:P369)</f>
        <v>7.7</v>
      </c>
      <c r="Q370" s="133"/>
      <c r="R370" s="133"/>
      <c r="S370" s="133"/>
      <c r="T370" s="133"/>
      <c r="U370" s="133"/>
      <c r="V370" s="133"/>
      <c r="W370" s="133"/>
    </row>
    <row r="371" spans="1:23" ht="16.5" thickBot="1">
      <c r="A371" s="145"/>
      <c r="B371" s="43"/>
      <c r="C371" s="133"/>
      <c r="D371" s="205"/>
      <c r="E371" s="133"/>
      <c r="F371" s="133"/>
      <c r="G371" s="151"/>
      <c r="H371" s="133"/>
      <c r="I371" s="133"/>
      <c r="J371" s="133"/>
      <c r="K371" s="133"/>
      <c r="L371" s="133"/>
      <c r="M371" s="133"/>
      <c r="N371" s="133"/>
      <c r="O371" s="133"/>
      <c r="P371" s="239"/>
      <c r="Q371" s="133"/>
      <c r="R371" s="133"/>
      <c r="S371" s="133"/>
      <c r="T371" s="133"/>
      <c r="U371" s="133"/>
      <c r="V371" s="133"/>
      <c r="W371" s="133"/>
    </row>
    <row r="372" spans="1:23" ht="16.5" thickBot="1">
      <c r="A372" s="145">
        <v>833</v>
      </c>
      <c r="B372" s="35">
        <v>35</v>
      </c>
      <c r="C372" s="214">
        <f>B372/1000</f>
        <v>3.5000000000000003E-2</v>
      </c>
      <c r="D372" s="215">
        <v>0</v>
      </c>
      <c r="E372" s="214">
        <f>(+C372*D372)+C372</f>
        <v>3.5000000000000003E-2</v>
      </c>
      <c r="F372" s="237">
        <f>ROUND((+$E372*4000)/12,0)</f>
        <v>12</v>
      </c>
      <c r="G372" s="231">
        <f>ROUND((+$E372*8760)/12,0)</f>
        <v>26</v>
      </c>
      <c r="H372" s="141">
        <f>ROUND(+E372*D$7,2)</f>
        <v>0.33</v>
      </c>
      <c r="I372" s="142">
        <f>ROUND(IF((E372*200)&gt;F372,F372,(E372*200)),0)</f>
        <v>7</v>
      </c>
      <c r="J372" s="141">
        <f>ROUND(+I372*D$8,2)</f>
        <v>0.75</v>
      </c>
      <c r="K372" s="142">
        <f>F372-I372</f>
        <v>5</v>
      </c>
      <c r="L372" s="142">
        <f>G372-I372</f>
        <v>19</v>
      </c>
      <c r="M372" s="141">
        <f>ROUND(+K372*D$9,2)</f>
        <v>0.35</v>
      </c>
      <c r="N372" s="141">
        <f>ROUND(+L372*D$9,2)</f>
        <v>1.35</v>
      </c>
      <c r="O372" s="280">
        <f>H372+J372+M372</f>
        <v>1.4300000000000002</v>
      </c>
      <c r="P372" s="217">
        <f>H372+J372+N372</f>
        <v>2.4300000000000002</v>
      </c>
      <c r="Q372" s="133"/>
      <c r="R372" s="133"/>
      <c r="S372" s="133"/>
      <c r="T372" s="133"/>
      <c r="U372" s="133"/>
      <c r="V372" s="133"/>
      <c r="W372" s="133"/>
    </row>
    <row r="373" spans="1:23">
      <c r="A373" s="145"/>
      <c r="B373" s="133"/>
      <c r="C373" s="133"/>
      <c r="D373" s="205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</row>
    <row r="374" spans="1:23" ht="15.75">
      <c r="A374" s="157" t="s">
        <v>236</v>
      </c>
      <c r="B374" s="133"/>
      <c r="C374" s="133"/>
      <c r="D374" s="205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329" t="s">
        <v>81</v>
      </c>
      <c r="W374" s="134"/>
    </row>
    <row r="375" spans="1:23" ht="15.75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329" t="s">
        <v>237</v>
      </c>
      <c r="W375" s="134"/>
    </row>
    <row r="376" spans="1:23" ht="15.75">
      <c r="A376" s="30"/>
      <c r="B376" s="30"/>
      <c r="C376" s="42" t="s">
        <v>132</v>
      </c>
      <c r="D376" s="42" t="s">
        <v>133</v>
      </c>
      <c r="E376" s="42" t="s">
        <v>132</v>
      </c>
      <c r="F376" s="208" t="s">
        <v>134</v>
      </c>
      <c r="G376" s="209"/>
      <c r="H376" s="210" t="s">
        <v>132</v>
      </c>
      <c r="I376" s="42" t="s">
        <v>135</v>
      </c>
      <c r="J376" s="42" t="s">
        <v>135</v>
      </c>
      <c r="K376" s="208" t="s">
        <v>136</v>
      </c>
      <c r="L376" s="209"/>
      <c r="M376" s="208" t="s">
        <v>137</v>
      </c>
      <c r="N376" s="209"/>
      <c r="O376" s="208" t="s">
        <v>138</v>
      </c>
      <c r="P376" s="209"/>
      <c r="Q376" s="330"/>
      <c r="R376" s="133"/>
      <c r="S376" s="133"/>
      <c r="T376" s="133"/>
      <c r="U376" s="133"/>
      <c r="V376" s="133"/>
      <c r="W376" s="133"/>
    </row>
    <row r="377" spans="1:23" ht="15.75">
      <c r="A377" s="42" t="s">
        <v>656</v>
      </c>
      <c r="B377" s="42" t="s">
        <v>139</v>
      </c>
      <c r="C377" s="42" t="s">
        <v>140</v>
      </c>
      <c r="D377" s="42" t="s">
        <v>141</v>
      </c>
      <c r="E377" s="42" t="s">
        <v>142</v>
      </c>
      <c r="F377" s="212" t="s">
        <v>792</v>
      </c>
      <c r="G377" s="212" t="s">
        <v>898</v>
      </c>
      <c r="H377" s="42" t="s">
        <v>143</v>
      </c>
      <c r="I377" s="42" t="s">
        <v>645</v>
      </c>
      <c r="J377" s="42" t="s">
        <v>144</v>
      </c>
      <c r="K377" s="212" t="s">
        <v>792</v>
      </c>
      <c r="L377" s="212" t="s">
        <v>898</v>
      </c>
      <c r="M377" s="212" t="s">
        <v>792</v>
      </c>
      <c r="N377" s="212" t="s">
        <v>898</v>
      </c>
      <c r="O377" s="212" t="s">
        <v>792</v>
      </c>
      <c r="P377" s="212" t="s">
        <v>898</v>
      </c>
      <c r="Q377" s="133"/>
      <c r="R377" s="133"/>
      <c r="S377" s="133"/>
      <c r="T377" s="133"/>
      <c r="U377" s="133"/>
      <c r="V377" s="213" t="s">
        <v>792</v>
      </c>
      <c r="W377" s="213" t="s">
        <v>898</v>
      </c>
    </row>
    <row r="378" spans="1:23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</row>
    <row r="379" spans="1:23" ht="15.75">
      <c r="A379" s="145">
        <v>901</v>
      </c>
      <c r="B379" s="145">
        <v>2800</v>
      </c>
      <c r="C379" s="214">
        <f t="shared" ref="C379:C390" si="185">B379/1000</f>
        <v>2.8</v>
      </c>
      <c r="D379" s="215">
        <v>0</v>
      </c>
      <c r="E379" s="214">
        <f t="shared" ref="E379:E410" si="186">(+C379*D379)+C379</f>
        <v>2.8</v>
      </c>
      <c r="F379" s="331">
        <f>ROUND((+$E379*4000)/12,0)</f>
        <v>933</v>
      </c>
      <c r="G379" s="332">
        <f t="shared" ref="G379:G410" si="187">ROUND((+$E379*8760)/12,0)</f>
        <v>2044</v>
      </c>
      <c r="H379" s="141">
        <f t="shared" ref="H379:H410" si="188">ROUND(+E379*D$7,2)</f>
        <v>26.15</v>
      </c>
      <c r="I379" s="142">
        <f t="shared" ref="I379:I410" si="189">ROUND(IF((E379*200)&gt;F379,F379,(E379*200)),0)</f>
        <v>560</v>
      </c>
      <c r="J379" s="141">
        <f t="shared" ref="J379:J410" si="190">ROUND(+I379*D$8,2)</f>
        <v>59.81</v>
      </c>
      <c r="K379" s="142">
        <f t="shared" ref="K379:K410" si="191">F379-I379</f>
        <v>373</v>
      </c>
      <c r="L379" s="142">
        <f t="shared" ref="L379:L410" si="192">G379-I379</f>
        <v>1484</v>
      </c>
      <c r="M379" s="141">
        <f t="shared" ref="M379:M410" si="193">ROUND(+K379*D$9,2)</f>
        <v>26.45</v>
      </c>
      <c r="N379" s="141">
        <f t="shared" ref="N379:N410" si="194">ROUND(+L379*D$9,2)</f>
        <v>105.22</v>
      </c>
      <c r="O379" s="333">
        <f t="shared" ref="O379:O389" si="195">H379+J379+M379</f>
        <v>112.41000000000001</v>
      </c>
      <c r="P379" s="334">
        <f t="shared" ref="P379:P410" si="196">H379+J379+N379</f>
        <v>191.18</v>
      </c>
      <c r="Q379" s="133"/>
      <c r="R379" s="133"/>
      <c r="S379" s="133"/>
      <c r="T379" s="133"/>
      <c r="U379" s="133"/>
      <c r="V379" s="335">
        <f t="shared" ref="V379:V410" si="197">+O379/(I379+K379)*100</f>
        <v>12.04823151125402</v>
      </c>
      <c r="W379" s="335">
        <f t="shared" ref="W379:W410" si="198">+P379/(I379+L379)*100</f>
        <v>9.3532289628180045</v>
      </c>
    </row>
    <row r="380" spans="1:23" ht="15.75">
      <c r="A380" s="145">
        <f t="shared" ref="A380:A411" si="199">A379+1</f>
        <v>902</v>
      </c>
      <c r="B380" s="145">
        <v>192</v>
      </c>
      <c r="C380" s="214">
        <f t="shared" si="185"/>
        <v>0.192</v>
      </c>
      <c r="D380" s="215">
        <v>0</v>
      </c>
      <c r="E380" s="214">
        <f t="shared" si="186"/>
        <v>0.192</v>
      </c>
      <c r="F380" s="336">
        <f>ROUND((+$E380*4000)/12,0)</f>
        <v>64</v>
      </c>
      <c r="G380" s="331">
        <f t="shared" si="187"/>
        <v>140</v>
      </c>
      <c r="H380" s="334">
        <f t="shared" si="188"/>
        <v>1.79</v>
      </c>
      <c r="I380" s="142">
        <f t="shared" si="189"/>
        <v>38</v>
      </c>
      <c r="J380" s="141">
        <f t="shared" si="190"/>
        <v>4.0599999999999996</v>
      </c>
      <c r="K380" s="142">
        <f t="shared" si="191"/>
        <v>26</v>
      </c>
      <c r="L380" s="142">
        <f t="shared" si="192"/>
        <v>102</v>
      </c>
      <c r="M380" s="141">
        <f t="shared" si="193"/>
        <v>1.84</v>
      </c>
      <c r="N380" s="141">
        <f t="shared" si="194"/>
        <v>7.23</v>
      </c>
      <c r="O380" s="337">
        <f t="shared" si="195"/>
        <v>7.6899999999999995</v>
      </c>
      <c r="P380" s="333">
        <f t="shared" si="196"/>
        <v>13.08</v>
      </c>
      <c r="Q380" s="330"/>
      <c r="R380" s="133"/>
      <c r="S380" s="133"/>
      <c r="T380" s="133"/>
      <c r="U380" s="133"/>
      <c r="V380" s="335">
        <f t="shared" si="197"/>
        <v>12.015625</v>
      </c>
      <c r="W380" s="335">
        <f t="shared" si="198"/>
        <v>9.3428571428571434</v>
      </c>
    </row>
    <row r="381" spans="1:23" ht="15.75">
      <c r="A381" s="145">
        <f t="shared" si="199"/>
        <v>903</v>
      </c>
      <c r="B381" s="145">
        <v>175</v>
      </c>
      <c r="C381" s="214">
        <f t="shared" si="185"/>
        <v>0.17499999999999999</v>
      </c>
      <c r="D381" s="215">
        <v>0</v>
      </c>
      <c r="E381" s="214">
        <f t="shared" si="186"/>
        <v>0.17499999999999999</v>
      </c>
      <c r="F381" s="331">
        <f>ROUND((+$E381*4000)/12,0)</f>
        <v>58</v>
      </c>
      <c r="G381" s="338">
        <f t="shared" si="187"/>
        <v>128</v>
      </c>
      <c r="H381" s="141">
        <f t="shared" si="188"/>
        <v>1.63</v>
      </c>
      <c r="I381" s="142">
        <f t="shared" si="189"/>
        <v>35</v>
      </c>
      <c r="J381" s="141">
        <f t="shared" si="190"/>
        <v>3.74</v>
      </c>
      <c r="K381" s="142">
        <f t="shared" si="191"/>
        <v>23</v>
      </c>
      <c r="L381" s="142">
        <f t="shared" si="192"/>
        <v>93</v>
      </c>
      <c r="M381" s="141">
        <f t="shared" si="193"/>
        <v>1.63</v>
      </c>
      <c r="N381" s="141">
        <f t="shared" si="194"/>
        <v>6.59</v>
      </c>
      <c r="O381" s="333">
        <f t="shared" si="195"/>
        <v>7</v>
      </c>
      <c r="P381" s="339">
        <f t="shared" si="196"/>
        <v>11.96</v>
      </c>
      <c r="Q381" s="133"/>
      <c r="R381" s="133"/>
      <c r="S381" s="133"/>
      <c r="T381" s="133"/>
      <c r="U381" s="133"/>
      <c r="V381" s="335">
        <f t="shared" si="197"/>
        <v>12.068965517241379</v>
      </c>
      <c r="W381" s="335">
        <f t="shared" si="198"/>
        <v>9.34375</v>
      </c>
    </row>
    <row r="382" spans="1:23" ht="15.75">
      <c r="A382" s="145">
        <f t="shared" si="199"/>
        <v>904</v>
      </c>
      <c r="B382" s="145">
        <v>250</v>
      </c>
      <c r="C382" s="214">
        <f t="shared" si="185"/>
        <v>0.25</v>
      </c>
      <c r="D382" s="215">
        <v>0</v>
      </c>
      <c r="E382" s="214">
        <f t="shared" si="186"/>
        <v>0.25</v>
      </c>
      <c r="F382" s="331">
        <f>ROUND((+$E382*4000)/12,0)</f>
        <v>83</v>
      </c>
      <c r="G382" s="332">
        <f t="shared" si="187"/>
        <v>183</v>
      </c>
      <c r="H382" s="141">
        <f t="shared" si="188"/>
        <v>2.33</v>
      </c>
      <c r="I382" s="142">
        <f t="shared" si="189"/>
        <v>50</v>
      </c>
      <c r="J382" s="141">
        <f t="shared" si="190"/>
        <v>5.34</v>
      </c>
      <c r="K382" s="142">
        <f t="shared" si="191"/>
        <v>33</v>
      </c>
      <c r="L382" s="142">
        <f t="shared" si="192"/>
        <v>133</v>
      </c>
      <c r="M382" s="141">
        <f t="shared" si="193"/>
        <v>2.34</v>
      </c>
      <c r="N382" s="141">
        <f t="shared" si="194"/>
        <v>9.43</v>
      </c>
      <c r="O382" s="333">
        <f t="shared" si="195"/>
        <v>10.01</v>
      </c>
      <c r="P382" s="334">
        <f t="shared" si="196"/>
        <v>17.100000000000001</v>
      </c>
      <c r="Q382" s="133"/>
      <c r="R382" s="133"/>
      <c r="S382" s="133"/>
      <c r="T382" s="133"/>
      <c r="U382" s="133"/>
      <c r="V382" s="335">
        <f t="shared" si="197"/>
        <v>12.060240963855422</v>
      </c>
      <c r="W382" s="335">
        <f t="shared" si="198"/>
        <v>9.3442622950819683</v>
      </c>
    </row>
    <row r="383" spans="1:23" ht="15.75">
      <c r="A383" s="145">
        <f t="shared" si="199"/>
        <v>905</v>
      </c>
      <c r="B383" s="145">
        <v>885</v>
      </c>
      <c r="C383" s="214">
        <f t="shared" si="185"/>
        <v>0.88500000000000001</v>
      </c>
      <c r="D383" s="215">
        <v>0</v>
      </c>
      <c r="E383" s="214">
        <f t="shared" si="186"/>
        <v>0.88500000000000001</v>
      </c>
      <c r="F383" s="336">
        <f>ROUND((+$E383*4000)/12,0)</f>
        <v>295</v>
      </c>
      <c r="G383" s="331">
        <f t="shared" si="187"/>
        <v>646</v>
      </c>
      <c r="H383" s="334">
        <f t="shared" si="188"/>
        <v>8.27</v>
      </c>
      <c r="I383" s="142">
        <f t="shared" si="189"/>
        <v>177</v>
      </c>
      <c r="J383" s="141">
        <f t="shared" si="190"/>
        <v>18.899999999999999</v>
      </c>
      <c r="K383" s="142">
        <f t="shared" si="191"/>
        <v>118</v>
      </c>
      <c r="L383" s="142">
        <f t="shared" si="192"/>
        <v>469</v>
      </c>
      <c r="M383" s="141">
        <f t="shared" si="193"/>
        <v>8.3699999999999992</v>
      </c>
      <c r="N383" s="141">
        <f t="shared" si="194"/>
        <v>33.25</v>
      </c>
      <c r="O383" s="337">
        <f t="shared" si="195"/>
        <v>35.54</v>
      </c>
      <c r="P383" s="333">
        <f t="shared" si="196"/>
        <v>60.42</v>
      </c>
      <c r="Q383" s="330"/>
      <c r="R383" s="133"/>
      <c r="S383" s="133"/>
      <c r="T383" s="133"/>
      <c r="U383" s="133"/>
      <c r="V383" s="335">
        <f t="shared" si="197"/>
        <v>12.047457627118643</v>
      </c>
      <c r="W383" s="335">
        <f t="shared" si="198"/>
        <v>9.3529411764705888</v>
      </c>
    </row>
    <row r="384" spans="1:23" ht="15.75">
      <c r="A384" s="145">
        <f t="shared" si="199"/>
        <v>906</v>
      </c>
      <c r="B384" s="145">
        <v>768</v>
      </c>
      <c r="C384" s="214">
        <f t="shared" si="185"/>
        <v>0.76800000000000002</v>
      </c>
      <c r="D384" s="215">
        <v>0</v>
      </c>
      <c r="E384" s="214">
        <f t="shared" si="186"/>
        <v>0.76800000000000002</v>
      </c>
      <c r="F384" s="340">
        <f>ROUND((+$E384*2190)/12,0)</f>
        <v>140</v>
      </c>
      <c r="G384" s="338">
        <f t="shared" si="187"/>
        <v>561</v>
      </c>
      <c r="H384" s="141">
        <f t="shared" si="188"/>
        <v>7.17</v>
      </c>
      <c r="I384" s="142">
        <f t="shared" si="189"/>
        <v>140</v>
      </c>
      <c r="J384" s="141">
        <f t="shared" si="190"/>
        <v>14.95</v>
      </c>
      <c r="K384" s="142">
        <f t="shared" si="191"/>
        <v>0</v>
      </c>
      <c r="L384" s="142">
        <f t="shared" si="192"/>
        <v>421</v>
      </c>
      <c r="M384" s="141">
        <f t="shared" si="193"/>
        <v>0</v>
      </c>
      <c r="N384" s="141">
        <f t="shared" si="194"/>
        <v>29.85</v>
      </c>
      <c r="O384" s="333">
        <f t="shared" si="195"/>
        <v>22.119999999999997</v>
      </c>
      <c r="P384" s="339">
        <f t="shared" si="196"/>
        <v>51.97</v>
      </c>
      <c r="Q384" s="30"/>
      <c r="R384" s="133"/>
      <c r="S384" s="133"/>
      <c r="T384" s="133"/>
      <c r="U384" s="133"/>
      <c r="V384" s="341">
        <f t="shared" si="197"/>
        <v>15.799999999999997</v>
      </c>
      <c r="W384" s="335">
        <f t="shared" si="198"/>
        <v>9.2638146167557931</v>
      </c>
    </row>
    <row r="385" spans="1:23" ht="15.75">
      <c r="A385" s="145">
        <f t="shared" si="199"/>
        <v>907</v>
      </c>
      <c r="B385" s="145">
        <v>885</v>
      </c>
      <c r="C385" s="214">
        <f t="shared" si="185"/>
        <v>0.88500000000000001</v>
      </c>
      <c r="D385" s="215">
        <v>0</v>
      </c>
      <c r="E385" s="214">
        <f t="shared" si="186"/>
        <v>0.88500000000000001</v>
      </c>
      <c r="F385" s="331">
        <f>ROUND((+$E385*4000)/12,0)</f>
        <v>295</v>
      </c>
      <c r="G385" s="332">
        <f t="shared" si="187"/>
        <v>646</v>
      </c>
      <c r="H385" s="141">
        <f t="shared" si="188"/>
        <v>8.27</v>
      </c>
      <c r="I385" s="142">
        <f t="shared" si="189"/>
        <v>177</v>
      </c>
      <c r="J385" s="141">
        <f t="shared" si="190"/>
        <v>18.899999999999999</v>
      </c>
      <c r="K385" s="142">
        <f t="shared" si="191"/>
        <v>118</v>
      </c>
      <c r="L385" s="142">
        <f t="shared" si="192"/>
        <v>469</v>
      </c>
      <c r="M385" s="141">
        <f t="shared" si="193"/>
        <v>8.3699999999999992</v>
      </c>
      <c r="N385" s="141">
        <f t="shared" si="194"/>
        <v>33.25</v>
      </c>
      <c r="O385" s="333">
        <f t="shared" si="195"/>
        <v>35.54</v>
      </c>
      <c r="P385" s="334">
        <f t="shared" si="196"/>
        <v>60.42</v>
      </c>
      <c r="Q385" s="133"/>
      <c r="R385" s="133"/>
      <c r="S385" s="133"/>
      <c r="T385" s="133"/>
      <c r="U385" s="133"/>
      <c r="V385" s="335">
        <f t="shared" si="197"/>
        <v>12.047457627118643</v>
      </c>
      <c r="W385" s="335">
        <f t="shared" si="198"/>
        <v>9.3529411764705888</v>
      </c>
    </row>
    <row r="386" spans="1:23" ht="15.75">
      <c r="A386" s="145">
        <f t="shared" si="199"/>
        <v>908</v>
      </c>
      <c r="B386" s="145">
        <v>800</v>
      </c>
      <c r="C386" s="214">
        <f t="shared" si="185"/>
        <v>0.8</v>
      </c>
      <c r="D386" s="215">
        <v>0</v>
      </c>
      <c r="E386" s="214">
        <f t="shared" si="186"/>
        <v>0.8</v>
      </c>
      <c r="F386" s="331">
        <f>ROUND((+$E386*4000)/12,0)</f>
        <v>267</v>
      </c>
      <c r="G386" s="332">
        <f t="shared" si="187"/>
        <v>584</v>
      </c>
      <c r="H386" s="141">
        <f t="shared" si="188"/>
        <v>7.47</v>
      </c>
      <c r="I386" s="142">
        <f t="shared" si="189"/>
        <v>160</v>
      </c>
      <c r="J386" s="141">
        <f t="shared" si="190"/>
        <v>17.09</v>
      </c>
      <c r="K386" s="142">
        <f t="shared" si="191"/>
        <v>107</v>
      </c>
      <c r="L386" s="142">
        <f t="shared" si="192"/>
        <v>424</v>
      </c>
      <c r="M386" s="141">
        <f t="shared" si="193"/>
        <v>7.59</v>
      </c>
      <c r="N386" s="141">
        <f t="shared" si="194"/>
        <v>30.06</v>
      </c>
      <c r="O386" s="333">
        <f t="shared" si="195"/>
        <v>32.15</v>
      </c>
      <c r="P386" s="334">
        <f t="shared" si="196"/>
        <v>54.62</v>
      </c>
      <c r="Q386" s="133"/>
      <c r="R386" s="133"/>
      <c r="S386" s="133"/>
      <c r="T386" s="133"/>
      <c r="U386" s="133"/>
      <c r="V386" s="335">
        <f t="shared" si="197"/>
        <v>12.041198501872659</v>
      </c>
      <c r="W386" s="335">
        <f t="shared" si="198"/>
        <v>9.3527397260273961</v>
      </c>
    </row>
    <row r="387" spans="1:23" ht="15.75">
      <c r="A387" s="145">
        <f t="shared" si="199"/>
        <v>909</v>
      </c>
      <c r="B387" s="145">
        <v>420</v>
      </c>
      <c r="C387" s="214">
        <f t="shared" si="185"/>
        <v>0.42</v>
      </c>
      <c r="D387" s="215">
        <v>0</v>
      </c>
      <c r="E387" s="214">
        <f t="shared" si="186"/>
        <v>0.42</v>
      </c>
      <c r="F387" s="340">
        <f>ROUND((+$E387*370)/12,0)</f>
        <v>13</v>
      </c>
      <c r="G387" s="332">
        <f t="shared" si="187"/>
        <v>307</v>
      </c>
      <c r="H387" s="141">
        <f t="shared" si="188"/>
        <v>3.92</v>
      </c>
      <c r="I387" s="142">
        <f t="shared" si="189"/>
        <v>13</v>
      </c>
      <c r="J387" s="141">
        <f t="shared" si="190"/>
        <v>1.39</v>
      </c>
      <c r="K387" s="142">
        <f t="shared" si="191"/>
        <v>0</v>
      </c>
      <c r="L387" s="142">
        <f t="shared" si="192"/>
        <v>294</v>
      </c>
      <c r="M387" s="141">
        <f t="shared" si="193"/>
        <v>0</v>
      </c>
      <c r="N387" s="141">
        <f t="shared" si="194"/>
        <v>20.85</v>
      </c>
      <c r="O387" s="333">
        <f t="shared" si="195"/>
        <v>5.31</v>
      </c>
      <c r="P387" s="334">
        <f t="shared" si="196"/>
        <v>26.16</v>
      </c>
      <c r="Q387" s="30"/>
      <c r="R387" s="133"/>
      <c r="S387" s="133"/>
      <c r="T387" s="133"/>
      <c r="U387" s="133"/>
      <c r="V387" s="341">
        <f t="shared" si="197"/>
        <v>40.84615384615384</v>
      </c>
      <c r="W387" s="335">
        <f t="shared" si="198"/>
        <v>8.5211726384364823</v>
      </c>
    </row>
    <row r="388" spans="1:23" ht="15.75">
      <c r="A388" s="145">
        <f t="shared" si="199"/>
        <v>910</v>
      </c>
      <c r="B388" s="145">
        <v>660</v>
      </c>
      <c r="C388" s="214">
        <f t="shared" si="185"/>
        <v>0.66</v>
      </c>
      <c r="D388" s="215">
        <v>0</v>
      </c>
      <c r="E388" s="214">
        <f t="shared" si="186"/>
        <v>0.66</v>
      </c>
      <c r="F388" s="336">
        <f t="shared" ref="F388:F394" si="200">ROUND((+$E388*4000)/12,0)</f>
        <v>220</v>
      </c>
      <c r="G388" s="331">
        <f t="shared" si="187"/>
        <v>482</v>
      </c>
      <c r="H388" s="334">
        <f t="shared" si="188"/>
        <v>6.16</v>
      </c>
      <c r="I388" s="142">
        <f t="shared" si="189"/>
        <v>132</v>
      </c>
      <c r="J388" s="141">
        <f t="shared" si="190"/>
        <v>14.1</v>
      </c>
      <c r="K388" s="142">
        <f t="shared" si="191"/>
        <v>88</v>
      </c>
      <c r="L388" s="142">
        <f t="shared" si="192"/>
        <v>350</v>
      </c>
      <c r="M388" s="141">
        <f t="shared" si="193"/>
        <v>6.24</v>
      </c>
      <c r="N388" s="141">
        <f t="shared" si="194"/>
        <v>24.82</v>
      </c>
      <c r="O388" s="337">
        <f t="shared" si="195"/>
        <v>26.5</v>
      </c>
      <c r="P388" s="333">
        <f t="shared" si="196"/>
        <v>45.08</v>
      </c>
      <c r="Q388" s="330"/>
      <c r="R388" s="133"/>
      <c r="S388" s="133"/>
      <c r="T388" s="133"/>
      <c r="U388" s="133"/>
      <c r="V388" s="335">
        <f t="shared" si="197"/>
        <v>12.045454545454545</v>
      </c>
      <c r="W388" s="335">
        <f t="shared" si="198"/>
        <v>9.3526970954356852</v>
      </c>
    </row>
    <row r="389" spans="1:23" ht="15.75">
      <c r="A389" s="145">
        <f t="shared" si="199"/>
        <v>911</v>
      </c>
      <c r="B389" s="145">
        <v>75</v>
      </c>
      <c r="C389" s="214">
        <f t="shared" si="185"/>
        <v>7.4999999999999997E-2</v>
      </c>
      <c r="D389" s="215">
        <v>0</v>
      </c>
      <c r="E389" s="214">
        <f t="shared" si="186"/>
        <v>7.4999999999999997E-2</v>
      </c>
      <c r="F389" s="142">
        <f t="shared" si="200"/>
        <v>25</v>
      </c>
      <c r="G389" s="331">
        <f t="shared" si="187"/>
        <v>55</v>
      </c>
      <c r="H389" s="334">
        <f t="shared" si="188"/>
        <v>0.7</v>
      </c>
      <c r="I389" s="142">
        <f t="shared" si="189"/>
        <v>15</v>
      </c>
      <c r="J389" s="141">
        <f t="shared" si="190"/>
        <v>1.6</v>
      </c>
      <c r="K389" s="142">
        <f t="shared" si="191"/>
        <v>10</v>
      </c>
      <c r="L389" s="142">
        <f t="shared" si="192"/>
        <v>40</v>
      </c>
      <c r="M389" s="141">
        <f t="shared" si="193"/>
        <v>0.71</v>
      </c>
      <c r="N389" s="141">
        <f t="shared" si="194"/>
        <v>2.84</v>
      </c>
      <c r="O389" s="141">
        <f t="shared" si="195"/>
        <v>3.01</v>
      </c>
      <c r="P389" s="333">
        <f t="shared" si="196"/>
        <v>5.14</v>
      </c>
      <c r="Q389" s="330"/>
      <c r="R389" s="133"/>
      <c r="S389" s="133"/>
      <c r="T389" s="133"/>
      <c r="U389" s="133"/>
      <c r="V389" s="335">
        <f t="shared" si="197"/>
        <v>12.04</v>
      </c>
      <c r="W389" s="335">
        <f t="shared" si="198"/>
        <v>9.3454545454545439</v>
      </c>
    </row>
    <row r="390" spans="1:23" ht="15.75">
      <c r="A390" s="43">
        <f t="shared" si="199"/>
        <v>912</v>
      </c>
      <c r="B390" s="43">
        <v>400</v>
      </c>
      <c r="C390" s="214">
        <f t="shared" si="185"/>
        <v>0.4</v>
      </c>
      <c r="D390" s="289">
        <v>0</v>
      </c>
      <c r="E390" s="288">
        <f t="shared" si="186"/>
        <v>0.4</v>
      </c>
      <c r="F390" s="292">
        <f t="shared" si="200"/>
        <v>133</v>
      </c>
      <c r="G390" s="342">
        <f t="shared" si="187"/>
        <v>292</v>
      </c>
      <c r="H390" s="291">
        <f t="shared" si="188"/>
        <v>3.74</v>
      </c>
      <c r="I390" s="292">
        <f t="shared" si="189"/>
        <v>80</v>
      </c>
      <c r="J390" s="291">
        <f t="shared" si="190"/>
        <v>8.5399999999999991</v>
      </c>
      <c r="K390" s="292">
        <f t="shared" si="191"/>
        <v>53</v>
      </c>
      <c r="L390" s="292">
        <f t="shared" si="192"/>
        <v>212</v>
      </c>
      <c r="M390" s="291">
        <f t="shared" si="193"/>
        <v>3.76</v>
      </c>
      <c r="N390" s="291">
        <f t="shared" si="194"/>
        <v>15.03</v>
      </c>
      <c r="O390" s="544">
        <f>+'Schedule 4'!K42+'Schedule 2'!H15</f>
        <v>7.6836489370924923</v>
      </c>
      <c r="P390" s="343">
        <f t="shared" si="196"/>
        <v>27.31</v>
      </c>
      <c r="Q390" s="37" t="s">
        <v>238</v>
      </c>
      <c r="R390" s="133"/>
      <c r="S390" s="133"/>
      <c r="T390" s="133"/>
      <c r="U390" s="133" t="s">
        <v>535</v>
      </c>
      <c r="V390" s="335">
        <f t="shared" si="197"/>
        <v>5.7771796519492424</v>
      </c>
      <c r="W390" s="335">
        <f t="shared" si="198"/>
        <v>9.3527397260273961</v>
      </c>
    </row>
    <row r="391" spans="1:23" ht="15.75">
      <c r="A391" s="145">
        <f t="shared" si="199"/>
        <v>913</v>
      </c>
      <c r="B391" s="145">
        <v>33800</v>
      </c>
      <c r="C391" s="214">
        <f t="shared" ref="C391:C413" si="201">B391/1000</f>
        <v>33.799999999999997</v>
      </c>
      <c r="D391" s="215">
        <v>0</v>
      </c>
      <c r="E391" s="214">
        <f t="shared" si="186"/>
        <v>33.799999999999997</v>
      </c>
      <c r="F391" s="331">
        <f t="shared" si="200"/>
        <v>11267</v>
      </c>
      <c r="G391" s="332">
        <f t="shared" si="187"/>
        <v>24674</v>
      </c>
      <c r="H391" s="141">
        <f t="shared" si="188"/>
        <v>315.67</v>
      </c>
      <c r="I391" s="142">
        <f t="shared" si="189"/>
        <v>6760</v>
      </c>
      <c r="J391" s="141">
        <f t="shared" si="190"/>
        <v>721.98</v>
      </c>
      <c r="K391" s="142">
        <f t="shared" si="191"/>
        <v>4507</v>
      </c>
      <c r="L391" s="142">
        <f t="shared" si="192"/>
        <v>17914</v>
      </c>
      <c r="M391" s="141">
        <f t="shared" si="193"/>
        <v>319.57</v>
      </c>
      <c r="N391" s="141">
        <f t="shared" si="194"/>
        <v>1270.2</v>
      </c>
      <c r="O391" s="333">
        <f t="shared" ref="O391:O413" si="202">H391+J391+M391</f>
        <v>1357.22</v>
      </c>
      <c r="P391" s="334">
        <f t="shared" si="196"/>
        <v>2307.8500000000004</v>
      </c>
      <c r="Q391" s="133"/>
      <c r="R391" s="133"/>
      <c r="S391" s="133"/>
      <c r="T391" s="133"/>
      <c r="U391" s="133"/>
      <c r="V391" s="335">
        <f t="shared" si="197"/>
        <v>12.045974971154699</v>
      </c>
      <c r="W391" s="335">
        <f t="shared" si="198"/>
        <v>9.3533679176461071</v>
      </c>
    </row>
    <row r="392" spans="1:23" ht="15.75">
      <c r="A392" s="145">
        <f t="shared" si="199"/>
        <v>914</v>
      </c>
      <c r="B392" s="145">
        <v>40</v>
      </c>
      <c r="C392" s="214">
        <f t="shared" si="201"/>
        <v>0.04</v>
      </c>
      <c r="D392" s="215">
        <v>0.2</v>
      </c>
      <c r="E392" s="214">
        <f t="shared" si="186"/>
        <v>4.8000000000000001E-2</v>
      </c>
      <c r="F392" s="336">
        <f t="shared" si="200"/>
        <v>16</v>
      </c>
      <c r="G392" s="142">
        <f t="shared" si="187"/>
        <v>35</v>
      </c>
      <c r="H392" s="141">
        <f t="shared" si="188"/>
        <v>0.45</v>
      </c>
      <c r="I392" s="142">
        <f t="shared" si="189"/>
        <v>10</v>
      </c>
      <c r="J392" s="141">
        <f t="shared" si="190"/>
        <v>1.07</v>
      </c>
      <c r="K392" s="142">
        <f t="shared" si="191"/>
        <v>6</v>
      </c>
      <c r="L392" s="142">
        <f t="shared" si="192"/>
        <v>25</v>
      </c>
      <c r="M392" s="141">
        <f t="shared" si="193"/>
        <v>0.43</v>
      </c>
      <c r="N392" s="141">
        <f t="shared" si="194"/>
        <v>1.77</v>
      </c>
      <c r="O392" s="337">
        <f t="shared" si="202"/>
        <v>1.95</v>
      </c>
      <c r="P392" s="141">
        <f t="shared" si="196"/>
        <v>3.29</v>
      </c>
      <c r="Q392" s="30" t="s">
        <v>245</v>
      </c>
      <c r="R392" s="133"/>
      <c r="S392" s="133"/>
      <c r="T392" s="133"/>
      <c r="U392" s="133"/>
      <c r="V392" s="335">
        <f t="shared" si="197"/>
        <v>12.1875</v>
      </c>
      <c r="W392" s="335">
        <f t="shared" si="198"/>
        <v>9.4</v>
      </c>
    </row>
    <row r="393" spans="1:23" ht="15.75">
      <c r="A393" s="145">
        <f t="shared" si="199"/>
        <v>915</v>
      </c>
      <c r="B393" s="145">
        <v>40</v>
      </c>
      <c r="C393" s="214">
        <f t="shared" si="201"/>
        <v>0.04</v>
      </c>
      <c r="D393" s="215">
        <v>0.2</v>
      </c>
      <c r="E393" s="214">
        <f t="shared" si="186"/>
        <v>4.8000000000000001E-2</v>
      </c>
      <c r="F393" s="142">
        <f t="shared" si="200"/>
        <v>16</v>
      </c>
      <c r="G393" s="331">
        <f t="shared" si="187"/>
        <v>35</v>
      </c>
      <c r="H393" s="334">
        <f t="shared" si="188"/>
        <v>0.45</v>
      </c>
      <c r="I393" s="142">
        <f t="shared" si="189"/>
        <v>10</v>
      </c>
      <c r="J393" s="141">
        <f t="shared" si="190"/>
        <v>1.07</v>
      </c>
      <c r="K393" s="142">
        <f t="shared" si="191"/>
        <v>6</v>
      </c>
      <c r="L393" s="142">
        <f t="shared" si="192"/>
        <v>25</v>
      </c>
      <c r="M393" s="141">
        <f t="shared" si="193"/>
        <v>0.43</v>
      </c>
      <c r="N393" s="141">
        <f t="shared" si="194"/>
        <v>1.77</v>
      </c>
      <c r="O393" s="141">
        <f t="shared" si="202"/>
        <v>1.95</v>
      </c>
      <c r="P393" s="333">
        <f t="shared" si="196"/>
        <v>3.29</v>
      </c>
      <c r="Q393" s="330"/>
      <c r="R393" s="133"/>
      <c r="S393" s="133"/>
      <c r="T393" s="133"/>
      <c r="U393" s="133"/>
      <c r="V393" s="335">
        <f t="shared" si="197"/>
        <v>12.1875</v>
      </c>
      <c r="W393" s="335">
        <f t="shared" si="198"/>
        <v>9.4</v>
      </c>
    </row>
    <row r="394" spans="1:23" ht="15.75">
      <c r="A394" s="145">
        <f t="shared" si="199"/>
        <v>916</v>
      </c>
      <c r="B394" s="145">
        <v>215</v>
      </c>
      <c r="C394" s="214">
        <f t="shared" si="201"/>
        <v>0.215</v>
      </c>
      <c r="D394" s="215">
        <v>0</v>
      </c>
      <c r="E394" s="214">
        <f t="shared" si="186"/>
        <v>0.215</v>
      </c>
      <c r="F394" s="142">
        <f t="shared" si="200"/>
        <v>72</v>
      </c>
      <c r="G394" s="336">
        <f t="shared" si="187"/>
        <v>157</v>
      </c>
      <c r="H394" s="141">
        <f t="shared" si="188"/>
        <v>2.0099999999999998</v>
      </c>
      <c r="I394" s="142">
        <f t="shared" si="189"/>
        <v>43</v>
      </c>
      <c r="J394" s="141">
        <f t="shared" si="190"/>
        <v>4.59</v>
      </c>
      <c r="K394" s="142">
        <f t="shared" si="191"/>
        <v>29</v>
      </c>
      <c r="L394" s="142">
        <f t="shared" si="192"/>
        <v>114</v>
      </c>
      <c r="M394" s="141">
        <f t="shared" si="193"/>
        <v>2.06</v>
      </c>
      <c r="N394" s="141">
        <f t="shared" si="194"/>
        <v>8.08</v>
      </c>
      <c r="O394" s="141">
        <f t="shared" si="202"/>
        <v>8.66</v>
      </c>
      <c r="P394" s="337">
        <f t="shared" si="196"/>
        <v>14.68</v>
      </c>
      <c r="Q394" s="30" t="s">
        <v>246</v>
      </c>
      <c r="R394" s="133"/>
      <c r="S394" s="133"/>
      <c r="T394" s="133"/>
      <c r="U394" s="133"/>
      <c r="V394" s="335">
        <f t="shared" si="197"/>
        <v>12.027777777777777</v>
      </c>
      <c r="W394" s="335">
        <f t="shared" si="198"/>
        <v>9.3503184713375784</v>
      </c>
    </row>
    <row r="395" spans="1:23" ht="15.75">
      <c r="A395" s="145">
        <f t="shared" si="199"/>
        <v>917</v>
      </c>
      <c r="B395" s="145">
        <v>110</v>
      </c>
      <c r="C395" s="214">
        <f t="shared" si="201"/>
        <v>0.11</v>
      </c>
      <c r="D395" s="215">
        <v>0.182</v>
      </c>
      <c r="E395" s="214">
        <f t="shared" si="186"/>
        <v>0.13002</v>
      </c>
      <c r="F395" s="340">
        <f>ROUND((+$E395*(180*12))/12,0)</f>
        <v>23</v>
      </c>
      <c r="G395" s="332">
        <f t="shared" si="187"/>
        <v>95</v>
      </c>
      <c r="H395" s="141">
        <f t="shared" si="188"/>
        <v>1.21</v>
      </c>
      <c r="I395" s="142">
        <f t="shared" si="189"/>
        <v>23</v>
      </c>
      <c r="J395" s="141">
        <f t="shared" si="190"/>
        <v>2.46</v>
      </c>
      <c r="K395" s="142">
        <f t="shared" si="191"/>
        <v>0</v>
      </c>
      <c r="L395" s="142">
        <f t="shared" si="192"/>
        <v>72</v>
      </c>
      <c r="M395" s="141">
        <f t="shared" si="193"/>
        <v>0</v>
      </c>
      <c r="N395" s="141">
        <f t="shared" si="194"/>
        <v>5.1100000000000003</v>
      </c>
      <c r="O395" s="333">
        <f t="shared" si="202"/>
        <v>3.67</v>
      </c>
      <c r="P395" s="334">
        <f t="shared" si="196"/>
        <v>8.7800000000000011</v>
      </c>
      <c r="Q395" s="30"/>
      <c r="R395" s="133"/>
      <c r="S395" s="133"/>
      <c r="T395" s="133"/>
      <c r="U395" s="133"/>
      <c r="V395" s="341">
        <f t="shared" si="197"/>
        <v>15.956521739130434</v>
      </c>
      <c r="W395" s="335">
        <f t="shared" si="198"/>
        <v>9.2421052631578959</v>
      </c>
    </row>
    <row r="396" spans="1:23" ht="15.75">
      <c r="A396" s="145">
        <f t="shared" si="199"/>
        <v>918</v>
      </c>
      <c r="B396" s="145">
        <v>80</v>
      </c>
      <c r="C396" s="214">
        <f t="shared" si="201"/>
        <v>0.08</v>
      </c>
      <c r="D396" s="215">
        <v>0.125</v>
      </c>
      <c r="E396" s="214">
        <f t="shared" si="186"/>
        <v>0.09</v>
      </c>
      <c r="F396" s="336">
        <f>ROUND((+$E396*4000)/12,0)</f>
        <v>30</v>
      </c>
      <c r="G396" s="142">
        <f t="shared" si="187"/>
        <v>66</v>
      </c>
      <c r="H396" s="141">
        <f t="shared" si="188"/>
        <v>0.84</v>
      </c>
      <c r="I396" s="142">
        <f t="shared" si="189"/>
        <v>18</v>
      </c>
      <c r="J396" s="141">
        <f t="shared" si="190"/>
        <v>1.92</v>
      </c>
      <c r="K396" s="142">
        <f t="shared" si="191"/>
        <v>12</v>
      </c>
      <c r="L396" s="142">
        <f t="shared" si="192"/>
        <v>48</v>
      </c>
      <c r="M396" s="141">
        <f t="shared" si="193"/>
        <v>0.85</v>
      </c>
      <c r="N396" s="141">
        <f t="shared" si="194"/>
        <v>3.4</v>
      </c>
      <c r="O396" s="337">
        <f t="shared" si="202"/>
        <v>3.61</v>
      </c>
      <c r="P396" s="141">
        <f t="shared" si="196"/>
        <v>6.16</v>
      </c>
      <c r="Q396" s="30" t="s">
        <v>247</v>
      </c>
      <c r="R396" s="133"/>
      <c r="S396" s="133"/>
      <c r="T396" s="133"/>
      <c r="U396" s="133"/>
      <c r="V396" s="335">
        <f t="shared" si="197"/>
        <v>12.033333333333333</v>
      </c>
      <c r="W396" s="335">
        <f t="shared" si="198"/>
        <v>9.3333333333333339</v>
      </c>
    </row>
    <row r="397" spans="1:23" ht="15.75">
      <c r="A397" s="145">
        <f t="shared" si="199"/>
        <v>919</v>
      </c>
      <c r="B397" s="145">
        <v>110</v>
      </c>
      <c r="C397" s="214">
        <f t="shared" si="201"/>
        <v>0.11</v>
      </c>
      <c r="D397" s="215">
        <v>0.18</v>
      </c>
      <c r="E397" s="214">
        <f t="shared" si="186"/>
        <v>0.1298</v>
      </c>
      <c r="F397" s="331">
        <f>ROUND((+$E397*4000)/12,0)</f>
        <v>43</v>
      </c>
      <c r="G397" s="332">
        <f t="shared" si="187"/>
        <v>95</v>
      </c>
      <c r="H397" s="141">
        <f t="shared" si="188"/>
        <v>1.21</v>
      </c>
      <c r="I397" s="142">
        <f t="shared" si="189"/>
        <v>26</v>
      </c>
      <c r="J397" s="141">
        <f t="shared" si="190"/>
        <v>2.78</v>
      </c>
      <c r="K397" s="142">
        <f t="shared" si="191"/>
        <v>17</v>
      </c>
      <c r="L397" s="142">
        <f t="shared" si="192"/>
        <v>69</v>
      </c>
      <c r="M397" s="141">
        <f t="shared" si="193"/>
        <v>1.21</v>
      </c>
      <c r="N397" s="141">
        <f t="shared" si="194"/>
        <v>4.8899999999999997</v>
      </c>
      <c r="O397" s="333">
        <f t="shared" si="202"/>
        <v>5.1999999999999993</v>
      </c>
      <c r="P397" s="334">
        <f t="shared" si="196"/>
        <v>8.879999999999999</v>
      </c>
      <c r="Q397" s="133"/>
      <c r="R397" s="133"/>
      <c r="S397" s="133"/>
      <c r="T397" s="133"/>
      <c r="U397" s="133"/>
      <c r="V397" s="335">
        <f t="shared" si="197"/>
        <v>12.093023255813952</v>
      </c>
      <c r="W397" s="335">
        <f t="shared" si="198"/>
        <v>9.3473684210526304</v>
      </c>
    </row>
    <row r="398" spans="1:23" ht="15.75">
      <c r="A398" s="145">
        <f t="shared" si="199"/>
        <v>920</v>
      </c>
      <c r="B398" s="145">
        <v>360</v>
      </c>
      <c r="C398" s="214">
        <f t="shared" si="201"/>
        <v>0.36</v>
      </c>
      <c r="D398" s="215">
        <v>0</v>
      </c>
      <c r="E398" s="214">
        <f t="shared" si="186"/>
        <v>0.36</v>
      </c>
      <c r="F398" s="344">
        <f>ROUND((+$E398*2920)/12,0)</f>
        <v>88</v>
      </c>
      <c r="G398" s="332">
        <f t="shared" si="187"/>
        <v>263</v>
      </c>
      <c r="H398" s="141">
        <f t="shared" si="188"/>
        <v>3.36</v>
      </c>
      <c r="I398" s="142">
        <f t="shared" si="189"/>
        <v>72</v>
      </c>
      <c r="J398" s="141">
        <f t="shared" si="190"/>
        <v>7.69</v>
      </c>
      <c r="K398" s="142">
        <f t="shared" si="191"/>
        <v>16</v>
      </c>
      <c r="L398" s="142">
        <f t="shared" si="192"/>
        <v>191</v>
      </c>
      <c r="M398" s="141">
        <f t="shared" si="193"/>
        <v>1.1299999999999999</v>
      </c>
      <c r="N398" s="141">
        <f t="shared" si="194"/>
        <v>13.54</v>
      </c>
      <c r="O398" s="333">
        <f t="shared" si="202"/>
        <v>12.18</v>
      </c>
      <c r="P398" s="334">
        <f t="shared" si="196"/>
        <v>24.59</v>
      </c>
      <c r="Q398" s="133"/>
      <c r="R398" s="133"/>
      <c r="S398" s="133"/>
      <c r="T398" s="133"/>
      <c r="U398" s="133"/>
      <c r="V398" s="341">
        <f t="shared" si="197"/>
        <v>13.84090909090909</v>
      </c>
      <c r="W398" s="335">
        <f t="shared" si="198"/>
        <v>9.3498098859315597</v>
      </c>
    </row>
    <row r="399" spans="1:23" ht="15.75">
      <c r="A399" s="145">
        <f t="shared" si="199"/>
        <v>921</v>
      </c>
      <c r="B399" s="145">
        <v>4582</v>
      </c>
      <c r="C399" s="214">
        <f t="shared" si="201"/>
        <v>4.5819999999999999</v>
      </c>
      <c r="D399" s="215">
        <v>0</v>
      </c>
      <c r="E399" s="214">
        <f t="shared" si="186"/>
        <v>4.5819999999999999</v>
      </c>
      <c r="F399" s="345">
        <f>ROUND((+$E399*(4000-(5*365)))/12,0)</f>
        <v>830</v>
      </c>
      <c r="G399" s="332">
        <f t="shared" si="187"/>
        <v>3345</v>
      </c>
      <c r="H399" s="141">
        <f t="shared" si="188"/>
        <v>42.79</v>
      </c>
      <c r="I399" s="142">
        <f t="shared" si="189"/>
        <v>830</v>
      </c>
      <c r="J399" s="141">
        <f t="shared" si="190"/>
        <v>88.65</v>
      </c>
      <c r="K399" s="142">
        <f t="shared" si="191"/>
        <v>0</v>
      </c>
      <c r="L399" s="142">
        <f t="shared" si="192"/>
        <v>2515</v>
      </c>
      <c r="M399" s="141">
        <f t="shared" si="193"/>
        <v>0</v>
      </c>
      <c r="N399" s="141">
        <f t="shared" si="194"/>
        <v>178.33</v>
      </c>
      <c r="O399" s="346">
        <f t="shared" si="202"/>
        <v>131.44</v>
      </c>
      <c r="P399" s="334">
        <f t="shared" si="196"/>
        <v>309.77</v>
      </c>
      <c r="Q399" s="30"/>
      <c r="R399" s="133"/>
      <c r="S399" s="133"/>
      <c r="T399" s="133"/>
      <c r="U399" s="133"/>
      <c r="V399" s="341">
        <f t="shared" si="197"/>
        <v>15.836144578313252</v>
      </c>
      <c r="W399" s="335">
        <f t="shared" si="198"/>
        <v>9.2606875934230182</v>
      </c>
    </row>
    <row r="400" spans="1:23" ht="15.75">
      <c r="A400" s="145">
        <f t="shared" si="199"/>
        <v>922</v>
      </c>
      <c r="B400" s="145">
        <v>150</v>
      </c>
      <c r="C400" s="214">
        <f t="shared" si="201"/>
        <v>0.15</v>
      </c>
      <c r="D400" s="215">
        <v>0.16</v>
      </c>
      <c r="E400" s="214">
        <f t="shared" si="186"/>
        <v>0.17399999999999999</v>
      </c>
      <c r="F400" s="331">
        <f t="shared" ref="F400:F408" si="203">ROUND((+$E400*4000)/12,0)</f>
        <v>58</v>
      </c>
      <c r="G400" s="332">
        <f t="shared" si="187"/>
        <v>127</v>
      </c>
      <c r="H400" s="141">
        <f t="shared" si="188"/>
        <v>1.63</v>
      </c>
      <c r="I400" s="142">
        <f t="shared" si="189"/>
        <v>35</v>
      </c>
      <c r="J400" s="141">
        <f t="shared" si="190"/>
        <v>3.74</v>
      </c>
      <c r="K400" s="142">
        <f t="shared" si="191"/>
        <v>23</v>
      </c>
      <c r="L400" s="142">
        <f t="shared" si="192"/>
        <v>92</v>
      </c>
      <c r="M400" s="141">
        <f t="shared" si="193"/>
        <v>1.63</v>
      </c>
      <c r="N400" s="141">
        <f t="shared" si="194"/>
        <v>6.52</v>
      </c>
      <c r="O400" s="333">
        <f t="shared" si="202"/>
        <v>7</v>
      </c>
      <c r="P400" s="334">
        <f t="shared" si="196"/>
        <v>11.89</v>
      </c>
      <c r="Q400" s="30"/>
      <c r="R400" s="133"/>
      <c r="S400" s="133"/>
      <c r="T400" s="133"/>
      <c r="U400" s="133"/>
      <c r="V400" s="335">
        <f t="shared" si="197"/>
        <v>12.068965517241379</v>
      </c>
      <c r="W400" s="335">
        <f t="shared" si="198"/>
        <v>9.36220472440945</v>
      </c>
    </row>
    <row r="401" spans="1:23" ht="15.75">
      <c r="A401" s="145">
        <f t="shared" si="199"/>
        <v>923</v>
      </c>
      <c r="B401" s="145">
        <v>3510</v>
      </c>
      <c r="C401" s="214">
        <f t="shared" si="201"/>
        <v>3.51</v>
      </c>
      <c r="D401" s="215">
        <v>0</v>
      </c>
      <c r="E401" s="214">
        <f t="shared" si="186"/>
        <v>3.51</v>
      </c>
      <c r="F401" s="331">
        <f t="shared" si="203"/>
        <v>1170</v>
      </c>
      <c r="G401" s="332">
        <f t="shared" si="187"/>
        <v>2562</v>
      </c>
      <c r="H401" s="141">
        <f t="shared" si="188"/>
        <v>32.78</v>
      </c>
      <c r="I401" s="142">
        <f t="shared" si="189"/>
        <v>702</v>
      </c>
      <c r="J401" s="141">
        <f t="shared" si="190"/>
        <v>74.98</v>
      </c>
      <c r="K401" s="142">
        <f t="shared" si="191"/>
        <v>468</v>
      </c>
      <c r="L401" s="142">
        <f t="shared" si="192"/>
        <v>1860</v>
      </c>
      <c r="M401" s="141">
        <f t="shared" si="193"/>
        <v>33.18</v>
      </c>
      <c r="N401" s="141">
        <f t="shared" si="194"/>
        <v>131.88</v>
      </c>
      <c r="O401" s="333">
        <f t="shared" si="202"/>
        <v>140.94</v>
      </c>
      <c r="P401" s="334">
        <f t="shared" si="196"/>
        <v>239.64</v>
      </c>
      <c r="Q401" s="133"/>
      <c r="R401" s="133"/>
      <c r="S401" s="133"/>
      <c r="T401" s="133"/>
      <c r="U401" s="133"/>
      <c r="V401" s="335">
        <f t="shared" si="197"/>
        <v>12.046153846153846</v>
      </c>
      <c r="W401" s="335">
        <f t="shared" si="198"/>
        <v>9.3536299765807964</v>
      </c>
    </row>
    <row r="402" spans="1:23" ht="15.75">
      <c r="A402" s="145">
        <f t="shared" si="199"/>
        <v>924</v>
      </c>
      <c r="B402" s="145">
        <v>205</v>
      </c>
      <c r="C402" s="214">
        <f t="shared" si="201"/>
        <v>0.20499999999999999</v>
      </c>
      <c r="D402" s="215">
        <v>0.156</v>
      </c>
      <c r="E402" s="214">
        <f t="shared" si="186"/>
        <v>0.23698</v>
      </c>
      <c r="F402" s="331">
        <f t="shared" si="203"/>
        <v>79</v>
      </c>
      <c r="G402" s="332">
        <f t="shared" si="187"/>
        <v>173</v>
      </c>
      <c r="H402" s="141">
        <f t="shared" si="188"/>
        <v>2.21</v>
      </c>
      <c r="I402" s="142">
        <f t="shared" si="189"/>
        <v>47</v>
      </c>
      <c r="J402" s="141">
        <f t="shared" si="190"/>
        <v>5.0199999999999996</v>
      </c>
      <c r="K402" s="142">
        <f t="shared" si="191"/>
        <v>32</v>
      </c>
      <c r="L402" s="142">
        <f t="shared" si="192"/>
        <v>126</v>
      </c>
      <c r="M402" s="141">
        <f t="shared" si="193"/>
        <v>2.27</v>
      </c>
      <c r="N402" s="141">
        <f t="shared" si="194"/>
        <v>8.93</v>
      </c>
      <c r="O402" s="333">
        <f t="shared" si="202"/>
        <v>9.5</v>
      </c>
      <c r="P402" s="334">
        <f t="shared" si="196"/>
        <v>16.16</v>
      </c>
      <c r="Q402" s="30"/>
      <c r="R402" s="133"/>
      <c r="S402" s="133"/>
      <c r="T402" s="133"/>
      <c r="U402" s="133"/>
      <c r="V402" s="335">
        <f t="shared" si="197"/>
        <v>12.025316455696203</v>
      </c>
      <c r="W402" s="335">
        <f t="shared" si="198"/>
        <v>9.3410404624277454</v>
      </c>
    </row>
    <row r="403" spans="1:23" ht="15.75">
      <c r="A403" s="145">
        <f t="shared" si="199"/>
        <v>925</v>
      </c>
      <c r="B403" s="145">
        <v>2040</v>
      </c>
      <c r="C403" s="214">
        <f t="shared" si="201"/>
        <v>2.04</v>
      </c>
      <c r="D403" s="215">
        <v>0</v>
      </c>
      <c r="E403" s="214">
        <f t="shared" si="186"/>
        <v>2.04</v>
      </c>
      <c r="F403" s="336">
        <f t="shared" si="203"/>
        <v>680</v>
      </c>
      <c r="G403" s="142">
        <f t="shared" si="187"/>
        <v>1489</v>
      </c>
      <c r="H403" s="141">
        <f t="shared" si="188"/>
        <v>19.05</v>
      </c>
      <c r="I403" s="142">
        <f t="shared" si="189"/>
        <v>408</v>
      </c>
      <c r="J403" s="141">
        <f t="shared" si="190"/>
        <v>43.58</v>
      </c>
      <c r="K403" s="142">
        <f t="shared" si="191"/>
        <v>272</v>
      </c>
      <c r="L403" s="142">
        <f t="shared" si="192"/>
        <v>1081</v>
      </c>
      <c r="M403" s="141">
        <f t="shared" si="193"/>
        <v>19.29</v>
      </c>
      <c r="N403" s="141">
        <f t="shared" si="194"/>
        <v>76.650000000000006</v>
      </c>
      <c r="O403" s="337">
        <f t="shared" si="202"/>
        <v>81.919999999999987</v>
      </c>
      <c r="P403" s="141">
        <f t="shared" si="196"/>
        <v>139.28</v>
      </c>
      <c r="Q403" s="30" t="s">
        <v>248</v>
      </c>
      <c r="R403" s="133"/>
      <c r="S403" s="133"/>
      <c r="T403" s="133"/>
      <c r="U403" s="133"/>
      <c r="V403" s="335">
        <f t="shared" si="197"/>
        <v>12.04705882352941</v>
      </c>
      <c r="W403" s="335">
        <f t="shared" si="198"/>
        <v>9.3539288112827403</v>
      </c>
    </row>
    <row r="404" spans="1:23" ht="15.75">
      <c r="A404" s="145">
        <f t="shared" si="199"/>
        <v>926</v>
      </c>
      <c r="B404" s="145">
        <v>330</v>
      </c>
      <c r="C404" s="214">
        <f t="shared" si="201"/>
        <v>0.33</v>
      </c>
      <c r="D404" s="215">
        <v>0.1545</v>
      </c>
      <c r="E404" s="214">
        <f t="shared" si="186"/>
        <v>0.38098500000000002</v>
      </c>
      <c r="F404" s="331">
        <f t="shared" si="203"/>
        <v>127</v>
      </c>
      <c r="G404" s="332">
        <f t="shared" si="187"/>
        <v>278</v>
      </c>
      <c r="H404" s="141">
        <f t="shared" si="188"/>
        <v>3.56</v>
      </c>
      <c r="I404" s="142">
        <f t="shared" si="189"/>
        <v>76</v>
      </c>
      <c r="J404" s="141">
        <f t="shared" si="190"/>
        <v>8.1199999999999992</v>
      </c>
      <c r="K404" s="142">
        <f t="shared" si="191"/>
        <v>51</v>
      </c>
      <c r="L404" s="142">
        <f t="shared" si="192"/>
        <v>202</v>
      </c>
      <c r="M404" s="141">
        <f t="shared" si="193"/>
        <v>3.62</v>
      </c>
      <c r="N404" s="141">
        <f t="shared" si="194"/>
        <v>14.32</v>
      </c>
      <c r="O404" s="333">
        <f t="shared" si="202"/>
        <v>15.3</v>
      </c>
      <c r="P404" s="334">
        <f t="shared" si="196"/>
        <v>26</v>
      </c>
      <c r="Q404" s="133"/>
      <c r="R404" s="133"/>
      <c r="S404" s="133"/>
      <c r="T404" s="133"/>
      <c r="U404" s="133"/>
      <c r="V404" s="335">
        <f t="shared" si="197"/>
        <v>12.047244094488189</v>
      </c>
      <c r="W404" s="335">
        <f t="shared" si="198"/>
        <v>9.3525179856115113</v>
      </c>
    </row>
    <row r="405" spans="1:23" ht="15.75">
      <c r="A405" s="145">
        <f t="shared" si="199"/>
        <v>927</v>
      </c>
      <c r="B405" s="145">
        <v>2190</v>
      </c>
      <c r="C405" s="214">
        <f t="shared" si="201"/>
        <v>2.19</v>
      </c>
      <c r="D405" s="215">
        <v>0</v>
      </c>
      <c r="E405" s="214">
        <f t="shared" si="186"/>
        <v>2.19</v>
      </c>
      <c r="F405" s="331">
        <f t="shared" si="203"/>
        <v>730</v>
      </c>
      <c r="G405" s="332">
        <f t="shared" si="187"/>
        <v>1599</v>
      </c>
      <c r="H405" s="141">
        <f t="shared" si="188"/>
        <v>20.45</v>
      </c>
      <c r="I405" s="142">
        <f t="shared" si="189"/>
        <v>438</v>
      </c>
      <c r="J405" s="141">
        <f t="shared" si="190"/>
        <v>46.78</v>
      </c>
      <c r="K405" s="142">
        <f t="shared" si="191"/>
        <v>292</v>
      </c>
      <c r="L405" s="142">
        <f t="shared" si="192"/>
        <v>1161</v>
      </c>
      <c r="M405" s="141">
        <f t="shared" si="193"/>
        <v>20.7</v>
      </c>
      <c r="N405" s="141">
        <f t="shared" si="194"/>
        <v>82.32</v>
      </c>
      <c r="O405" s="333">
        <f t="shared" si="202"/>
        <v>87.93</v>
      </c>
      <c r="P405" s="334">
        <f t="shared" si="196"/>
        <v>149.55000000000001</v>
      </c>
      <c r="Q405" s="133"/>
      <c r="R405" s="133"/>
      <c r="S405" s="133"/>
      <c r="T405" s="133"/>
      <c r="U405" s="133"/>
      <c r="V405" s="335">
        <f t="shared" si="197"/>
        <v>12.045205479452056</v>
      </c>
      <c r="W405" s="335">
        <f t="shared" si="198"/>
        <v>9.3527204502814261</v>
      </c>
    </row>
    <row r="406" spans="1:23" ht="15.75">
      <c r="A406" s="145">
        <f t="shared" si="199"/>
        <v>928</v>
      </c>
      <c r="B406" s="145">
        <v>2850</v>
      </c>
      <c r="C406" s="214">
        <f t="shared" si="201"/>
        <v>2.85</v>
      </c>
      <c r="D406" s="215">
        <v>0</v>
      </c>
      <c r="E406" s="214">
        <f t="shared" si="186"/>
        <v>2.85</v>
      </c>
      <c r="F406" s="336">
        <f t="shared" si="203"/>
        <v>950</v>
      </c>
      <c r="G406" s="142">
        <f t="shared" si="187"/>
        <v>2081</v>
      </c>
      <c r="H406" s="141">
        <f t="shared" si="188"/>
        <v>26.62</v>
      </c>
      <c r="I406" s="142">
        <f t="shared" si="189"/>
        <v>570</v>
      </c>
      <c r="J406" s="141">
        <f t="shared" si="190"/>
        <v>60.88</v>
      </c>
      <c r="K406" s="142">
        <f t="shared" si="191"/>
        <v>380</v>
      </c>
      <c r="L406" s="142">
        <f t="shared" si="192"/>
        <v>1511</v>
      </c>
      <c r="M406" s="141">
        <f t="shared" si="193"/>
        <v>26.94</v>
      </c>
      <c r="N406" s="141">
        <f t="shared" si="194"/>
        <v>107.14</v>
      </c>
      <c r="O406" s="337">
        <f t="shared" si="202"/>
        <v>114.44</v>
      </c>
      <c r="P406" s="141">
        <f t="shared" si="196"/>
        <v>194.64</v>
      </c>
      <c r="Q406" s="30" t="s">
        <v>249</v>
      </c>
      <c r="R406" s="133"/>
      <c r="S406" s="133"/>
      <c r="T406" s="133"/>
      <c r="U406" s="133"/>
      <c r="V406" s="335">
        <f t="shared" si="197"/>
        <v>12.046315789473685</v>
      </c>
      <c r="W406" s="335">
        <f t="shared" si="198"/>
        <v>9.3531955790485348</v>
      </c>
    </row>
    <row r="407" spans="1:23">
      <c r="A407" s="145">
        <f t="shared" si="199"/>
        <v>929</v>
      </c>
      <c r="B407" s="145">
        <v>550</v>
      </c>
      <c r="C407" s="214">
        <f t="shared" si="201"/>
        <v>0.55000000000000004</v>
      </c>
      <c r="D407" s="215">
        <v>0</v>
      </c>
      <c r="E407" s="214">
        <f t="shared" si="186"/>
        <v>0.55000000000000004</v>
      </c>
      <c r="F407" s="142">
        <f t="shared" si="203"/>
        <v>183</v>
      </c>
      <c r="G407" s="142">
        <f t="shared" si="187"/>
        <v>402</v>
      </c>
      <c r="H407" s="141">
        <f t="shared" si="188"/>
        <v>5.14</v>
      </c>
      <c r="I407" s="142">
        <f t="shared" si="189"/>
        <v>110</v>
      </c>
      <c r="J407" s="141">
        <f t="shared" si="190"/>
        <v>11.75</v>
      </c>
      <c r="K407" s="142">
        <f t="shared" si="191"/>
        <v>73</v>
      </c>
      <c r="L407" s="142">
        <f t="shared" si="192"/>
        <v>292</v>
      </c>
      <c r="M407" s="141">
        <f t="shared" si="193"/>
        <v>5.18</v>
      </c>
      <c r="N407" s="141">
        <f t="shared" si="194"/>
        <v>20.7</v>
      </c>
      <c r="O407" s="141">
        <f t="shared" si="202"/>
        <v>22.07</v>
      </c>
      <c r="P407" s="141">
        <f t="shared" si="196"/>
        <v>37.590000000000003</v>
      </c>
      <c r="Q407" s="133"/>
      <c r="R407" s="133"/>
      <c r="S407" s="133"/>
      <c r="T407" s="133"/>
      <c r="U407" s="133"/>
      <c r="V407" s="335">
        <f t="shared" si="197"/>
        <v>12.060109289617486</v>
      </c>
      <c r="W407" s="335">
        <f t="shared" si="198"/>
        <v>9.3507462686567173</v>
      </c>
    </row>
    <row r="408" spans="1:23" ht="15.75">
      <c r="A408" s="145">
        <f t="shared" si="199"/>
        <v>930</v>
      </c>
      <c r="B408" s="145">
        <v>70</v>
      </c>
      <c r="C408" s="214">
        <f t="shared" si="201"/>
        <v>7.0000000000000007E-2</v>
      </c>
      <c r="D408" s="215">
        <v>0.25</v>
      </c>
      <c r="E408" s="214">
        <f t="shared" si="186"/>
        <v>8.7500000000000008E-2</v>
      </c>
      <c r="F408" s="331">
        <f t="shared" si="203"/>
        <v>29</v>
      </c>
      <c r="G408" s="332">
        <f t="shared" si="187"/>
        <v>64</v>
      </c>
      <c r="H408" s="141">
        <f t="shared" si="188"/>
        <v>0.82</v>
      </c>
      <c r="I408" s="142">
        <f t="shared" si="189"/>
        <v>18</v>
      </c>
      <c r="J408" s="141">
        <f t="shared" si="190"/>
        <v>1.92</v>
      </c>
      <c r="K408" s="142">
        <f t="shared" si="191"/>
        <v>11</v>
      </c>
      <c r="L408" s="142">
        <f t="shared" si="192"/>
        <v>46</v>
      </c>
      <c r="M408" s="141">
        <f t="shared" si="193"/>
        <v>0.78</v>
      </c>
      <c r="N408" s="141">
        <f t="shared" si="194"/>
        <v>3.26</v>
      </c>
      <c r="O408" s="333">
        <f t="shared" si="202"/>
        <v>3.5199999999999996</v>
      </c>
      <c r="P408" s="334">
        <f t="shared" si="196"/>
        <v>6</v>
      </c>
      <c r="Q408" s="133"/>
      <c r="R408" s="133"/>
      <c r="S408" s="133"/>
      <c r="T408" s="133"/>
      <c r="U408" s="133"/>
      <c r="V408" s="335">
        <f t="shared" si="197"/>
        <v>12.137931034482758</v>
      </c>
      <c r="W408" s="335">
        <f t="shared" si="198"/>
        <v>9.375</v>
      </c>
    </row>
    <row r="409" spans="1:23">
      <c r="A409" s="347">
        <f t="shared" si="199"/>
        <v>931</v>
      </c>
      <c r="B409" s="347">
        <v>132</v>
      </c>
      <c r="C409" s="348">
        <f t="shared" si="201"/>
        <v>0.13200000000000001</v>
      </c>
      <c r="D409" s="349">
        <v>0.1</v>
      </c>
      <c r="E409" s="348">
        <f t="shared" si="186"/>
        <v>0.1452</v>
      </c>
      <c r="F409" s="350">
        <f>ROUND((+$E409*4380)/12,0)</f>
        <v>53</v>
      </c>
      <c r="G409" s="351">
        <f t="shared" si="187"/>
        <v>106</v>
      </c>
      <c r="H409" s="352">
        <f t="shared" si="188"/>
        <v>1.36</v>
      </c>
      <c r="I409" s="351">
        <f t="shared" si="189"/>
        <v>29</v>
      </c>
      <c r="J409" s="352">
        <f t="shared" si="190"/>
        <v>3.1</v>
      </c>
      <c r="K409" s="351">
        <f t="shared" si="191"/>
        <v>24</v>
      </c>
      <c r="L409" s="351">
        <f t="shared" si="192"/>
        <v>77</v>
      </c>
      <c r="M409" s="352">
        <f t="shared" si="193"/>
        <v>1.7</v>
      </c>
      <c r="N409" s="352">
        <f t="shared" si="194"/>
        <v>5.46</v>
      </c>
      <c r="O409" s="353">
        <f t="shared" si="202"/>
        <v>6.16</v>
      </c>
      <c r="P409" s="352">
        <f t="shared" si="196"/>
        <v>9.92</v>
      </c>
      <c r="Q409" s="133"/>
      <c r="R409" s="133"/>
      <c r="S409" s="133"/>
      <c r="T409" s="133"/>
      <c r="U409" s="133"/>
      <c r="V409" s="354">
        <f t="shared" si="197"/>
        <v>11.622641509433961</v>
      </c>
      <c r="W409" s="335">
        <f t="shared" si="198"/>
        <v>9.3584905660377355</v>
      </c>
    </row>
    <row r="410" spans="1:23" ht="15.75">
      <c r="A410" s="145">
        <f t="shared" si="199"/>
        <v>932</v>
      </c>
      <c r="B410" s="145">
        <v>180</v>
      </c>
      <c r="C410" s="214">
        <f t="shared" si="201"/>
        <v>0.18</v>
      </c>
      <c r="D410" s="215">
        <v>0.15</v>
      </c>
      <c r="E410" s="214">
        <f t="shared" si="186"/>
        <v>0.20699999999999999</v>
      </c>
      <c r="F410" s="331">
        <f t="shared" ref="F410:F422" si="204">ROUND((+$E410*4000)/12,0)</f>
        <v>69</v>
      </c>
      <c r="G410" s="332">
        <f t="shared" si="187"/>
        <v>151</v>
      </c>
      <c r="H410" s="141">
        <f t="shared" si="188"/>
        <v>1.93</v>
      </c>
      <c r="I410" s="142">
        <f t="shared" si="189"/>
        <v>41</v>
      </c>
      <c r="J410" s="141">
        <f t="shared" si="190"/>
        <v>4.38</v>
      </c>
      <c r="K410" s="142">
        <f t="shared" si="191"/>
        <v>28</v>
      </c>
      <c r="L410" s="142">
        <f t="shared" si="192"/>
        <v>110</v>
      </c>
      <c r="M410" s="141">
        <f t="shared" si="193"/>
        <v>1.99</v>
      </c>
      <c r="N410" s="141">
        <f t="shared" si="194"/>
        <v>7.8</v>
      </c>
      <c r="O410" s="141">
        <f t="shared" si="202"/>
        <v>8.2999999999999989</v>
      </c>
      <c r="P410" s="141">
        <f t="shared" si="196"/>
        <v>14.11</v>
      </c>
      <c r="Q410" s="30" t="s">
        <v>250</v>
      </c>
      <c r="R410" s="133"/>
      <c r="S410" s="133"/>
      <c r="T410" s="133"/>
      <c r="U410" s="133"/>
      <c r="V410" s="335">
        <f t="shared" si="197"/>
        <v>12.028985507246375</v>
      </c>
      <c r="W410" s="335">
        <f t="shared" si="198"/>
        <v>9.3443708609271514</v>
      </c>
    </row>
    <row r="411" spans="1:23" ht="15.75">
      <c r="A411" s="145">
        <f t="shared" si="199"/>
        <v>933</v>
      </c>
      <c r="B411" s="145">
        <v>1000</v>
      </c>
      <c r="C411" s="214">
        <f t="shared" si="201"/>
        <v>1</v>
      </c>
      <c r="D411" s="215">
        <v>0</v>
      </c>
      <c r="E411" s="214">
        <f t="shared" ref="E411:E442" si="205">(+C411*D411)+C411</f>
        <v>1</v>
      </c>
      <c r="F411" s="336">
        <f t="shared" si="204"/>
        <v>333</v>
      </c>
      <c r="G411" s="331">
        <f t="shared" ref="G411:G429" si="206">ROUND((+$E411*8760)/12,0)</f>
        <v>730</v>
      </c>
      <c r="H411" s="334">
        <f t="shared" ref="H411:H442" si="207">ROUND(+E411*D$7,2)</f>
        <v>9.34</v>
      </c>
      <c r="I411" s="142">
        <f t="shared" ref="I411:I442" si="208">ROUND(IF((E411*200)&gt;F411,F411,(E411*200)),0)</f>
        <v>200</v>
      </c>
      <c r="J411" s="141">
        <f t="shared" ref="J411:J442" si="209">ROUND(+I411*D$8,2)</f>
        <v>21.36</v>
      </c>
      <c r="K411" s="142">
        <f t="shared" ref="K411:K442" si="210">F411-I411</f>
        <v>133</v>
      </c>
      <c r="L411" s="142">
        <f t="shared" ref="L411:L442" si="211">G411-I411</f>
        <v>530</v>
      </c>
      <c r="M411" s="141">
        <f t="shared" ref="M411:M442" si="212">ROUND(+K411*D$9,2)</f>
        <v>9.43</v>
      </c>
      <c r="N411" s="141">
        <f t="shared" ref="N411:N442" si="213">ROUND(+L411*D$9,2)</f>
        <v>37.58</v>
      </c>
      <c r="O411" s="141">
        <f t="shared" si="202"/>
        <v>40.129999999999995</v>
      </c>
      <c r="P411" s="141">
        <f t="shared" ref="P411:P442" si="214">H411+J411+N411</f>
        <v>68.28</v>
      </c>
      <c r="Q411" s="30" t="s">
        <v>251</v>
      </c>
      <c r="R411" s="133"/>
      <c r="S411" s="133"/>
      <c r="T411" s="133"/>
      <c r="U411" s="133"/>
      <c r="V411" s="335">
        <f t="shared" ref="V411:V442" si="215">+O411/(I411+K411)*100</f>
        <v>12.051051051051049</v>
      </c>
      <c r="W411" s="335">
        <f t="shared" ref="W411:W442" si="216">+P411/(I411+L411)*100</f>
        <v>9.3534246575342461</v>
      </c>
    </row>
    <row r="412" spans="1:23" ht="15.75">
      <c r="A412" s="145">
        <f t="shared" ref="A412:A443" si="217">A411+1</f>
        <v>934</v>
      </c>
      <c r="B412" s="145">
        <v>55</v>
      </c>
      <c r="C412" s="214">
        <f t="shared" si="201"/>
        <v>5.5E-2</v>
      </c>
      <c r="D412" s="215">
        <v>0.4</v>
      </c>
      <c r="E412" s="214">
        <f t="shared" si="205"/>
        <v>7.6999999999999999E-2</v>
      </c>
      <c r="F412" s="142">
        <f t="shared" si="204"/>
        <v>26</v>
      </c>
      <c r="G412" s="331">
        <f t="shared" si="206"/>
        <v>56</v>
      </c>
      <c r="H412" s="334">
        <f t="shared" si="207"/>
        <v>0.72</v>
      </c>
      <c r="I412" s="142">
        <f t="shared" si="208"/>
        <v>15</v>
      </c>
      <c r="J412" s="141">
        <f t="shared" si="209"/>
        <v>1.6</v>
      </c>
      <c r="K412" s="142">
        <f t="shared" si="210"/>
        <v>11</v>
      </c>
      <c r="L412" s="142">
        <f t="shared" si="211"/>
        <v>41</v>
      </c>
      <c r="M412" s="141">
        <f t="shared" si="212"/>
        <v>0.78</v>
      </c>
      <c r="N412" s="141">
        <f t="shared" si="213"/>
        <v>2.91</v>
      </c>
      <c r="O412" s="141">
        <f t="shared" si="202"/>
        <v>3.1000000000000005</v>
      </c>
      <c r="P412" s="333">
        <f t="shared" si="214"/>
        <v>5.23</v>
      </c>
      <c r="Q412" s="330"/>
      <c r="R412" s="133"/>
      <c r="S412" s="133"/>
      <c r="T412" s="133"/>
      <c r="U412" s="133"/>
      <c r="V412" s="335">
        <f t="shared" si="215"/>
        <v>11.923076923076925</v>
      </c>
      <c r="W412" s="335">
        <f t="shared" si="216"/>
        <v>9.3392857142857153</v>
      </c>
    </row>
    <row r="413" spans="1:23" ht="15.75">
      <c r="A413" s="145">
        <f t="shared" si="217"/>
        <v>935</v>
      </c>
      <c r="B413" s="145">
        <v>1000</v>
      </c>
      <c r="C413" s="214">
        <f t="shared" si="201"/>
        <v>1</v>
      </c>
      <c r="D413" s="215">
        <v>0.1</v>
      </c>
      <c r="E413" s="214">
        <f t="shared" si="205"/>
        <v>1.1000000000000001</v>
      </c>
      <c r="F413" s="331">
        <f t="shared" si="204"/>
        <v>367</v>
      </c>
      <c r="G413" s="338">
        <f t="shared" si="206"/>
        <v>803</v>
      </c>
      <c r="H413" s="141">
        <f t="shared" si="207"/>
        <v>10.27</v>
      </c>
      <c r="I413" s="142">
        <f t="shared" si="208"/>
        <v>220</v>
      </c>
      <c r="J413" s="141">
        <f t="shared" si="209"/>
        <v>23.5</v>
      </c>
      <c r="K413" s="142">
        <f t="shared" si="210"/>
        <v>147</v>
      </c>
      <c r="L413" s="142">
        <f t="shared" si="211"/>
        <v>583</v>
      </c>
      <c r="M413" s="141">
        <f t="shared" si="212"/>
        <v>10.42</v>
      </c>
      <c r="N413" s="141">
        <f t="shared" si="213"/>
        <v>41.34</v>
      </c>
      <c r="O413" s="141">
        <f t="shared" si="202"/>
        <v>44.19</v>
      </c>
      <c r="P413" s="337">
        <f t="shared" si="214"/>
        <v>75.11</v>
      </c>
      <c r="Q413" s="146" t="s">
        <v>252</v>
      </c>
      <c r="R413" s="133"/>
      <c r="S413" s="133"/>
      <c r="T413" s="133"/>
      <c r="U413" s="133"/>
      <c r="V413" s="335">
        <f t="shared" si="215"/>
        <v>12.040871934604903</v>
      </c>
      <c r="W413" s="335">
        <f t="shared" si="216"/>
        <v>9.3536737235367369</v>
      </c>
    </row>
    <row r="414" spans="1:23" ht="15.75">
      <c r="A414" s="43">
        <f t="shared" si="217"/>
        <v>936</v>
      </c>
      <c r="B414" s="43">
        <v>125</v>
      </c>
      <c r="C414" s="288"/>
      <c r="D414" s="289">
        <v>0</v>
      </c>
      <c r="E414" s="288">
        <f t="shared" si="205"/>
        <v>0</v>
      </c>
      <c r="F414" s="342">
        <f t="shared" si="204"/>
        <v>0</v>
      </c>
      <c r="G414" s="292">
        <f t="shared" si="206"/>
        <v>0</v>
      </c>
      <c r="H414" s="291">
        <f t="shared" si="207"/>
        <v>0</v>
      </c>
      <c r="I414" s="292">
        <f t="shared" si="208"/>
        <v>0</v>
      </c>
      <c r="J414" s="291">
        <f t="shared" si="209"/>
        <v>0</v>
      </c>
      <c r="K414" s="292">
        <f t="shared" si="210"/>
        <v>0</v>
      </c>
      <c r="L414" s="292">
        <f t="shared" si="211"/>
        <v>0</v>
      </c>
      <c r="M414" s="291">
        <f t="shared" si="212"/>
        <v>0</v>
      </c>
      <c r="N414" s="291">
        <f t="shared" si="213"/>
        <v>0</v>
      </c>
      <c r="O414" s="544">
        <f>+'Schedule 9'!E22+'Schedule 9'!F22</f>
        <v>8.4850132890563668</v>
      </c>
      <c r="P414" s="291">
        <f t="shared" si="214"/>
        <v>0</v>
      </c>
      <c r="Q414" s="146" t="s">
        <v>253</v>
      </c>
      <c r="R414" s="133"/>
      <c r="S414" s="133"/>
      <c r="T414" s="133"/>
      <c r="U414" s="133"/>
      <c r="V414" s="335" t="e">
        <f t="shared" si="215"/>
        <v>#DIV/0!</v>
      </c>
      <c r="W414" s="335" t="e">
        <f t="shared" si="216"/>
        <v>#DIV/0!</v>
      </c>
    </row>
    <row r="415" spans="1:23" ht="15.75">
      <c r="A415" s="145">
        <f t="shared" si="217"/>
        <v>937</v>
      </c>
      <c r="B415" s="145">
        <v>528</v>
      </c>
      <c r="C415" s="214">
        <f t="shared" ref="C415:C431" si="218">B415/1000</f>
        <v>0.52800000000000002</v>
      </c>
      <c r="D415" s="215">
        <v>0</v>
      </c>
      <c r="E415" s="214">
        <f t="shared" si="205"/>
        <v>0.52800000000000002</v>
      </c>
      <c r="F415" s="331">
        <f t="shared" si="204"/>
        <v>176</v>
      </c>
      <c r="G415" s="332">
        <f t="shared" si="206"/>
        <v>385</v>
      </c>
      <c r="H415" s="141">
        <f t="shared" si="207"/>
        <v>4.93</v>
      </c>
      <c r="I415" s="142">
        <f t="shared" si="208"/>
        <v>106</v>
      </c>
      <c r="J415" s="141">
        <f t="shared" si="209"/>
        <v>11.32</v>
      </c>
      <c r="K415" s="142">
        <f t="shared" si="210"/>
        <v>70</v>
      </c>
      <c r="L415" s="142">
        <f t="shared" si="211"/>
        <v>279</v>
      </c>
      <c r="M415" s="141">
        <f t="shared" si="212"/>
        <v>4.96</v>
      </c>
      <c r="N415" s="141">
        <f t="shared" si="213"/>
        <v>19.78</v>
      </c>
      <c r="O415" s="333">
        <f t="shared" ref="O415:O431" si="219">H415+J415+M415</f>
        <v>21.21</v>
      </c>
      <c r="P415" s="334">
        <f t="shared" si="214"/>
        <v>36.03</v>
      </c>
      <c r="Q415" s="133"/>
      <c r="R415" s="133"/>
      <c r="S415" s="133"/>
      <c r="T415" s="133"/>
      <c r="U415" s="133"/>
      <c r="V415" s="335">
        <f t="shared" si="215"/>
        <v>12.051136363636363</v>
      </c>
      <c r="W415" s="335">
        <f t="shared" si="216"/>
        <v>9.3584415584415588</v>
      </c>
    </row>
    <row r="416" spans="1:23" ht="15.75">
      <c r="A416" s="145">
        <f t="shared" si="217"/>
        <v>938</v>
      </c>
      <c r="B416" s="145">
        <v>360</v>
      </c>
      <c r="C416" s="214">
        <f t="shared" si="218"/>
        <v>0.36</v>
      </c>
      <c r="D416" s="215">
        <v>0</v>
      </c>
      <c r="E416" s="214">
        <f t="shared" si="205"/>
        <v>0.36</v>
      </c>
      <c r="F416" s="331">
        <f t="shared" si="204"/>
        <v>120</v>
      </c>
      <c r="G416" s="332">
        <f t="shared" si="206"/>
        <v>263</v>
      </c>
      <c r="H416" s="141">
        <f t="shared" si="207"/>
        <v>3.36</v>
      </c>
      <c r="I416" s="142">
        <f t="shared" si="208"/>
        <v>72</v>
      </c>
      <c r="J416" s="141">
        <f t="shared" si="209"/>
        <v>7.69</v>
      </c>
      <c r="K416" s="142">
        <f t="shared" si="210"/>
        <v>48</v>
      </c>
      <c r="L416" s="142">
        <f t="shared" si="211"/>
        <v>191</v>
      </c>
      <c r="M416" s="141">
        <f t="shared" si="212"/>
        <v>3.4</v>
      </c>
      <c r="N416" s="141">
        <f t="shared" si="213"/>
        <v>13.54</v>
      </c>
      <c r="O416" s="333">
        <f t="shared" si="219"/>
        <v>14.450000000000001</v>
      </c>
      <c r="P416" s="334">
        <f t="shared" si="214"/>
        <v>24.59</v>
      </c>
      <c r="Q416" s="133"/>
      <c r="R416" s="133"/>
      <c r="S416" s="133"/>
      <c r="T416" s="133"/>
      <c r="U416" s="133"/>
      <c r="V416" s="335">
        <f t="shared" si="215"/>
        <v>12.041666666666668</v>
      </c>
      <c r="W416" s="335">
        <f t="shared" si="216"/>
        <v>9.3498098859315597</v>
      </c>
    </row>
    <row r="417" spans="1:23" ht="15.75">
      <c r="A417" s="145">
        <f t="shared" si="217"/>
        <v>939</v>
      </c>
      <c r="B417" s="145">
        <v>150</v>
      </c>
      <c r="C417" s="214">
        <f t="shared" si="218"/>
        <v>0.15</v>
      </c>
      <c r="D417" s="215">
        <v>0</v>
      </c>
      <c r="E417" s="214">
        <f t="shared" si="205"/>
        <v>0.15</v>
      </c>
      <c r="F417" s="336">
        <f t="shared" si="204"/>
        <v>50</v>
      </c>
      <c r="G417" s="331">
        <f t="shared" si="206"/>
        <v>110</v>
      </c>
      <c r="H417" s="334">
        <f t="shared" si="207"/>
        <v>1.4</v>
      </c>
      <c r="I417" s="142">
        <f t="shared" si="208"/>
        <v>30</v>
      </c>
      <c r="J417" s="141">
        <f t="shared" si="209"/>
        <v>3.2</v>
      </c>
      <c r="K417" s="142">
        <f t="shared" si="210"/>
        <v>20</v>
      </c>
      <c r="L417" s="142">
        <f t="shared" si="211"/>
        <v>80</v>
      </c>
      <c r="M417" s="141">
        <f t="shared" si="212"/>
        <v>1.42</v>
      </c>
      <c r="N417" s="141">
        <f t="shared" si="213"/>
        <v>5.67</v>
      </c>
      <c r="O417" s="337">
        <f t="shared" si="219"/>
        <v>6.02</v>
      </c>
      <c r="P417" s="333">
        <f t="shared" si="214"/>
        <v>10.27</v>
      </c>
      <c r="Q417" s="330"/>
      <c r="R417" s="133"/>
      <c r="S417" s="133"/>
      <c r="T417" s="133"/>
      <c r="U417" s="133"/>
      <c r="V417" s="335">
        <f t="shared" si="215"/>
        <v>12.04</v>
      </c>
      <c r="W417" s="335">
        <f t="shared" si="216"/>
        <v>9.336363636363636</v>
      </c>
    </row>
    <row r="418" spans="1:23" ht="15.75">
      <c r="A418" s="145">
        <f t="shared" si="217"/>
        <v>940</v>
      </c>
      <c r="B418" s="145">
        <v>675</v>
      </c>
      <c r="C418" s="214">
        <f t="shared" si="218"/>
        <v>0.67500000000000004</v>
      </c>
      <c r="D418" s="215">
        <v>0</v>
      </c>
      <c r="E418" s="214">
        <f t="shared" si="205"/>
        <v>0.67500000000000004</v>
      </c>
      <c r="F418" s="331">
        <f t="shared" si="204"/>
        <v>225</v>
      </c>
      <c r="G418" s="338">
        <f t="shared" si="206"/>
        <v>493</v>
      </c>
      <c r="H418" s="141">
        <f t="shared" si="207"/>
        <v>6.3</v>
      </c>
      <c r="I418" s="142">
        <f t="shared" si="208"/>
        <v>135</v>
      </c>
      <c r="J418" s="141">
        <f t="shared" si="209"/>
        <v>14.42</v>
      </c>
      <c r="K418" s="142">
        <f t="shared" si="210"/>
        <v>90</v>
      </c>
      <c r="L418" s="142">
        <f t="shared" si="211"/>
        <v>358</v>
      </c>
      <c r="M418" s="141">
        <f t="shared" si="212"/>
        <v>6.38</v>
      </c>
      <c r="N418" s="141">
        <f t="shared" si="213"/>
        <v>25.38</v>
      </c>
      <c r="O418" s="333">
        <f t="shared" si="219"/>
        <v>27.099999999999998</v>
      </c>
      <c r="P418" s="339">
        <f t="shared" si="214"/>
        <v>46.099999999999994</v>
      </c>
      <c r="Q418" s="133"/>
      <c r="R418" s="133"/>
      <c r="S418" s="133"/>
      <c r="T418" s="133"/>
      <c r="U418" s="133"/>
      <c r="V418" s="335">
        <f t="shared" si="215"/>
        <v>12.044444444444444</v>
      </c>
      <c r="W418" s="335">
        <f t="shared" si="216"/>
        <v>9.3509127789046644</v>
      </c>
    </row>
    <row r="419" spans="1:23" ht="15.75">
      <c r="A419" s="145">
        <f t="shared" si="217"/>
        <v>941</v>
      </c>
      <c r="B419" s="145">
        <v>7440</v>
      </c>
      <c r="C419" s="214">
        <f t="shared" si="218"/>
        <v>7.44</v>
      </c>
      <c r="D419" s="215">
        <v>0</v>
      </c>
      <c r="E419" s="214">
        <f t="shared" si="205"/>
        <v>7.44</v>
      </c>
      <c r="F419" s="336">
        <f t="shared" si="204"/>
        <v>2480</v>
      </c>
      <c r="G419" s="142">
        <f t="shared" si="206"/>
        <v>5431</v>
      </c>
      <c r="H419" s="141">
        <f t="shared" si="207"/>
        <v>69.489999999999995</v>
      </c>
      <c r="I419" s="142">
        <f t="shared" si="208"/>
        <v>1488</v>
      </c>
      <c r="J419" s="141">
        <f t="shared" si="209"/>
        <v>158.91999999999999</v>
      </c>
      <c r="K419" s="142">
        <f t="shared" si="210"/>
        <v>992</v>
      </c>
      <c r="L419" s="142">
        <f t="shared" si="211"/>
        <v>3943</v>
      </c>
      <c r="M419" s="141">
        <f t="shared" si="212"/>
        <v>70.34</v>
      </c>
      <c r="N419" s="141">
        <f t="shared" si="213"/>
        <v>279.58</v>
      </c>
      <c r="O419" s="337">
        <f t="shared" si="219"/>
        <v>298.75</v>
      </c>
      <c r="P419" s="141">
        <f t="shared" si="214"/>
        <v>507.98999999999995</v>
      </c>
      <c r="Q419" s="30" t="s">
        <v>254</v>
      </c>
      <c r="R419" s="133"/>
      <c r="S419" s="133"/>
      <c r="T419" s="133"/>
      <c r="U419" s="133"/>
      <c r="V419" s="335">
        <f t="shared" si="215"/>
        <v>12.046370967741936</v>
      </c>
      <c r="W419" s="335">
        <f t="shared" si="216"/>
        <v>9.3535260541336758</v>
      </c>
    </row>
    <row r="420" spans="1:23" ht="15.75">
      <c r="A420" s="145">
        <f t="shared" si="217"/>
        <v>942</v>
      </c>
      <c r="B420" s="145">
        <v>2200</v>
      </c>
      <c r="C420" s="214">
        <f t="shared" si="218"/>
        <v>2.2000000000000002</v>
      </c>
      <c r="D420" s="215">
        <v>0</v>
      </c>
      <c r="E420" s="214">
        <f t="shared" si="205"/>
        <v>2.2000000000000002</v>
      </c>
      <c r="F420" s="331">
        <f t="shared" si="204"/>
        <v>733</v>
      </c>
      <c r="G420" s="332">
        <f t="shared" si="206"/>
        <v>1606</v>
      </c>
      <c r="H420" s="141">
        <f t="shared" si="207"/>
        <v>20.55</v>
      </c>
      <c r="I420" s="142">
        <f t="shared" si="208"/>
        <v>440</v>
      </c>
      <c r="J420" s="141">
        <f t="shared" si="209"/>
        <v>46.99</v>
      </c>
      <c r="K420" s="142">
        <f t="shared" si="210"/>
        <v>293</v>
      </c>
      <c r="L420" s="142">
        <f t="shared" si="211"/>
        <v>1166</v>
      </c>
      <c r="M420" s="141">
        <f t="shared" si="212"/>
        <v>20.78</v>
      </c>
      <c r="N420" s="141">
        <f t="shared" si="213"/>
        <v>82.68</v>
      </c>
      <c r="O420" s="141">
        <f t="shared" si="219"/>
        <v>88.320000000000007</v>
      </c>
      <c r="P420" s="141">
        <f t="shared" si="214"/>
        <v>150.22000000000003</v>
      </c>
      <c r="Q420" s="30" t="s">
        <v>255</v>
      </c>
      <c r="R420" s="133"/>
      <c r="S420" s="133"/>
      <c r="T420" s="133"/>
      <c r="U420" s="133"/>
      <c r="V420" s="335">
        <f t="shared" si="215"/>
        <v>12.049113233287859</v>
      </c>
      <c r="W420" s="335">
        <f t="shared" si="216"/>
        <v>9.3536737235367386</v>
      </c>
    </row>
    <row r="421" spans="1:23" ht="15.75">
      <c r="A421" s="145">
        <f t="shared" si="217"/>
        <v>943</v>
      </c>
      <c r="B421" s="145">
        <v>1290</v>
      </c>
      <c r="C421" s="214">
        <f t="shared" si="218"/>
        <v>1.29</v>
      </c>
      <c r="D421" s="215">
        <v>0</v>
      </c>
      <c r="E421" s="214">
        <f t="shared" si="205"/>
        <v>1.29</v>
      </c>
      <c r="F421" s="331">
        <f t="shared" si="204"/>
        <v>430</v>
      </c>
      <c r="G421" s="332">
        <f t="shared" si="206"/>
        <v>942</v>
      </c>
      <c r="H421" s="141">
        <f t="shared" si="207"/>
        <v>12.05</v>
      </c>
      <c r="I421" s="142">
        <f t="shared" si="208"/>
        <v>258</v>
      </c>
      <c r="J421" s="141">
        <f t="shared" si="209"/>
        <v>27.56</v>
      </c>
      <c r="K421" s="142">
        <f t="shared" si="210"/>
        <v>172</v>
      </c>
      <c r="L421" s="142">
        <f t="shared" si="211"/>
        <v>684</v>
      </c>
      <c r="M421" s="141">
        <f t="shared" si="212"/>
        <v>12.2</v>
      </c>
      <c r="N421" s="141">
        <f t="shared" si="213"/>
        <v>48.5</v>
      </c>
      <c r="O421" s="141">
        <f t="shared" si="219"/>
        <v>51.81</v>
      </c>
      <c r="P421" s="141">
        <f t="shared" si="214"/>
        <v>88.11</v>
      </c>
      <c r="Q421" s="30" t="s">
        <v>256</v>
      </c>
      <c r="R421" s="133"/>
      <c r="S421" s="133"/>
      <c r="T421" s="133"/>
      <c r="U421" s="133"/>
      <c r="V421" s="335">
        <f t="shared" si="215"/>
        <v>12.048837209302327</v>
      </c>
      <c r="W421" s="335">
        <f t="shared" si="216"/>
        <v>9.3535031847133752</v>
      </c>
    </row>
    <row r="422" spans="1:23" ht="15.75">
      <c r="A422" s="145">
        <f t="shared" si="217"/>
        <v>944</v>
      </c>
      <c r="B422" s="145">
        <v>200</v>
      </c>
      <c r="C422" s="214">
        <f t="shared" si="218"/>
        <v>0.2</v>
      </c>
      <c r="D422" s="215">
        <v>0</v>
      </c>
      <c r="E422" s="214">
        <f t="shared" si="205"/>
        <v>0.2</v>
      </c>
      <c r="F422" s="336">
        <f t="shared" si="204"/>
        <v>67</v>
      </c>
      <c r="G422" s="331">
        <f t="shared" si="206"/>
        <v>146</v>
      </c>
      <c r="H422" s="334">
        <f t="shared" si="207"/>
        <v>1.87</v>
      </c>
      <c r="I422" s="142">
        <f t="shared" si="208"/>
        <v>40</v>
      </c>
      <c r="J422" s="141">
        <f t="shared" si="209"/>
        <v>4.2699999999999996</v>
      </c>
      <c r="K422" s="142">
        <f t="shared" si="210"/>
        <v>27</v>
      </c>
      <c r="L422" s="142">
        <f t="shared" si="211"/>
        <v>106</v>
      </c>
      <c r="M422" s="141">
        <f t="shared" si="212"/>
        <v>1.91</v>
      </c>
      <c r="N422" s="141">
        <f t="shared" si="213"/>
        <v>7.52</v>
      </c>
      <c r="O422" s="141">
        <f t="shared" si="219"/>
        <v>8.0499999999999989</v>
      </c>
      <c r="P422" s="141">
        <f t="shared" si="214"/>
        <v>13.66</v>
      </c>
      <c r="Q422" s="30" t="s">
        <v>257</v>
      </c>
      <c r="R422" s="133"/>
      <c r="S422" s="133"/>
      <c r="T422" s="133"/>
      <c r="U422" s="133"/>
      <c r="V422" s="335">
        <f t="shared" si="215"/>
        <v>12.014925373134327</v>
      </c>
      <c r="W422" s="335">
        <f t="shared" si="216"/>
        <v>9.3561643835616444</v>
      </c>
    </row>
    <row r="423" spans="1:23">
      <c r="A423" s="347">
        <f t="shared" si="217"/>
        <v>945</v>
      </c>
      <c r="B423" s="347">
        <v>1380</v>
      </c>
      <c r="C423" s="348">
        <f t="shared" si="218"/>
        <v>1.38</v>
      </c>
      <c r="D423" s="349">
        <v>0</v>
      </c>
      <c r="E423" s="348">
        <f t="shared" si="205"/>
        <v>1.38</v>
      </c>
      <c r="F423" s="355">
        <f>ROUND((+$E423*18.25)/12,0)</f>
        <v>2</v>
      </c>
      <c r="G423" s="356">
        <f t="shared" si="206"/>
        <v>1007</v>
      </c>
      <c r="H423" s="352">
        <f t="shared" si="207"/>
        <v>12.89</v>
      </c>
      <c r="I423" s="351">
        <f t="shared" si="208"/>
        <v>2</v>
      </c>
      <c r="J423" s="352">
        <f t="shared" si="209"/>
        <v>0.21</v>
      </c>
      <c r="K423" s="351">
        <f t="shared" si="210"/>
        <v>0</v>
      </c>
      <c r="L423" s="351">
        <f t="shared" si="211"/>
        <v>1005</v>
      </c>
      <c r="M423" s="352">
        <f t="shared" si="212"/>
        <v>0</v>
      </c>
      <c r="N423" s="352">
        <f t="shared" si="213"/>
        <v>71.260000000000005</v>
      </c>
      <c r="O423" s="357">
        <f t="shared" si="219"/>
        <v>13.100000000000001</v>
      </c>
      <c r="P423" s="229">
        <f t="shared" si="214"/>
        <v>84.360000000000014</v>
      </c>
      <c r="Q423" s="133"/>
      <c r="R423" s="133"/>
      <c r="S423" s="133"/>
      <c r="T423" s="133"/>
      <c r="U423" s="133"/>
      <c r="V423" s="341">
        <f t="shared" si="215"/>
        <v>655.00000000000011</v>
      </c>
      <c r="W423" s="335">
        <f t="shared" si="216"/>
        <v>8.3773584905660385</v>
      </c>
    </row>
    <row r="424" spans="1:23">
      <c r="A424" s="347">
        <f t="shared" si="217"/>
        <v>946</v>
      </c>
      <c r="B424" s="347">
        <v>1800</v>
      </c>
      <c r="C424" s="348">
        <f t="shared" si="218"/>
        <v>1.8</v>
      </c>
      <c r="D424" s="349">
        <v>0.1</v>
      </c>
      <c r="E424" s="348">
        <f t="shared" si="205"/>
        <v>1.98</v>
      </c>
      <c r="F424" s="351">
        <f>ROUND((+$E424*4000)/12,0)</f>
        <v>660</v>
      </c>
      <c r="G424" s="351">
        <f t="shared" si="206"/>
        <v>1445</v>
      </c>
      <c r="H424" s="352">
        <f t="shared" si="207"/>
        <v>18.489999999999998</v>
      </c>
      <c r="I424" s="351">
        <f t="shared" si="208"/>
        <v>396</v>
      </c>
      <c r="J424" s="352">
        <f t="shared" si="209"/>
        <v>42.29</v>
      </c>
      <c r="K424" s="351">
        <f t="shared" si="210"/>
        <v>264</v>
      </c>
      <c r="L424" s="351">
        <f t="shared" si="211"/>
        <v>1049</v>
      </c>
      <c r="M424" s="352">
        <f t="shared" si="212"/>
        <v>18.72</v>
      </c>
      <c r="N424" s="352">
        <f t="shared" si="213"/>
        <v>74.38</v>
      </c>
      <c r="O424" s="357">
        <f t="shared" si="219"/>
        <v>79.5</v>
      </c>
      <c r="P424" s="229">
        <f t="shared" si="214"/>
        <v>135.16</v>
      </c>
      <c r="Q424" s="133"/>
      <c r="R424" s="133"/>
      <c r="S424" s="133"/>
      <c r="T424" s="133"/>
      <c r="U424" s="133"/>
      <c r="V424" s="335">
        <f t="shared" si="215"/>
        <v>12.045454545454545</v>
      </c>
      <c r="W424" s="335">
        <f t="shared" si="216"/>
        <v>9.3536332179930799</v>
      </c>
    </row>
    <row r="425" spans="1:23" ht="15.75">
      <c r="A425" s="145">
        <f t="shared" si="217"/>
        <v>947</v>
      </c>
      <c r="B425" s="145">
        <v>300</v>
      </c>
      <c r="C425" s="214">
        <f t="shared" si="218"/>
        <v>0.3</v>
      </c>
      <c r="D425" s="215">
        <v>0</v>
      </c>
      <c r="E425" s="214">
        <f t="shared" si="205"/>
        <v>0.3</v>
      </c>
      <c r="F425" s="358">
        <f>ROUND((+$E425*18*9)/12,0)</f>
        <v>4</v>
      </c>
      <c r="G425" s="351">
        <f t="shared" si="206"/>
        <v>219</v>
      </c>
      <c r="H425" s="141">
        <f t="shared" si="207"/>
        <v>2.8</v>
      </c>
      <c r="I425" s="142">
        <f t="shared" si="208"/>
        <v>4</v>
      </c>
      <c r="J425" s="141">
        <f t="shared" si="209"/>
        <v>0.43</v>
      </c>
      <c r="K425" s="142">
        <f t="shared" si="210"/>
        <v>0</v>
      </c>
      <c r="L425" s="351">
        <f t="shared" si="211"/>
        <v>215</v>
      </c>
      <c r="M425" s="141">
        <f t="shared" si="212"/>
        <v>0</v>
      </c>
      <c r="N425" s="141">
        <f t="shared" si="213"/>
        <v>15.24</v>
      </c>
      <c r="O425" s="359">
        <f t="shared" si="219"/>
        <v>3.23</v>
      </c>
      <c r="P425" s="229">
        <f t="shared" si="214"/>
        <v>18.47</v>
      </c>
      <c r="Q425" s="133"/>
      <c r="R425" s="133"/>
      <c r="S425" s="133"/>
      <c r="T425" s="133"/>
      <c r="U425" s="133"/>
      <c r="V425" s="341">
        <f t="shared" si="215"/>
        <v>80.75</v>
      </c>
      <c r="W425" s="335">
        <f t="shared" si="216"/>
        <v>8.4337899543378985</v>
      </c>
    </row>
    <row r="426" spans="1:23" ht="15.75">
      <c r="A426" s="145">
        <f t="shared" si="217"/>
        <v>948</v>
      </c>
      <c r="B426" s="145">
        <v>1344</v>
      </c>
      <c r="C426" s="214">
        <f t="shared" si="218"/>
        <v>1.3440000000000001</v>
      </c>
      <c r="D426" s="215">
        <v>0</v>
      </c>
      <c r="E426" s="214">
        <f t="shared" si="205"/>
        <v>1.3440000000000001</v>
      </c>
      <c r="F426" s="331">
        <f>ROUND((+$E426*4000)/12,0)</f>
        <v>448</v>
      </c>
      <c r="G426" s="332">
        <f t="shared" si="206"/>
        <v>981</v>
      </c>
      <c r="H426" s="141">
        <f t="shared" si="207"/>
        <v>12.55</v>
      </c>
      <c r="I426" s="142">
        <f t="shared" si="208"/>
        <v>269</v>
      </c>
      <c r="J426" s="141">
        <f t="shared" si="209"/>
        <v>28.73</v>
      </c>
      <c r="K426" s="142">
        <f t="shared" si="210"/>
        <v>179</v>
      </c>
      <c r="L426" s="142">
        <f t="shared" si="211"/>
        <v>712</v>
      </c>
      <c r="M426" s="141">
        <f t="shared" si="212"/>
        <v>12.69</v>
      </c>
      <c r="N426" s="141">
        <f t="shared" si="213"/>
        <v>50.48</v>
      </c>
      <c r="O426" s="333">
        <f t="shared" si="219"/>
        <v>53.97</v>
      </c>
      <c r="P426" s="334">
        <f t="shared" si="214"/>
        <v>91.759999999999991</v>
      </c>
      <c r="Q426" s="133"/>
      <c r="R426" s="133"/>
      <c r="S426" s="133"/>
      <c r="T426" s="133"/>
      <c r="U426" s="133"/>
      <c r="V426" s="335">
        <f t="shared" si="215"/>
        <v>12.046875</v>
      </c>
      <c r="W426" s="335">
        <f t="shared" si="216"/>
        <v>9.3537206931702332</v>
      </c>
    </row>
    <row r="427" spans="1:23" ht="15.75">
      <c r="A427" s="145">
        <f t="shared" si="217"/>
        <v>949</v>
      </c>
      <c r="B427" s="145">
        <v>75</v>
      </c>
      <c r="C427" s="214">
        <f t="shared" si="218"/>
        <v>7.4999999999999997E-2</v>
      </c>
      <c r="D427" s="215">
        <v>0</v>
      </c>
      <c r="E427" s="214">
        <f t="shared" si="205"/>
        <v>7.4999999999999997E-2</v>
      </c>
      <c r="F427" s="331">
        <f>ROUND((+$E427*4000)/12,0)</f>
        <v>25</v>
      </c>
      <c r="G427" s="332">
        <f t="shared" si="206"/>
        <v>55</v>
      </c>
      <c r="H427" s="141">
        <f t="shared" si="207"/>
        <v>0.7</v>
      </c>
      <c r="I427" s="142">
        <f t="shared" si="208"/>
        <v>15</v>
      </c>
      <c r="J427" s="141">
        <f t="shared" si="209"/>
        <v>1.6</v>
      </c>
      <c r="K427" s="142">
        <f t="shared" si="210"/>
        <v>10</v>
      </c>
      <c r="L427" s="142">
        <f t="shared" si="211"/>
        <v>40</v>
      </c>
      <c r="M427" s="141">
        <f t="shared" si="212"/>
        <v>0.71</v>
      </c>
      <c r="N427" s="141">
        <f t="shared" si="213"/>
        <v>2.84</v>
      </c>
      <c r="O427" s="337">
        <f t="shared" si="219"/>
        <v>3.01</v>
      </c>
      <c r="P427" s="141">
        <f t="shared" si="214"/>
        <v>5.14</v>
      </c>
      <c r="Q427" s="30" t="s">
        <v>258</v>
      </c>
      <c r="R427" s="133"/>
      <c r="S427" s="133"/>
      <c r="T427" s="133"/>
      <c r="U427" s="133"/>
      <c r="V427" s="335">
        <f t="shared" si="215"/>
        <v>12.04</v>
      </c>
      <c r="W427" s="335">
        <f t="shared" si="216"/>
        <v>9.3454545454545439</v>
      </c>
    </row>
    <row r="428" spans="1:23" ht="15.75">
      <c r="A428" s="145">
        <f t="shared" si="217"/>
        <v>950</v>
      </c>
      <c r="B428" s="145">
        <v>1440</v>
      </c>
      <c r="C428" s="214">
        <f t="shared" si="218"/>
        <v>1.44</v>
      </c>
      <c r="D428" s="215">
        <v>0</v>
      </c>
      <c r="E428" s="214">
        <f t="shared" si="205"/>
        <v>1.44</v>
      </c>
      <c r="F428" s="336">
        <f>ROUND((+$E428*4000)/12,0)</f>
        <v>480</v>
      </c>
      <c r="G428" s="331">
        <f t="shared" si="206"/>
        <v>1051</v>
      </c>
      <c r="H428" s="334">
        <f t="shared" si="207"/>
        <v>13.45</v>
      </c>
      <c r="I428" s="142">
        <f t="shared" si="208"/>
        <v>288</v>
      </c>
      <c r="J428" s="141">
        <f t="shared" si="209"/>
        <v>30.76</v>
      </c>
      <c r="K428" s="142">
        <f t="shared" si="210"/>
        <v>192</v>
      </c>
      <c r="L428" s="142">
        <f t="shared" si="211"/>
        <v>763</v>
      </c>
      <c r="M428" s="141">
        <f t="shared" si="212"/>
        <v>13.61</v>
      </c>
      <c r="N428" s="141">
        <f t="shared" si="213"/>
        <v>54.1</v>
      </c>
      <c r="O428" s="141">
        <f t="shared" si="219"/>
        <v>57.82</v>
      </c>
      <c r="P428" s="333">
        <f t="shared" si="214"/>
        <v>98.31</v>
      </c>
      <c r="Q428" s="330"/>
      <c r="R428" s="133"/>
      <c r="S428" s="133"/>
      <c r="T428" s="133"/>
      <c r="U428" s="133"/>
      <c r="V428" s="335">
        <f t="shared" si="215"/>
        <v>12.045833333333334</v>
      </c>
      <c r="W428" s="335">
        <f t="shared" si="216"/>
        <v>9.3539486203615603</v>
      </c>
    </row>
    <row r="429" spans="1:23" ht="15.75">
      <c r="A429" s="145">
        <f t="shared" si="217"/>
        <v>951</v>
      </c>
      <c r="B429" s="145">
        <v>2000</v>
      </c>
      <c r="C429" s="214">
        <f t="shared" si="218"/>
        <v>2</v>
      </c>
      <c r="D429" s="215">
        <v>0</v>
      </c>
      <c r="E429" s="214">
        <f t="shared" si="205"/>
        <v>2</v>
      </c>
      <c r="F429" s="331">
        <f>ROUND((+$E429*4000)/12,0)</f>
        <v>667</v>
      </c>
      <c r="G429" s="338">
        <f t="shared" si="206"/>
        <v>1460</v>
      </c>
      <c r="H429" s="141">
        <f t="shared" si="207"/>
        <v>18.68</v>
      </c>
      <c r="I429" s="142">
        <f t="shared" si="208"/>
        <v>400</v>
      </c>
      <c r="J429" s="141">
        <f t="shared" si="209"/>
        <v>42.72</v>
      </c>
      <c r="K429" s="142">
        <f t="shared" si="210"/>
        <v>267</v>
      </c>
      <c r="L429" s="142">
        <f t="shared" si="211"/>
        <v>1060</v>
      </c>
      <c r="M429" s="141">
        <f t="shared" si="212"/>
        <v>18.93</v>
      </c>
      <c r="N429" s="141">
        <f t="shared" si="213"/>
        <v>75.16</v>
      </c>
      <c r="O429" s="333">
        <f t="shared" si="219"/>
        <v>80.33</v>
      </c>
      <c r="P429" s="339">
        <f t="shared" si="214"/>
        <v>136.56</v>
      </c>
      <c r="Q429" s="133"/>
      <c r="R429" s="133"/>
      <c r="S429" s="133"/>
      <c r="T429" s="133"/>
      <c r="U429" s="133"/>
      <c r="V429" s="335">
        <f t="shared" si="215"/>
        <v>12.043478260869565</v>
      </c>
      <c r="W429" s="335">
        <f t="shared" si="216"/>
        <v>9.3534246575342461</v>
      </c>
    </row>
    <row r="430" spans="1:23" ht="15.75">
      <c r="A430" s="145">
        <f t="shared" si="217"/>
        <v>952</v>
      </c>
      <c r="B430" s="145">
        <v>1119</v>
      </c>
      <c r="C430" s="214">
        <f t="shared" si="218"/>
        <v>1.119</v>
      </c>
      <c r="D430" s="215">
        <v>0</v>
      </c>
      <c r="E430" s="214">
        <f t="shared" si="205"/>
        <v>1.119</v>
      </c>
      <c r="F430" s="336">
        <v>0</v>
      </c>
      <c r="G430" s="142">
        <v>0</v>
      </c>
      <c r="H430" s="141">
        <f t="shared" si="207"/>
        <v>10.45</v>
      </c>
      <c r="I430" s="142">
        <f t="shared" si="208"/>
        <v>0</v>
      </c>
      <c r="J430" s="141">
        <f t="shared" si="209"/>
        <v>0</v>
      </c>
      <c r="K430" s="142">
        <f t="shared" si="210"/>
        <v>0</v>
      </c>
      <c r="L430" s="142">
        <f t="shared" si="211"/>
        <v>0</v>
      </c>
      <c r="M430" s="141">
        <f t="shared" si="212"/>
        <v>0</v>
      </c>
      <c r="N430" s="141">
        <f t="shared" si="213"/>
        <v>0</v>
      </c>
      <c r="O430" s="337">
        <f t="shared" si="219"/>
        <v>10.45</v>
      </c>
      <c r="P430" s="141">
        <f t="shared" si="214"/>
        <v>10.45</v>
      </c>
      <c r="Q430" s="53" t="s">
        <v>259</v>
      </c>
      <c r="R430" s="133"/>
      <c r="S430" s="133"/>
      <c r="T430" s="133"/>
      <c r="U430" s="133"/>
      <c r="V430" s="335" t="e">
        <f t="shared" si="215"/>
        <v>#DIV/0!</v>
      </c>
      <c r="W430" s="335" t="e">
        <f t="shared" si="216"/>
        <v>#DIV/0!</v>
      </c>
    </row>
    <row r="431" spans="1:23" ht="15.75">
      <c r="A431" s="145">
        <f t="shared" si="217"/>
        <v>953</v>
      </c>
      <c r="B431" s="145">
        <v>1548</v>
      </c>
      <c r="C431" s="214">
        <f t="shared" si="218"/>
        <v>1.548</v>
      </c>
      <c r="D431" s="215">
        <v>0</v>
      </c>
      <c r="E431" s="214">
        <f t="shared" si="205"/>
        <v>1.548</v>
      </c>
      <c r="F431" s="142">
        <f t="shared" ref="F431:F439" si="220">ROUND((+$E431*4000)/12,0)</f>
        <v>516</v>
      </c>
      <c r="G431" s="331">
        <f t="shared" ref="G431:G444" si="221">ROUND((+$E431*8760)/12,0)</f>
        <v>1130</v>
      </c>
      <c r="H431" s="334">
        <f t="shared" si="207"/>
        <v>14.46</v>
      </c>
      <c r="I431" s="142">
        <f t="shared" si="208"/>
        <v>310</v>
      </c>
      <c r="J431" s="141">
        <f t="shared" si="209"/>
        <v>33.11</v>
      </c>
      <c r="K431" s="142">
        <f t="shared" si="210"/>
        <v>206</v>
      </c>
      <c r="L431" s="142">
        <f t="shared" si="211"/>
        <v>820</v>
      </c>
      <c r="M431" s="141">
        <f t="shared" si="212"/>
        <v>14.61</v>
      </c>
      <c r="N431" s="141">
        <f t="shared" si="213"/>
        <v>58.14</v>
      </c>
      <c r="O431" s="141">
        <f t="shared" si="219"/>
        <v>62.18</v>
      </c>
      <c r="P431" s="333">
        <f t="shared" si="214"/>
        <v>105.71000000000001</v>
      </c>
      <c r="Q431" s="330"/>
      <c r="R431" s="133"/>
      <c r="S431" s="133"/>
      <c r="T431" s="133"/>
      <c r="U431" s="133"/>
      <c r="V431" s="335">
        <f t="shared" si="215"/>
        <v>12.050387596899224</v>
      </c>
      <c r="W431" s="335">
        <f t="shared" si="216"/>
        <v>9.3548672566371689</v>
      </c>
    </row>
    <row r="432" spans="1:23" ht="15.75">
      <c r="A432" s="43">
        <f t="shared" si="217"/>
        <v>954</v>
      </c>
      <c r="B432" s="43">
        <v>175</v>
      </c>
      <c r="C432" s="288"/>
      <c r="D432" s="289">
        <v>0</v>
      </c>
      <c r="E432" s="288">
        <f t="shared" si="205"/>
        <v>0</v>
      </c>
      <c r="F432" s="292">
        <f t="shared" si="220"/>
        <v>0</v>
      </c>
      <c r="G432" s="342">
        <f t="shared" si="221"/>
        <v>0</v>
      </c>
      <c r="H432" s="291">
        <f t="shared" si="207"/>
        <v>0</v>
      </c>
      <c r="I432" s="292">
        <f t="shared" si="208"/>
        <v>0</v>
      </c>
      <c r="J432" s="291">
        <f t="shared" si="209"/>
        <v>0</v>
      </c>
      <c r="K432" s="292">
        <f t="shared" si="210"/>
        <v>0</v>
      </c>
      <c r="L432" s="292">
        <f t="shared" si="211"/>
        <v>0</v>
      </c>
      <c r="M432" s="291">
        <f t="shared" si="212"/>
        <v>0</v>
      </c>
      <c r="N432" s="291">
        <f t="shared" si="213"/>
        <v>0</v>
      </c>
      <c r="O432" s="544">
        <f>+'Schedule 9'!E23+'Schedule 9'!F23</f>
        <v>7.2335831051822943</v>
      </c>
      <c r="P432" s="343">
        <f t="shared" si="214"/>
        <v>0</v>
      </c>
      <c r="Q432" s="146" t="s">
        <v>260</v>
      </c>
      <c r="R432" s="133"/>
      <c r="S432" s="133"/>
      <c r="T432" s="133"/>
      <c r="U432" s="133" t="s">
        <v>535</v>
      </c>
      <c r="V432" s="335" t="e">
        <f t="shared" si="215"/>
        <v>#DIV/0!</v>
      </c>
      <c r="W432" s="335" t="e">
        <f t="shared" si="216"/>
        <v>#DIV/0!</v>
      </c>
    </row>
    <row r="433" spans="1:23" ht="15.75">
      <c r="A433" s="43">
        <f t="shared" si="217"/>
        <v>955</v>
      </c>
      <c r="B433" s="43">
        <v>100</v>
      </c>
      <c r="C433" s="288"/>
      <c r="D433" s="289">
        <v>0</v>
      </c>
      <c r="E433" s="288">
        <f t="shared" si="205"/>
        <v>0</v>
      </c>
      <c r="F433" s="292">
        <f t="shared" si="220"/>
        <v>0</v>
      </c>
      <c r="G433" s="292">
        <f t="shared" si="221"/>
        <v>0</v>
      </c>
      <c r="H433" s="291">
        <f t="shared" si="207"/>
        <v>0</v>
      </c>
      <c r="I433" s="292">
        <f t="shared" si="208"/>
        <v>0</v>
      </c>
      <c r="J433" s="291">
        <f t="shared" si="209"/>
        <v>0</v>
      </c>
      <c r="K433" s="292">
        <f t="shared" si="210"/>
        <v>0</v>
      </c>
      <c r="L433" s="292">
        <f t="shared" si="211"/>
        <v>0</v>
      </c>
      <c r="M433" s="291">
        <f t="shared" si="212"/>
        <v>0</v>
      </c>
      <c r="N433" s="291">
        <f t="shared" si="213"/>
        <v>0</v>
      </c>
      <c r="O433" s="544">
        <f>+'Schedule 9'!E100+'Schedule 9'!F100</f>
        <v>7.3274636985513695</v>
      </c>
      <c r="P433" s="291">
        <f t="shared" si="214"/>
        <v>0</v>
      </c>
      <c r="Q433" s="146" t="s">
        <v>261</v>
      </c>
      <c r="R433" s="133"/>
      <c r="S433" s="133"/>
      <c r="T433" s="133"/>
      <c r="U433" s="133" t="s">
        <v>535</v>
      </c>
      <c r="V433" s="335" t="e">
        <f t="shared" si="215"/>
        <v>#DIV/0!</v>
      </c>
      <c r="W433" s="335" t="e">
        <f t="shared" si="216"/>
        <v>#DIV/0!</v>
      </c>
    </row>
    <row r="434" spans="1:23" ht="15.75">
      <c r="A434" s="145">
        <f t="shared" si="217"/>
        <v>956</v>
      </c>
      <c r="B434" s="145">
        <v>250</v>
      </c>
      <c r="C434" s="214">
        <f t="shared" ref="C434:C465" si="222">B434/1000</f>
        <v>0.25</v>
      </c>
      <c r="D434" s="215">
        <v>0</v>
      </c>
      <c r="E434" s="214">
        <f t="shared" si="205"/>
        <v>0.25</v>
      </c>
      <c r="F434" s="142">
        <f t="shared" si="220"/>
        <v>83</v>
      </c>
      <c r="G434" s="142">
        <f t="shared" si="221"/>
        <v>183</v>
      </c>
      <c r="H434" s="141">
        <f t="shared" si="207"/>
        <v>2.33</v>
      </c>
      <c r="I434" s="142">
        <f t="shared" si="208"/>
        <v>50</v>
      </c>
      <c r="J434" s="141">
        <f t="shared" si="209"/>
        <v>5.34</v>
      </c>
      <c r="K434" s="142">
        <f t="shared" si="210"/>
        <v>33</v>
      </c>
      <c r="L434" s="142">
        <f t="shared" si="211"/>
        <v>133</v>
      </c>
      <c r="M434" s="141">
        <f t="shared" si="212"/>
        <v>2.34</v>
      </c>
      <c r="N434" s="141">
        <f t="shared" si="213"/>
        <v>9.43</v>
      </c>
      <c r="O434" s="141">
        <f t="shared" ref="O434:O465" si="223">H434+J434+M434</f>
        <v>10.01</v>
      </c>
      <c r="P434" s="295">
        <f t="shared" si="214"/>
        <v>17.100000000000001</v>
      </c>
      <c r="Q434" s="30" t="s">
        <v>262</v>
      </c>
      <c r="R434" s="133"/>
      <c r="S434" s="133"/>
      <c r="T434" s="133"/>
      <c r="U434" s="133"/>
      <c r="V434" s="335">
        <f t="shared" si="215"/>
        <v>12.060240963855422</v>
      </c>
      <c r="W434" s="335">
        <f t="shared" si="216"/>
        <v>9.3442622950819683</v>
      </c>
    </row>
    <row r="435" spans="1:23" ht="15.75">
      <c r="A435" s="145">
        <f t="shared" si="217"/>
        <v>957</v>
      </c>
      <c r="B435" s="145">
        <v>90</v>
      </c>
      <c r="C435" s="214">
        <f t="shared" si="222"/>
        <v>0.09</v>
      </c>
      <c r="D435" s="215">
        <v>0.1</v>
      </c>
      <c r="E435" s="214">
        <f t="shared" si="205"/>
        <v>9.8999999999999991E-2</v>
      </c>
      <c r="F435" s="331">
        <f t="shared" si="220"/>
        <v>33</v>
      </c>
      <c r="G435" s="332">
        <f t="shared" si="221"/>
        <v>72</v>
      </c>
      <c r="H435" s="141">
        <f t="shared" si="207"/>
        <v>0.92</v>
      </c>
      <c r="I435" s="142">
        <f t="shared" si="208"/>
        <v>20</v>
      </c>
      <c r="J435" s="141">
        <f t="shared" si="209"/>
        <v>2.14</v>
      </c>
      <c r="K435" s="142">
        <f t="shared" si="210"/>
        <v>13</v>
      </c>
      <c r="L435" s="142">
        <f t="shared" si="211"/>
        <v>52</v>
      </c>
      <c r="M435" s="141">
        <f t="shared" si="212"/>
        <v>0.92</v>
      </c>
      <c r="N435" s="141">
        <f t="shared" si="213"/>
        <v>3.69</v>
      </c>
      <c r="O435" s="141">
        <f t="shared" si="223"/>
        <v>3.98</v>
      </c>
      <c r="P435" s="141">
        <f t="shared" si="214"/>
        <v>6.75</v>
      </c>
      <c r="Q435" s="30" t="s">
        <v>263</v>
      </c>
      <c r="R435" s="133"/>
      <c r="S435" s="133"/>
      <c r="T435" s="133"/>
      <c r="U435" s="133"/>
      <c r="V435" s="335">
        <f t="shared" si="215"/>
        <v>12.060606060606061</v>
      </c>
      <c r="W435" s="335">
        <f t="shared" si="216"/>
        <v>9.375</v>
      </c>
    </row>
    <row r="436" spans="1:23" ht="15.75">
      <c r="A436" s="145">
        <f t="shared" si="217"/>
        <v>958</v>
      </c>
      <c r="B436" s="145">
        <v>850</v>
      </c>
      <c r="C436" s="214">
        <f t="shared" si="222"/>
        <v>0.85</v>
      </c>
      <c r="D436" s="215">
        <v>0</v>
      </c>
      <c r="E436" s="214">
        <f t="shared" si="205"/>
        <v>0.85</v>
      </c>
      <c r="F436" s="331">
        <f t="shared" si="220"/>
        <v>283</v>
      </c>
      <c r="G436" s="332">
        <f t="shared" si="221"/>
        <v>621</v>
      </c>
      <c r="H436" s="141">
        <f t="shared" si="207"/>
        <v>7.94</v>
      </c>
      <c r="I436" s="142">
        <f t="shared" si="208"/>
        <v>170</v>
      </c>
      <c r="J436" s="141">
        <f t="shared" si="209"/>
        <v>18.16</v>
      </c>
      <c r="K436" s="142">
        <f t="shared" si="210"/>
        <v>113</v>
      </c>
      <c r="L436" s="142">
        <f t="shared" si="211"/>
        <v>451</v>
      </c>
      <c r="M436" s="141">
        <f t="shared" si="212"/>
        <v>8.01</v>
      </c>
      <c r="N436" s="141">
        <f t="shared" si="213"/>
        <v>31.98</v>
      </c>
      <c r="O436" s="333">
        <f t="shared" si="223"/>
        <v>34.11</v>
      </c>
      <c r="P436" s="334">
        <f t="shared" si="214"/>
        <v>58.08</v>
      </c>
      <c r="Q436" s="133"/>
      <c r="R436" s="133"/>
      <c r="S436" s="133"/>
      <c r="T436" s="133"/>
      <c r="U436" s="133"/>
      <c r="V436" s="335">
        <f t="shared" si="215"/>
        <v>12.053003533568903</v>
      </c>
      <c r="W436" s="335">
        <f t="shared" si="216"/>
        <v>9.3526570048309186</v>
      </c>
    </row>
    <row r="437" spans="1:23" ht="15.75">
      <c r="A437" s="145">
        <f t="shared" si="217"/>
        <v>959</v>
      </c>
      <c r="B437" s="145">
        <v>980</v>
      </c>
      <c r="C437" s="214">
        <f t="shared" si="222"/>
        <v>0.98</v>
      </c>
      <c r="D437" s="215">
        <v>0</v>
      </c>
      <c r="E437" s="214">
        <f t="shared" si="205"/>
        <v>0.98</v>
      </c>
      <c r="F437" s="331">
        <f t="shared" si="220"/>
        <v>327</v>
      </c>
      <c r="G437" s="332">
        <f t="shared" si="221"/>
        <v>715</v>
      </c>
      <c r="H437" s="141">
        <f t="shared" si="207"/>
        <v>9.15</v>
      </c>
      <c r="I437" s="142">
        <f t="shared" si="208"/>
        <v>196</v>
      </c>
      <c r="J437" s="141">
        <f t="shared" si="209"/>
        <v>20.93</v>
      </c>
      <c r="K437" s="142">
        <f t="shared" si="210"/>
        <v>131</v>
      </c>
      <c r="L437" s="142">
        <f t="shared" si="211"/>
        <v>519</v>
      </c>
      <c r="M437" s="141">
        <f t="shared" si="212"/>
        <v>9.2899999999999991</v>
      </c>
      <c r="N437" s="141">
        <f t="shared" si="213"/>
        <v>36.799999999999997</v>
      </c>
      <c r="O437" s="333">
        <f t="shared" si="223"/>
        <v>39.369999999999997</v>
      </c>
      <c r="P437" s="334">
        <f t="shared" si="214"/>
        <v>66.88</v>
      </c>
      <c r="Q437" s="133"/>
      <c r="R437" s="133"/>
      <c r="S437" s="133"/>
      <c r="T437" s="133"/>
      <c r="U437" s="133"/>
      <c r="V437" s="335">
        <f t="shared" si="215"/>
        <v>12.039755351681956</v>
      </c>
      <c r="W437" s="335">
        <f t="shared" si="216"/>
        <v>9.3538461538461526</v>
      </c>
    </row>
    <row r="438" spans="1:23" ht="15.75">
      <c r="A438" s="145">
        <f t="shared" si="217"/>
        <v>960</v>
      </c>
      <c r="B438" s="145">
        <v>2400</v>
      </c>
      <c r="C438" s="214">
        <f t="shared" si="222"/>
        <v>2.4</v>
      </c>
      <c r="D438" s="215">
        <v>0</v>
      </c>
      <c r="E438" s="214">
        <f t="shared" si="205"/>
        <v>2.4</v>
      </c>
      <c r="F438" s="336">
        <f t="shared" si="220"/>
        <v>800</v>
      </c>
      <c r="G438" s="331">
        <f t="shared" si="221"/>
        <v>1752</v>
      </c>
      <c r="H438" s="334">
        <f t="shared" si="207"/>
        <v>22.41</v>
      </c>
      <c r="I438" s="142">
        <f t="shared" si="208"/>
        <v>480</v>
      </c>
      <c r="J438" s="141">
        <f t="shared" si="209"/>
        <v>51.27</v>
      </c>
      <c r="K438" s="142">
        <f t="shared" si="210"/>
        <v>320</v>
      </c>
      <c r="L438" s="142">
        <f t="shared" si="211"/>
        <v>1272</v>
      </c>
      <c r="M438" s="141">
        <f t="shared" si="212"/>
        <v>22.69</v>
      </c>
      <c r="N438" s="141">
        <f t="shared" si="213"/>
        <v>90.19</v>
      </c>
      <c r="O438" s="337">
        <f t="shared" si="223"/>
        <v>96.37</v>
      </c>
      <c r="P438" s="333">
        <f t="shared" si="214"/>
        <v>163.87</v>
      </c>
      <c r="Q438" s="330"/>
      <c r="R438" s="133"/>
      <c r="S438" s="133"/>
      <c r="T438" s="133"/>
      <c r="U438" s="133"/>
      <c r="V438" s="335">
        <f t="shared" si="215"/>
        <v>12.046250000000001</v>
      </c>
      <c r="W438" s="335">
        <f t="shared" si="216"/>
        <v>9.3533105022831045</v>
      </c>
    </row>
    <row r="439" spans="1:23" ht="16.5" thickBot="1">
      <c r="A439" s="145">
        <f t="shared" si="217"/>
        <v>961</v>
      </c>
      <c r="B439" s="145">
        <v>5</v>
      </c>
      <c r="C439" s="214">
        <f t="shared" si="222"/>
        <v>5.0000000000000001E-3</v>
      </c>
      <c r="D439" s="215">
        <v>0</v>
      </c>
      <c r="E439" s="214">
        <f t="shared" si="205"/>
        <v>5.0000000000000001E-3</v>
      </c>
      <c r="F439" s="142">
        <f t="shared" si="220"/>
        <v>2</v>
      </c>
      <c r="G439" s="336">
        <f t="shared" si="221"/>
        <v>4</v>
      </c>
      <c r="H439" s="141">
        <f t="shared" si="207"/>
        <v>0.05</v>
      </c>
      <c r="I439" s="142">
        <f t="shared" si="208"/>
        <v>1</v>
      </c>
      <c r="J439" s="141">
        <f t="shared" si="209"/>
        <v>0.11</v>
      </c>
      <c r="K439" s="142">
        <f t="shared" si="210"/>
        <v>1</v>
      </c>
      <c r="L439" s="142">
        <f t="shared" si="211"/>
        <v>3</v>
      </c>
      <c r="M439" s="141">
        <f t="shared" si="212"/>
        <v>7.0000000000000007E-2</v>
      </c>
      <c r="N439" s="141">
        <f t="shared" si="213"/>
        <v>0.21</v>
      </c>
      <c r="O439" s="141">
        <f t="shared" si="223"/>
        <v>0.23</v>
      </c>
      <c r="P439" s="337">
        <f t="shared" si="214"/>
        <v>0.37</v>
      </c>
      <c r="Q439" s="30" t="s">
        <v>245</v>
      </c>
      <c r="R439" s="133"/>
      <c r="S439" s="133"/>
      <c r="T439" s="133"/>
      <c r="U439" s="133"/>
      <c r="V439" s="341">
        <f t="shared" si="215"/>
        <v>11.5</v>
      </c>
      <c r="W439" s="335">
        <f t="shared" si="216"/>
        <v>9.25</v>
      </c>
    </row>
    <row r="440" spans="1:23" ht="16.5" thickBot="1">
      <c r="A440" s="145">
        <f t="shared" si="217"/>
        <v>962</v>
      </c>
      <c r="B440" s="145">
        <v>100</v>
      </c>
      <c r="C440" s="214">
        <f t="shared" si="222"/>
        <v>0.1</v>
      </c>
      <c r="D440" s="215">
        <v>0</v>
      </c>
      <c r="E440" s="214">
        <f t="shared" si="205"/>
        <v>0.1</v>
      </c>
      <c r="F440" s="360">
        <f>ROUND((+$E440*0.25*12)/12,0)</f>
        <v>0</v>
      </c>
      <c r="G440" s="142">
        <f t="shared" si="221"/>
        <v>73</v>
      </c>
      <c r="H440" s="141">
        <f t="shared" si="207"/>
        <v>0.93</v>
      </c>
      <c r="I440" s="142">
        <f t="shared" si="208"/>
        <v>0</v>
      </c>
      <c r="J440" s="141">
        <f t="shared" si="209"/>
        <v>0</v>
      </c>
      <c r="K440" s="142">
        <f t="shared" si="210"/>
        <v>0</v>
      </c>
      <c r="L440" s="142">
        <f t="shared" si="211"/>
        <v>73</v>
      </c>
      <c r="M440" s="141">
        <f t="shared" si="212"/>
        <v>0</v>
      </c>
      <c r="N440" s="141">
        <f t="shared" si="213"/>
        <v>5.18</v>
      </c>
      <c r="O440" s="141">
        <f t="shared" si="223"/>
        <v>0.93</v>
      </c>
      <c r="P440" s="141">
        <f t="shared" si="214"/>
        <v>6.1099999999999994</v>
      </c>
      <c r="Q440" s="30" t="s">
        <v>245</v>
      </c>
      <c r="R440" s="133"/>
      <c r="S440" s="133"/>
      <c r="T440" s="133"/>
      <c r="U440" s="133"/>
      <c r="V440" s="335" t="e">
        <f t="shared" si="215"/>
        <v>#DIV/0!</v>
      </c>
      <c r="W440" s="335">
        <f t="shared" si="216"/>
        <v>8.3698630136986285</v>
      </c>
    </row>
    <row r="441" spans="1:23" ht="16.5" thickBot="1">
      <c r="A441" s="145">
        <f t="shared" si="217"/>
        <v>963</v>
      </c>
      <c r="B441" s="145">
        <v>249</v>
      </c>
      <c r="C441" s="214">
        <f t="shared" si="222"/>
        <v>0.249</v>
      </c>
      <c r="D441" s="215">
        <v>0</v>
      </c>
      <c r="E441" s="214">
        <f t="shared" si="205"/>
        <v>0.249</v>
      </c>
      <c r="F441" s="360">
        <f>ROUND((+$E441*5*12)/12,0)</f>
        <v>1</v>
      </c>
      <c r="G441" s="142">
        <f t="shared" si="221"/>
        <v>182</v>
      </c>
      <c r="H441" s="141">
        <f t="shared" si="207"/>
        <v>2.33</v>
      </c>
      <c r="I441" s="142">
        <f t="shared" si="208"/>
        <v>1</v>
      </c>
      <c r="J441" s="141">
        <f t="shared" si="209"/>
        <v>0.11</v>
      </c>
      <c r="K441" s="142">
        <f t="shared" si="210"/>
        <v>0</v>
      </c>
      <c r="L441" s="142">
        <f t="shared" si="211"/>
        <v>181</v>
      </c>
      <c r="M441" s="141">
        <f t="shared" si="212"/>
        <v>0</v>
      </c>
      <c r="N441" s="141">
        <f t="shared" si="213"/>
        <v>12.83</v>
      </c>
      <c r="O441" s="141">
        <f t="shared" si="223"/>
        <v>2.44</v>
      </c>
      <c r="P441" s="141">
        <f t="shared" si="214"/>
        <v>15.27</v>
      </c>
      <c r="Q441" s="30" t="s">
        <v>245</v>
      </c>
      <c r="R441" s="133"/>
      <c r="S441" s="133"/>
      <c r="T441" s="133"/>
      <c r="U441" s="133"/>
      <c r="V441" s="335">
        <f t="shared" si="215"/>
        <v>244</v>
      </c>
      <c r="W441" s="335">
        <f t="shared" si="216"/>
        <v>8.3901098901098905</v>
      </c>
    </row>
    <row r="442" spans="1:23" ht="15.75">
      <c r="A442" s="145">
        <f t="shared" si="217"/>
        <v>964</v>
      </c>
      <c r="B442" s="145">
        <v>319</v>
      </c>
      <c r="C442" s="214">
        <f t="shared" si="222"/>
        <v>0.31900000000000001</v>
      </c>
      <c r="D442" s="215">
        <v>0.1</v>
      </c>
      <c r="E442" s="214">
        <f t="shared" si="205"/>
        <v>0.35089999999999999</v>
      </c>
      <c r="F442" s="361">
        <f>ROUND((+$E442*4000)/12,0)</f>
        <v>117</v>
      </c>
      <c r="G442" s="332">
        <f t="shared" si="221"/>
        <v>256</v>
      </c>
      <c r="H442" s="141">
        <f t="shared" si="207"/>
        <v>3.28</v>
      </c>
      <c r="I442" s="142">
        <f t="shared" si="208"/>
        <v>70</v>
      </c>
      <c r="J442" s="141">
        <f t="shared" si="209"/>
        <v>7.48</v>
      </c>
      <c r="K442" s="142">
        <f t="shared" si="210"/>
        <v>47</v>
      </c>
      <c r="L442" s="142">
        <f t="shared" si="211"/>
        <v>186</v>
      </c>
      <c r="M442" s="141">
        <f t="shared" si="212"/>
        <v>3.33</v>
      </c>
      <c r="N442" s="141">
        <f t="shared" si="213"/>
        <v>13.19</v>
      </c>
      <c r="O442" s="141">
        <f t="shared" si="223"/>
        <v>14.09</v>
      </c>
      <c r="P442" s="141">
        <f t="shared" si="214"/>
        <v>23.95</v>
      </c>
      <c r="Q442" s="30" t="s">
        <v>264</v>
      </c>
      <c r="R442" s="133"/>
      <c r="S442" s="133"/>
      <c r="T442" s="133"/>
      <c r="U442" s="133"/>
      <c r="V442" s="335">
        <f t="shared" si="215"/>
        <v>12.042735042735043</v>
      </c>
      <c r="W442" s="335">
        <f t="shared" si="216"/>
        <v>9.35546875</v>
      </c>
    </row>
    <row r="443" spans="1:23" ht="15.75">
      <c r="A443" s="145">
        <f t="shared" si="217"/>
        <v>965</v>
      </c>
      <c r="B443" s="145">
        <v>2420</v>
      </c>
      <c r="C443" s="214">
        <f t="shared" si="222"/>
        <v>2.42</v>
      </c>
      <c r="D443" s="215">
        <v>0</v>
      </c>
      <c r="E443" s="214">
        <f t="shared" ref="E443:E474" si="224">(+C443*D443)+C443</f>
        <v>2.42</v>
      </c>
      <c r="F443" s="336">
        <f>ROUND((+$E443*4000)/12,0)</f>
        <v>807</v>
      </c>
      <c r="G443" s="142">
        <f t="shared" si="221"/>
        <v>1767</v>
      </c>
      <c r="H443" s="141">
        <f t="shared" ref="H443:H474" si="225">ROUND(+E443*D$7,2)</f>
        <v>22.6</v>
      </c>
      <c r="I443" s="142">
        <f t="shared" ref="I443:I474" si="226">ROUND(IF((E443*200)&gt;F443,F443,(E443*200)),0)</f>
        <v>484</v>
      </c>
      <c r="J443" s="141">
        <f t="shared" ref="J443:J474" si="227">ROUND(+I443*D$8,2)</f>
        <v>51.69</v>
      </c>
      <c r="K443" s="142">
        <f t="shared" ref="K443:K474" si="228">F443-I443</f>
        <v>323</v>
      </c>
      <c r="L443" s="142">
        <f t="shared" ref="L443:L474" si="229">G443-I443</f>
        <v>1283</v>
      </c>
      <c r="M443" s="141">
        <f t="shared" ref="M443:M474" si="230">ROUND(+K443*D$9,2)</f>
        <v>22.9</v>
      </c>
      <c r="N443" s="141">
        <f t="shared" ref="N443:N474" si="231">ROUND(+L443*D$9,2)</f>
        <v>90.97</v>
      </c>
      <c r="O443" s="346">
        <f t="shared" si="223"/>
        <v>97.19</v>
      </c>
      <c r="P443" s="141">
        <f t="shared" ref="P443:P474" si="232">H443+J443+N443</f>
        <v>165.26</v>
      </c>
      <c r="Q443" s="30" t="s">
        <v>269</v>
      </c>
      <c r="R443" s="133"/>
      <c r="S443" s="133"/>
      <c r="T443" s="133"/>
      <c r="U443" s="133"/>
      <c r="V443" s="335">
        <f t="shared" ref="V443:V474" si="233">+O443/(I443+K443)*100</f>
        <v>12.043370508054522</v>
      </c>
      <c r="W443" s="335">
        <f t="shared" ref="W443:W474" si="234">+P443/(I443+L443)*100</f>
        <v>9.3525749858517262</v>
      </c>
    </row>
    <row r="444" spans="1:23" ht="15.75">
      <c r="A444" s="145">
        <f t="shared" ref="A444:A477" si="235">A443+1</f>
        <v>966</v>
      </c>
      <c r="B444" s="145">
        <v>6500</v>
      </c>
      <c r="C444" s="214">
        <f t="shared" si="222"/>
        <v>6.5</v>
      </c>
      <c r="D444" s="215">
        <v>0</v>
      </c>
      <c r="E444" s="214">
        <f t="shared" si="224"/>
        <v>6.5</v>
      </c>
      <c r="F444" s="344">
        <f>ROUND((+$E444*(130*12))/12,0)</f>
        <v>845</v>
      </c>
      <c r="G444" s="332">
        <f t="shared" si="221"/>
        <v>4745</v>
      </c>
      <c r="H444" s="141">
        <f t="shared" si="225"/>
        <v>60.71</v>
      </c>
      <c r="I444" s="142">
        <f t="shared" si="226"/>
        <v>845</v>
      </c>
      <c r="J444" s="141">
        <f t="shared" si="227"/>
        <v>90.25</v>
      </c>
      <c r="K444" s="142">
        <f t="shared" si="228"/>
        <v>0</v>
      </c>
      <c r="L444" s="142">
        <f t="shared" si="229"/>
        <v>3900</v>
      </c>
      <c r="M444" s="141">
        <f t="shared" si="230"/>
        <v>0</v>
      </c>
      <c r="N444" s="141">
        <f t="shared" si="231"/>
        <v>276.52999999999997</v>
      </c>
      <c r="O444" s="333">
        <f t="shared" si="223"/>
        <v>150.96</v>
      </c>
      <c r="P444" s="334">
        <f t="shared" si="232"/>
        <v>427.49</v>
      </c>
      <c r="Q444" s="133"/>
      <c r="R444" s="133"/>
      <c r="S444" s="133"/>
      <c r="T444" s="133"/>
      <c r="U444" s="133"/>
      <c r="V444" s="341">
        <f t="shared" si="233"/>
        <v>17.86508875739645</v>
      </c>
      <c r="W444" s="335">
        <f t="shared" si="234"/>
        <v>9.00927291886196</v>
      </c>
    </row>
    <row r="445" spans="1:23" ht="15.75">
      <c r="A445" s="145">
        <f t="shared" si="235"/>
        <v>967</v>
      </c>
      <c r="B445" s="145">
        <v>2500</v>
      </c>
      <c r="C445" s="214">
        <f t="shared" si="222"/>
        <v>2.5</v>
      </c>
      <c r="D445" s="215">
        <v>0</v>
      </c>
      <c r="E445" s="214">
        <f t="shared" si="224"/>
        <v>2.5</v>
      </c>
      <c r="F445" s="336">
        <f t="shared" ref="F445:F453" si="236">ROUND((+$E445*4000)/12,0)</f>
        <v>833</v>
      </c>
      <c r="G445" s="344">
        <f>ROUND((+$E445*(528*12))/12,0)</f>
        <v>1320</v>
      </c>
      <c r="H445" s="334">
        <f t="shared" si="225"/>
        <v>23.35</v>
      </c>
      <c r="I445" s="142">
        <f t="shared" si="226"/>
        <v>500</v>
      </c>
      <c r="J445" s="141">
        <f t="shared" si="227"/>
        <v>53.4</v>
      </c>
      <c r="K445" s="142">
        <f t="shared" si="228"/>
        <v>333</v>
      </c>
      <c r="L445" s="142">
        <f t="shared" si="229"/>
        <v>820</v>
      </c>
      <c r="M445" s="141">
        <f t="shared" si="230"/>
        <v>23.61</v>
      </c>
      <c r="N445" s="141">
        <f t="shared" si="231"/>
        <v>58.14</v>
      </c>
      <c r="O445" s="337">
        <f t="shared" si="223"/>
        <v>100.36</v>
      </c>
      <c r="P445" s="333">
        <f t="shared" si="232"/>
        <v>134.88999999999999</v>
      </c>
      <c r="Q445" s="330"/>
      <c r="R445" s="133"/>
      <c r="S445" s="133"/>
      <c r="T445" s="133"/>
      <c r="U445" s="133"/>
      <c r="V445" s="335">
        <f t="shared" si="233"/>
        <v>12.048019207683074</v>
      </c>
      <c r="W445" s="335">
        <f t="shared" si="234"/>
        <v>10.218939393939392</v>
      </c>
    </row>
    <row r="446" spans="1:23" ht="15.75">
      <c r="A446" s="145">
        <f t="shared" si="235"/>
        <v>968</v>
      </c>
      <c r="B446" s="145">
        <v>473</v>
      </c>
      <c r="C446" s="214">
        <f t="shared" si="222"/>
        <v>0.47299999999999998</v>
      </c>
      <c r="D446" s="215">
        <v>0</v>
      </c>
      <c r="E446" s="214">
        <f t="shared" si="224"/>
        <v>0.47299999999999998</v>
      </c>
      <c r="F446" s="142">
        <f t="shared" si="236"/>
        <v>158</v>
      </c>
      <c r="G446" s="362">
        <f t="shared" ref="G446:G487" si="237">ROUND((+$E446*8760)/12,0)</f>
        <v>345</v>
      </c>
      <c r="H446" s="334">
        <f t="shared" si="225"/>
        <v>4.42</v>
      </c>
      <c r="I446" s="142">
        <f t="shared" si="226"/>
        <v>95</v>
      </c>
      <c r="J446" s="141">
        <f t="shared" si="227"/>
        <v>10.15</v>
      </c>
      <c r="K446" s="142">
        <f t="shared" si="228"/>
        <v>63</v>
      </c>
      <c r="L446" s="142">
        <f t="shared" si="229"/>
        <v>250</v>
      </c>
      <c r="M446" s="141">
        <f t="shared" si="230"/>
        <v>4.47</v>
      </c>
      <c r="N446" s="141">
        <f t="shared" si="231"/>
        <v>17.73</v>
      </c>
      <c r="O446" s="141">
        <f t="shared" si="223"/>
        <v>19.04</v>
      </c>
      <c r="P446" s="333">
        <f t="shared" si="232"/>
        <v>32.299999999999997</v>
      </c>
      <c r="Q446" s="330"/>
      <c r="R446" s="133"/>
      <c r="S446" s="133"/>
      <c r="T446" s="133"/>
      <c r="U446" s="133"/>
      <c r="V446" s="335">
        <f t="shared" si="233"/>
        <v>12.050632911392405</v>
      </c>
      <c r="W446" s="335">
        <f t="shared" si="234"/>
        <v>9.3623188405797091</v>
      </c>
    </row>
    <row r="447" spans="1:23" ht="15.75">
      <c r="A447" s="145">
        <f t="shared" si="235"/>
        <v>969</v>
      </c>
      <c r="B447" s="145">
        <v>1488</v>
      </c>
      <c r="C447" s="214">
        <f t="shared" si="222"/>
        <v>1.488</v>
      </c>
      <c r="D447" s="215">
        <v>0</v>
      </c>
      <c r="E447" s="214">
        <f t="shared" si="224"/>
        <v>1.488</v>
      </c>
      <c r="F447" s="331">
        <f t="shared" si="236"/>
        <v>496</v>
      </c>
      <c r="G447" s="363">
        <f t="shared" si="237"/>
        <v>1086</v>
      </c>
      <c r="H447" s="141">
        <f t="shared" si="225"/>
        <v>13.9</v>
      </c>
      <c r="I447" s="142">
        <f t="shared" si="226"/>
        <v>298</v>
      </c>
      <c r="J447" s="141">
        <f t="shared" si="227"/>
        <v>31.83</v>
      </c>
      <c r="K447" s="142">
        <f t="shared" si="228"/>
        <v>198</v>
      </c>
      <c r="L447" s="142">
        <f t="shared" si="229"/>
        <v>788</v>
      </c>
      <c r="M447" s="141">
        <f t="shared" si="230"/>
        <v>14.04</v>
      </c>
      <c r="N447" s="141">
        <f t="shared" si="231"/>
        <v>55.87</v>
      </c>
      <c r="O447" s="333">
        <f t="shared" si="223"/>
        <v>59.769999999999996</v>
      </c>
      <c r="P447" s="339">
        <f t="shared" si="232"/>
        <v>101.6</v>
      </c>
      <c r="Q447" s="133"/>
      <c r="R447" s="133"/>
      <c r="S447" s="133"/>
      <c r="T447" s="133"/>
      <c r="U447" s="133"/>
      <c r="V447" s="335">
        <f t="shared" si="233"/>
        <v>12.050403225806452</v>
      </c>
      <c r="W447" s="335">
        <f t="shared" si="234"/>
        <v>9.3554327808471456</v>
      </c>
    </row>
    <row r="448" spans="1:23" ht="15.75">
      <c r="A448" s="145">
        <f t="shared" si="235"/>
        <v>970</v>
      </c>
      <c r="B448" s="145">
        <v>3200</v>
      </c>
      <c r="C448" s="214">
        <f t="shared" si="222"/>
        <v>3.2</v>
      </c>
      <c r="D448" s="215">
        <v>0</v>
      </c>
      <c r="E448" s="214">
        <f t="shared" si="224"/>
        <v>3.2</v>
      </c>
      <c r="F448" s="331">
        <f t="shared" si="236"/>
        <v>1067</v>
      </c>
      <c r="G448" s="364">
        <f t="shared" si="237"/>
        <v>2336</v>
      </c>
      <c r="H448" s="141">
        <f t="shared" si="225"/>
        <v>29.89</v>
      </c>
      <c r="I448" s="142">
        <f t="shared" si="226"/>
        <v>640</v>
      </c>
      <c r="J448" s="141">
        <f t="shared" si="227"/>
        <v>68.349999999999994</v>
      </c>
      <c r="K448" s="142">
        <f t="shared" si="228"/>
        <v>427</v>
      </c>
      <c r="L448" s="142">
        <f t="shared" si="229"/>
        <v>1696</v>
      </c>
      <c r="M448" s="141">
        <f t="shared" si="230"/>
        <v>30.28</v>
      </c>
      <c r="N448" s="141">
        <f t="shared" si="231"/>
        <v>120.26</v>
      </c>
      <c r="O448" s="333">
        <f t="shared" si="223"/>
        <v>128.51999999999998</v>
      </c>
      <c r="P448" s="334">
        <f t="shared" si="232"/>
        <v>218.5</v>
      </c>
      <c r="Q448" s="133"/>
      <c r="R448" s="133"/>
      <c r="S448" s="133"/>
      <c r="T448" s="133"/>
      <c r="U448" s="133"/>
      <c r="V448" s="335">
        <f t="shared" si="233"/>
        <v>12.044985941893156</v>
      </c>
      <c r="W448" s="335">
        <f t="shared" si="234"/>
        <v>9.3535958904109595</v>
      </c>
    </row>
    <row r="449" spans="1:23" ht="15.75">
      <c r="A449" s="145">
        <f t="shared" si="235"/>
        <v>971</v>
      </c>
      <c r="B449" s="145">
        <v>49</v>
      </c>
      <c r="C449" s="214">
        <f t="shared" si="222"/>
        <v>4.9000000000000002E-2</v>
      </c>
      <c r="D449" s="215">
        <v>0</v>
      </c>
      <c r="E449" s="214">
        <f t="shared" si="224"/>
        <v>4.9000000000000002E-2</v>
      </c>
      <c r="F449" s="331">
        <f t="shared" si="236"/>
        <v>16</v>
      </c>
      <c r="G449" s="364">
        <f t="shared" si="237"/>
        <v>36</v>
      </c>
      <c r="H449" s="141">
        <f t="shared" si="225"/>
        <v>0.46</v>
      </c>
      <c r="I449" s="142">
        <f t="shared" si="226"/>
        <v>10</v>
      </c>
      <c r="J449" s="141">
        <f t="shared" si="227"/>
        <v>1.07</v>
      </c>
      <c r="K449" s="142">
        <f t="shared" si="228"/>
        <v>6</v>
      </c>
      <c r="L449" s="142">
        <f t="shared" si="229"/>
        <v>26</v>
      </c>
      <c r="M449" s="141">
        <f t="shared" si="230"/>
        <v>0.43</v>
      </c>
      <c r="N449" s="141">
        <f t="shared" si="231"/>
        <v>1.84</v>
      </c>
      <c r="O449" s="337">
        <f t="shared" si="223"/>
        <v>1.96</v>
      </c>
      <c r="P449" s="141">
        <f t="shared" si="232"/>
        <v>3.37</v>
      </c>
      <c r="Q449" s="30" t="s">
        <v>245</v>
      </c>
      <c r="R449" s="133"/>
      <c r="S449" s="133"/>
      <c r="T449" s="133"/>
      <c r="U449" s="133"/>
      <c r="V449" s="335">
        <f t="shared" si="233"/>
        <v>12.25</v>
      </c>
      <c r="W449" s="335">
        <f t="shared" si="234"/>
        <v>9.3611111111111125</v>
      </c>
    </row>
    <row r="450" spans="1:23" ht="15.75">
      <c r="A450" s="145">
        <f t="shared" si="235"/>
        <v>972</v>
      </c>
      <c r="B450" s="145">
        <v>25</v>
      </c>
      <c r="C450" s="214">
        <f t="shared" si="222"/>
        <v>2.5000000000000001E-2</v>
      </c>
      <c r="D450" s="215">
        <v>0</v>
      </c>
      <c r="E450" s="214">
        <f t="shared" si="224"/>
        <v>2.5000000000000001E-2</v>
      </c>
      <c r="F450" s="336">
        <f t="shared" si="236"/>
        <v>8</v>
      </c>
      <c r="G450" s="362">
        <f t="shared" si="237"/>
        <v>18</v>
      </c>
      <c r="H450" s="334">
        <f t="shared" si="225"/>
        <v>0.23</v>
      </c>
      <c r="I450" s="142">
        <f t="shared" si="226"/>
        <v>5</v>
      </c>
      <c r="J450" s="141">
        <f t="shared" si="227"/>
        <v>0.53</v>
      </c>
      <c r="K450" s="142">
        <f t="shared" si="228"/>
        <v>3</v>
      </c>
      <c r="L450" s="142">
        <f t="shared" si="229"/>
        <v>13</v>
      </c>
      <c r="M450" s="141">
        <f t="shared" si="230"/>
        <v>0.21</v>
      </c>
      <c r="N450" s="141">
        <f t="shared" si="231"/>
        <v>0.92</v>
      </c>
      <c r="O450" s="141">
        <f t="shared" si="223"/>
        <v>0.97</v>
      </c>
      <c r="P450" s="141">
        <f t="shared" si="232"/>
        <v>1.6800000000000002</v>
      </c>
      <c r="Q450" s="30" t="s">
        <v>245</v>
      </c>
      <c r="R450" s="133"/>
      <c r="S450" s="133"/>
      <c r="T450" s="133"/>
      <c r="U450" s="133"/>
      <c r="V450" s="335">
        <f t="shared" si="233"/>
        <v>12.125</v>
      </c>
      <c r="W450" s="335">
        <f t="shared" si="234"/>
        <v>9.3333333333333339</v>
      </c>
    </row>
    <row r="451" spans="1:23" ht="15.75">
      <c r="A451" s="145">
        <f t="shared" si="235"/>
        <v>973</v>
      </c>
      <c r="B451" s="145">
        <v>180</v>
      </c>
      <c r="C451" s="214">
        <f t="shared" si="222"/>
        <v>0.18</v>
      </c>
      <c r="D451" s="215">
        <v>0.1</v>
      </c>
      <c r="E451" s="214">
        <f t="shared" si="224"/>
        <v>0.19799999999999998</v>
      </c>
      <c r="F451" s="331">
        <f t="shared" si="236"/>
        <v>66</v>
      </c>
      <c r="G451" s="363">
        <f t="shared" si="237"/>
        <v>145</v>
      </c>
      <c r="H451" s="141">
        <f t="shared" si="225"/>
        <v>1.85</v>
      </c>
      <c r="I451" s="142">
        <f t="shared" si="226"/>
        <v>40</v>
      </c>
      <c r="J451" s="141">
        <f t="shared" si="227"/>
        <v>4.2699999999999996</v>
      </c>
      <c r="K451" s="142">
        <f t="shared" si="228"/>
        <v>26</v>
      </c>
      <c r="L451" s="142">
        <f t="shared" si="229"/>
        <v>105</v>
      </c>
      <c r="M451" s="141">
        <f t="shared" si="230"/>
        <v>1.84</v>
      </c>
      <c r="N451" s="141">
        <f t="shared" si="231"/>
        <v>7.45</v>
      </c>
      <c r="O451" s="141">
        <f t="shared" si="223"/>
        <v>7.9599999999999991</v>
      </c>
      <c r="P451" s="141">
        <f t="shared" si="232"/>
        <v>13.57</v>
      </c>
      <c r="Q451" s="30" t="s">
        <v>270</v>
      </c>
      <c r="R451" s="133"/>
      <c r="S451" s="133"/>
      <c r="T451" s="133"/>
      <c r="U451" s="133"/>
      <c r="V451" s="335">
        <f t="shared" si="233"/>
        <v>12.060606060606059</v>
      </c>
      <c r="W451" s="335">
        <f t="shared" si="234"/>
        <v>9.3586206896551722</v>
      </c>
    </row>
    <row r="452" spans="1:23" ht="15.75">
      <c r="A452" s="145">
        <f t="shared" si="235"/>
        <v>974</v>
      </c>
      <c r="B452" s="145">
        <v>700</v>
      </c>
      <c r="C452" s="214">
        <f t="shared" si="222"/>
        <v>0.7</v>
      </c>
      <c r="D452" s="215">
        <v>9.5000000000000001E-2</v>
      </c>
      <c r="E452" s="214">
        <f t="shared" si="224"/>
        <v>0.76649999999999996</v>
      </c>
      <c r="F452" s="331">
        <f t="shared" si="236"/>
        <v>256</v>
      </c>
      <c r="G452" s="364">
        <f t="shared" si="237"/>
        <v>560</v>
      </c>
      <c r="H452" s="141">
        <f t="shared" si="225"/>
        <v>7.16</v>
      </c>
      <c r="I452" s="142">
        <f t="shared" si="226"/>
        <v>153</v>
      </c>
      <c r="J452" s="141">
        <f t="shared" si="227"/>
        <v>16.34</v>
      </c>
      <c r="K452" s="142">
        <f t="shared" si="228"/>
        <v>103</v>
      </c>
      <c r="L452" s="142">
        <f t="shared" si="229"/>
        <v>407</v>
      </c>
      <c r="M452" s="141">
        <f t="shared" si="230"/>
        <v>7.3</v>
      </c>
      <c r="N452" s="141">
        <f t="shared" si="231"/>
        <v>28.86</v>
      </c>
      <c r="O452" s="141">
        <f t="shared" si="223"/>
        <v>30.8</v>
      </c>
      <c r="P452" s="141">
        <f t="shared" si="232"/>
        <v>52.36</v>
      </c>
      <c r="Q452" s="30" t="s">
        <v>271</v>
      </c>
      <c r="R452" s="133"/>
      <c r="S452" s="133"/>
      <c r="T452" s="133"/>
      <c r="U452" s="133"/>
      <c r="V452" s="335">
        <f t="shared" si="233"/>
        <v>12.03125</v>
      </c>
      <c r="W452" s="335">
        <f t="shared" si="234"/>
        <v>9.35</v>
      </c>
    </row>
    <row r="453" spans="1:23" ht="15.75">
      <c r="A453" s="145">
        <f t="shared" si="235"/>
        <v>975</v>
      </c>
      <c r="B453" s="145">
        <v>324</v>
      </c>
      <c r="C453" s="214">
        <f t="shared" si="222"/>
        <v>0.32400000000000001</v>
      </c>
      <c r="D453" s="215">
        <v>0</v>
      </c>
      <c r="E453" s="214">
        <f t="shared" si="224"/>
        <v>0.32400000000000001</v>
      </c>
      <c r="F453" s="331">
        <f t="shared" si="236"/>
        <v>108</v>
      </c>
      <c r="G453" s="364">
        <f t="shared" si="237"/>
        <v>237</v>
      </c>
      <c r="H453" s="141">
        <f t="shared" si="225"/>
        <v>3.03</v>
      </c>
      <c r="I453" s="142">
        <f t="shared" si="226"/>
        <v>65</v>
      </c>
      <c r="J453" s="141">
        <f t="shared" si="227"/>
        <v>6.94</v>
      </c>
      <c r="K453" s="142">
        <f t="shared" si="228"/>
        <v>43</v>
      </c>
      <c r="L453" s="142">
        <f t="shared" si="229"/>
        <v>172</v>
      </c>
      <c r="M453" s="141">
        <f t="shared" si="230"/>
        <v>3.05</v>
      </c>
      <c r="N453" s="141">
        <f t="shared" si="231"/>
        <v>12.2</v>
      </c>
      <c r="O453" s="333">
        <f t="shared" si="223"/>
        <v>13.02</v>
      </c>
      <c r="P453" s="334">
        <f t="shared" si="232"/>
        <v>22.17</v>
      </c>
      <c r="Q453" s="133"/>
      <c r="R453" s="133"/>
      <c r="S453" s="133"/>
      <c r="T453" s="133"/>
      <c r="U453" s="133"/>
      <c r="V453" s="335">
        <f t="shared" si="233"/>
        <v>12.055555555555555</v>
      </c>
      <c r="W453" s="335">
        <f t="shared" si="234"/>
        <v>9.3544303797468373</v>
      </c>
    </row>
    <row r="454" spans="1:23" ht="15.75">
      <c r="A454" s="145">
        <f t="shared" si="235"/>
        <v>976</v>
      </c>
      <c r="B454" s="145">
        <v>300</v>
      </c>
      <c r="C454" s="214">
        <f t="shared" si="222"/>
        <v>0.3</v>
      </c>
      <c r="D454" s="215">
        <v>0</v>
      </c>
      <c r="E454" s="214">
        <f t="shared" si="224"/>
        <v>0.3</v>
      </c>
      <c r="F454" s="344">
        <f>ROUND((+$E454*(152*12))/12,0)</f>
        <v>46</v>
      </c>
      <c r="G454" s="364">
        <f t="shared" si="237"/>
        <v>219</v>
      </c>
      <c r="H454" s="141">
        <f t="shared" si="225"/>
        <v>2.8</v>
      </c>
      <c r="I454" s="142">
        <f t="shared" si="226"/>
        <v>46</v>
      </c>
      <c r="J454" s="141">
        <f t="shared" si="227"/>
        <v>4.91</v>
      </c>
      <c r="K454" s="142">
        <f t="shared" si="228"/>
        <v>0</v>
      </c>
      <c r="L454" s="142">
        <f t="shared" si="229"/>
        <v>173</v>
      </c>
      <c r="M454" s="141">
        <f t="shared" si="230"/>
        <v>0</v>
      </c>
      <c r="N454" s="141">
        <f t="shared" si="231"/>
        <v>12.27</v>
      </c>
      <c r="O454" s="333">
        <f t="shared" si="223"/>
        <v>7.71</v>
      </c>
      <c r="P454" s="334">
        <f t="shared" si="232"/>
        <v>19.98</v>
      </c>
      <c r="Q454" s="133"/>
      <c r="R454" s="133"/>
      <c r="S454" s="133"/>
      <c r="T454" s="133"/>
      <c r="U454" s="133"/>
      <c r="V454" s="341">
        <f t="shared" si="233"/>
        <v>16.760869565217391</v>
      </c>
      <c r="W454" s="335">
        <f t="shared" si="234"/>
        <v>9.1232876712328768</v>
      </c>
    </row>
    <row r="455" spans="1:23" ht="15.75">
      <c r="A455" s="145">
        <f t="shared" si="235"/>
        <v>977</v>
      </c>
      <c r="B455" s="145">
        <v>50</v>
      </c>
      <c r="C455" s="214">
        <f t="shared" si="222"/>
        <v>0.05</v>
      </c>
      <c r="D455" s="215">
        <v>0</v>
      </c>
      <c r="E455" s="214">
        <f t="shared" si="224"/>
        <v>0.05</v>
      </c>
      <c r="F455" s="336">
        <f>ROUND((+$E455*4000)/12,0)</f>
        <v>17</v>
      </c>
      <c r="G455" s="362">
        <f t="shared" si="237"/>
        <v>37</v>
      </c>
      <c r="H455" s="334">
        <f t="shared" si="225"/>
        <v>0.47</v>
      </c>
      <c r="I455" s="142">
        <f t="shared" si="226"/>
        <v>10</v>
      </c>
      <c r="J455" s="141">
        <f t="shared" si="227"/>
        <v>1.07</v>
      </c>
      <c r="K455" s="142">
        <f t="shared" si="228"/>
        <v>7</v>
      </c>
      <c r="L455" s="142">
        <f t="shared" si="229"/>
        <v>27</v>
      </c>
      <c r="M455" s="141">
        <f t="shared" si="230"/>
        <v>0.5</v>
      </c>
      <c r="N455" s="141">
        <f t="shared" si="231"/>
        <v>1.91</v>
      </c>
      <c r="O455" s="337">
        <f t="shared" si="223"/>
        <v>2.04</v>
      </c>
      <c r="P455" s="333">
        <f t="shared" si="232"/>
        <v>3.45</v>
      </c>
      <c r="Q455" s="330"/>
      <c r="R455" s="133"/>
      <c r="S455" s="133"/>
      <c r="T455" s="133"/>
      <c r="U455" s="133"/>
      <c r="V455" s="335">
        <f t="shared" si="233"/>
        <v>12</v>
      </c>
      <c r="W455" s="335">
        <f t="shared" si="234"/>
        <v>9.3243243243243246</v>
      </c>
    </row>
    <row r="456" spans="1:23" ht="15.75">
      <c r="A456" s="145">
        <f t="shared" si="235"/>
        <v>978</v>
      </c>
      <c r="B456" s="145">
        <v>648</v>
      </c>
      <c r="C456" s="214">
        <f t="shared" si="222"/>
        <v>0.64800000000000002</v>
      </c>
      <c r="D456" s="215">
        <v>0</v>
      </c>
      <c r="E456" s="214">
        <f t="shared" si="224"/>
        <v>0.64800000000000002</v>
      </c>
      <c r="F456" s="344">
        <f>ROUND((+$E456*(195*12))/12,0)</f>
        <v>126</v>
      </c>
      <c r="G456" s="363">
        <f t="shared" si="237"/>
        <v>473</v>
      </c>
      <c r="H456" s="141">
        <f t="shared" si="225"/>
        <v>6.05</v>
      </c>
      <c r="I456" s="142">
        <f t="shared" si="226"/>
        <v>126</v>
      </c>
      <c r="J456" s="141">
        <f t="shared" si="227"/>
        <v>13.46</v>
      </c>
      <c r="K456" s="142">
        <f t="shared" si="228"/>
        <v>0</v>
      </c>
      <c r="L456" s="142">
        <f t="shared" si="229"/>
        <v>347</v>
      </c>
      <c r="M456" s="141">
        <f t="shared" si="230"/>
        <v>0</v>
      </c>
      <c r="N456" s="141">
        <f t="shared" si="231"/>
        <v>24.6</v>
      </c>
      <c r="O456" s="333">
        <f t="shared" si="223"/>
        <v>19.510000000000002</v>
      </c>
      <c r="P456" s="339">
        <f t="shared" si="232"/>
        <v>44.11</v>
      </c>
      <c r="Q456" s="133"/>
      <c r="R456" s="133"/>
      <c r="S456" s="133"/>
      <c r="T456" s="133"/>
      <c r="U456" s="133"/>
      <c r="V456" s="341">
        <f t="shared" si="233"/>
        <v>15.484126984126986</v>
      </c>
      <c r="W456" s="335">
        <f t="shared" si="234"/>
        <v>9.325581395348836</v>
      </c>
    </row>
    <row r="457" spans="1:23" ht="15.75">
      <c r="A457" s="145">
        <f t="shared" si="235"/>
        <v>979</v>
      </c>
      <c r="B457" s="145">
        <v>1100</v>
      </c>
      <c r="C457" s="214">
        <f t="shared" si="222"/>
        <v>1.1000000000000001</v>
      </c>
      <c r="D457" s="215">
        <v>0</v>
      </c>
      <c r="E457" s="214">
        <f t="shared" si="224"/>
        <v>1.1000000000000001</v>
      </c>
      <c r="F457" s="331">
        <f>ROUND((+$E457*4000)/12,0)</f>
        <v>367</v>
      </c>
      <c r="G457" s="364">
        <f t="shared" si="237"/>
        <v>803</v>
      </c>
      <c r="H457" s="141">
        <f t="shared" si="225"/>
        <v>10.27</v>
      </c>
      <c r="I457" s="142">
        <f t="shared" si="226"/>
        <v>220</v>
      </c>
      <c r="J457" s="141">
        <f t="shared" si="227"/>
        <v>23.5</v>
      </c>
      <c r="K457" s="142">
        <f t="shared" si="228"/>
        <v>147</v>
      </c>
      <c r="L457" s="142">
        <f t="shared" si="229"/>
        <v>583</v>
      </c>
      <c r="M457" s="141">
        <f t="shared" si="230"/>
        <v>10.42</v>
      </c>
      <c r="N457" s="141">
        <f t="shared" si="231"/>
        <v>41.34</v>
      </c>
      <c r="O457" s="333">
        <f t="shared" si="223"/>
        <v>44.19</v>
      </c>
      <c r="P457" s="334">
        <f t="shared" si="232"/>
        <v>75.11</v>
      </c>
      <c r="Q457" s="133"/>
      <c r="R457" s="133"/>
      <c r="S457" s="133"/>
      <c r="T457" s="133"/>
      <c r="U457" s="133"/>
      <c r="V457" s="335">
        <f t="shared" si="233"/>
        <v>12.040871934604903</v>
      </c>
      <c r="W457" s="335">
        <f t="shared" si="234"/>
        <v>9.3536737235367369</v>
      </c>
    </row>
    <row r="458" spans="1:23" ht="15.75">
      <c r="A458" s="145">
        <f t="shared" si="235"/>
        <v>980</v>
      </c>
      <c r="B458" s="145">
        <v>2148</v>
      </c>
      <c r="C458" s="214">
        <f t="shared" si="222"/>
        <v>2.1480000000000001</v>
      </c>
      <c r="D458" s="215">
        <v>0</v>
      </c>
      <c r="E458" s="214">
        <f t="shared" si="224"/>
        <v>2.1480000000000001</v>
      </c>
      <c r="F458" s="331">
        <f>ROUND((+$E458*4000)/12,0)</f>
        <v>716</v>
      </c>
      <c r="G458" s="364">
        <f t="shared" si="237"/>
        <v>1568</v>
      </c>
      <c r="H458" s="141">
        <f t="shared" si="225"/>
        <v>20.059999999999999</v>
      </c>
      <c r="I458" s="142">
        <f t="shared" si="226"/>
        <v>430</v>
      </c>
      <c r="J458" s="141">
        <f t="shared" si="227"/>
        <v>45.93</v>
      </c>
      <c r="K458" s="142">
        <f t="shared" si="228"/>
        <v>286</v>
      </c>
      <c r="L458" s="142">
        <f t="shared" si="229"/>
        <v>1138</v>
      </c>
      <c r="M458" s="141">
        <f t="shared" si="230"/>
        <v>20.28</v>
      </c>
      <c r="N458" s="141">
        <f t="shared" si="231"/>
        <v>80.69</v>
      </c>
      <c r="O458" s="333">
        <f t="shared" si="223"/>
        <v>86.27</v>
      </c>
      <c r="P458" s="334">
        <f t="shared" si="232"/>
        <v>146.68</v>
      </c>
      <c r="Q458" s="133"/>
      <c r="R458" s="133"/>
      <c r="S458" s="133"/>
      <c r="T458" s="133"/>
      <c r="U458" s="133"/>
      <c r="V458" s="335">
        <f t="shared" si="233"/>
        <v>12.048882681564246</v>
      </c>
      <c r="W458" s="335">
        <f t="shared" si="234"/>
        <v>9.3545918367346932</v>
      </c>
    </row>
    <row r="459" spans="1:23" ht="15.75">
      <c r="A459" s="145">
        <f t="shared" si="235"/>
        <v>981</v>
      </c>
      <c r="B459" s="145">
        <v>216</v>
      </c>
      <c r="C459" s="214">
        <f t="shared" si="222"/>
        <v>0.216</v>
      </c>
      <c r="D459" s="215">
        <v>0</v>
      </c>
      <c r="E459" s="214">
        <f t="shared" si="224"/>
        <v>0.216</v>
      </c>
      <c r="F459" s="336">
        <f>ROUND((+$E459*4000)/12,0)</f>
        <v>72</v>
      </c>
      <c r="G459" s="362">
        <f t="shared" si="237"/>
        <v>158</v>
      </c>
      <c r="H459" s="334">
        <f t="shared" si="225"/>
        <v>2.02</v>
      </c>
      <c r="I459" s="142">
        <f t="shared" si="226"/>
        <v>43</v>
      </c>
      <c r="J459" s="141">
        <f t="shared" si="227"/>
        <v>4.59</v>
      </c>
      <c r="K459" s="142">
        <f t="shared" si="228"/>
        <v>29</v>
      </c>
      <c r="L459" s="142">
        <f t="shared" si="229"/>
        <v>115</v>
      </c>
      <c r="M459" s="141">
        <f t="shared" si="230"/>
        <v>2.06</v>
      </c>
      <c r="N459" s="141">
        <f t="shared" si="231"/>
        <v>8.15</v>
      </c>
      <c r="O459" s="337">
        <f t="shared" si="223"/>
        <v>8.67</v>
      </c>
      <c r="P459" s="333">
        <f t="shared" si="232"/>
        <v>14.76</v>
      </c>
      <c r="Q459" s="330"/>
      <c r="R459" s="133"/>
      <c r="S459" s="133"/>
      <c r="T459" s="133"/>
      <c r="U459" s="133"/>
      <c r="V459" s="335">
        <f t="shared" si="233"/>
        <v>12.041666666666668</v>
      </c>
      <c r="W459" s="335">
        <f t="shared" si="234"/>
        <v>9.3417721518987342</v>
      </c>
    </row>
    <row r="460" spans="1:23" ht="15.75">
      <c r="A460" s="145">
        <f t="shared" si="235"/>
        <v>982</v>
      </c>
      <c r="B460" s="145">
        <v>400</v>
      </c>
      <c r="C460" s="214">
        <f t="shared" si="222"/>
        <v>0.4</v>
      </c>
      <c r="D460" s="215">
        <v>0</v>
      </c>
      <c r="E460" s="214">
        <f t="shared" si="224"/>
        <v>0.4</v>
      </c>
      <c r="F460" s="344">
        <f>ROUND((+$E460*(213*12))/12,0)</f>
        <v>85</v>
      </c>
      <c r="G460" s="363">
        <f t="shared" si="237"/>
        <v>292</v>
      </c>
      <c r="H460" s="141">
        <f t="shared" si="225"/>
        <v>3.74</v>
      </c>
      <c r="I460" s="142">
        <f t="shared" si="226"/>
        <v>80</v>
      </c>
      <c r="J460" s="141">
        <f t="shared" si="227"/>
        <v>8.5399999999999991</v>
      </c>
      <c r="K460" s="142">
        <f t="shared" si="228"/>
        <v>5</v>
      </c>
      <c r="L460" s="142">
        <f t="shared" si="229"/>
        <v>212</v>
      </c>
      <c r="M460" s="141">
        <f t="shared" si="230"/>
        <v>0.35</v>
      </c>
      <c r="N460" s="141">
        <f t="shared" si="231"/>
        <v>15.03</v>
      </c>
      <c r="O460" s="333">
        <f t="shared" si="223"/>
        <v>12.629999999999999</v>
      </c>
      <c r="P460" s="339">
        <f t="shared" si="232"/>
        <v>27.31</v>
      </c>
      <c r="Q460" s="133"/>
      <c r="R460" s="133"/>
      <c r="S460" s="133"/>
      <c r="T460" s="133"/>
      <c r="U460" s="133"/>
      <c r="V460" s="341">
        <f t="shared" si="233"/>
        <v>14.858823529411763</v>
      </c>
      <c r="W460" s="335">
        <f t="shared" si="234"/>
        <v>9.3527397260273961</v>
      </c>
    </row>
    <row r="461" spans="1:23" ht="15.75">
      <c r="A461" s="145">
        <f t="shared" si="235"/>
        <v>983</v>
      </c>
      <c r="B461" s="145">
        <v>420</v>
      </c>
      <c r="C461" s="214">
        <f t="shared" si="222"/>
        <v>0.42</v>
      </c>
      <c r="D461" s="215">
        <v>0</v>
      </c>
      <c r="E461" s="214">
        <f t="shared" si="224"/>
        <v>0.42</v>
      </c>
      <c r="F461" s="331">
        <f>ROUND((+$E461*4000)/12,0)</f>
        <v>140</v>
      </c>
      <c r="G461" s="364">
        <f t="shared" si="237"/>
        <v>307</v>
      </c>
      <c r="H461" s="141">
        <f t="shared" si="225"/>
        <v>3.92</v>
      </c>
      <c r="I461" s="142">
        <f t="shared" si="226"/>
        <v>84</v>
      </c>
      <c r="J461" s="141">
        <f t="shared" si="227"/>
        <v>8.9700000000000006</v>
      </c>
      <c r="K461" s="142">
        <f t="shared" si="228"/>
        <v>56</v>
      </c>
      <c r="L461" s="142">
        <f t="shared" si="229"/>
        <v>223</v>
      </c>
      <c r="M461" s="141">
        <f t="shared" si="230"/>
        <v>3.97</v>
      </c>
      <c r="N461" s="141">
        <f t="shared" si="231"/>
        <v>15.81</v>
      </c>
      <c r="O461" s="333">
        <f t="shared" si="223"/>
        <v>16.86</v>
      </c>
      <c r="P461" s="334">
        <f t="shared" si="232"/>
        <v>28.700000000000003</v>
      </c>
      <c r="Q461" s="133"/>
      <c r="R461" s="133"/>
      <c r="S461" s="133"/>
      <c r="T461" s="133"/>
      <c r="U461" s="133"/>
      <c r="V461" s="335">
        <f t="shared" si="233"/>
        <v>12.042857142857143</v>
      </c>
      <c r="W461" s="335">
        <f t="shared" si="234"/>
        <v>9.3485342019543971</v>
      </c>
    </row>
    <row r="462" spans="1:23" ht="15.75">
      <c r="A462" s="145">
        <f t="shared" si="235"/>
        <v>984</v>
      </c>
      <c r="B462" s="145">
        <v>746</v>
      </c>
      <c r="C462" s="214">
        <f t="shared" si="222"/>
        <v>0.746</v>
      </c>
      <c r="D462" s="215">
        <v>0</v>
      </c>
      <c r="E462" s="214">
        <f t="shared" si="224"/>
        <v>0.746</v>
      </c>
      <c r="F462" s="336">
        <f>ROUND((+$E462*(7*24*4))/12,0)</f>
        <v>42</v>
      </c>
      <c r="G462" s="216">
        <f t="shared" si="237"/>
        <v>545</v>
      </c>
      <c r="H462" s="141">
        <f t="shared" si="225"/>
        <v>6.97</v>
      </c>
      <c r="I462" s="142">
        <f t="shared" si="226"/>
        <v>42</v>
      </c>
      <c r="J462" s="141">
        <f t="shared" si="227"/>
        <v>4.49</v>
      </c>
      <c r="K462" s="142">
        <f t="shared" si="228"/>
        <v>0</v>
      </c>
      <c r="L462" s="142">
        <f t="shared" si="229"/>
        <v>503</v>
      </c>
      <c r="M462" s="141">
        <f t="shared" si="230"/>
        <v>0</v>
      </c>
      <c r="N462" s="141">
        <f t="shared" si="231"/>
        <v>35.67</v>
      </c>
      <c r="O462" s="337">
        <f t="shared" si="223"/>
        <v>11.46</v>
      </c>
      <c r="P462" s="141">
        <f t="shared" si="232"/>
        <v>47.13</v>
      </c>
      <c r="Q462" s="30" t="s">
        <v>272</v>
      </c>
      <c r="R462" s="133"/>
      <c r="S462" s="133"/>
      <c r="T462" s="133"/>
      <c r="U462" s="133"/>
      <c r="V462" s="341">
        <f t="shared" si="233"/>
        <v>27.285714285714285</v>
      </c>
      <c r="W462" s="335">
        <f t="shared" si="234"/>
        <v>8.6477064220183486</v>
      </c>
    </row>
    <row r="463" spans="1:23" ht="15.75">
      <c r="A463" s="145">
        <f t="shared" si="235"/>
        <v>985</v>
      </c>
      <c r="B463" s="145">
        <v>1200</v>
      </c>
      <c r="C463" s="214">
        <f t="shared" si="222"/>
        <v>1.2</v>
      </c>
      <c r="D463" s="215">
        <v>0</v>
      </c>
      <c r="E463" s="214">
        <f t="shared" si="224"/>
        <v>1.2</v>
      </c>
      <c r="F463" s="331">
        <f>ROUND((+$E463*4000)/12,0)</f>
        <v>400</v>
      </c>
      <c r="G463" s="364">
        <f t="shared" si="237"/>
        <v>876</v>
      </c>
      <c r="H463" s="141">
        <f t="shared" si="225"/>
        <v>11.21</v>
      </c>
      <c r="I463" s="142">
        <f t="shared" si="226"/>
        <v>240</v>
      </c>
      <c r="J463" s="141">
        <f t="shared" si="227"/>
        <v>25.63</v>
      </c>
      <c r="K463" s="142">
        <f t="shared" si="228"/>
        <v>160</v>
      </c>
      <c r="L463" s="142">
        <f t="shared" si="229"/>
        <v>636</v>
      </c>
      <c r="M463" s="141">
        <f t="shared" si="230"/>
        <v>11.34</v>
      </c>
      <c r="N463" s="141">
        <f t="shared" si="231"/>
        <v>45.1</v>
      </c>
      <c r="O463" s="333">
        <f t="shared" si="223"/>
        <v>48.180000000000007</v>
      </c>
      <c r="P463" s="334">
        <f t="shared" si="232"/>
        <v>81.94</v>
      </c>
      <c r="Q463" s="133"/>
      <c r="R463" s="133"/>
      <c r="S463" s="133"/>
      <c r="T463" s="133"/>
      <c r="U463" s="133"/>
      <c r="V463" s="335">
        <f t="shared" si="233"/>
        <v>12.045000000000002</v>
      </c>
      <c r="W463" s="335">
        <f t="shared" si="234"/>
        <v>9.3538812785388128</v>
      </c>
    </row>
    <row r="464" spans="1:23" ht="15.75">
      <c r="A464" s="145">
        <f t="shared" si="235"/>
        <v>986</v>
      </c>
      <c r="B464" s="145">
        <v>2300</v>
      </c>
      <c r="C464" s="214">
        <f t="shared" si="222"/>
        <v>2.2999999999999998</v>
      </c>
      <c r="D464" s="215">
        <v>0</v>
      </c>
      <c r="E464" s="214">
        <f t="shared" si="224"/>
        <v>2.2999999999999998</v>
      </c>
      <c r="F464" s="344">
        <f>ROUND((+$E464*52)/12,0)</f>
        <v>10</v>
      </c>
      <c r="G464" s="364">
        <f t="shared" si="237"/>
        <v>1679</v>
      </c>
      <c r="H464" s="141">
        <f t="shared" si="225"/>
        <v>21.48</v>
      </c>
      <c r="I464" s="142">
        <f t="shared" si="226"/>
        <v>10</v>
      </c>
      <c r="J464" s="141">
        <f t="shared" si="227"/>
        <v>1.07</v>
      </c>
      <c r="K464" s="142">
        <f t="shared" si="228"/>
        <v>0</v>
      </c>
      <c r="L464" s="142">
        <f t="shared" si="229"/>
        <v>1669</v>
      </c>
      <c r="M464" s="141">
        <f t="shared" si="230"/>
        <v>0</v>
      </c>
      <c r="N464" s="141">
        <f t="shared" si="231"/>
        <v>118.34</v>
      </c>
      <c r="O464" s="333">
        <f t="shared" si="223"/>
        <v>22.55</v>
      </c>
      <c r="P464" s="334">
        <f t="shared" si="232"/>
        <v>140.89000000000001</v>
      </c>
      <c r="Q464" s="133"/>
      <c r="R464" s="133"/>
      <c r="S464" s="133"/>
      <c r="T464" s="133"/>
      <c r="U464" s="133"/>
      <c r="V464" s="341">
        <f t="shared" si="233"/>
        <v>225.5</v>
      </c>
      <c r="W464" s="335">
        <f t="shared" si="234"/>
        <v>8.3913043478260878</v>
      </c>
    </row>
    <row r="465" spans="1:23" ht="15.75">
      <c r="A465" s="145">
        <f t="shared" si="235"/>
        <v>987</v>
      </c>
      <c r="B465" s="145">
        <v>1990</v>
      </c>
      <c r="C465" s="214">
        <f t="shared" si="222"/>
        <v>1.99</v>
      </c>
      <c r="D465" s="215">
        <v>0</v>
      </c>
      <c r="E465" s="214">
        <f t="shared" si="224"/>
        <v>1.99</v>
      </c>
      <c r="F465" s="336">
        <f>ROUND((+$E465*4000)/12,0)</f>
        <v>663</v>
      </c>
      <c r="G465" s="362">
        <f t="shared" si="237"/>
        <v>1453</v>
      </c>
      <c r="H465" s="334">
        <f t="shared" si="225"/>
        <v>18.59</v>
      </c>
      <c r="I465" s="142">
        <f t="shared" si="226"/>
        <v>398</v>
      </c>
      <c r="J465" s="141">
        <f t="shared" si="227"/>
        <v>42.51</v>
      </c>
      <c r="K465" s="142">
        <f t="shared" si="228"/>
        <v>265</v>
      </c>
      <c r="L465" s="142">
        <f t="shared" si="229"/>
        <v>1055</v>
      </c>
      <c r="M465" s="141">
        <f t="shared" si="230"/>
        <v>18.79</v>
      </c>
      <c r="N465" s="141">
        <f t="shared" si="231"/>
        <v>74.8</v>
      </c>
      <c r="O465" s="337">
        <f t="shared" si="223"/>
        <v>79.889999999999986</v>
      </c>
      <c r="P465" s="333">
        <f t="shared" si="232"/>
        <v>135.89999999999998</v>
      </c>
      <c r="Q465" s="330"/>
      <c r="R465" s="133"/>
      <c r="S465" s="133"/>
      <c r="T465" s="133"/>
      <c r="U465" s="133"/>
      <c r="V465" s="335">
        <f t="shared" si="233"/>
        <v>12.049773755656107</v>
      </c>
      <c r="W465" s="335">
        <f t="shared" si="234"/>
        <v>9.3530626290433574</v>
      </c>
    </row>
    <row r="466" spans="1:23" ht="15.75">
      <c r="A466" s="145">
        <f t="shared" si="235"/>
        <v>988</v>
      </c>
      <c r="B466" s="145">
        <v>160</v>
      </c>
      <c r="C466" s="214">
        <f t="shared" ref="C466:C497" si="238">B466/1000</f>
        <v>0.16</v>
      </c>
      <c r="D466" s="215">
        <v>0.1</v>
      </c>
      <c r="E466" s="214">
        <f t="shared" si="224"/>
        <v>0.17599999999999999</v>
      </c>
      <c r="F466" s="344">
        <f>ROUND((+$E466*(152*12))/12,0)</f>
        <v>27</v>
      </c>
      <c r="G466" s="363">
        <f t="shared" si="237"/>
        <v>128</v>
      </c>
      <c r="H466" s="141">
        <f t="shared" si="225"/>
        <v>1.64</v>
      </c>
      <c r="I466" s="142">
        <f t="shared" si="226"/>
        <v>27</v>
      </c>
      <c r="J466" s="141">
        <f t="shared" si="227"/>
        <v>2.88</v>
      </c>
      <c r="K466" s="142">
        <f t="shared" si="228"/>
        <v>0</v>
      </c>
      <c r="L466" s="142">
        <f t="shared" si="229"/>
        <v>101</v>
      </c>
      <c r="M466" s="141">
        <f t="shared" si="230"/>
        <v>0</v>
      </c>
      <c r="N466" s="141">
        <f t="shared" si="231"/>
        <v>7.16</v>
      </c>
      <c r="O466" s="333">
        <f t="shared" ref="O466:O497" si="239">H466+J466+M466</f>
        <v>4.5199999999999996</v>
      </c>
      <c r="P466" s="339">
        <f t="shared" si="232"/>
        <v>11.68</v>
      </c>
      <c r="Q466" s="133"/>
      <c r="R466" s="133"/>
      <c r="S466" s="133"/>
      <c r="T466" s="133"/>
      <c r="U466" s="133"/>
      <c r="V466" s="341">
        <f t="shared" si="233"/>
        <v>16.74074074074074</v>
      </c>
      <c r="W466" s="335">
        <f t="shared" si="234"/>
        <v>9.125</v>
      </c>
    </row>
    <row r="467" spans="1:23" ht="15.75">
      <c r="A467" s="145">
        <f t="shared" si="235"/>
        <v>989</v>
      </c>
      <c r="B467" s="145">
        <v>624</v>
      </c>
      <c r="C467" s="214">
        <f t="shared" si="238"/>
        <v>0.624</v>
      </c>
      <c r="D467" s="215">
        <v>0</v>
      </c>
      <c r="E467" s="214">
        <f t="shared" si="224"/>
        <v>0.624</v>
      </c>
      <c r="F467" s="331">
        <f>ROUND((+$E467*4000)/12,0)</f>
        <v>208</v>
      </c>
      <c r="G467" s="364">
        <f t="shared" si="237"/>
        <v>456</v>
      </c>
      <c r="H467" s="141">
        <f t="shared" si="225"/>
        <v>5.83</v>
      </c>
      <c r="I467" s="142">
        <f t="shared" si="226"/>
        <v>125</v>
      </c>
      <c r="J467" s="141">
        <f t="shared" si="227"/>
        <v>13.35</v>
      </c>
      <c r="K467" s="142">
        <f t="shared" si="228"/>
        <v>83</v>
      </c>
      <c r="L467" s="142">
        <f t="shared" si="229"/>
        <v>331</v>
      </c>
      <c r="M467" s="141">
        <f t="shared" si="230"/>
        <v>5.89</v>
      </c>
      <c r="N467" s="141">
        <f t="shared" si="231"/>
        <v>23.47</v>
      </c>
      <c r="O467" s="333">
        <f t="shared" si="239"/>
        <v>25.07</v>
      </c>
      <c r="P467" s="334">
        <f t="shared" si="232"/>
        <v>42.65</v>
      </c>
      <c r="Q467" s="133"/>
      <c r="R467" s="133"/>
      <c r="S467" s="133"/>
      <c r="T467" s="133"/>
      <c r="U467" s="133"/>
      <c r="V467" s="335">
        <f t="shared" si="233"/>
        <v>12.052884615384615</v>
      </c>
      <c r="W467" s="335">
        <f t="shared" si="234"/>
        <v>9.3530701754385959</v>
      </c>
    </row>
    <row r="468" spans="1:23" ht="15.75">
      <c r="A468" s="145">
        <f t="shared" si="235"/>
        <v>990</v>
      </c>
      <c r="B468" s="145">
        <v>745</v>
      </c>
      <c r="C468" s="214">
        <f t="shared" si="238"/>
        <v>0.745</v>
      </c>
      <c r="D468" s="215">
        <v>0</v>
      </c>
      <c r="E468" s="214">
        <f t="shared" si="224"/>
        <v>0.745</v>
      </c>
      <c r="F468" s="340">
        <f>ROUND(+$E468*((365/10*4*24)/12),0)</f>
        <v>218</v>
      </c>
      <c r="G468" s="364">
        <f t="shared" si="237"/>
        <v>544</v>
      </c>
      <c r="H468" s="141">
        <f t="shared" si="225"/>
        <v>6.96</v>
      </c>
      <c r="I468" s="142">
        <f t="shared" si="226"/>
        <v>149</v>
      </c>
      <c r="J468" s="141">
        <f t="shared" si="227"/>
        <v>15.91</v>
      </c>
      <c r="K468" s="142">
        <f t="shared" si="228"/>
        <v>69</v>
      </c>
      <c r="L468" s="142">
        <f t="shared" si="229"/>
        <v>395</v>
      </c>
      <c r="M468" s="141">
        <f t="shared" si="230"/>
        <v>4.8899999999999997</v>
      </c>
      <c r="N468" s="141">
        <f t="shared" si="231"/>
        <v>28.01</v>
      </c>
      <c r="O468" s="333">
        <f t="shared" si="239"/>
        <v>27.76</v>
      </c>
      <c r="P468" s="334">
        <f t="shared" si="232"/>
        <v>50.88</v>
      </c>
      <c r="Q468" s="30"/>
      <c r="R468" s="133"/>
      <c r="S468" s="133"/>
      <c r="T468" s="133"/>
      <c r="U468" s="133"/>
      <c r="V468" s="341">
        <f t="shared" si="233"/>
        <v>12.73394495412844</v>
      </c>
      <c r="W468" s="335">
        <f t="shared" si="234"/>
        <v>9.3529411764705888</v>
      </c>
    </row>
    <row r="469" spans="1:23" ht="15.75">
      <c r="A469" s="145">
        <f t="shared" si="235"/>
        <v>991</v>
      </c>
      <c r="B469" s="145">
        <v>5000</v>
      </c>
      <c r="C469" s="214">
        <f t="shared" si="238"/>
        <v>5</v>
      </c>
      <c r="D469" s="215">
        <v>0</v>
      </c>
      <c r="E469" s="214">
        <f t="shared" si="224"/>
        <v>5</v>
      </c>
      <c r="F469" s="331">
        <f>ROUND((+$E469*4000)/12,0)</f>
        <v>1667</v>
      </c>
      <c r="G469" s="364">
        <f t="shared" si="237"/>
        <v>3650</v>
      </c>
      <c r="H469" s="141">
        <f t="shared" si="225"/>
        <v>46.7</v>
      </c>
      <c r="I469" s="142">
        <f t="shared" si="226"/>
        <v>1000</v>
      </c>
      <c r="J469" s="141">
        <f t="shared" si="227"/>
        <v>106.8</v>
      </c>
      <c r="K469" s="142">
        <f t="shared" si="228"/>
        <v>667</v>
      </c>
      <c r="L469" s="142">
        <f t="shared" si="229"/>
        <v>2650</v>
      </c>
      <c r="M469" s="141">
        <f t="shared" si="230"/>
        <v>47.29</v>
      </c>
      <c r="N469" s="141">
        <f t="shared" si="231"/>
        <v>187.9</v>
      </c>
      <c r="O469" s="333">
        <f t="shared" si="239"/>
        <v>200.79</v>
      </c>
      <c r="P469" s="334">
        <f t="shared" si="232"/>
        <v>341.4</v>
      </c>
      <c r="Q469" s="133"/>
      <c r="R469" s="133"/>
      <c r="S469" s="133"/>
      <c r="T469" s="133"/>
      <c r="U469" s="133"/>
      <c r="V469" s="335">
        <f t="shared" si="233"/>
        <v>12.044991001799639</v>
      </c>
      <c r="W469" s="335">
        <f t="shared" si="234"/>
        <v>9.3534246575342461</v>
      </c>
    </row>
    <row r="470" spans="1:23" ht="15.75">
      <c r="A470" s="145">
        <f t="shared" si="235"/>
        <v>992</v>
      </c>
      <c r="B470" s="145">
        <v>100</v>
      </c>
      <c r="C470" s="214">
        <f t="shared" si="238"/>
        <v>0.1</v>
      </c>
      <c r="D470" s="215">
        <v>0</v>
      </c>
      <c r="E470" s="214">
        <f t="shared" si="224"/>
        <v>0.1</v>
      </c>
      <c r="F470" s="336">
        <f>ROUND((+$E470*4000)/12,0)</f>
        <v>33</v>
      </c>
      <c r="G470" s="362">
        <f t="shared" si="237"/>
        <v>73</v>
      </c>
      <c r="H470" s="334">
        <f t="shared" si="225"/>
        <v>0.93</v>
      </c>
      <c r="I470" s="142">
        <f t="shared" si="226"/>
        <v>20</v>
      </c>
      <c r="J470" s="141">
        <f t="shared" si="227"/>
        <v>2.14</v>
      </c>
      <c r="K470" s="142">
        <f t="shared" si="228"/>
        <v>13</v>
      </c>
      <c r="L470" s="142">
        <f t="shared" si="229"/>
        <v>53</v>
      </c>
      <c r="M470" s="141">
        <f t="shared" si="230"/>
        <v>0.92</v>
      </c>
      <c r="N470" s="141">
        <f t="shared" si="231"/>
        <v>3.76</v>
      </c>
      <c r="O470" s="337">
        <f t="shared" si="239"/>
        <v>3.99</v>
      </c>
      <c r="P470" s="333">
        <f t="shared" si="232"/>
        <v>6.83</v>
      </c>
      <c r="Q470" s="330"/>
      <c r="R470" s="133"/>
      <c r="S470" s="133"/>
      <c r="T470" s="133"/>
      <c r="U470" s="133"/>
      <c r="V470" s="335">
        <f t="shared" si="233"/>
        <v>12.090909090909092</v>
      </c>
      <c r="W470" s="335">
        <f t="shared" si="234"/>
        <v>9.3561643835616444</v>
      </c>
    </row>
    <row r="471" spans="1:23" ht="15.75">
      <c r="A471" s="145">
        <f t="shared" si="235"/>
        <v>993</v>
      </c>
      <c r="B471" s="145">
        <v>200</v>
      </c>
      <c r="C471" s="214">
        <f t="shared" si="238"/>
        <v>0.2</v>
      </c>
      <c r="D471" s="215">
        <v>0</v>
      </c>
      <c r="E471" s="214">
        <f t="shared" si="224"/>
        <v>0.2</v>
      </c>
      <c r="F471" s="344">
        <f>ROUND((+$E471*(198*12))/12,0)</f>
        <v>40</v>
      </c>
      <c r="G471" s="363">
        <f t="shared" si="237"/>
        <v>146</v>
      </c>
      <c r="H471" s="141">
        <f t="shared" si="225"/>
        <v>1.87</v>
      </c>
      <c r="I471" s="142">
        <f t="shared" si="226"/>
        <v>40</v>
      </c>
      <c r="J471" s="141">
        <f t="shared" si="227"/>
        <v>4.2699999999999996</v>
      </c>
      <c r="K471" s="142">
        <f t="shared" si="228"/>
        <v>0</v>
      </c>
      <c r="L471" s="142">
        <f t="shared" si="229"/>
        <v>106</v>
      </c>
      <c r="M471" s="141">
        <f t="shared" si="230"/>
        <v>0</v>
      </c>
      <c r="N471" s="141">
        <f t="shared" si="231"/>
        <v>7.52</v>
      </c>
      <c r="O471" s="333">
        <f t="shared" si="239"/>
        <v>6.14</v>
      </c>
      <c r="P471" s="339">
        <f t="shared" si="232"/>
        <v>13.66</v>
      </c>
      <c r="Q471" s="133"/>
      <c r="R471" s="133"/>
      <c r="S471" s="133"/>
      <c r="T471" s="133"/>
      <c r="U471" s="133"/>
      <c r="V471" s="341">
        <f t="shared" si="233"/>
        <v>15.35</v>
      </c>
      <c r="W471" s="335">
        <f t="shared" si="234"/>
        <v>9.3561643835616444</v>
      </c>
    </row>
    <row r="472" spans="1:23" ht="15.75">
      <c r="A472" s="145">
        <f t="shared" si="235"/>
        <v>994</v>
      </c>
      <c r="B472" s="145">
        <v>1650</v>
      </c>
      <c r="C472" s="214">
        <f t="shared" si="238"/>
        <v>1.65</v>
      </c>
      <c r="D472" s="215">
        <v>0</v>
      </c>
      <c r="E472" s="214">
        <f t="shared" si="224"/>
        <v>1.65</v>
      </c>
      <c r="F472" s="331">
        <f t="shared" ref="F472:F479" si="240">ROUND((+$E472*4000)/12,0)</f>
        <v>550</v>
      </c>
      <c r="G472" s="364">
        <f t="shared" si="237"/>
        <v>1205</v>
      </c>
      <c r="H472" s="141">
        <f t="shared" si="225"/>
        <v>15.41</v>
      </c>
      <c r="I472" s="142">
        <f t="shared" si="226"/>
        <v>330</v>
      </c>
      <c r="J472" s="141">
        <f t="shared" si="227"/>
        <v>35.24</v>
      </c>
      <c r="K472" s="142">
        <f t="shared" si="228"/>
        <v>220</v>
      </c>
      <c r="L472" s="142">
        <f t="shared" si="229"/>
        <v>875</v>
      </c>
      <c r="M472" s="141">
        <f t="shared" si="230"/>
        <v>15.6</v>
      </c>
      <c r="N472" s="141">
        <f t="shared" si="231"/>
        <v>62.04</v>
      </c>
      <c r="O472" s="333">
        <f t="shared" si="239"/>
        <v>66.25</v>
      </c>
      <c r="P472" s="334">
        <f t="shared" si="232"/>
        <v>112.69</v>
      </c>
      <c r="Q472" s="133"/>
      <c r="R472" s="133"/>
      <c r="S472" s="133"/>
      <c r="T472" s="133"/>
      <c r="U472" s="133"/>
      <c r="V472" s="335">
        <f t="shared" si="233"/>
        <v>12.045454545454545</v>
      </c>
      <c r="W472" s="335">
        <f t="shared" si="234"/>
        <v>9.351867219917013</v>
      </c>
    </row>
    <row r="473" spans="1:23" ht="15.75">
      <c r="A473" s="145">
        <f t="shared" si="235"/>
        <v>995</v>
      </c>
      <c r="B473" s="145">
        <v>336</v>
      </c>
      <c r="C473" s="214">
        <f t="shared" si="238"/>
        <v>0.33600000000000002</v>
      </c>
      <c r="D473" s="215">
        <v>0</v>
      </c>
      <c r="E473" s="214">
        <f t="shared" si="224"/>
        <v>0.33600000000000002</v>
      </c>
      <c r="F473" s="336">
        <f t="shared" si="240"/>
        <v>112</v>
      </c>
      <c r="G473" s="362">
        <f t="shared" si="237"/>
        <v>245</v>
      </c>
      <c r="H473" s="334">
        <f t="shared" si="225"/>
        <v>3.14</v>
      </c>
      <c r="I473" s="142">
        <f t="shared" si="226"/>
        <v>67</v>
      </c>
      <c r="J473" s="141">
        <f t="shared" si="227"/>
        <v>7.16</v>
      </c>
      <c r="K473" s="142">
        <f t="shared" si="228"/>
        <v>45</v>
      </c>
      <c r="L473" s="142">
        <f t="shared" si="229"/>
        <v>178</v>
      </c>
      <c r="M473" s="141">
        <f t="shared" si="230"/>
        <v>3.19</v>
      </c>
      <c r="N473" s="141">
        <f t="shared" si="231"/>
        <v>12.62</v>
      </c>
      <c r="O473" s="337">
        <f t="shared" si="239"/>
        <v>13.49</v>
      </c>
      <c r="P473" s="333">
        <f t="shared" si="232"/>
        <v>22.92</v>
      </c>
      <c r="Q473" s="330"/>
      <c r="R473" s="133"/>
      <c r="S473" s="133"/>
      <c r="T473" s="133"/>
      <c r="U473" s="133"/>
      <c r="V473" s="335">
        <f t="shared" si="233"/>
        <v>12.044642857142858</v>
      </c>
      <c r="W473" s="335">
        <f t="shared" si="234"/>
        <v>9.3551020408163268</v>
      </c>
    </row>
    <row r="474" spans="1:23" ht="15.75">
      <c r="A474" s="145">
        <f t="shared" si="235"/>
        <v>996</v>
      </c>
      <c r="B474" s="145">
        <v>336</v>
      </c>
      <c r="C474" s="214">
        <f t="shared" si="238"/>
        <v>0.33600000000000002</v>
      </c>
      <c r="D474" s="215">
        <v>0</v>
      </c>
      <c r="E474" s="214">
        <f t="shared" si="224"/>
        <v>0.33600000000000002</v>
      </c>
      <c r="F474" s="331">
        <f t="shared" si="240"/>
        <v>112</v>
      </c>
      <c r="G474" s="363">
        <f t="shared" si="237"/>
        <v>245</v>
      </c>
      <c r="H474" s="141">
        <f t="shared" si="225"/>
        <v>3.14</v>
      </c>
      <c r="I474" s="142">
        <f t="shared" si="226"/>
        <v>67</v>
      </c>
      <c r="J474" s="141">
        <f t="shared" si="227"/>
        <v>7.16</v>
      </c>
      <c r="K474" s="142">
        <f t="shared" si="228"/>
        <v>45</v>
      </c>
      <c r="L474" s="142">
        <f t="shared" si="229"/>
        <v>178</v>
      </c>
      <c r="M474" s="141">
        <f t="shared" si="230"/>
        <v>3.19</v>
      </c>
      <c r="N474" s="141">
        <f t="shared" si="231"/>
        <v>12.62</v>
      </c>
      <c r="O474" s="333">
        <f t="shared" si="239"/>
        <v>13.49</v>
      </c>
      <c r="P474" s="339">
        <f t="shared" si="232"/>
        <v>22.92</v>
      </c>
      <c r="Q474" s="133"/>
      <c r="R474" s="133"/>
      <c r="S474" s="133"/>
      <c r="T474" s="133"/>
      <c r="U474" s="133"/>
      <c r="V474" s="335">
        <f t="shared" si="233"/>
        <v>12.044642857142858</v>
      </c>
      <c r="W474" s="335">
        <f t="shared" si="234"/>
        <v>9.3551020408163268</v>
      </c>
    </row>
    <row r="475" spans="1:23" ht="15.75">
      <c r="A475" s="145">
        <f t="shared" si="235"/>
        <v>997</v>
      </c>
      <c r="B475" s="145">
        <v>500</v>
      </c>
      <c r="C475" s="214">
        <f t="shared" si="238"/>
        <v>0.5</v>
      </c>
      <c r="D475" s="215">
        <v>0</v>
      </c>
      <c r="E475" s="214">
        <f t="shared" ref="E475:E506" si="241">(+C475*D475)+C475</f>
        <v>0.5</v>
      </c>
      <c r="F475" s="331">
        <f t="shared" si="240"/>
        <v>167</v>
      </c>
      <c r="G475" s="364">
        <f t="shared" si="237"/>
        <v>365</v>
      </c>
      <c r="H475" s="141">
        <f t="shared" ref="H475:H506" si="242">ROUND(+E475*D$7,2)</f>
        <v>4.67</v>
      </c>
      <c r="I475" s="142">
        <f t="shared" ref="I475:I506" si="243">ROUND(IF((E475*200)&gt;F475,F475,(E475*200)),0)</f>
        <v>100</v>
      </c>
      <c r="J475" s="141">
        <f t="shared" ref="J475:J506" si="244">ROUND(+I475*D$8,2)</f>
        <v>10.68</v>
      </c>
      <c r="K475" s="142">
        <f t="shared" ref="K475:K506" si="245">F475-I475</f>
        <v>67</v>
      </c>
      <c r="L475" s="142">
        <f t="shared" ref="L475:L506" si="246">G475-I475</f>
        <v>265</v>
      </c>
      <c r="M475" s="141">
        <f t="shared" ref="M475:M506" si="247">ROUND(+K475*D$9,2)</f>
        <v>4.75</v>
      </c>
      <c r="N475" s="141">
        <f t="shared" ref="N475:N506" si="248">ROUND(+L475*D$9,2)</f>
        <v>18.79</v>
      </c>
      <c r="O475" s="333">
        <f t="shared" si="239"/>
        <v>20.100000000000001</v>
      </c>
      <c r="P475" s="334">
        <f t="shared" ref="P475:P506" si="249">H475+J475+N475</f>
        <v>34.14</v>
      </c>
      <c r="Q475" s="133"/>
      <c r="R475" s="133"/>
      <c r="S475" s="133"/>
      <c r="T475" s="133"/>
      <c r="U475" s="133"/>
      <c r="V475" s="335">
        <f t="shared" ref="V475:V481" si="250">+O475/(I475+K475)*100</f>
        <v>12.035928143712574</v>
      </c>
      <c r="W475" s="335">
        <f t="shared" ref="W475:W481" si="251">+P475/(I475+L475)*100</f>
        <v>9.3534246575342461</v>
      </c>
    </row>
    <row r="476" spans="1:23" ht="15.75">
      <c r="A476" s="145">
        <f t="shared" si="235"/>
        <v>998</v>
      </c>
      <c r="B476" s="145">
        <v>764</v>
      </c>
      <c r="C476" s="214">
        <f t="shared" si="238"/>
        <v>0.76400000000000001</v>
      </c>
      <c r="D476" s="215">
        <v>0.17249999999999999</v>
      </c>
      <c r="E476" s="214">
        <f t="shared" si="241"/>
        <v>0.89578999999999998</v>
      </c>
      <c r="F476" s="336">
        <f t="shared" si="240"/>
        <v>299</v>
      </c>
      <c r="G476" s="365">
        <f t="shared" si="237"/>
        <v>654</v>
      </c>
      <c r="H476" s="141">
        <f t="shared" si="242"/>
        <v>8.3699999999999992</v>
      </c>
      <c r="I476" s="142">
        <f t="shared" si="243"/>
        <v>179</v>
      </c>
      <c r="J476" s="141">
        <f t="shared" si="244"/>
        <v>19.12</v>
      </c>
      <c r="K476" s="142">
        <f t="shared" si="245"/>
        <v>120</v>
      </c>
      <c r="L476" s="142">
        <f t="shared" si="246"/>
        <v>475</v>
      </c>
      <c r="M476" s="141">
        <f t="shared" si="247"/>
        <v>8.51</v>
      </c>
      <c r="N476" s="141">
        <f t="shared" si="248"/>
        <v>33.68</v>
      </c>
      <c r="O476" s="337">
        <f t="shared" si="239"/>
        <v>36</v>
      </c>
      <c r="P476" s="141">
        <f t="shared" si="249"/>
        <v>61.17</v>
      </c>
      <c r="Q476" s="30" t="s">
        <v>273</v>
      </c>
      <c r="R476" s="133"/>
      <c r="S476" s="133"/>
      <c r="T476" s="133"/>
      <c r="U476" s="133"/>
      <c r="V476" s="335">
        <f t="shared" si="250"/>
        <v>12.040133779264215</v>
      </c>
      <c r="W476" s="335">
        <f t="shared" si="251"/>
        <v>9.3532110091743128</v>
      </c>
    </row>
    <row r="477" spans="1:23" ht="15.75">
      <c r="A477" s="145">
        <f t="shared" si="235"/>
        <v>999</v>
      </c>
      <c r="B477" s="145">
        <v>144</v>
      </c>
      <c r="C477" s="214">
        <f t="shared" si="238"/>
        <v>0.14399999999999999</v>
      </c>
      <c r="D477" s="215">
        <v>0</v>
      </c>
      <c r="E477" s="214">
        <f t="shared" si="241"/>
        <v>0.14399999999999999</v>
      </c>
      <c r="F477" s="142">
        <f t="shared" si="240"/>
        <v>48</v>
      </c>
      <c r="G477" s="366">
        <f t="shared" si="237"/>
        <v>105</v>
      </c>
      <c r="H477" s="334">
        <f t="shared" si="242"/>
        <v>1.34</v>
      </c>
      <c r="I477" s="142">
        <f t="shared" si="243"/>
        <v>29</v>
      </c>
      <c r="J477" s="141">
        <f t="shared" si="244"/>
        <v>3.1</v>
      </c>
      <c r="K477" s="142">
        <f t="shared" si="245"/>
        <v>19</v>
      </c>
      <c r="L477" s="142">
        <f t="shared" si="246"/>
        <v>76</v>
      </c>
      <c r="M477" s="141">
        <f t="shared" si="247"/>
        <v>1.35</v>
      </c>
      <c r="N477" s="141">
        <f t="shared" si="248"/>
        <v>5.39</v>
      </c>
      <c r="O477" s="141">
        <f t="shared" si="239"/>
        <v>5.7900000000000009</v>
      </c>
      <c r="P477" s="333">
        <f t="shared" si="249"/>
        <v>9.83</v>
      </c>
      <c r="Q477" s="330"/>
      <c r="R477" s="133"/>
      <c r="S477" s="133"/>
      <c r="T477" s="133"/>
      <c r="U477" s="133"/>
      <c r="V477" s="335">
        <f t="shared" si="250"/>
        <v>12.062500000000002</v>
      </c>
      <c r="W477" s="335">
        <f t="shared" si="251"/>
        <v>9.3619047619047624</v>
      </c>
    </row>
    <row r="478" spans="1:23" ht="15.75">
      <c r="A478" s="145" t="s">
        <v>890</v>
      </c>
      <c r="B478" s="35">
        <v>86</v>
      </c>
      <c r="C478" s="214">
        <f t="shared" si="238"/>
        <v>8.5999999999999993E-2</v>
      </c>
      <c r="D478" s="215">
        <v>0.36</v>
      </c>
      <c r="E478" s="214">
        <f t="shared" si="241"/>
        <v>0.11695999999999999</v>
      </c>
      <c r="F478" s="367">
        <f t="shared" si="240"/>
        <v>39</v>
      </c>
      <c r="G478" s="155">
        <f t="shared" si="237"/>
        <v>85</v>
      </c>
      <c r="H478" s="141">
        <f t="shared" si="242"/>
        <v>1.0900000000000001</v>
      </c>
      <c r="I478" s="142">
        <f t="shared" si="243"/>
        <v>23</v>
      </c>
      <c r="J478" s="141">
        <f t="shared" si="244"/>
        <v>2.46</v>
      </c>
      <c r="K478" s="142">
        <f t="shared" si="245"/>
        <v>16</v>
      </c>
      <c r="L478" s="142">
        <f t="shared" si="246"/>
        <v>62</v>
      </c>
      <c r="M478" s="141">
        <f t="shared" si="247"/>
        <v>1.1299999999999999</v>
      </c>
      <c r="N478" s="141">
        <f t="shared" si="248"/>
        <v>4.4000000000000004</v>
      </c>
      <c r="O478" s="368">
        <f t="shared" si="239"/>
        <v>4.68</v>
      </c>
      <c r="P478" s="154">
        <f t="shared" si="249"/>
        <v>7.95</v>
      </c>
      <c r="Q478" s="330"/>
      <c r="R478" s="133"/>
      <c r="S478" s="133"/>
      <c r="T478" s="133"/>
      <c r="U478" s="133"/>
      <c r="V478" s="335">
        <f t="shared" si="250"/>
        <v>12</v>
      </c>
      <c r="W478" s="335">
        <f t="shared" si="251"/>
        <v>9.3529411764705888</v>
      </c>
    </row>
    <row r="479" spans="1:23" ht="15.75">
      <c r="A479" s="145" t="s">
        <v>274</v>
      </c>
      <c r="B479" s="35">
        <v>720</v>
      </c>
      <c r="C479" s="214">
        <f t="shared" si="238"/>
        <v>0.72</v>
      </c>
      <c r="D479" s="215">
        <v>0.25</v>
      </c>
      <c r="E479" s="214">
        <f t="shared" si="241"/>
        <v>0.89999999999999991</v>
      </c>
      <c r="F479" s="142">
        <f t="shared" si="240"/>
        <v>300</v>
      </c>
      <c r="G479" s="367">
        <f t="shared" si="237"/>
        <v>657</v>
      </c>
      <c r="H479" s="154">
        <f t="shared" si="242"/>
        <v>8.41</v>
      </c>
      <c r="I479" s="142">
        <f t="shared" si="243"/>
        <v>180</v>
      </c>
      <c r="J479" s="141">
        <f t="shared" si="244"/>
        <v>19.22</v>
      </c>
      <c r="K479" s="142">
        <f t="shared" si="245"/>
        <v>120</v>
      </c>
      <c r="L479" s="142">
        <f t="shared" si="246"/>
        <v>477</v>
      </c>
      <c r="M479" s="141">
        <f t="shared" si="247"/>
        <v>8.51</v>
      </c>
      <c r="N479" s="141">
        <f t="shared" si="248"/>
        <v>33.82</v>
      </c>
      <c r="O479" s="52">
        <f t="shared" si="239"/>
        <v>36.14</v>
      </c>
      <c r="P479" s="368">
        <f t="shared" si="249"/>
        <v>61.45</v>
      </c>
      <c r="Q479" s="330"/>
      <c r="R479" s="133"/>
      <c r="S479" s="133"/>
      <c r="T479" s="133"/>
      <c r="U479" s="133"/>
      <c r="V479" s="335">
        <f t="shared" si="250"/>
        <v>12.046666666666667</v>
      </c>
      <c r="W479" s="335">
        <f t="shared" si="251"/>
        <v>9.3531202435312029</v>
      </c>
    </row>
    <row r="480" spans="1:23" ht="15.75">
      <c r="A480" s="145">
        <v>1002</v>
      </c>
      <c r="B480" s="35">
        <v>11104</v>
      </c>
      <c r="C480" s="214">
        <f t="shared" si="238"/>
        <v>11.103999999999999</v>
      </c>
      <c r="D480" s="215">
        <v>0.1</v>
      </c>
      <c r="E480" s="214">
        <f t="shared" si="241"/>
        <v>12.214399999999999</v>
      </c>
      <c r="F480" s="369">
        <f>ROUND((+$E480*11*365)/12,0)</f>
        <v>4087</v>
      </c>
      <c r="G480" s="155">
        <f t="shared" si="237"/>
        <v>8917</v>
      </c>
      <c r="H480" s="141">
        <f t="shared" si="242"/>
        <v>114.08</v>
      </c>
      <c r="I480" s="142">
        <f t="shared" si="243"/>
        <v>2443</v>
      </c>
      <c r="J480" s="141">
        <f t="shared" si="244"/>
        <v>260.92</v>
      </c>
      <c r="K480" s="142">
        <f t="shared" si="245"/>
        <v>1644</v>
      </c>
      <c r="L480" s="142">
        <f t="shared" si="246"/>
        <v>6474</v>
      </c>
      <c r="M480" s="141">
        <f t="shared" si="247"/>
        <v>116.57</v>
      </c>
      <c r="N480" s="141">
        <f t="shared" si="248"/>
        <v>459.04</v>
      </c>
      <c r="O480" s="368">
        <f t="shared" si="239"/>
        <v>491.57</v>
      </c>
      <c r="P480" s="154">
        <f t="shared" si="249"/>
        <v>834.04</v>
      </c>
      <c r="Q480" s="153"/>
      <c r="R480" s="133"/>
      <c r="S480" s="133"/>
      <c r="T480" s="133"/>
      <c r="U480" s="133"/>
      <c r="V480" s="335">
        <f t="shared" si="250"/>
        <v>12.027648642035722</v>
      </c>
      <c r="W480" s="335">
        <f t="shared" si="251"/>
        <v>9.3533699674778514</v>
      </c>
    </row>
    <row r="481" spans="1:23" ht="15.75">
      <c r="A481" s="145">
        <v>1003</v>
      </c>
      <c r="B481" s="35">
        <v>825</v>
      </c>
      <c r="C481" s="214">
        <f t="shared" si="238"/>
        <v>0.82499999999999996</v>
      </c>
      <c r="D481" s="215">
        <v>0.2</v>
      </c>
      <c r="E481" s="214">
        <f t="shared" si="241"/>
        <v>0.99</v>
      </c>
      <c r="F481" s="370">
        <f>ROUND((+$E481*4000)/12,0)</f>
        <v>330</v>
      </c>
      <c r="G481" s="155">
        <f t="shared" si="237"/>
        <v>723</v>
      </c>
      <c r="H481" s="141">
        <f t="shared" si="242"/>
        <v>9.25</v>
      </c>
      <c r="I481" s="142">
        <f t="shared" si="243"/>
        <v>198</v>
      </c>
      <c r="J481" s="141">
        <f t="shared" si="244"/>
        <v>21.15</v>
      </c>
      <c r="K481" s="142">
        <f t="shared" si="245"/>
        <v>132</v>
      </c>
      <c r="L481" s="142">
        <f t="shared" si="246"/>
        <v>525</v>
      </c>
      <c r="M481" s="141">
        <f t="shared" si="247"/>
        <v>9.36</v>
      </c>
      <c r="N481" s="141">
        <f t="shared" si="248"/>
        <v>37.229999999999997</v>
      </c>
      <c r="O481" s="368">
        <f t="shared" si="239"/>
        <v>39.76</v>
      </c>
      <c r="P481" s="154">
        <f t="shared" si="249"/>
        <v>67.63</v>
      </c>
      <c r="Q481" s="153"/>
      <c r="R481" s="133"/>
      <c r="S481" s="133"/>
      <c r="T481" s="133"/>
      <c r="U481" s="133"/>
      <c r="V481" s="335">
        <f t="shared" si="250"/>
        <v>12.048484848484847</v>
      </c>
      <c r="W481" s="335">
        <f t="shared" si="251"/>
        <v>9.3540802213001371</v>
      </c>
    </row>
    <row r="482" spans="1:23" ht="15.75">
      <c r="A482" s="145">
        <v>1004</v>
      </c>
      <c r="B482" s="35">
        <v>720</v>
      </c>
      <c r="C482" s="214">
        <f t="shared" si="238"/>
        <v>0.72</v>
      </c>
      <c r="D482" s="215">
        <v>0.1</v>
      </c>
      <c r="E482" s="214">
        <f t="shared" si="241"/>
        <v>0.79199999999999993</v>
      </c>
      <c r="F482" s="371">
        <f>ROUND((+$E482*4000)/12,0)</f>
        <v>264</v>
      </c>
      <c r="G482" s="155">
        <f t="shared" si="237"/>
        <v>578</v>
      </c>
      <c r="H482" s="141">
        <f t="shared" si="242"/>
        <v>7.4</v>
      </c>
      <c r="I482" s="142">
        <f t="shared" si="243"/>
        <v>158</v>
      </c>
      <c r="J482" s="141">
        <f t="shared" si="244"/>
        <v>16.87</v>
      </c>
      <c r="K482" s="142">
        <f t="shared" si="245"/>
        <v>106</v>
      </c>
      <c r="L482" s="142">
        <f t="shared" si="246"/>
        <v>420</v>
      </c>
      <c r="M482" s="141">
        <f t="shared" si="247"/>
        <v>7.52</v>
      </c>
      <c r="N482" s="141">
        <f t="shared" si="248"/>
        <v>29.78</v>
      </c>
      <c r="O482" s="368">
        <f t="shared" si="239"/>
        <v>31.790000000000003</v>
      </c>
      <c r="P482" s="154">
        <f t="shared" si="249"/>
        <v>54.050000000000004</v>
      </c>
      <c r="Q482" s="153"/>
      <c r="R482" s="133"/>
      <c r="S482" s="133"/>
      <c r="T482" s="133"/>
      <c r="U482" s="133"/>
      <c r="V482" s="335"/>
      <c r="W482" s="335"/>
    </row>
    <row r="483" spans="1:23" ht="15.75">
      <c r="A483" s="145">
        <v>1005</v>
      </c>
      <c r="B483" s="35">
        <v>680</v>
      </c>
      <c r="C483" s="214">
        <f t="shared" si="238"/>
        <v>0.68</v>
      </c>
      <c r="D483" s="215">
        <v>0.1</v>
      </c>
      <c r="E483" s="214">
        <f t="shared" si="241"/>
        <v>0.748</v>
      </c>
      <c r="F483" s="312">
        <f>ROUND((+$E483*4000)/12,0)</f>
        <v>249</v>
      </c>
      <c r="G483" s="155">
        <f t="shared" si="237"/>
        <v>546</v>
      </c>
      <c r="H483" s="141">
        <f t="shared" si="242"/>
        <v>6.99</v>
      </c>
      <c r="I483" s="142">
        <f t="shared" si="243"/>
        <v>150</v>
      </c>
      <c r="J483" s="141">
        <f t="shared" si="244"/>
        <v>16.02</v>
      </c>
      <c r="K483" s="142">
        <f t="shared" si="245"/>
        <v>99</v>
      </c>
      <c r="L483" s="142">
        <f t="shared" si="246"/>
        <v>396</v>
      </c>
      <c r="M483" s="141">
        <f t="shared" si="247"/>
        <v>7.02</v>
      </c>
      <c r="N483" s="141">
        <f t="shared" si="248"/>
        <v>28.08</v>
      </c>
      <c r="O483" s="368">
        <f t="shared" si="239"/>
        <v>30.029999999999998</v>
      </c>
      <c r="P483" s="154">
        <f t="shared" si="249"/>
        <v>51.089999999999996</v>
      </c>
      <c r="Q483" s="153"/>
      <c r="R483" s="133"/>
      <c r="S483" s="133"/>
      <c r="T483" s="133"/>
      <c r="U483" s="133"/>
      <c r="V483" s="335"/>
      <c r="W483" s="335"/>
    </row>
    <row r="484" spans="1:23" ht="15.75">
      <c r="A484" s="145">
        <v>1006</v>
      </c>
      <c r="B484" s="35">
        <v>700</v>
      </c>
      <c r="C484" s="214">
        <f t="shared" si="238"/>
        <v>0.7</v>
      </c>
      <c r="D484" s="215">
        <v>9.9000000000000005E-2</v>
      </c>
      <c r="E484" s="214">
        <f t="shared" si="241"/>
        <v>0.76929999999999998</v>
      </c>
      <c r="F484" s="312">
        <f>ROUND((+$E484*4000)/12,0)</f>
        <v>256</v>
      </c>
      <c r="G484" s="155">
        <f t="shared" si="237"/>
        <v>562</v>
      </c>
      <c r="H484" s="141">
        <f t="shared" si="242"/>
        <v>7.18</v>
      </c>
      <c r="I484" s="142">
        <f t="shared" si="243"/>
        <v>154</v>
      </c>
      <c r="J484" s="141">
        <f t="shared" si="244"/>
        <v>16.45</v>
      </c>
      <c r="K484" s="142">
        <f t="shared" si="245"/>
        <v>102</v>
      </c>
      <c r="L484" s="142">
        <f t="shared" si="246"/>
        <v>408</v>
      </c>
      <c r="M484" s="141">
        <f t="shared" si="247"/>
        <v>7.23</v>
      </c>
      <c r="N484" s="141">
        <f t="shared" si="248"/>
        <v>28.93</v>
      </c>
      <c r="O484" s="368">
        <f t="shared" si="239"/>
        <v>30.86</v>
      </c>
      <c r="P484" s="154">
        <f t="shared" si="249"/>
        <v>52.56</v>
      </c>
      <c r="Q484" s="153"/>
      <c r="R484" s="133"/>
      <c r="S484" s="133"/>
      <c r="T484" s="133"/>
      <c r="U484" s="133"/>
      <c r="V484" s="335"/>
      <c r="W484" s="335"/>
    </row>
    <row r="485" spans="1:23" ht="15.75">
      <c r="A485" s="145">
        <v>1007</v>
      </c>
      <c r="B485" s="35">
        <v>690</v>
      </c>
      <c r="C485" s="214">
        <f t="shared" si="238"/>
        <v>0.69</v>
      </c>
      <c r="D485" s="215">
        <v>0.13189999999999999</v>
      </c>
      <c r="E485" s="214">
        <f t="shared" si="241"/>
        <v>0.7810109999999999</v>
      </c>
      <c r="F485" s="312">
        <f>ROUND((+$E485*4000)/12,0)</f>
        <v>260</v>
      </c>
      <c r="G485" s="155">
        <f t="shared" si="237"/>
        <v>570</v>
      </c>
      <c r="H485" s="141">
        <f t="shared" si="242"/>
        <v>7.29</v>
      </c>
      <c r="I485" s="142">
        <f t="shared" si="243"/>
        <v>156</v>
      </c>
      <c r="J485" s="141">
        <f t="shared" si="244"/>
        <v>16.66</v>
      </c>
      <c r="K485" s="142">
        <f t="shared" si="245"/>
        <v>104</v>
      </c>
      <c r="L485" s="142">
        <f t="shared" si="246"/>
        <v>414</v>
      </c>
      <c r="M485" s="141">
        <f t="shared" si="247"/>
        <v>7.37</v>
      </c>
      <c r="N485" s="141">
        <f t="shared" si="248"/>
        <v>29.35</v>
      </c>
      <c r="O485" s="368">
        <f t="shared" si="239"/>
        <v>31.32</v>
      </c>
      <c r="P485" s="154">
        <f t="shared" si="249"/>
        <v>53.3</v>
      </c>
      <c r="Q485" s="153"/>
      <c r="R485" s="133"/>
      <c r="S485" s="133"/>
      <c r="T485" s="133"/>
      <c r="U485" s="133"/>
      <c r="V485" s="335"/>
      <c r="W485" s="335"/>
    </row>
    <row r="486" spans="1:23" ht="15.75">
      <c r="A486" s="145">
        <v>1008</v>
      </c>
      <c r="B486" s="35">
        <v>550</v>
      </c>
      <c r="C486" s="214">
        <f t="shared" si="238"/>
        <v>0.55000000000000004</v>
      </c>
      <c r="D486" s="215">
        <v>0.1</v>
      </c>
      <c r="E486" s="214">
        <f t="shared" si="241"/>
        <v>0.60500000000000009</v>
      </c>
      <c r="F486" s="310">
        <f>ROUND((+$E486*52)/12,0)</f>
        <v>3</v>
      </c>
      <c r="G486" s="155">
        <f t="shared" si="237"/>
        <v>442</v>
      </c>
      <c r="H486" s="141">
        <f t="shared" si="242"/>
        <v>5.65</v>
      </c>
      <c r="I486" s="142">
        <f t="shared" si="243"/>
        <v>3</v>
      </c>
      <c r="J486" s="141">
        <f t="shared" si="244"/>
        <v>0.32</v>
      </c>
      <c r="K486" s="142">
        <f t="shared" si="245"/>
        <v>0</v>
      </c>
      <c r="L486" s="142">
        <f t="shared" si="246"/>
        <v>439</v>
      </c>
      <c r="M486" s="141">
        <f t="shared" si="247"/>
        <v>0</v>
      </c>
      <c r="N486" s="141">
        <f t="shared" si="248"/>
        <v>31.13</v>
      </c>
      <c r="O486" s="368">
        <f t="shared" si="239"/>
        <v>5.9700000000000006</v>
      </c>
      <c r="P486" s="154">
        <f t="shared" si="249"/>
        <v>37.1</v>
      </c>
      <c r="Q486" s="153"/>
      <c r="R486" s="133"/>
      <c r="S486" s="133"/>
      <c r="T486" s="133"/>
      <c r="U486" s="133"/>
      <c r="V486" s="335"/>
      <c r="W486" s="335"/>
    </row>
    <row r="487" spans="1:23" ht="15.75">
      <c r="A487" s="145">
        <v>1009</v>
      </c>
      <c r="B487" s="35">
        <v>200</v>
      </c>
      <c r="C487" s="214">
        <f t="shared" si="238"/>
        <v>0.2</v>
      </c>
      <c r="D487" s="215">
        <v>0.1</v>
      </c>
      <c r="E487" s="214">
        <f t="shared" si="241"/>
        <v>0.22000000000000003</v>
      </c>
      <c r="F487" s="312">
        <f>ROUND((+$E487*4000)/12,0)</f>
        <v>73</v>
      </c>
      <c r="G487" s="155">
        <f t="shared" si="237"/>
        <v>161</v>
      </c>
      <c r="H487" s="141">
        <f t="shared" si="242"/>
        <v>2.0499999999999998</v>
      </c>
      <c r="I487" s="142">
        <f t="shared" si="243"/>
        <v>44</v>
      </c>
      <c r="J487" s="141">
        <f t="shared" si="244"/>
        <v>4.7</v>
      </c>
      <c r="K487" s="142">
        <f t="shared" si="245"/>
        <v>29</v>
      </c>
      <c r="L487" s="142">
        <f t="shared" si="246"/>
        <v>117</v>
      </c>
      <c r="M487" s="141">
        <f t="shared" si="247"/>
        <v>2.06</v>
      </c>
      <c r="N487" s="141">
        <f t="shared" si="248"/>
        <v>8.3000000000000007</v>
      </c>
      <c r="O487" s="368">
        <f t="shared" si="239"/>
        <v>8.81</v>
      </c>
      <c r="P487" s="154">
        <f t="shared" si="249"/>
        <v>15.05</v>
      </c>
      <c r="Q487" s="153"/>
      <c r="R487" s="133"/>
      <c r="S487" s="133"/>
      <c r="T487" s="133"/>
      <c r="U487" s="133"/>
      <c r="V487" s="335"/>
      <c r="W487" s="335"/>
    </row>
    <row r="488" spans="1:23" ht="15.75">
      <c r="A488" s="145">
        <v>1010</v>
      </c>
      <c r="B488" s="35">
        <v>603</v>
      </c>
      <c r="C488" s="214">
        <f t="shared" si="238"/>
        <v>0.60299999999999998</v>
      </c>
      <c r="D488" s="215">
        <v>0.15</v>
      </c>
      <c r="E488" s="214">
        <f t="shared" si="241"/>
        <v>0.69345000000000001</v>
      </c>
      <c r="F488" s="232">
        <f>ROUND((+$E488*4380)/12,0)</f>
        <v>253</v>
      </c>
      <c r="G488" s="310">
        <f>ROUND((0.348*8760+0.345*4380)/12,0)</f>
        <v>380</v>
      </c>
      <c r="H488" s="141">
        <f t="shared" si="242"/>
        <v>6.48</v>
      </c>
      <c r="I488" s="142">
        <f t="shared" si="243"/>
        <v>139</v>
      </c>
      <c r="J488" s="141">
        <f t="shared" si="244"/>
        <v>14.85</v>
      </c>
      <c r="K488" s="142">
        <f t="shared" si="245"/>
        <v>114</v>
      </c>
      <c r="L488" s="142">
        <f t="shared" si="246"/>
        <v>241</v>
      </c>
      <c r="M488" s="141">
        <f t="shared" si="247"/>
        <v>8.08</v>
      </c>
      <c r="N488" s="141">
        <f t="shared" si="248"/>
        <v>17.09</v>
      </c>
      <c r="O488" s="372">
        <f t="shared" si="239"/>
        <v>29.409999999999997</v>
      </c>
      <c r="P488" s="328">
        <f t="shared" si="249"/>
        <v>38.42</v>
      </c>
      <c r="Q488" s="153"/>
      <c r="R488" s="133"/>
      <c r="S488" s="133"/>
      <c r="T488" s="133"/>
      <c r="U488" s="133"/>
      <c r="V488" s="335"/>
      <c r="W488" s="335"/>
    </row>
    <row r="489" spans="1:23" ht="15.75">
      <c r="A489" s="145">
        <v>1011</v>
      </c>
      <c r="B489" s="35">
        <v>35</v>
      </c>
      <c r="C489" s="214">
        <f t="shared" si="238"/>
        <v>3.5000000000000003E-2</v>
      </c>
      <c r="D489" s="215">
        <v>0</v>
      </c>
      <c r="E489" s="214">
        <f t="shared" si="241"/>
        <v>3.5000000000000003E-2</v>
      </c>
      <c r="F489" s="232">
        <f t="shared" ref="F489:F495" si="252">ROUND((+$E489*4000)/12,0)</f>
        <v>12</v>
      </c>
      <c r="G489" s="312">
        <f t="shared" ref="G489:G528" si="253">ROUND((+$E489*8760)/12,0)</f>
        <v>26</v>
      </c>
      <c r="H489" s="141">
        <f t="shared" si="242"/>
        <v>0.33</v>
      </c>
      <c r="I489" s="142">
        <f t="shared" si="243"/>
        <v>7</v>
      </c>
      <c r="J489" s="141">
        <f t="shared" si="244"/>
        <v>0.75</v>
      </c>
      <c r="K489" s="142">
        <f t="shared" si="245"/>
        <v>5</v>
      </c>
      <c r="L489" s="142">
        <f t="shared" si="246"/>
        <v>19</v>
      </c>
      <c r="M489" s="141">
        <f t="shared" si="247"/>
        <v>0.35</v>
      </c>
      <c r="N489" s="141">
        <f t="shared" si="248"/>
        <v>1.35</v>
      </c>
      <c r="O489" s="373">
        <f t="shared" si="239"/>
        <v>1.4300000000000002</v>
      </c>
      <c r="P489" s="374">
        <f t="shared" si="249"/>
        <v>2.4300000000000002</v>
      </c>
      <c r="Q489" s="30" t="s">
        <v>245</v>
      </c>
      <c r="R489" s="133"/>
      <c r="S489" s="133"/>
      <c r="T489" s="133"/>
      <c r="U489" s="133"/>
      <c r="V489" s="335"/>
      <c r="W489" s="335"/>
    </row>
    <row r="490" spans="1:23" ht="15.75">
      <c r="A490" s="145">
        <v>1012</v>
      </c>
      <c r="B490" s="35">
        <v>408</v>
      </c>
      <c r="C490" s="214">
        <f t="shared" si="238"/>
        <v>0.40799999999999997</v>
      </c>
      <c r="D490" s="215">
        <v>0.1</v>
      </c>
      <c r="E490" s="214">
        <f t="shared" si="241"/>
        <v>0.44879999999999998</v>
      </c>
      <c r="F490" s="312">
        <f t="shared" si="252"/>
        <v>150</v>
      </c>
      <c r="G490" s="155">
        <f t="shared" si="253"/>
        <v>328</v>
      </c>
      <c r="H490" s="141">
        <f t="shared" si="242"/>
        <v>4.1900000000000004</v>
      </c>
      <c r="I490" s="142">
        <f t="shared" si="243"/>
        <v>90</v>
      </c>
      <c r="J490" s="141">
        <f t="shared" si="244"/>
        <v>9.61</v>
      </c>
      <c r="K490" s="142">
        <f t="shared" si="245"/>
        <v>60</v>
      </c>
      <c r="L490" s="142">
        <f t="shared" si="246"/>
        <v>238</v>
      </c>
      <c r="M490" s="141">
        <f t="shared" si="247"/>
        <v>4.25</v>
      </c>
      <c r="N490" s="141">
        <f t="shared" si="248"/>
        <v>16.88</v>
      </c>
      <c r="O490" s="368">
        <f t="shared" si="239"/>
        <v>18.05</v>
      </c>
      <c r="P490" s="154">
        <f t="shared" si="249"/>
        <v>30.68</v>
      </c>
      <c r="Q490" s="153"/>
      <c r="R490" s="133"/>
      <c r="S490" s="133"/>
      <c r="T490" s="133"/>
      <c r="U490" s="133"/>
      <c r="V490" s="335"/>
      <c r="W490" s="335"/>
    </row>
    <row r="491" spans="1:23" ht="15.75">
      <c r="A491" s="145">
        <v>1013</v>
      </c>
      <c r="B491" s="35">
        <v>395</v>
      </c>
      <c r="C491" s="214">
        <f t="shared" si="238"/>
        <v>0.39500000000000002</v>
      </c>
      <c r="D491" s="215">
        <v>0.1</v>
      </c>
      <c r="E491" s="214">
        <f t="shared" si="241"/>
        <v>0.4345</v>
      </c>
      <c r="F491" s="312">
        <f t="shared" si="252"/>
        <v>145</v>
      </c>
      <c r="G491" s="155">
        <f t="shared" si="253"/>
        <v>317</v>
      </c>
      <c r="H491" s="141">
        <f t="shared" si="242"/>
        <v>4.0599999999999996</v>
      </c>
      <c r="I491" s="142">
        <f t="shared" si="243"/>
        <v>87</v>
      </c>
      <c r="J491" s="141">
        <f t="shared" si="244"/>
        <v>9.2899999999999991</v>
      </c>
      <c r="K491" s="142">
        <f t="shared" si="245"/>
        <v>58</v>
      </c>
      <c r="L491" s="142">
        <f t="shared" si="246"/>
        <v>230</v>
      </c>
      <c r="M491" s="141">
        <f t="shared" si="247"/>
        <v>4.1100000000000003</v>
      </c>
      <c r="N491" s="141">
        <f t="shared" si="248"/>
        <v>16.309999999999999</v>
      </c>
      <c r="O491" s="368">
        <f t="shared" si="239"/>
        <v>17.459999999999997</v>
      </c>
      <c r="P491" s="154">
        <f t="shared" si="249"/>
        <v>29.659999999999997</v>
      </c>
      <c r="Q491" s="153"/>
      <c r="R491" s="133"/>
      <c r="S491" s="133"/>
      <c r="T491" s="133"/>
      <c r="U491" s="133"/>
      <c r="V491" s="335"/>
      <c r="W491" s="335"/>
    </row>
    <row r="492" spans="1:23" ht="15.75">
      <c r="A492" s="145">
        <v>1014</v>
      </c>
      <c r="B492" s="35">
        <v>180</v>
      </c>
      <c r="C492" s="214">
        <f t="shared" si="238"/>
        <v>0.18</v>
      </c>
      <c r="D492" s="215">
        <v>0.1</v>
      </c>
      <c r="E492" s="214">
        <f t="shared" si="241"/>
        <v>0.19799999999999998</v>
      </c>
      <c r="F492" s="312">
        <f t="shared" si="252"/>
        <v>66</v>
      </c>
      <c r="G492" s="155">
        <f t="shared" si="253"/>
        <v>145</v>
      </c>
      <c r="H492" s="141">
        <f t="shared" si="242"/>
        <v>1.85</v>
      </c>
      <c r="I492" s="142">
        <f t="shared" si="243"/>
        <v>40</v>
      </c>
      <c r="J492" s="141">
        <f t="shared" si="244"/>
        <v>4.2699999999999996</v>
      </c>
      <c r="K492" s="142">
        <f t="shared" si="245"/>
        <v>26</v>
      </c>
      <c r="L492" s="142">
        <f t="shared" si="246"/>
        <v>105</v>
      </c>
      <c r="M492" s="141">
        <f t="shared" si="247"/>
        <v>1.84</v>
      </c>
      <c r="N492" s="141">
        <f t="shared" si="248"/>
        <v>7.45</v>
      </c>
      <c r="O492" s="368">
        <f t="shared" si="239"/>
        <v>7.9599999999999991</v>
      </c>
      <c r="P492" s="154">
        <f t="shared" si="249"/>
        <v>13.57</v>
      </c>
      <c r="Q492" s="153"/>
      <c r="R492" s="133"/>
      <c r="S492" s="133"/>
      <c r="T492" s="133"/>
      <c r="U492" s="133"/>
      <c r="V492" s="335"/>
      <c r="W492" s="335"/>
    </row>
    <row r="493" spans="1:23" ht="15.75">
      <c r="A493" s="145">
        <v>1015</v>
      </c>
      <c r="B493" s="35">
        <v>5844</v>
      </c>
      <c r="C493" s="214">
        <f t="shared" si="238"/>
        <v>5.8440000000000003</v>
      </c>
      <c r="D493" s="215">
        <v>0.28599999999999998</v>
      </c>
      <c r="E493" s="214">
        <f t="shared" si="241"/>
        <v>7.5153840000000001</v>
      </c>
      <c r="F493" s="310">
        <f t="shared" si="252"/>
        <v>2505</v>
      </c>
      <c r="G493" s="155">
        <f t="shared" si="253"/>
        <v>5486</v>
      </c>
      <c r="H493" s="141">
        <f t="shared" si="242"/>
        <v>70.19</v>
      </c>
      <c r="I493" s="142">
        <f t="shared" si="243"/>
        <v>1503</v>
      </c>
      <c r="J493" s="141">
        <f t="shared" si="244"/>
        <v>160.52000000000001</v>
      </c>
      <c r="K493" s="142">
        <f t="shared" si="245"/>
        <v>1002</v>
      </c>
      <c r="L493" s="142">
        <f t="shared" si="246"/>
        <v>3983</v>
      </c>
      <c r="M493" s="141">
        <f t="shared" si="247"/>
        <v>71.05</v>
      </c>
      <c r="N493" s="141">
        <f t="shared" si="248"/>
        <v>282.42</v>
      </c>
      <c r="O493" s="368">
        <f t="shared" si="239"/>
        <v>301.76</v>
      </c>
      <c r="P493" s="154">
        <f t="shared" si="249"/>
        <v>513.13</v>
      </c>
      <c r="Q493" s="153"/>
      <c r="R493" s="133"/>
      <c r="S493" s="133"/>
      <c r="T493" s="133"/>
      <c r="U493" s="133"/>
      <c r="V493" s="335"/>
      <c r="W493" s="335"/>
    </row>
    <row r="494" spans="1:23" ht="15.75">
      <c r="A494" s="145">
        <v>1016</v>
      </c>
      <c r="B494" s="35">
        <v>875</v>
      </c>
      <c r="C494" s="214">
        <f t="shared" si="238"/>
        <v>0.875</v>
      </c>
      <c r="D494" s="215">
        <v>0.28499999999999998</v>
      </c>
      <c r="E494" s="214">
        <f t="shared" si="241"/>
        <v>1.1243749999999999</v>
      </c>
      <c r="F494" s="312">
        <f t="shared" si="252"/>
        <v>375</v>
      </c>
      <c r="G494" s="155">
        <f t="shared" si="253"/>
        <v>821</v>
      </c>
      <c r="H494" s="141">
        <f t="shared" si="242"/>
        <v>10.5</v>
      </c>
      <c r="I494" s="142">
        <f t="shared" si="243"/>
        <v>225</v>
      </c>
      <c r="J494" s="141">
        <f t="shared" si="244"/>
        <v>24.03</v>
      </c>
      <c r="K494" s="142">
        <f t="shared" si="245"/>
        <v>150</v>
      </c>
      <c r="L494" s="142">
        <f t="shared" si="246"/>
        <v>596</v>
      </c>
      <c r="M494" s="141">
        <f t="shared" si="247"/>
        <v>10.64</v>
      </c>
      <c r="N494" s="141">
        <f t="shared" si="248"/>
        <v>42.26</v>
      </c>
      <c r="O494" s="368">
        <f t="shared" si="239"/>
        <v>45.17</v>
      </c>
      <c r="P494" s="154">
        <f t="shared" si="249"/>
        <v>76.789999999999992</v>
      </c>
      <c r="Q494" s="153"/>
      <c r="R494" s="133"/>
      <c r="S494" s="133"/>
      <c r="T494" s="133"/>
      <c r="U494" s="133"/>
      <c r="V494" s="335"/>
      <c r="W494" s="335"/>
    </row>
    <row r="495" spans="1:23" ht="15.75">
      <c r="A495" s="145">
        <v>1017</v>
      </c>
      <c r="B495" s="35">
        <v>100</v>
      </c>
      <c r="C495" s="214">
        <f t="shared" si="238"/>
        <v>0.1</v>
      </c>
      <c r="D495" s="215">
        <v>0.1</v>
      </c>
      <c r="E495" s="214">
        <f t="shared" si="241"/>
        <v>0.11000000000000001</v>
      </c>
      <c r="F495" s="312">
        <f t="shared" si="252"/>
        <v>37</v>
      </c>
      <c r="G495" s="155">
        <f t="shared" si="253"/>
        <v>80</v>
      </c>
      <c r="H495" s="141">
        <f t="shared" si="242"/>
        <v>1.03</v>
      </c>
      <c r="I495" s="142">
        <f t="shared" si="243"/>
        <v>22</v>
      </c>
      <c r="J495" s="141">
        <f t="shared" si="244"/>
        <v>2.35</v>
      </c>
      <c r="K495" s="142">
        <f t="shared" si="245"/>
        <v>15</v>
      </c>
      <c r="L495" s="142">
        <f t="shared" si="246"/>
        <v>58</v>
      </c>
      <c r="M495" s="141">
        <f t="shared" si="247"/>
        <v>1.06</v>
      </c>
      <c r="N495" s="141">
        <f t="shared" si="248"/>
        <v>4.1100000000000003</v>
      </c>
      <c r="O495" s="368">
        <f t="shared" si="239"/>
        <v>4.4399999999999995</v>
      </c>
      <c r="P495" s="154">
        <f t="shared" si="249"/>
        <v>7.49</v>
      </c>
      <c r="Q495" s="153"/>
      <c r="R495" s="133"/>
      <c r="S495" s="133"/>
      <c r="T495" s="133"/>
      <c r="U495" s="133"/>
      <c r="V495" s="335"/>
      <c r="W495" s="335"/>
    </row>
    <row r="496" spans="1:23" ht="15.75">
      <c r="A496" s="145">
        <v>1018</v>
      </c>
      <c r="B496" s="35">
        <v>300</v>
      </c>
      <c r="C496" s="214">
        <f t="shared" si="238"/>
        <v>0.3</v>
      </c>
      <c r="D496" s="215">
        <v>0.1</v>
      </c>
      <c r="E496" s="214">
        <f t="shared" si="241"/>
        <v>0.32999999999999996</v>
      </c>
      <c r="F496" s="310">
        <f>ROUND((+$E496*12*365)/12,0)</f>
        <v>120</v>
      </c>
      <c r="G496" s="155">
        <f t="shared" si="253"/>
        <v>241</v>
      </c>
      <c r="H496" s="141">
        <f t="shared" si="242"/>
        <v>3.08</v>
      </c>
      <c r="I496" s="142">
        <f t="shared" si="243"/>
        <v>66</v>
      </c>
      <c r="J496" s="141">
        <f t="shared" si="244"/>
        <v>7.05</v>
      </c>
      <c r="K496" s="142">
        <f t="shared" si="245"/>
        <v>54</v>
      </c>
      <c r="L496" s="142">
        <f t="shared" si="246"/>
        <v>175</v>
      </c>
      <c r="M496" s="141">
        <f t="shared" si="247"/>
        <v>3.83</v>
      </c>
      <c r="N496" s="141">
        <f t="shared" si="248"/>
        <v>12.41</v>
      </c>
      <c r="O496" s="368">
        <f t="shared" si="239"/>
        <v>13.959999999999999</v>
      </c>
      <c r="P496" s="154">
        <f t="shared" si="249"/>
        <v>22.54</v>
      </c>
      <c r="Q496" s="153"/>
      <c r="R496" s="133"/>
      <c r="S496" s="133"/>
      <c r="T496" s="133"/>
      <c r="U496" s="133"/>
      <c r="V496" s="335"/>
      <c r="W496" s="335"/>
    </row>
    <row r="497" spans="1:23" ht="15.75">
      <c r="A497" s="145">
        <v>1019</v>
      </c>
      <c r="B497" s="35">
        <v>228</v>
      </c>
      <c r="C497" s="214">
        <f t="shared" si="238"/>
        <v>0.22800000000000001</v>
      </c>
      <c r="D497" s="215">
        <v>0.1</v>
      </c>
      <c r="E497" s="214">
        <f t="shared" si="241"/>
        <v>0.25080000000000002</v>
      </c>
      <c r="F497" s="232">
        <f>ROUND((+$E497*4000)/12,0)</f>
        <v>84</v>
      </c>
      <c r="G497" s="312">
        <f t="shared" si="253"/>
        <v>183</v>
      </c>
      <c r="H497" s="141">
        <f t="shared" si="242"/>
        <v>2.34</v>
      </c>
      <c r="I497" s="142">
        <f t="shared" si="243"/>
        <v>50</v>
      </c>
      <c r="J497" s="141">
        <f t="shared" si="244"/>
        <v>5.34</v>
      </c>
      <c r="K497" s="142">
        <f t="shared" si="245"/>
        <v>34</v>
      </c>
      <c r="L497" s="142">
        <f t="shared" si="246"/>
        <v>133</v>
      </c>
      <c r="M497" s="141">
        <f t="shared" si="247"/>
        <v>2.41</v>
      </c>
      <c r="N497" s="141">
        <f t="shared" si="248"/>
        <v>9.43</v>
      </c>
      <c r="O497" s="375">
        <f t="shared" si="239"/>
        <v>10.09</v>
      </c>
      <c r="P497" s="346">
        <f t="shared" si="249"/>
        <v>17.11</v>
      </c>
      <c r="Q497" s="153"/>
      <c r="R497" s="133"/>
      <c r="S497" s="133"/>
      <c r="T497" s="133"/>
      <c r="U497" s="133"/>
      <c r="V497" s="335"/>
      <c r="W497" s="335"/>
    </row>
    <row r="498" spans="1:23" ht="15.75">
      <c r="A498" s="145">
        <v>1020</v>
      </c>
      <c r="B498" s="35">
        <v>320</v>
      </c>
      <c r="C498" s="214">
        <f t="shared" ref="C498:C528" si="254">B498/1000</f>
        <v>0.32</v>
      </c>
      <c r="D498" s="215">
        <v>0.1</v>
      </c>
      <c r="E498" s="214">
        <f t="shared" si="241"/>
        <v>0.35199999999999998</v>
      </c>
      <c r="F498" s="312">
        <f>ROUND((+$E498*4000)/12,0)</f>
        <v>117</v>
      </c>
      <c r="G498" s="155">
        <f t="shared" si="253"/>
        <v>257</v>
      </c>
      <c r="H498" s="141">
        <f t="shared" si="242"/>
        <v>3.29</v>
      </c>
      <c r="I498" s="142">
        <f t="shared" si="243"/>
        <v>70</v>
      </c>
      <c r="J498" s="141">
        <f t="shared" si="244"/>
        <v>7.48</v>
      </c>
      <c r="K498" s="142">
        <f t="shared" si="245"/>
        <v>47</v>
      </c>
      <c r="L498" s="142">
        <f t="shared" si="246"/>
        <v>187</v>
      </c>
      <c r="M498" s="141">
        <f t="shared" si="247"/>
        <v>3.33</v>
      </c>
      <c r="N498" s="141">
        <f t="shared" si="248"/>
        <v>13.26</v>
      </c>
      <c r="O498" s="368">
        <f t="shared" ref="O498:O524" si="255">H498+J498+M498</f>
        <v>14.1</v>
      </c>
      <c r="P498" s="154">
        <f t="shared" si="249"/>
        <v>24.03</v>
      </c>
      <c r="Q498" s="153"/>
      <c r="R498" s="133"/>
      <c r="S498" s="133"/>
      <c r="T498" s="133"/>
      <c r="U498" s="133"/>
      <c r="V498" s="335"/>
      <c r="W498" s="335"/>
    </row>
    <row r="499" spans="1:23" ht="15.75">
      <c r="A499" s="145">
        <v>1021</v>
      </c>
      <c r="B499" s="35">
        <v>1955</v>
      </c>
      <c r="C499" s="214">
        <f t="shared" si="254"/>
        <v>1.9550000000000001</v>
      </c>
      <c r="D499" s="215">
        <v>0</v>
      </c>
      <c r="E499" s="214">
        <f t="shared" si="241"/>
        <v>1.9550000000000001</v>
      </c>
      <c r="F499" s="312">
        <f>ROUND((+$E499*4000)/12,0)</f>
        <v>652</v>
      </c>
      <c r="G499" s="155">
        <f t="shared" si="253"/>
        <v>1427</v>
      </c>
      <c r="H499" s="141">
        <f t="shared" si="242"/>
        <v>18.260000000000002</v>
      </c>
      <c r="I499" s="142">
        <f t="shared" si="243"/>
        <v>391</v>
      </c>
      <c r="J499" s="141">
        <f t="shared" si="244"/>
        <v>41.76</v>
      </c>
      <c r="K499" s="142">
        <f t="shared" si="245"/>
        <v>261</v>
      </c>
      <c r="L499" s="142">
        <f t="shared" si="246"/>
        <v>1036</v>
      </c>
      <c r="M499" s="141">
        <f t="shared" si="247"/>
        <v>18.510000000000002</v>
      </c>
      <c r="N499" s="141">
        <f t="shared" si="248"/>
        <v>73.459999999999994</v>
      </c>
      <c r="O499" s="368">
        <f t="shared" si="255"/>
        <v>78.53</v>
      </c>
      <c r="P499" s="154">
        <f t="shared" si="249"/>
        <v>133.47999999999999</v>
      </c>
      <c r="Q499" s="153"/>
      <c r="R499" s="133"/>
      <c r="S499" s="133"/>
      <c r="T499" s="133"/>
      <c r="U499" s="133"/>
      <c r="V499" s="335"/>
      <c r="W499" s="335"/>
    </row>
    <row r="500" spans="1:23" ht="15.75">
      <c r="A500" s="145">
        <v>1022</v>
      </c>
      <c r="B500" s="35">
        <v>75</v>
      </c>
      <c r="C500" s="214">
        <f t="shared" si="254"/>
        <v>7.4999999999999997E-2</v>
      </c>
      <c r="D500" s="215">
        <v>0.2</v>
      </c>
      <c r="E500" s="214">
        <f t="shared" si="241"/>
        <v>0.09</v>
      </c>
      <c r="F500" s="312">
        <f>ROUND((+$E500*4000)/12,0)</f>
        <v>30</v>
      </c>
      <c r="G500" s="155">
        <f t="shared" si="253"/>
        <v>66</v>
      </c>
      <c r="H500" s="141">
        <f t="shared" si="242"/>
        <v>0.84</v>
      </c>
      <c r="I500" s="142">
        <f t="shared" si="243"/>
        <v>18</v>
      </c>
      <c r="J500" s="141">
        <f t="shared" si="244"/>
        <v>1.92</v>
      </c>
      <c r="K500" s="142">
        <f t="shared" si="245"/>
        <v>12</v>
      </c>
      <c r="L500" s="142">
        <f t="shared" si="246"/>
        <v>48</v>
      </c>
      <c r="M500" s="141">
        <f t="shared" si="247"/>
        <v>0.85</v>
      </c>
      <c r="N500" s="141">
        <f t="shared" si="248"/>
        <v>3.4</v>
      </c>
      <c r="O500" s="368">
        <f t="shared" si="255"/>
        <v>3.61</v>
      </c>
      <c r="P500" s="154">
        <f t="shared" si="249"/>
        <v>6.16</v>
      </c>
      <c r="Q500" s="153"/>
      <c r="R500" s="133"/>
      <c r="S500" s="133"/>
      <c r="T500" s="133"/>
      <c r="U500" s="133"/>
      <c r="V500" s="335"/>
      <c r="W500" s="335"/>
    </row>
    <row r="501" spans="1:23" ht="15.75">
      <c r="A501" s="145">
        <v>1023</v>
      </c>
      <c r="B501" s="35">
        <v>1640</v>
      </c>
      <c r="C501" s="214">
        <f t="shared" si="254"/>
        <v>1.64</v>
      </c>
      <c r="D501" s="215">
        <v>0</v>
      </c>
      <c r="E501" s="214">
        <f t="shared" si="241"/>
        <v>1.64</v>
      </c>
      <c r="F501" s="310">
        <f>ROUND((+$E501*4000)/12,0)-1</f>
        <v>546</v>
      </c>
      <c r="G501" s="155">
        <f t="shared" si="253"/>
        <v>1197</v>
      </c>
      <c r="H501" s="141">
        <f t="shared" si="242"/>
        <v>15.32</v>
      </c>
      <c r="I501" s="142">
        <f t="shared" si="243"/>
        <v>328</v>
      </c>
      <c r="J501" s="141">
        <f t="shared" si="244"/>
        <v>35.03</v>
      </c>
      <c r="K501" s="142">
        <f t="shared" si="245"/>
        <v>218</v>
      </c>
      <c r="L501" s="142">
        <f t="shared" si="246"/>
        <v>869</v>
      </c>
      <c r="M501" s="141">
        <f t="shared" si="247"/>
        <v>15.46</v>
      </c>
      <c r="N501" s="141">
        <f t="shared" si="248"/>
        <v>61.62</v>
      </c>
      <c r="O501" s="368">
        <f t="shared" si="255"/>
        <v>65.81</v>
      </c>
      <c r="P501" s="154">
        <f t="shared" si="249"/>
        <v>111.97</v>
      </c>
      <c r="Q501" s="153"/>
      <c r="R501" s="133"/>
      <c r="S501" s="133"/>
      <c r="T501" s="133"/>
      <c r="U501" s="133"/>
      <c r="V501" s="335"/>
      <c r="W501" s="335"/>
    </row>
    <row r="502" spans="1:23" ht="15.75">
      <c r="A502" s="145">
        <v>1024</v>
      </c>
      <c r="B502" s="35">
        <v>390</v>
      </c>
      <c r="C502" s="214">
        <f t="shared" si="254"/>
        <v>0.39</v>
      </c>
      <c r="D502" s="215">
        <v>0.1</v>
      </c>
      <c r="E502" s="214">
        <f t="shared" si="241"/>
        <v>0.42900000000000005</v>
      </c>
      <c r="F502" s="312">
        <f>ROUND((+$E502*4000)/12,0)</f>
        <v>143</v>
      </c>
      <c r="G502" s="155">
        <f t="shared" si="253"/>
        <v>313</v>
      </c>
      <c r="H502" s="141">
        <f t="shared" si="242"/>
        <v>4.01</v>
      </c>
      <c r="I502" s="142">
        <f t="shared" si="243"/>
        <v>86</v>
      </c>
      <c r="J502" s="141">
        <f t="shared" si="244"/>
        <v>9.19</v>
      </c>
      <c r="K502" s="142">
        <f t="shared" si="245"/>
        <v>57</v>
      </c>
      <c r="L502" s="142">
        <f t="shared" si="246"/>
        <v>227</v>
      </c>
      <c r="M502" s="141">
        <f t="shared" si="247"/>
        <v>4.04</v>
      </c>
      <c r="N502" s="141">
        <f t="shared" si="248"/>
        <v>16.100000000000001</v>
      </c>
      <c r="O502" s="368">
        <f t="shared" si="255"/>
        <v>17.239999999999998</v>
      </c>
      <c r="P502" s="154">
        <f t="shared" si="249"/>
        <v>29.3</v>
      </c>
      <c r="Q502" s="153"/>
      <c r="R502" s="133"/>
      <c r="S502" s="133"/>
      <c r="T502" s="133"/>
      <c r="U502" s="133"/>
      <c r="V502" s="335"/>
      <c r="W502" s="335"/>
    </row>
    <row r="503" spans="1:23" ht="15.75">
      <c r="A503" s="145">
        <v>1025</v>
      </c>
      <c r="B503" s="35">
        <v>300</v>
      </c>
      <c r="C503" s="214">
        <f t="shared" si="254"/>
        <v>0.3</v>
      </c>
      <c r="D503" s="215">
        <v>0.1</v>
      </c>
      <c r="E503" s="214">
        <f t="shared" si="241"/>
        <v>0.32999999999999996</v>
      </c>
      <c r="F503" s="312">
        <f>ROUND((+$E503*4000)/12,0)</f>
        <v>110</v>
      </c>
      <c r="G503" s="155">
        <f t="shared" si="253"/>
        <v>241</v>
      </c>
      <c r="H503" s="141">
        <f t="shared" si="242"/>
        <v>3.08</v>
      </c>
      <c r="I503" s="142">
        <f t="shared" si="243"/>
        <v>66</v>
      </c>
      <c r="J503" s="141">
        <f t="shared" si="244"/>
        <v>7.05</v>
      </c>
      <c r="K503" s="142">
        <f t="shared" si="245"/>
        <v>44</v>
      </c>
      <c r="L503" s="142">
        <f t="shared" si="246"/>
        <v>175</v>
      </c>
      <c r="M503" s="141">
        <f t="shared" si="247"/>
        <v>3.12</v>
      </c>
      <c r="N503" s="141">
        <f t="shared" si="248"/>
        <v>12.41</v>
      </c>
      <c r="O503" s="368">
        <f t="shared" si="255"/>
        <v>13.25</v>
      </c>
      <c r="P503" s="154">
        <f t="shared" si="249"/>
        <v>22.54</v>
      </c>
      <c r="Q503" s="153"/>
      <c r="R503" s="133"/>
      <c r="S503" s="133"/>
      <c r="T503" s="133"/>
      <c r="U503" s="133"/>
      <c r="V503" s="335"/>
      <c r="W503" s="335"/>
    </row>
    <row r="504" spans="1:23" ht="15.75">
      <c r="A504" s="145">
        <v>1026</v>
      </c>
      <c r="B504" s="35">
        <v>440</v>
      </c>
      <c r="C504" s="214">
        <f t="shared" si="254"/>
        <v>0.44</v>
      </c>
      <c r="D504" s="215">
        <v>0.1</v>
      </c>
      <c r="E504" s="214">
        <f t="shared" si="241"/>
        <v>0.48399999999999999</v>
      </c>
      <c r="F504" s="312">
        <f>ROUND((+$E504*4000)/12,0)</f>
        <v>161</v>
      </c>
      <c r="G504" s="155">
        <f t="shared" si="253"/>
        <v>353</v>
      </c>
      <c r="H504" s="141">
        <f t="shared" si="242"/>
        <v>4.5199999999999996</v>
      </c>
      <c r="I504" s="142">
        <f t="shared" si="243"/>
        <v>97</v>
      </c>
      <c r="J504" s="141">
        <f t="shared" si="244"/>
        <v>10.36</v>
      </c>
      <c r="K504" s="142">
        <f t="shared" si="245"/>
        <v>64</v>
      </c>
      <c r="L504" s="142">
        <f t="shared" si="246"/>
        <v>256</v>
      </c>
      <c r="M504" s="141">
        <f t="shared" si="247"/>
        <v>4.54</v>
      </c>
      <c r="N504" s="141">
        <f t="shared" si="248"/>
        <v>18.149999999999999</v>
      </c>
      <c r="O504" s="368">
        <f t="shared" si="255"/>
        <v>19.419999999999998</v>
      </c>
      <c r="P504" s="154">
        <f t="shared" si="249"/>
        <v>33.03</v>
      </c>
      <c r="Q504" s="153"/>
      <c r="R504" s="133"/>
      <c r="S504" s="133"/>
      <c r="T504" s="133"/>
      <c r="U504" s="133"/>
      <c r="V504" s="335"/>
      <c r="W504" s="335"/>
    </row>
    <row r="505" spans="1:23" ht="15.75">
      <c r="A505" s="145">
        <v>1027</v>
      </c>
      <c r="B505" s="35">
        <v>210</v>
      </c>
      <c r="C505" s="214">
        <f t="shared" si="254"/>
        <v>0.21</v>
      </c>
      <c r="D505" s="215">
        <v>0.1</v>
      </c>
      <c r="E505" s="214">
        <f t="shared" si="241"/>
        <v>0.23099999999999998</v>
      </c>
      <c r="F505" s="310">
        <f>ROUND((+$E505*12*365*0.5)/12,0)</f>
        <v>42</v>
      </c>
      <c r="G505" s="155">
        <f t="shared" si="253"/>
        <v>169</v>
      </c>
      <c r="H505" s="141">
        <f t="shared" si="242"/>
        <v>2.16</v>
      </c>
      <c r="I505" s="142">
        <f t="shared" si="243"/>
        <v>42</v>
      </c>
      <c r="J505" s="141">
        <f t="shared" si="244"/>
        <v>4.49</v>
      </c>
      <c r="K505" s="142">
        <f t="shared" si="245"/>
        <v>0</v>
      </c>
      <c r="L505" s="142">
        <f t="shared" si="246"/>
        <v>127</v>
      </c>
      <c r="M505" s="141">
        <f t="shared" si="247"/>
        <v>0</v>
      </c>
      <c r="N505" s="141">
        <f t="shared" si="248"/>
        <v>9</v>
      </c>
      <c r="O505" s="368">
        <f t="shared" si="255"/>
        <v>6.65</v>
      </c>
      <c r="P505" s="154">
        <f t="shared" si="249"/>
        <v>15.65</v>
      </c>
      <c r="Q505" s="153"/>
      <c r="R505" s="133"/>
      <c r="S505" s="133"/>
      <c r="T505" s="133"/>
      <c r="U505" s="133"/>
      <c r="V505" s="133"/>
      <c r="W505" s="133"/>
    </row>
    <row r="506" spans="1:23" ht="15.75">
      <c r="A506" s="145">
        <v>1028</v>
      </c>
      <c r="B506" s="35">
        <v>840</v>
      </c>
      <c r="C506" s="214">
        <f t="shared" si="254"/>
        <v>0.84</v>
      </c>
      <c r="D506" s="215">
        <v>0.1</v>
      </c>
      <c r="E506" s="214">
        <f t="shared" si="241"/>
        <v>0.92399999999999993</v>
      </c>
      <c r="F506" s="376">
        <f>ROUND((+$E506*4000)/12,0)</f>
        <v>308</v>
      </c>
      <c r="G506" s="155">
        <f t="shared" si="253"/>
        <v>675</v>
      </c>
      <c r="H506" s="141">
        <f t="shared" si="242"/>
        <v>8.6300000000000008</v>
      </c>
      <c r="I506" s="142">
        <f t="shared" si="243"/>
        <v>185</v>
      </c>
      <c r="J506" s="141">
        <f t="shared" si="244"/>
        <v>19.760000000000002</v>
      </c>
      <c r="K506" s="142">
        <f t="shared" si="245"/>
        <v>123</v>
      </c>
      <c r="L506" s="142">
        <f t="shared" si="246"/>
        <v>490</v>
      </c>
      <c r="M506" s="141">
        <f t="shared" si="247"/>
        <v>8.7200000000000006</v>
      </c>
      <c r="N506" s="141">
        <f t="shared" si="248"/>
        <v>34.74</v>
      </c>
      <c r="O506" s="368">
        <f t="shared" si="255"/>
        <v>37.11</v>
      </c>
      <c r="P506" s="154">
        <f t="shared" si="249"/>
        <v>63.13</v>
      </c>
      <c r="Q506" s="153"/>
      <c r="R506" s="133"/>
      <c r="S506" s="133"/>
      <c r="T506" s="133"/>
      <c r="U506" s="133"/>
      <c r="V506" s="133"/>
      <c r="W506" s="133"/>
    </row>
    <row r="507" spans="1:23" ht="15.75">
      <c r="A507" s="145">
        <v>1029</v>
      </c>
      <c r="B507" s="35">
        <v>80</v>
      </c>
      <c r="C507" s="214">
        <f t="shared" si="254"/>
        <v>0.08</v>
      </c>
      <c r="D507" s="215">
        <v>0.1</v>
      </c>
      <c r="E507" s="214">
        <f t="shared" ref="E507:E528" si="256">(+C507*D507)+C507</f>
        <v>8.7999999999999995E-2</v>
      </c>
      <c r="F507" s="376">
        <f>ROUND((+$E507*12*365*0.5)/12,0)</f>
        <v>16</v>
      </c>
      <c r="G507" s="155">
        <f t="shared" si="253"/>
        <v>64</v>
      </c>
      <c r="H507" s="141">
        <f t="shared" ref="H507:H524" si="257">ROUND(+E507*D$7,2)</f>
        <v>0.82</v>
      </c>
      <c r="I507" s="142">
        <f t="shared" ref="I507:I528" si="258">ROUND(IF((E507*200)&gt;F507,F507,(E507*200)),0)</f>
        <v>16</v>
      </c>
      <c r="J507" s="141">
        <f t="shared" ref="J507:J524" si="259">ROUND(+I507*D$8,2)</f>
        <v>1.71</v>
      </c>
      <c r="K507" s="142">
        <f t="shared" ref="K507:K528" si="260">F507-I507</f>
        <v>0</v>
      </c>
      <c r="L507" s="142">
        <f t="shared" ref="L507:L528" si="261">G507-I507</f>
        <v>48</v>
      </c>
      <c r="M507" s="141">
        <f t="shared" ref="M507:M524" si="262">ROUND(+K507*D$9,2)</f>
        <v>0</v>
      </c>
      <c r="N507" s="141">
        <f t="shared" ref="N507:N524" si="263">ROUND(+L507*D$9,2)</f>
        <v>3.4</v>
      </c>
      <c r="O507" s="368">
        <f t="shared" si="255"/>
        <v>2.5299999999999998</v>
      </c>
      <c r="P507" s="154">
        <f t="shared" ref="P507:P528" si="264">H507+J507+N507</f>
        <v>5.93</v>
      </c>
      <c r="Q507" s="153"/>
      <c r="R507" s="133"/>
      <c r="S507" s="133"/>
      <c r="T507" s="133"/>
      <c r="U507" s="133"/>
      <c r="V507" s="133"/>
      <c r="W507" s="133"/>
    </row>
    <row r="508" spans="1:23" ht="15.75">
      <c r="A508" s="145">
        <v>1030</v>
      </c>
      <c r="B508" s="35">
        <v>1032</v>
      </c>
      <c r="C508" s="214">
        <f t="shared" si="254"/>
        <v>1.032</v>
      </c>
      <c r="D508" s="215">
        <v>0.1</v>
      </c>
      <c r="E508" s="214">
        <f t="shared" si="256"/>
        <v>1.1352</v>
      </c>
      <c r="F508" s="376">
        <f>ROUND((+$E508*4000)/12,0)</f>
        <v>378</v>
      </c>
      <c r="G508" s="155">
        <f t="shared" si="253"/>
        <v>829</v>
      </c>
      <c r="H508" s="141">
        <f t="shared" si="257"/>
        <v>10.6</v>
      </c>
      <c r="I508" s="142">
        <f t="shared" si="258"/>
        <v>227</v>
      </c>
      <c r="J508" s="141">
        <f t="shared" si="259"/>
        <v>24.24</v>
      </c>
      <c r="K508" s="142">
        <f t="shared" si="260"/>
        <v>151</v>
      </c>
      <c r="L508" s="142">
        <f t="shared" si="261"/>
        <v>602</v>
      </c>
      <c r="M508" s="141">
        <f t="shared" si="262"/>
        <v>10.71</v>
      </c>
      <c r="N508" s="141">
        <f t="shared" si="263"/>
        <v>42.68</v>
      </c>
      <c r="O508" s="368">
        <f t="shared" si="255"/>
        <v>45.55</v>
      </c>
      <c r="P508" s="154">
        <f t="shared" si="264"/>
        <v>77.52</v>
      </c>
      <c r="Q508" s="153"/>
      <c r="R508" s="133"/>
      <c r="S508" s="133"/>
      <c r="T508" s="133"/>
      <c r="U508" s="133"/>
      <c r="V508" s="133"/>
      <c r="W508" s="133"/>
    </row>
    <row r="509" spans="1:23" ht="15.75">
      <c r="A509" s="145">
        <v>1031</v>
      </c>
      <c r="B509" s="35">
        <v>516</v>
      </c>
      <c r="C509" s="214">
        <f t="shared" si="254"/>
        <v>0.51600000000000001</v>
      </c>
      <c r="D509" s="215">
        <v>0.1</v>
      </c>
      <c r="E509" s="214">
        <f t="shared" si="256"/>
        <v>0.56759999999999999</v>
      </c>
      <c r="F509" s="377">
        <f>ROUND((+$E509*4000)/12,0)</f>
        <v>189</v>
      </c>
      <c r="G509" s="155">
        <f t="shared" si="253"/>
        <v>414</v>
      </c>
      <c r="H509" s="141">
        <f t="shared" si="257"/>
        <v>5.3</v>
      </c>
      <c r="I509" s="142">
        <f t="shared" si="258"/>
        <v>114</v>
      </c>
      <c r="J509" s="141">
        <f t="shared" si="259"/>
        <v>12.18</v>
      </c>
      <c r="K509" s="142">
        <f t="shared" si="260"/>
        <v>75</v>
      </c>
      <c r="L509" s="142">
        <f t="shared" si="261"/>
        <v>300</v>
      </c>
      <c r="M509" s="141">
        <f t="shared" si="262"/>
        <v>5.32</v>
      </c>
      <c r="N509" s="141">
        <f t="shared" si="263"/>
        <v>21.27</v>
      </c>
      <c r="O509" s="368">
        <f t="shared" si="255"/>
        <v>22.8</v>
      </c>
      <c r="P509" s="154">
        <f t="shared" si="264"/>
        <v>38.75</v>
      </c>
      <c r="Q509" s="153"/>
      <c r="R509" s="133"/>
      <c r="S509" s="133"/>
      <c r="T509" s="133"/>
      <c r="U509" s="133"/>
      <c r="V509" s="133"/>
      <c r="W509" s="133"/>
    </row>
    <row r="510" spans="1:23" ht="15.75">
      <c r="A510" s="145">
        <v>1032</v>
      </c>
      <c r="B510" s="35">
        <v>216</v>
      </c>
      <c r="C510" s="214">
        <f t="shared" si="254"/>
        <v>0.216</v>
      </c>
      <c r="D510" s="215">
        <v>0.1</v>
      </c>
      <c r="E510" s="214">
        <f t="shared" si="256"/>
        <v>0.23760000000000001</v>
      </c>
      <c r="F510" s="378">
        <f>ROUND((+$E510*4000)/12,0)</f>
        <v>79</v>
      </c>
      <c r="G510" s="312">
        <f t="shared" si="253"/>
        <v>173</v>
      </c>
      <c r="H510" s="141">
        <f t="shared" si="257"/>
        <v>2.2200000000000002</v>
      </c>
      <c r="I510" s="142">
        <f t="shared" si="258"/>
        <v>48</v>
      </c>
      <c r="J510" s="141">
        <f t="shared" si="259"/>
        <v>5.13</v>
      </c>
      <c r="K510" s="142">
        <f t="shared" si="260"/>
        <v>31</v>
      </c>
      <c r="L510" s="142">
        <f t="shared" si="261"/>
        <v>125</v>
      </c>
      <c r="M510" s="141">
        <f t="shared" si="262"/>
        <v>2.2000000000000002</v>
      </c>
      <c r="N510" s="141">
        <f t="shared" si="263"/>
        <v>8.86</v>
      </c>
      <c r="O510" s="375">
        <f t="shared" si="255"/>
        <v>9.5500000000000007</v>
      </c>
      <c r="P510" s="346">
        <f t="shared" si="264"/>
        <v>16.21</v>
      </c>
      <c r="Q510" s="153"/>
      <c r="R510" s="133"/>
      <c r="S510" s="133"/>
      <c r="T510" s="133"/>
      <c r="U510" s="133"/>
      <c r="V510" s="133"/>
      <c r="W510" s="133"/>
    </row>
    <row r="511" spans="1:23" ht="15.75">
      <c r="A511" s="145">
        <v>1033</v>
      </c>
      <c r="B511" s="35">
        <v>375</v>
      </c>
      <c r="C511" s="214">
        <f t="shared" si="254"/>
        <v>0.375</v>
      </c>
      <c r="D511" s="215">
        <v>0.1</v>
      </c>
      <c r="E511" s="214">
        <f t="shared" si="256"/>
        <v>0.41249999999999998</v>
      </c>
      <c r="F511" s="379">
        <f>ROUND((+$E511*4000)/12,0)</f>
        <v>138</v>
      </c>
      <c r="G511" s="155">
        <f t="shared" si="253"/>
        <v>301</v>
      </c>
      <c r="H511" s="141">
        <f t="shared" si="257"/>
        <v>3.85</v>
      </c>
      <c r="I511" s="142">
        <f t="shared" si="258"/>
        <v>83</v>
      </c>
      <c r="J511" s="141">
        <f t="shared" si="259"/>
        <v>8.86</v>
      </c>
      <c r="K511" s="142">
        <f t="shared" si="260"/>
        <v>55</v>
      </c>
      <c r="L511" s="142">
        <f t="shared" si="261"/>
        <v>218</v>
      </c>
      <c r="M511" s="141">
        <f t="shared" si="262"/>
        <v>3.9</v>
      </c>
      <c r="N511" s="141">
        <f t="shared" si="263"/>
        <v>15.46</v>
      </c>
      <c r="O511" s="368">
        <f t="shared" si="255"/>
        <v>16.61</v>
      </c>
      <c r="P511" s="154">
        <f t="shared" si="264"/>
        <v>28.17</v>
      </c>
      <c r="Q511" s="153"/>
      <c r="R511" s="133"/>
      <c r="S511" s="133"/>
      <c r="T511" s="133"/>
      <c r="U511" s="133"/>
      <c r="V511" s="133"/>
      <c r="W511" s="133"/>
    </row>
    <row r="512" spans="1:23" ht="15.75">
      <c r="A512" s="145">
        <v>1034</v>
      </c>
      <c r="B512" s="35">
        <v>560</v>
      </c>
      <c r="C512" s="214">
        <f t="shared" si="254"/>
        <v>0.56000000000000005</v>
      </c>
      <c r="D512" s="215">
        <v>0.1</v>
      </c>
      <c r="E512" s="214">
        <f t="shared" si="256"/>
        <v>0.6160000000000001</v>
      </c>
      <c r="F512" s="376">
        <f>ROUND((+$E512*4000)/12,0)</f>
        <v>205</v>
      </c>
      <c r="G512" s="155">
        <f t="shared" si="253"/>
        <v>450</v>
      </c>
      <c r="H512" s="141">
        <f t="shared" si="257"/>
        <v>5.75</v>
      </c>
      <c r="I512" s="142">
        <f t="shared" si="258"/>
        <v>123</v>
      </c>
      <c r="J512" s="141">
        <f t="shared" si="259"/>
        <v>13.14</v>
      </c>
      <c r="K512" s="142">
        <f t="shared" si="260"/>
        <v>82</v>
      </c>
      <c r="L512" s="142">
        <f t="shared" si="261"/>
        <v>327</v>
      </c>
      <c r="M512" s="141">
        <f t="shared" si="262"/>
        <v>5.81</v>
      </c>
      <c r="N512" s="141">
        <f t="shared" si="263"/>
        <v>23.19</v>
      </c>
      <c r="O512" s="368">
        <f t="shared" si="255"/>
        <v>24.7</v>
      </c>
      <c r="P512" s="154">
        <f t="shared" si="264"/>
        <v>42.08</v>
      </c>
      <c r="Q512" s="153"/>
      <c r="R512" s="133"/>
      <c r="S512" s="133"/>
      <c r="T512" s="133"/>
      <c r="U512" s="133"/>
      <c r="V512" s="133"/>
      <c r="W512" s="133"/>
    </row>
    <row r="513" spans="1:23" ht="15.75">
      <c r="A513" s="145">
        <v>1035</v>
      </c>
      <c r="B513" s="35">
        <v>350</v>
      </c>
      <c r="C513" s="214">
        <f t="shared" si="254"/>
        <v>0.35</v>
      </c>
      <c r="D513" s="215">
        <v>0</v>
      </c>
      <c r="E513" s="214">
        <f t="shared" si="256"/>
        <v>0.35</v>
      </c>
      <c r="F513" s="376">
        <f>ROUND((+$E513*8760*0.5)/12,0)</f>
        <v>128</v>
      </c>
      <c r="G513" s="155">
        <f t="shared" si="253"/>
        <v>256</v>
      </c>
      <c r="H513" s="141">
        <f t="shared" si="257"/>
        <v>3.27</v>
      </c>
      <c r="I513" s="142">
        <f t="shared" si="258"/>
        <v>70</v>
      </c>
      <c r="J513" s="141">
        <f t="shared" si="259"/>
        <v>7.48</v>
      </c>
      <c r="K513" s="142">
        <f t="shared" si="260"/>
        <v>58</v>
      </c>
      <c r="L513" s="142">
        <f t="shared" si="261"/>
        <v>186</v>
      </c>
      <c r="M513" s="141">
        <f t="shared" si="262"/>
        <v>4.1100000000000003</v>
      </c>
      <c r="N513" s="141">
        <f t="shared" si="263"/>
        <v>13.19</v>
      </c>
      <c r="O513" s="368">
        <f t="shared" si="255"/>
        <v>14.86</v>
      </c>
      <c r="P513" s="154">
        <f t="shared" si="264"/>
        <v>23.939999999999998</v>
      </c>
      <c r="Q513" s="153"/>
      <c r="R513" s="133"/>
      <c r="S513" s="133"/>
      <c r="T513" s="133"/>
      <c r="U513" s="133"/>
      <c r="V513" s="133"/>
      <c r="W513" s="133"/>
    </row>
    <row r="514" spans="1:23" ht="15.75">
      <c r="A514" s="145">
        <v>1036</v>
      </c>
      <c r="B514" s="35">
        <v>300</v>
      </c>
      <c r="C514" s="214">
        <f t="shared" si="254"/>
        <v>0.3</v>
      </c>
      <c r="D514" s="215">
        <v>0.1467</v>
      </c>
      <c r="E514" s="214">
        <f t="shared" si="256"/>
        <v>0.34400999999999998</v>
      </c>
      <c r="F514" s="376">
        <f t="shared" ref="F514:F528" si="265">ROUND((+$E514*4000)/12,0)</f>
        <v>115</v>
      </c>
      <c r="G514" s="155">
        <f t="shared" si="253"/>
        <v>251</v>
      </c>
      <c r="H514" s="141">
        <f t="shared" si="257"/>
        <v>3.21</v>
      </c>
      <c r="I514" s="142">
        <f t="shared" si="258"/>
        <v>69</v>
      </c>
      <c r="J514" s="141">
        <f t="shared" si="259"/>
        <v>7.37</v>
      </c>
      <c r="K514" s="142">
        <f t="shared" si="260"/>
        <v>46</v>
      </c>
      <c r="L514" s="142">
        <f t="shared" si="261"/>
        <v>182</v>
      </c>
      <c r="M514" s="141">
        <f t="shared" si="262"/>
        <v>3.26</v>
      </c>
      <c r="N514" s="141">
        <f t="shared" si="263"/>
        <v>12.9</v>
      </c>
      <c r="O514" s="368">
        <f t="shared" si="255"/>
        <v>13.84</v>
      </c>
      <c r="P514" s="154">
        <f t="shared" si="264"/>
        <v>23.48</v>
      </c>
      <c r="Q514" s="153"/>
      <c r="R514" s="133"/>
      <c r="S514" s="133"/>
      <c r="T514" s="133"/>
      <c r="U514" s="133"/>
      <c r="V514" s="133"/>
      <c r="W514" s="133"/>
    </row>
    <row r="515" spans="1:23" ht="15.75">
      <c r="A515" s="145">
        <v>1037</v>
      </c>
      <c r="B515" s="35">
        <v>585</v>
      </c>
      <c r="C515" s="214">
        <f t="shared" si="254"/>
        <v>0.58499999999999996</v>
      </c>
      <c r="D515" s="215">
        <v>0.33329999999999999</v>
      </c>
      <c r="E515" s="214">
        <f t="shared" si="256"/>
        <v>0.77998049999999997</v>
      </c>
      <c r="F515" s="376">
        <f t="shared" si="265"/>
        <v>260</v>
      </c>
      <c r="G515" s="155">
        <f t="shared" si="253"/>
        <v>569</v>
      </c>
      <c r="H515" s="141">
        <f t="shared" si="257"/>
        <v>7.28</v>
      </c>
      <c r="I515" s="142">
        <f t="shared" si="258"/>
        <v>156</v>
      </c>
      <c r="J515" s="141">
        <f t="shared" si="259"/>
        <v>16.66</v>
      </c>
      <c r="K515" s="142">
        <f t="shared" si="260"/>
        <v>104</v>
      </c>
      <c r="L515" s="142">
        <f t="shared" si="261"/>
        <v>413</v>
      </c>
      <c r="M515" s="141">
        <f t="shared" si="262"/>
        <v>7.37</v>
      </c>
      <c r="N515" s="141">
        <f t="shared" si="263"/>
        <v>29.28</v>
      </c>
      <c r="O515" s="368">
        <f t="shared" si="255"/>
        <v>31.310000000000002</v>
      </c>
      <c r="P515" s="154">
        <f t="shared" si="264"/>
        <v>53.22</v>
      </c>
      <c r="Q515" s="153"/>
      <c r="R515" s="133"/>
      <c r="S515" s="133"/>
      <c r="T515" s="133"/>
      <c r="U515" s="133"/>
      <c r="V515" s="133"/>
      <c r="W515" s="133"/>
    </row>
    <row r="516" spans="1:23" ht="15.75">
      <c r="A516" s="145">
        <v>1038</v>
      </c>
      <c r="B516" s="35">
        <v>360</v>
      </c>
      <c r="C516" s="214">
        <f t="shared" si="254"/>
        <v>0.36</v>
      </c>
      <c r="D516" s="215">
        <v>0.1111</v>
      </c>
      <c r="E516" s="214">
        <f t="shared" si="256"/>
        <v>0.39999599999999996</v>
      </c>
      <c r="F516" s="376">
        <f t="shared" si="265"/>
        <v>133</v>
      </c>
      <c r="G516" s="155">
        <f t="shared" si="253"/>
        <v>292</v>
      </c>
      <c r="H516" s="141">
        <f t="shared" si="257"/>
        <v>3.74</v>
      </c>
      <c r="I516" s="142">
        <f t="shared" si="258"/>
        <v>80</v>
      </c>
      <c r="J516" s="141">
        <f t="shared" si="259"/>
        <v>8.5399999999999991</v>
      </c>
      <c r="K516" s="142">
        <f t="shared" si="260"/>
        <v>53</v>
      </c>
      <c r="L516" s="142">
        <f t="shared" si="261"/>
        <v>212</v>
      </c>
      <c r="M516" s="141">
        <f t="shared" si="262"/>
        <v>3.76</v>
      </c>
      <c r="N516" s="141">
        <f t="shared" si="263"/>
        <v>15.03</v>
      </c>
      <c r="O516" s="368">
        <f t="shared" si="255"/>
        <v>16.04</v>
      </c>
      <c r="P516" s="154">
        <f t="shared" si="264"/>
        <v>27.31</v>
      </c>
      <c r="Q516" s="153"/>
      <c r="R516" s="133"/>
      <c r="S516" s="133"/>
      <c r="T516" s="133"/>
      <c r="U516" s="133"/>
      <c r="V516" s="133"/>
      <c r="W516" s="133"/>
    </row>
    <row r="517" spans="1:23" ht="15.75">
      <c r="A517" s="145">
        <v>1039</v>
      </c>
      <c r="B517" s="35">
        <v>672</v>
      </c>
      <c r="C517" s="214">
        <f t="shared" si="254"/>
        <v>0.67200000000000004</v>
      </c>
      <c r="D517" s="215">
        <v>0.1905</v>
      </c>
      <c r="E517" s="214">
        <f t="shared" si="256"/>
        <v>0.80001600000000006</v>
      </c>
      <c r="F517" s="376">
        <f t="shared" si="265"/>
        <v>267</v>
      </c>
      <c r="G517" s="155">
        <f t="shared" si="253"/>
        <v>584</v>
      </c>
      <c r="H517" s="141">
        <f t="shared" si="257"/>
        <v>7.47</v>
      </c>
      <c r="I517" s="142">
        <f t="shared" si="258"/>
        <v>160</v>
      </c>
      <c r="J517" s="141">
        <f t="shared" si="259"/>
        <v>17.09</v>
      </c>
      <c r="K517" s="142">
        <f t="shared" si="260"/>
        <v>107</v>
      </c>
      <c r="L517" s="142">
        <f t="shared" si="261"/>
        <v>424</v>
      </c>
      <c r="M517" s="141">
        <f t="shared" si="262"/>
        <v>7.59</v>
      </c>
      <c r="N517" s="141">
        <f t="shared" si="263"/>
        <v>30.06</v>
      </c>
      <c r="O517" s="368">
        <f t="shared" si="255"/>
        <v>32.15</v>
      </c>
      <c r="P517" s="154">
        <f t="shared" si="264"/>
        <v>54.62</v>
      </c>
      <c r="Q517" s="153"/>
      <c r="R517" s="133"/>
      <c r="S517" s="133"/>
      <c r="T517" s="133"/>
      <c r="U517" s="133"/>
      <c r="V517" s="133"/>
      <c r="W517" s="133"/>
    </row>
    <row r="518" spans="1:23" ht="15.75">
      <c r="A518" s="145">
        <v>1040</v>
      </c>
      <c r="B518" s="35">
        <v>140</v>
      </c>
      <c r="C518" s="214">
        <f t="shared" si="254"/>
        <v>0.14000000000000001</v>
      </c>
      <c r="D518" s="215">
        <v>0.2</v>
      </c>
      <c r="E518" s="214">
        <f t="shared" si="256"/>
        <v>0.16800000000000001</v>
      </c>
      <c r="F518" s="376">
        <f t="shared" si="265"/>
        <v>56</v>
      </c>
      <c r="G518" s="155">
        <f t="shared" si="253"/>
        <v>123</v>
      </c>
      <c r="H518" s="141">
        <f t="shared" si="257"/>
        <v>1.57</v>
      </c>
      <c r="I518" s="142">
        <f t="shared" si="258"/>
        <v>34</v>
      </c>
      <c r="J518" s="141">
        <f t="shared" si="259"/>
        <v>3.63</v>
      </c>
      <c r="K518" s="142">
        <f t="shared" si="260"/>
        <v>22</v>
      </c>
      <c r="L518" s="142">
        <f t="shared" si="261"/>
        <v>89</v>
      </c>
      <c r="M518" s="141">
        <f t="shared" si="262"/>
        <v>1.56</v>
      </c>
      <c r="N518" s="141">
        <f t="shared" si="263"/>
        <v>6.31</v>
      </c>
      <c r="O518" s="368">
        <f t="shared" si="255"/>
        <v>6.76</v>
      </c>
      <c r="P518" s="154">
        <f t="shared" si="264"/>
        <v>11.51</v>
      </c>
      <c r="Q518" s="153"/>
      <c r="R518" s="133"/>
      <c r="S518" s="133"/>
      <c r="T518" s="133"/>
      <c r="U518" s="133"/>
      <c r="V518" s="133"/>
      <c r="W518" s="133"/>
    </row>
    <row r="519" spans="1:23" ht="15.75">
      <c r="A519" s="145">
        <v>1041</v>
      </c>
      <c r="B519" s="35">
        <v>570</v>
      </c>
      <c r="C519" s="214">
        <f t="shared" si="254"/>
        <v>0.56999999999999995</v>
      </c>
      <c r="D519" s="215">
        <v>0.1</v>
      </c>
      <c r="E519" s="214">
        <f t="shared" si="256"/>
        <v>0.627</v>
      </c>
      <c r="F519" s="380">
        <f t="shared" si="265"/>
        <v>209</v>
      </c>
      <c r="G519" s="312">
        <f t="shared" si="253"/>
        <v>458</v>
      </c>
      <c r="H519" s="141">
        <f t="shared" si="257"/>
        <v>5.86</v>
      </c>
      <c r="I519" s="142">
        <f t="shared" si="258"/>
        <v>125</v>
      </c>
      <c r="J519" s="141">
        <f t="shared" si="259"/>
        <v>13.35</v>
      </c>
      <c r="K519" s="142">
        <f t="shared" si="260"/>
        <v>84</v>
      </c>
      <c r="L519" s="142">
        <f t="shared" si="261"/>
        <v>333</v>
      </c>
      <c r="M519" s="141">
        <f t="shared" si="262"/>
        <v>5.96</v>
      </c>
      <c r="N519" s="141">
        <f t="shared" si="263"/>
        <v>23.61</v>
      </c>
      <c r="O519" s="381">
        <f t="shared" si="255"/>
        <v>25.17</v>
      </c>
      <c r="P519" s="295">
        <f t="shared" si="264"/>
        <v>42.82</v>
      </c>
      <c r="Q519" s="153"/>
      <c r="R519" s="133"/>
      <c r="S519" s="133"/>
      <c r="T519" s="133"/>
      <c r="U519" s="133"/>
      <c r="V519" s="133"/>
      <c r="W519" s="133"/>
    </row>
    <row r="520" spans="1:23" ht="15.75">
      <c r="A520" s="145">
        <v>1042</v>
      </c>
      <c r="B520" s="35">
        <v>1320</v>
      </c>
      <c r="C520" s="214">
        <f t="shared" si="254"/>
        <v>1.32</v>
      </c>
      <c r="D520" s="215">
        <v>4.7E-2</v>
      </c>
      <c r="E520" s="214">
        <f t="shared" si="256"/>
        <v>1.3820400000000002</v>
      </c>
      <c r="F520" s="376">
        <f t="shared" si="265"/>
        <v>461</v>
      </c>
      <c r="G520" s="155">
        <f t="shared" si="253"/>
        <v>1009</v>
      </c>
      <c r="H520" s="141">
        <f t="shared" si="257"/>
        <v>12.91</v>
      </c>
      <c r="I520" s="142">
        <f t="shared" si="258"/>
        <v>276</v>
      </c>
      <c r="J520" s="141">
        <f t="shared" si="259"/>
        <v>29.48</v>
      </c>
      <c r="K520" s="142">
        <f t="shared" si="260"/>
        <v>185</v>
      </c>
      <c r="L520" s="142">
        <f t="shared" si="261"/>
        <v>733</v>
      </c>
      <c r="M520" s="141">
        <f t="shared" si="262"/>
        <v>13.12</v>
      </c>
      <c r="N520" s="141">
        <f t="shared" si="263"/>
        <v>51.97</v>
      </c>
      <c r="O520" s="368">
        <f t="shared" si="255"/>
        <v>55.51</v>
      </c>
      <c r="P520" s="154">
        <f t="shared" si="264"/>
        <v>94.36</v>
      </c>
      <c r="Q520" s="153"/>
      <c r="R520" s="133"/>
      <c r="S520" s="133"/>
      <c r="T520" s="133"/>
      <c r="U520" s="133"/>
      <c r="V520" s="133"/>
      <c r="W520" s="133"/>
    </row>
    <row r="521" spans="1:23" ht="15.75">
      <c r="A521" s="145">
        <v>1043</v>
      </c>
      <c r="B521" s="35">
        <v>1300</v>
      </c>
      <c r="C521" s="214">
        <f t="shared" si="254"/>
        <v>1.3</v>
      </c>
      <c r="D521" s="215">
        <v>0.35170000000000001</v>
      </c>
      <c r="E521" s="214">
        <f t="shared" si="256"/>
        <v>1.7572100000000002</v>
      </c>
      <c r="F521" s="376">
        <f t="shared" si="265"/>
        <v>586</v>
      </c>
      <c r="G521" s="155">
        <f t="shared" si="253"/>
        <v>1283</v>
      </c>
      <c r="H521" s="141">
        <f t="shared" si="257"/>
        <v>16.41</v>
      </c>
      <c r="I521" s="142">
        <f t="shared" si="258"/>
        <v>351</v>
      </c>
      <c r="J521" s="141">
        <f t="shared" si="259"/>
        <v>37.49</v>
      </c>
      <c r="K521" s="142">
        <f t="shared" si="260"/>
        <v>235</v>
      </c>
      <c r="L521" s="142">
        <f t="shared" si="261"/>
        <v>932</v>
      </c>
      <c r="M521" s="141">
        <f t="shared" si="262"/>
        <v>16.66</v>
      </c>
      <c r="N521" s="141">
        <f t="shared" si="263"/>
        <v>66.08</v>
      </c>
      <c r="O521" s="368">
        <f t="shared" si="255"/>
        <v>70.56</v>
      </c>
      <c r="P521" s="154">
        <f t="shared" si="264"/>
        <v>119.98</v>
      </c>
      <c r="Q521" s="153"/>
      <c r="R521" s="133"/>
      <c r="S521" s="133"/>
      <c r="T521" s="133"/>
      <c r="U521" s="133"/>
      <c r="V521" s="133"/>
      <c r="W521" s="133"/>
    </row>
    <row r="522" spans="1:23" ht="15.75">
      <c r="A522" s="145">
        <v>1044</v>
      </c>
      <c r="B522" s="35">
        <v>340</v>
      </c>
      <c r="C522" s="214">
        <f t="shared" si="254"/>
        <v>0.34</v>
      </c>
      <c r="D522" s="215">
        <v>8.8200000000000001E-2</v>
      </c>
      <c r="E522" s="214">
        <f t="shared" si="256"/>
        <v>0.36998800000000004</v>
      </c>
      <c r="F522" s="376">
        <f t="shared" si="265"/>
        <v>123</v>
      </c>
      <c r="G522" s="155">
        <f t="shared" si="253"/>
        <v>270</v>
      </c>
      <c r="H522" s="141">
        <f t="shared" si="257"/>
        <v>3.46</v>
      </c>
      <c r="I522" s="142">
        <f t="shared" si="258"/>
        <v>74</v>
      </c>
      <c r="J522" s="141">
        <f t="shared" si="259"/>
        <v>7.9</v>
      </c>
      <c r="K522" s="142">
        <f t="shared" si="260"/>
        <v>49</v>
      </c>
      <c r="L522" s="142">
        <f t="shared" si="261"/>
        <v>196</v>
      </c>
      <c r="M522" s="141">
        <f t="shared" si="262"/>
        <v>3.47</v>
      </c>
      <c r="N522" s="141">
        <f t="shared" si="263"/>
        <v>13.9</v>
      </c>
      <c r="O522" s="368">
        <f t="shared" si="255"/>
        <v>14.83</v>
      </c>
      <c r="P522" s="154">
        <f t="shared" si="264"/>
        <v>25.259999999999998</v>
      </c>
      <c r="Q522" s="153"/>
      <c r="R522" s="133"/>
      <c r="S522" s="133"/>
      <c r="T522" s="133"/>
      <c r="U522" s="133"/>
      <c r="V522" s="133"/>
      <c r="W522" s="133"/>
    </row>
    <row r="523" spans="1:23" ht="15.75">
      <c r="A523" s="145">
        <v>1045</v>
      </c>
      <c r="B523" s="35">
        <v>720</v>
      </c>
      <c r="C523" s="214">
        <f t="shared" si="254"/>
        <v>0.72</v>
      </c>
      <c r="D523" s="215">
        <v>0.1444</v>
      </c>
      <c r="E523" s="214">
        <f t="shared" si="256"/>
        <v>0.82396799999999992</v>
      </c>
      <c r="F523" s="376">
        <f t="shared" si="265"/>
        <v>275</v>
      </c>
      <c r="G523" s="155">
        <f t="shared" si="253"/>
        <v>601</v>
      </c>
      <c r="H523" s="141">
        <f t="shared" si="257"/>
        <v>7.7</v>
      </c>
      <c r="I523" s="142">
        <f t="shared" si="258"/>
        <v>165</v>
      </c>
      <c r="J523" s="141">
        <f t="shared" si="259"/>
        <v>17.62</v>
      </c>
      <c r="K523" s="142">
        <f t="shared" si="260"/>
        <v>110</v>
      </c>
      <c r="L523" s="142">
        <f t="shared" si="261"/>
        <v>436</v>
      </c>
      <c r="M523" s="141">
        <f t="shared" si="262"/>
        <v>7.8</v>
      </c>
      <c r="N523" s="141">
        <f t="shared" si="263"/>
        <v>30.91</v>
      </c>
      <c r="O523" s="368">
        <f t="shared" si="255"/>
        <v>33.119999999999997</v>
      </c>
      <c r="P523" s="154">
        <f t="shared" si="264"/>
        <v>56.230000000000004</v>
      </c>
      <c r="Q523" s="153"/>
      <c r="R523" s="133"/>
      <c r="S523" s="133"/>
      <c r="T523" s="133"/>
      <c r="U523" s="133"/>
      <c r="V523" s="133"/>
      <c r="W523" s="133"/>
    </row>
    <row r="524" spans="1:23" ht="15.75">
      <c r="A524" s="145">
        <v>1046</v>
      </c>
      <c r="B524" s="35">
        <v>360</v>
      </c>
      <c r="C524" s="214">
        <f t="shared" si="254"/>
        <v>0.36</v>
      </c>
      <c r="D524" s="215">
        <v>0.1444</v>
      </c>
      <c r="E524" s="214">
        <f t="shared" si="256"/>
        <v>0.41198399999999996</v>
      </c>
      <c r="F524" s="377">
        <f t="shared" si="265"/>
        <v>137</v>
      </c>
      <c r="G524" s="155">
        <f t="shared" si="253"/>
        <v>301</v>
      </c>
      <c r="H524" s="141">
        <f t="shared" si="257"/>
        <v>3.85</v>
      </c>
      <c r="I524" s="142">
        <f t="shared" si="258"/>
        <v>82</v>
      </c>
      <c r="J524" s="141">
        <f t="shared" si="259"/>
        <v>8.76</v>
      </c>
      <c r="K524" s="142">
        <f t="shared" si="260"/>
        <v>55</v>
      </c>
      <c r="L524" s="142">
        <f t="shared" si="261"/>
        <v>219</v>
      </c>
      <c r="M524" s="141">
        <f t="shared" si="262"/>
        <v>3.9</v>
      </c>
      <c r="N524" s="141">
        <f t="shared" si="263"/>
        <v>15.53</v>
      </c>
      <c r="O524" s="382">
        <f t="shared" si="255"/>
        <v>16.509999999999998</v>
      </c>
      <c r="P524" s="154">
        <f t="shared" si="264"/>
        <v>28.14</v>
      </c>
      <c r="Q524" s="153"/>
      <c r="R524" s="133"/>
      <c r="S524" s="133"/>
      <c r="T524" s="133"/>
      <c r="U524" s="133"/>
      <c r="V524" s="133"/>
      <c r="W524" s="133"/>
    </row>
    <row r="525" spans="1:23" ht="16.5" thickBot="1">
      <c r="A525" s="145">
        <v>1047</v>
      </c>
      <c r="B525" s="42"/>
      <c r="C525" s="214">
        <f t="shared" si="254"/>
        <v>0</v>
      </c>
      <c r="D525" s="215">
        <v>0</v>
      </c>
      <c r="E525" s="214">
        <f t="shared" si="256"/>
        <v>0</v>
      </c>
      <c r="F525" s="312">
        <f t="shared" si="265"/>
        <v>0</v>
      </c>
      <c r="G525" s="232">
        <f t="shared" si="253"/>
        <v>0</v>
      </c>
      <c r="H525" s="141">
        <f>ROUND(+E525*D7,2)</f>
        <v>0</v>
      </c>
      <c r="I525" s="142">
        <f t="shared" si="258"/>
        <v>0</v>
      </c>
      <c r="J525" s="141">
        <f>ROUND(+I525*'2012 Rates'!D$8,2)</f>
        <v>0</v>
      </c>
      <c r="K525" s="142">
        <f t="shared" si="260"/>
        <v>0</v>
      </c>
      <c r="L525" s="142">
        <f t="shared" si="261"/>
        <v>0</v>
      </c>
      <c r="M525" s="141">
        <f>ROUND(+K525*'2012 Rates'!D$9,2)</f>
        <v>0</v>
      </c>
      <c r="N525" s="141">
        <f>ROUND(+L525*'2012 Rates'!D$9,2)</f>
        <v>0</v>
      </c>
      <c r="O525" s="295">
        <f>+'Schedule 9'!E123+'Schedule 9'!F123</f>
        <v>15.595521311936775</v>
      </c>
      <c r="P525" s="273">
        <f t="shared" si="264"/>
        <v>0</v>
      </c>
      <c r="Q525" s="383" t="s">
        <v>275</v>
      </c>
      <c r="R525" s="133"/>
      <c r="S525" s="133"/>
      <c r="T525" s="133"/>
      <c r="U525" s="133"/>
      <c r="V525" s="133"/>
      <c r="W525" s="133"/>
    </row>
    <row r="526" spans="1:23" ht="16.5" thickBot="1">
      <c r="A526" s="145">
        <v>1048</v>
      </c>
      <c r="B526" s="35">
        <f>8*40</f>
        <v>320</v>
      </c>
      <c r="C526" s="214">
        <f t="shared" si="254"/>
        <v>0.32</v>
      </c>
      <c r="D526" s="215">
        <v>0.115</v>
      </c>
      <c r="E526" s="214">
        <f t="shared" si="256"/>
        <v>0.35680000000000001</v>
      </c>
      <c r="F526" s="231">
        <f t="shared" si="265"/>
        <v>119</v>
      </c>
      <c r="G526" s="235">
        <f t="shared" si="253"/>
        <v>260</v>
      </c>
      <c r="H526" s="141">
        <f>ROUND(+E526*D$7,2)</f>
        <v>3.33</v>
      </c>
      <c r="I526" s="142">
        <f t="shared" si="258"/>
        <v>71</v>
      </c>
      <c r="J526" s="141">
        <f>ROUND(+I526*D$8,2)</f>
        <v>7.58</v>
      </c>
      <c r="K526" s="142">
        <f t="shared" si="260"/>
        <v>48</v>
      </c>
      <c r="L526" s="142">
        <f t="shared" si="261"/>
        <v>189</v>
      </c>
      <c r="M526" s="141">
        <f>ROUND(+K526*D$9,2)</f>
        <v>3.4</v>
      </c>
      <c r="N526" s="141">
        <f>ROUND(+L526*D$9,2)</f>
        <v>13.4</v>
      </c>
      <c r="O526" s="217">
        <f>H526+J526+M526</f>
        <v>14.31</v>
      </c>
      <c r="P526" s="236">
        <f t="shared" si="264"/>
        <v>24.310000000000002</v>
      </c>
      <c r="Q526" s="153"/>
      <c r="R526" s="133"/>
      <c r="S526" s="133"/>
      <c r="T526" s="133"/>
      <c r="U526" s="133"/>
      <c r="V526" s="133"/>
      <c r="W526" s="133"/>
    </row>
    <row r="527" spans="1:23" ht="16.5" thickBot="1">
      <c r="A527" s="145">
        <v>1049</v>
      </c>
      <c r="B527" s="35">
        <f>2*75</f>
        <v>150</v>
      </c>
      <c r="C527" s="214">
        <f t="shared" si="254"/>
        <v>0.15</v>
      </c>
      <c r="D527" s="215">
        <v>0.2</v>
      </c>
      <c r="E527" s="214">
        <f t="shared" si="256"/>
        <v>0.18</v>
      </c>
      <c r="F527" s="231">
        <f t="shared" si="265"/>
        <v>60</v>
      </c>
      <c r="G527" s="235">
        <f t="shared" si="253"/>
        <v>131</v>
      </c>
      <c r="H527" s="141">
        <f>ROUND(+E527*D$7,2)</f>
        <v>1.68</v>
      </c>
      <c r="I527" s="142">
        <f t="shared" si="258"/>
        <v>36</v>
      </c>
      <c r="J527" s="141">
        <f>ROUND(+I527*D$8,2)</f>
        <v>3.84</v>
      </c>
      <c r="K527" s="142">
        <f t="shared" si="260"/>
        <v>24</v>
      </c>
      <c r="L527" s="142">
        <f t="shared" si="261"/>
        <v>95</v>
      </c>
      <c r="M527" s="141">
        <f>ROUND(+K527*D$9,2)</f>
        <v>1.7</v>
      </c>
      <c r="N527" s="141">
        <f>ROUND(+L527*D$9,2)</f>
        <v>6.74</v>
      </c>
      <c r="O527" s="217">
        <f>H527+J527+M527</f>
        <v>7.22</v>
      </c>
      <c r="P527" s="236">
        <f t="shared" si="264"/>
        <v>12.26</v>
      </c>
      <c r="Q527" s="153"/>
      <c r="R527" s="133"/>
      <c r="S527" s="133"/>
      <c r="T527" s="133"/>
      <c r="U527" s="133"/>
      <c r="V527" s="133"/>
      <c r="W527" s="133"/>
    </row>
    <row r="528" spans="1:23" ht="16.5" thickBot="1">
      <c r="A528" s="145">
        <v>1050</v>
      </c>
      <c r="B528" s="35">
        <v>400</v>
      </c>
      <c r="C528" s="214">
        <f t="shared" si="254"/>
        <v>0.4</v>
      </c>
      <c r="D528" s="215">
        <v>0.1</v>
      </c>
      <c r="E528" s="214">
        <f t="shared" si="256"/>
        <v>0.44000000000000006</v>
      </c>
      <c r="F528" s="232">
        <f t="shared" si="265"/>
        <v>147</v>
      </c>
      <c r="G528" s="231">
        <f t="shared" si="253"/>
        <v>321</v>
      </c>
      <c r="H528" s="141">
        <f>ROUND(+E528*D$7,2)</f>
        <v>4.1100000000000003</v>
      </c>
      <c r="I528" s="142">
        <f t="shared" si="258"/>
        <v>88</v>
      </c>
      <c r="J528" s="141">
        <f>ROUND(+I528*D$8,2)</f>
        <v>9.4</v>
      </c>
      <c r="K528" s="142">
        <f t="shared" si="260"/>
        <v>59</v>
      </c>
      <c r="L528" s="142">
        <f t="shared" si="261"/>
        <v>233</v>
      </c>
      <c r="M528" s="141">
        <f>ROUND(+K528*D$9,2)</f>
        <v>4.18</v>
      </c>
      <c r="N528" s="141">
        <f>ROUND(+L528*D$9,2)</f>
        <v>16.52</v>
      </c>
      <c r="O528" s="273">
        <f>H528+J528+M528</f>
        <v>17.690000000000001</v>
      </c>
      <c r="P528" s="217">
        <f t="shared" si="264"/>
        <v>30.03</v>
      </c>
      <c r="Q528" s="153"/>
      <c r="R528" s="133"/>
      <c r="S528" s="133"/>
      <c r="T528" s="133"/>
      <c r="U528" s="133"/>
      <c r="V528" s="133"/>
      <c r="W528" s="133"/>
    </row>
    <row r="529" spans="1:23" ht="16.5" thickBot="1">
      <c r="A529" s="145"/>
      <c r="B529" s="35"/>
      <c r="C529" s="214"/>
      <c r="D529" s="215"/>
      <c r="E529" s="214"/>
      <c r="F529" s="384"/>
      <c r="G529" s="151"/>
      <c r="H529" s="141"/>
      <c r="I529" s="142"/>
      <c r="J529" s="141"/>
      <c r="K529" s="142"/>
      <c r="L529" s="142"/>
      <c r="M529" s="141"/>
      <c r="N529" s="141"/>
      <c r="O529" s="385"/>
      <c r="P529" s="239"/>
      <c r="Q529" s="153"/>
      <c r="R529" s="133"/>
      <c r="S529" s="133"/>
      <c r="T529" s="133"/>
      <c r="U529" s="133"/>
      <c r="V529" s="133"/>
      <c r="W529" s="133"/>
    </row>
    <row r="530" spans="1:23" ht="16.5" thickBot="1">
      <c r="A530" s="145">
        <v>1051</v>
      </c>
      <c r="B530" s="35">
        <v>380</v>
      </c>
      <c r="C530" s="214">
        <f>B530/1000</f>
        <v>0.38</v>
      </c>
      <c r="D530" s="215">
        <v>0.21579999999999999</v>
      </c>
      <c r="E530" s="214">
        <f>(+C530*D530)+C530</f>
        <v>0.46200399999999997</v>
      </c>
      <c r="F530" s="231">
        <f>ROUND((+$E530*4000)/12,0)</f>
        <v>154</v>
      </c>
      <c r="G530" s="235">
        <f>ROUND((+$E530*8760)/12,0)</f>
        <v>337</v>
      </c>
      <c r="H530" s="141">
        <f>ROUND(+E530*D$7,2)</f>
        <v>4.3099999999999996</v>
      </c>
      <c r="I530" s="142">
        <f>ROUND(IF((E530*200)&gt;F530,F530,(E530*200)),0)</f>
        <v>92</v>
      </c>
      <c r="J530" s="141">
        <f>ROUND(+I530*D$8,2)</f>
        <v>9.83</v>
      </c>
      <c r="K530" s="142">
        <f>F530-I530</f>
        <v>62</v>
      </c>
      <c r="L530" s="142">
        <f>G530-I530</f>
        <v>245</v>
      </c>
      <c r="M530" s="141">
        <f>ROUND(+K530*D$9,2)</f>
        <v>4.4000000000000004</v>
      </c>
      <c r="N530" s="141">
        <f>ROUND(+L530*D$9,2)</f>
        <v>17.37</v>
      </c>
      <c r="O530" s="217">
        <f>H530+J530+M530</f>
        <v>18.54</v>
      </c>
      <c r="P530" s="236">
        <f>H530+J530+N530</f>
        <v>31.51</v>
      </c>
      <c r="Q530" s="153"/>
      <c r="R530" s="133"/>
      <c r="S530" s="133"/>
      <c r="T530" s="133"/>
      <c r="U530" s="133"/>
      <c r="V530" s="133"/>
      <c r="W530" s="133"/>
    </row>
    <row r="531" spans="1:23" ht="16.5" thickBot="1">
      <c r="A531" s="145"/>
      <c r="B531" s="35">
        <v>510</v>
      </c>
      <c r="C531" s="214">
        <f>B531/1000</f>
        <v>0.51</v>
      </c>
      <c r="D531" s="215">
        <v>0.17649999999999999</v>
      </c>
      <c r="E531" s="214">
        <f>(+C531*D531)+C531</f>
        <v>0.60001499999999997</v>
      </c>
      <c r="F531" s="231">
        <f>ROUND((+$E531*4000)/12,0)</f>
        <v>200</v>
      </c>
      <c r="G531" s="235">
        <f>ROUND((+$E531*8760)/12,0)</f>
        <v>438</v>
      </c>
      <c r="H531" s="141">
        <f>ROUND(+E531*D$7,2)</f>
        <v>5.6</v>
      </c>
      <c r="I531" s="142">
        <f>ROUND(IF((E531*200)&gt;F531,F531,(E531*200)),0)</f>
        <v>120</v>
      </c>
      <c r="J531" s="141">
        <f>ROUND(+I531*D$8,2)</f>
        <v>12.82</v>
      </c>
      <c r="K531" s="142">
        <f>F531-I531</f>
        <v>80</v>
      </c>
      <c r="L531" s="142">
        <f>G531-I531</f>
        <v>318</v>
      </c>
      <c r="M531" s="141">
        <f>ROUND(+K531*D$9,2)</f>
        <v>5.67</v>
      </c>
      <c r="N531" s="141">
        <f>ROUND(+L531*D$9,2)</f>
        <v>22.55</v>
      </c>
      <c r="O531" s="217">
        <f>H531+J531+M531</f>
        <v>24.090000000000003</v>
      </c>
      <c r="P531" s="236">
        <f>H531+J531+N531</f>
        <v>40.97</v>
      </c>
      <c r="Q531" s="153"/>
      <c r="R531" s="133"/>
      <c r="S531" s="133"/>
      <c r="T531" s="133"/>
      <c r="U531" s="133"/>
      <c r="V531" s="133"/>
      <c r="W531" s="133"/>
    </row>
    <row r="532" spans="1:23" ht="16.5" thickBot="1">
      <c r="A532" s="145"/>
      <c r="B532" s="35">
        <v>145</v>
      </c>
      <c r="C532" s="214">
        <f>B532/1000</f>
        <v>0.14499999999999999</v>
      </c>
      <c r="D532" s="215">
        <v>0.19309999999999999</v>
      </c>
      <c r="E532" s="214">
        <f>(+C532*D532)+C532</f>
        <v>0.17299949999999997</v>
      </c>
      <c r="F532" s="231">
        <f>ROUND((+$E532*4000)/12,0)</f>
        <v>58</v>
      </c>
      <c r="G532" s="235">
        <f>ROUND((+$E532*8760)/12,0)</f>
        <v>126</v>
      </c>
      <c r="H532" s="141">
        <f>ROUND(+E532*D$7,2)</f>
        <v>1.62</v>
      </c>
      <c r="I532" s="142">
        <f>ROUND(IF((E532*200)&gt;F532,F532,(E532*200)),0)</f>
        <v>35</v>
      </c>
      <c r="J532" s="141">
        <f>ROUND(+I532*D$8,2)</f>
        <v>3.74</v>
      </c>
      <c r="K532" s="142">
        <f>F532-I532</f>
        <v>23</v>
      </c>
      <c r="L532" s="142">
        <f>G532-I532</f>
        <v>91</v>
      </c>
      <c r="M532" s="141">
        <f>ROUND(+K532*D$9,2)</f>
        <v>1.63</v>
      </c>
      <c r="N532" s="141">
        <f>ROUND(+L532*D$9,2)</f>
        <v>6.45</v>
      </c>
      <c r="O532" s="217">
        <f>H532+J532+M532</f>
        <v>6.99</v>
      </c>
      <c r="P532" s="236">
        <f>H532+J532+N532</f>
        <v>11.81</v>
      </c>
      <c r="Q532" s="153"/>
      <c r="R532" s="133"/>
      <c r="S532" s="133"/>
      <c r="T532" s="133"/>
      <c r="U532" s="133"/>
      <c r="V532" s="133"/>
      <c r="W532" s="133"/>
    </row>
    <row r="533" spans="1:23" ht="16.5" thickBot="1">
      <c r="A533" s="145"/>
      <c r="B533" s="276">
        <v>400</v>
      </c>
      <c r="C533" s="214">
        <f>B533/1000</f>
        <v>0.4</v>
      </c>
      <c r="D533" s="215">
        <v>0.2175</v>
      </c>
      <c r="E533" s="214">
        <f>(+C533*D533)+C533</f>
        <v>0.48700000000000004</v>
      </c>
      <c r="F533" s="231">
        <f>ROUND((+$E533*4000)/12,0)</f>
        <v>162</v>
      </c>
      <c r="G533" s="235">
        <f>ROUND((+$E533*8760)/12,0)</f>
        <v>356</v>
      </c>
      <c r="H533" s="141">
        <f>ROUND(+E533*D$7,2)</f>
        <v>4.55</v>
      </c>
      <c r="I533" s="142">
        <f>ROUND(IF((E533*200)&gt;F533,F533,(E533*200)),0)</f>
        <v>97</v>
      </c>
      <c r="J533" s="141">
        <f>ROUND(+I533*D$8,2)</f>
        <v>10.36</v>
      </c>
      <c r="K533" s="142">
        <f>F533-I533</f>
        <v>65</v>
      </c>
      <c r="L533" s="142">
        <f>G533-I533</f>
        <v>259</v>
      </c>
      <c r="M533" s="141">
        <f>ROUND(+K533*D$9,2)</f>
        <v>4.6100000000000003</v>
      </c>
      <c r="N533" s="141">
        <f>ROUND(+L533*D$9,2)</f>
        <v>18.36</v>
      </c>
      <c r="O533" s="217">
        <f>H533+J533+M533</f>
        <v>19.52</v>
      </c>
      <c r="P533" s="236">
        <f>H533+J533+N533</f>
        <v>33.269999999999996</v>
      </c>
      <c r="Q533" s="153"/>
      <c r="R533" s="133"/>
      <c r="S533" s="133"/>
      <c r="T533" s="133"/>
      <c r="U533" s="133"/>
      <c r="V533" s="133"/>
      <c r="W533" s="133"/>
    </row>
    <row r="534" spans="1:23" ht="16.5" thickBot="1">
      <c r="A534" s="145"/>
      <c r="B534" s="35">
        <f>SUM(B530:B533)</f>
        <v>1435</v>
      </c>
      <c r="C534" s="214"/>
      <c r="D534" s="215"/>
      <c r="E534" s="214"/>
      <c r="F534" s="231">
        <f>SUM(F530:F533)</f>
        <v>574</v>
      </c>
      <c r="G534" s="235"/>
      <c r="H534" s="141"/>
      <c r="I534" s="142"/>
      <c r="J534" s="141"/>
      <c r="K534" s="142"/>
      <c r="L534" s="142"/>
      <c r="M534" s="141"/>
      <c r="N534" s="141"/>
      <c r="O534" s="217">
        <f>SUM(O530:O533)</f>
        <v>69.14</v>
      </c>
      <c r="P534" s="236"/>
      <c r="Q534" s="153"/>
      <c r="R534" s="133"/>
      <c r="S534" s="133"/>
      <c r="T534" s="133"/>
      <c r="U534" s="133"/>
      <c r="V534" s="133"/>
      <c r="W534" s="133"/>
    </row>
    <row r="535" spans="1:23" ht="16.5" thickBot="1">
      <c r="A535" s="145"/>
      <c r="B535" s="35"/>
      <c r="C535" s="214"/>
      <c r="D535" s="215"/>
      <c r="E535" s="214"/>
      <c r="F535" s="151"/>
      <c r="G535" s="232"/>
      <c r="H535" s="141"/>
      <c r="I535" s="142"/>
      <c r="J535" s="141"/>
      <c r="K535" s="142"/>
      <c r="L535" s="142"/>
      <c r="M535" s="141"/>
      <c r="N535" s="141"/>
      <c r="O535" s="386"/>
      <c r="P535" s="273"/>
      <c r="Q535" s="153"/>
      <c r="R535" s="133"/>
      <c r="S535" s="133"/>
      <c r="T535" s="133"/>
      <c r="U535" s="133"/>
      <c r="V535" s="133"/>
      <c r="W535" s="133"/>
    </row>
    <row r="536" spans="1:23" ht="16.5" thickBot="1">
      <c r="A536" s="145">
        <v>1052</v>
      </c>
      <c r="B536" s="35">
        <v>180</v>
      </c>
      <c r="C536" s="214">
        <f>B536/1000</f>
        <v>0.18</v>
      </c>
      <c r="D536" s="215">
        <v>0.2167</v>
      </c>
      <c r="E536" s="214">
        <f>(+C536*D536)+C536</f>
        <v>0.21900599999999998</v>
      </c>
      <c r="F536" s="299">
        <f>ROUND((+$E536*4000)/12,0)</f>
        <v>73</v>
      </c>
      <c r="G536" s="231">
        <f>ROUND((+$E536*8760)/12,0)</f>
        <v>160</v>
      </c>
      <c r="H536" s="141">
        <f>ROUND(+E536*D$7,2)</f>
        <v>2.0499999999999998</v>
      </c>
      <c r="I536" s="142">
        <f>ROUND(IF((E536*200)&gt;F536,F536,(E536*200)),0)</f>
        <v>44</v>
      </c>
      <c r="J536" s="141">
        <f>ROUND(+I536*D$8,2)</f>
        <v>4.7</v>
      </c>
      <c r="K536" s="142">
        <f>F536-I536</f>
        <v>29</v>
      </c>
      <c r="L536" s="142">
        <f>G536-I536</f>
        <v>116</v>
      </c>
      <c r="M536" s="141">
        <f>ROUND(+K536*D$9,2)</f>
        <v>2.06</v>
      </c>
      <c r="N536" s="141">
        <f>ROUND(+L536*D$9,2)</f>
        <v>8.23</v>
      </c>
      <c r="O536" s="387">
        <f>H536+J536+M536</f>
        <v>8.81</v>
      </c>
      <c r="P536" s="217">
        <f>H536+J536+N536</f>
        <v>14.98</v>
      </c>
      <c r="Q536" s="153"/>
      <c r="R536" s="133"/>
      <c r="S536" s="133"/>
      <c r="T536" s="133"/>
      <c r="U536" s="133"/>
      <c r="V536" s="133"/>
      <c r="W536" s="133"/>
    </row>
    <row r="537" spans="1:23">
      <c r="A537" s="145">
        <v>1054</v>
      </c>
      <c r="B537" s="35">
        <v>3960</v>
      </c>
      <c r="C537" s="214">
        <f>B537/1000</f>
        <v>3.96</v>
      </c>
      <c r="D537" s="215">
        <v>0.14549999999999999</v>
      </c>
      <c r="E537" s="214">
        <f>(+C537*D537)+C537</f>
        <v>4.5361799999999999</v>
      </c>
      <c r="F537" s="232">
        <f>ROUND((+$E537*4000)/12,0)</f>
        <v>1512</v>
      </c>
      <c r="G537" s="232">
        <f>ROUND((+$E537*8760)/12,0)</f>
        <v>3311</v>
      </c>
      <c r="H537" s="141">
        <f>ROUND(+E537*D$7,2)</f>
        <v>42.37</v>
      </c>
      <c r="I537" s="142">
        <f>ROUND(IF((E537*200)&gt;F537,F537,(E537*200)),0)</f>
        <v>907</v>
      </c>
      <c r="J537" s="141">
        <f>ROUND(+I537*D$8,2)</f>
        <v>96.87</v>
      </c>
      <c r="K537" s="142">
        <f>F537-I537</f>
        <v>605</v>
      </c>
      <c r="L537" s="142">
        <f>G537-I537</f>
        <v>2404</v>
      </c>
      <c r="M537" s="141">
        <f>ROUND(+K537*D$9,2)</f>
        <v>42.9</v>
      </c>
      <c r="N537" s="141">
        <f>ROUND(+L537*D$9,2)</f>
        <v>170.46</v>
      </c>
      <c r="O537" s="273">
        <f>H537+J537+M537</f>
        <v>182.14000000000001</v>
      </c>
      <c r="P537" s="273">
        <f>H537+J537+N537</f>
        <v>309.70000000000005</v>
      </c>
      <c r="Q537" s="153"/>
      <c r="R537" s="133"/>
      <c r="S537" s="133"/>
      <c r="T537" s="133"/>
      <c r="U537" s="133"/>
      <c r="V537" s="133"/>
      <c r="W537" s="133"/>
    </row>
    <row r="538" spans="1:23" ht="15.75" thickBot="1">
      <c r="A538" s="145"/>
      <c r="B538" s="276">
        <v>765</v>
      </c>
      <c r="C538" s="214">
        <f>B538/1000</f>
        <v>0.76500000000000001</v>
      </c>
      <c r="D538" s="215">
        <v>0.2</v>
      </c>
      <c r="E538" s="214">
        <f>(+C538*D538)+C538</f>
        <v>0.91800000000000004</v>
      </c>
      <c r="F538" s="384">
        <f>ROUND((+$E538*4000)/12,0)</f>
        <v>306</v>
      </c>
      <c r="G538" s="232">
        <f>ROUND((+$E538*8760)/12,0)</f>
        <v>670</v>
      </c>
      <c r="H538" s="141">
        <f>ROUND(+E538*D$7,2)</f>
        <v>8.57</v>
      </c>
      <c r="I538" s="142">
        <f>ROUND(IF((E538*200)&gt;F538,F538,(E538*200)),0)</f>
        <v>184</v>
      </c>
      <c r="J538" s="141">
        <f>ROUND(+I538*D$8,2)</f>
        <v>19.649999999999999</v>
      </c>
      <c r="K538" s="142">
        <f>F538-I538</f>
        <v>122</v>
      </c>
      <c r="L538" s="142">
        <f>G538-I538</f>
        <v>486</v>
      </c>
      <c r="M538" s="141">
        <f>ROUND(+K538*D$9,2)</f>
        <v>8.65</v>
      </c>
      <c r="N538" s="141">
        <f>ROUND(+L538*D$9,2)</f>
        <v>34.46</v>
      </c>
      <c r="O538" s="385">
        <f>H538+J538+M538</f>
        <v>36.869999999999997</v>
      </c>
      <c r="P538" s="273">
        <f>H538+J538+N538</f>
        <v>62.68</v>
      </c>
      <c r="Q538" s="153"/>
      <c r="R538" s="133"/>
      <c r="S538" s="133"/>
      <c r="T538" s="133"/>
      <c r="U538" s="133"/>
      <c r="V538" s="133"/>
      <c r="W538" s="133"/>
    </row>
    <row r="539" spans="1:23" ht="16.5" thickBot="1">
      <c r="A539" s="145"/>
      <c r="B539" s="35">
        <f>SUM(B537:B538)</f>
        <v>4725</v>
      </c>
      <c r="C539" s="214"/>
      <c r="D539" s="215"/>
      <c r="E539" s="214"/>
      <c r="F539" s="231">
        <f>SUM(F537:F538)</f>
        <v>1818</v>
      </c>
      <c r="G539" s="235"/>
      <c r="H539" s="141"/>
      <c r="I539" s="142"/>
      <c r="J539" s="141"/>
      <c r="K539" s="142"/>
      <c r="L539" s="142"/>
      <c r="M539" s="141"/>
      <c r="N539" s="141"/>
      <c r="O539" s="217">
        <f>SUM(O537:O538)</f>
        <v>219.01000000000002</v>
      </c>
      <c r="P539" s="236"/>
      <c r="Q539" s="153"/>
      <c r="R539" s="133"/>
      <c r="S539" s="133"/>
      <c r="T539" s="133"/>
      <c r="U539" s="133"/>
      <c r="V539" s="133"/>
      <c r="W539" s="133"/>
    </row>
    <row r="540" spans="1:23" ht="16.5" thickBot="1">
      <c r="A540" s="145"/>
      <c r="B540" s="35"/>
      <c r="C540" s="214"/>
      <c r="D540" s="215"/>
      <c r="E540" s="214"/>
      <c r="F540" s="388"/>
      <c r="G540" s="232"/>
      <c r="H540" s="141"/>
      <c r="I540" s="142"/>
      <c r="J540" s="141"/>
      <c r="K540" s="142"/>
      <c r="L540" s="142"/>
      <c r="M540" s="141"/>
      <c r="N540" s="141"/>
      <c r="O540" s="386"/>
      <c r="P540" s="273"/>
      <c r="Q540" s="153"/>
      <c r="R540" s="133"/>
      <c r="S540" s="133"/>
      <c r="T540" s="133"/>
      <c r="U540" s="133"/>
      <c r="V540" s="133"/>
      <c r="W540" s="133"/>
    </row>
    <row r="541" spans="1:23" ht="16.5" thickBot="1">
      <c r="A541" s="145">
        <v>1055</v>
      </c>
      <c r="B541" s="35">
        <v>90</v>
      </c>
      <c r="C541" s="214">
        <f t="shared" ref="C541:C558" si="266">B541/1000</f>
        <v>0.09</v>
      </c>
      <c r="D541" s="215">
        <v>0</v>
      </c>
      <c r="E541" s="214">
        <f t="shared" ref="E541:E558" si="267">(+C541*D541)+C541</f>
        <v>0.09</v>
      </c>
      <c r="F541" s="237">
        <f t="shared" ref="F541:F558" si="268">ROUND((+$E541*4000)/12,0)</f>
        <v>30</v>
      </c>
      <c r="G541" s="231">
        <f t="shared" ref="G541:G558" si="269">ROUND((+$E541*8760)/12,0)</f>
        <v>66</v>
      </c>
      <c r="H541" s="141">
        <f t="shared" ref="H541:H558" si="270">ROUND(+E541*D$7,2)</f>
        <v>0.84</v>
      </c>
      <c r="I541" s="142">
        <f t="shared" ref="I541:I558" si="271">ROUND(IF((E541*200)&gt;F541,F541,(E541*200)),0)</f>
        <v>18</v>
      </c>
      <c r="J541" s="141">
        <f t="shared" ref="J541:J558" si="272">ROUND(+I541*D$8,2)</f>
        <v>1.92</v>
      </c>
      <c r="K541" s="142">
        <f t="shared" ref="K541:K558" si="273">F541-I541</f>
        <v>12</v>
      </c>
      <c r="L541" s="142">
        <f t="shared" ref="L541:L558" si="274">G541-I541</f>
        <v>48</v>
      </c>
      <c r="M541" s="141">
        <f t="shared" ref="M541:M558" si="275">ROUND(+K541*D$9,2)</f>
        <v>0.85</v>
      </c>
      <c r="N541" s="141">
        <f t="shared" ref="N541:N558" si="276">ROUND(+L541*D$9,2)</f>
        <v>3.4</v>
      </c>
      <c r="O541" s="387">
        <f t="shared" ref="O541:O558" si="277">H541+J541+M541</f>
        <v>3.61</v>
      </c>
      <c r="P541" s="217">
        <f t="shared" ref="P541:P558" si="278">H541+J541+N541</f>
        <v>6.16</v>
      </c>
      <c r="Q541" s="153"/>
      <c r="R541" s="133"/>
      <c r="S541" s="133"/>
      <c r="T541" s="133"/>
      <c r="U541" s="133"/>
      <c r="V541" s="133"/>
      <c r="W541" s="133"/>
    </row>
    <row r="542" spans="1:23" ht="16.5" thickBot="1">
      <c r="A542" s="145">
        <v>1056</v>
      </c>
      <c r="B542" s="35">
        <v>4608</v>
      </c>
      <c r="C542" s="214">
        <f t="shared" si="266"/>
        <v>4.6079999999999997</v>
      </c>
      <c r="D542" s="215">
        <v>0</v>
      </c>
      <c r="E542" s="214">
        <f t="shared" si="267"/>
        <v>4.6079999999999997</v>
      </c>
      <c r="F542" s="231">
        <f t="shared" si="268"/>
        <v>1536</v>
      </c>
      <c r="G542" s="235">
        <f t="shared" si="269"/>
        <v>3364</v>
      </c>
      <c r="H542" s="141">
        <f t="shared" si="270"/>
        <v>43.04</v>
      </c>
      <c r="I542" s="142">
        <f t="shared" si="271"/>
        <v>922</v>
      </c>
      <c r="J542" s="141">
        <f t="shared" si="272"/>
        <v>98.47</v>
      </c>
      <c r="K542" s="142">
        <f t="shared" si="273"/>
        <v>614</v>
      </c>
      <c r="L542" s="142">
        <f t="shared" si="274"/>
        <v>2442</v>
      </c>
      <c r="M542" s="141">
        <f t="shared" si="275"/>
        <v>43.54</v>
      </c>
      <c r="N542" s="141">
        <f t="shared" si="276"/>
        <v>173.15</v>
      </c>
      <c r="O542" s="217">
        <f t="shared" si="277"/>
        <v>185.04999999999998</v>
      </c>
      <c r="P542" s="236">
        <f t="shared" si="278"/>
        <v>314.65999999999997</v>
      </c>
      <c r="Q542" s="153"/>
      <c r="R542" s="133"/>
      <c r="S542" s="133"/>
      <c r="T542" s="133"/>
      <c r="U542" s="133"/>
      <c r="V542" s="133"/>
      <c r="W542" s="133"/>
    </row>
    <row r="543" spans="1:23" ht="16.5" thickBot="1">
      <c r="A543" s="145">
        <v>1057</v>
      </c>
      <c r="B543" s="35">
        <v>1260</v>
      </c>
      <c r="C543" s="214">
        <f t="shared" si="266"/>
        <v>1.26</v>
      </c>
      <c r="D543" s="215">
        <v>3.7999999999999999E-2</v>
      </c>
      <c r="E543" s="214">
        <f t="shared" si="267"/>
        <v>1.3078799999999999</v>
      </c>
      <c r="F543" s="231">
        <f t="shared" si="268"/>
        <v>436</v>
      </c>
      <c r="G543" s="235">
        <f t="shared" si="269"/>
        <v>955</v>
      </c>
      <c r="H543" s="141">
        <f t="shared" si="270"/>
        <v>12.21</v>
      </c>
      <c r="I543" s="142">
        <f t="shared" si="271"/>
        <v>262</v>
      </c>
      <c r="J543" s="141">
        <f t="shared" si="272"/>
        <v>27.98</v>
      </c>
      <c r="K543" s="142">
        <f t="shared" si="273"/>
        <v>174</v>
      </c>
      <c r="L543" s="142">
        <f t="shared" si="274"/>
        <v>693</v>
      </c>
      <c r="M543" s="141">
        <f t="shared" si="275"/>
        <v>12.34</v>
      </c>
      <c r="N543" s="141">
        <f t="shared" si="276"/>
        <v>49.14</v>
      </c>
      <c r="O543" s="217">
        <f t="shared" si="277"/>
        <v>52.53</v>
      </c>
      <c r="P543" s="236">
        <f t="shared" si="278"/>
        <v>89.33</v>
      </c>
      <c r="Q543" s="153"/>
      <c r="R543" s="133"/>
      <c r="S543" s="133"/>
      <c r="T543" s="133"/>
      <c r="U543" s="133"/>
      <c r="V543" s="133"/>
      <c r="W543" s="133"/>
    </row>
    <row r="544" spans="1:23" ht="16.5" thickBot="1">
      <c r="A544" s="145">
        <v>1058</v>
      </c>
      <c r="B544" s="35">
        <v>3432</v>
      </c>
      <c r="C544" s="214">
        <f t="shared" si="266"/>
        <v>3.4319999999999999</v>
      </c>
      <c r="D544" s="215">
        <v>0</v>
      </c>
      <c r="E544" s="214">
        <f t="shared" si="267"/>
        <v>3.4319999999999999</v>
      </c>
      <c r="F544" s="231">
        <f t="shared" si="268"/>
        <v>1144</v>
      </c>
      <c r="G544" s="235">
        <f t="shared" si="269"/>
        <v>2505</v>
      </c>
      <c r="H544" s="141">
        <f t="shared" si="270"/>
        <v>32.049999999999997</v>
      </c>
      <c r="I544" s="142">
        <f t="shared" si="271"/>
        <v>686</v>
      </c>
      <c r="J544" s="141">
        <f t="shared" si="272"/>
        <v>73.27</v>
      </c>
      <c r="K544" s="142">
        <f t="shared" si="273"/>
        <v>458</v>
      </c>
      <c r="L544" s="142">
        <f t="shared" si="274"/>
        <v>1819</v>
      </c>
      <c r="M544" s="141">
        <f t="shared" si="275"/>
        <v>32.47</v>
      </c>
      <c r="N544" s="141">
        <f t="shared" si="276"/>
        <v>128.97999999999999</v>
      </c>
      <c r="O544" s="217">
        <f t="shared" si="277"/>
        <v>137.79</v>
      </c>
      <c r="P544" s="236">
        <f t="shared" si="278"/>
        <v>234.29999999999998</v>
      </c>
      <c r="Q544" s="153"/>
      <c r="R544" s="133"/>
      <c r="S544" s="133"/>
      <c r="T544" s="133"/>
      <c r="U544" s="133"/>
      <c r="V544" s="133"/>
      <c r="W544" s="133"/>
    </row>
    <row r="545" spans="1:23" ht="16.5" thickBot="1">
      <c r="A545" s="145">
        <v>1059</v>
      </c>
      <c r="B545" s="35">
        <v>660</v>
      </c>
      <c r="C545" s="214">
        <f t="shared" si="266"/>
        <v>0.66</v>
      </c>
      <c r="D545" s="215">
        <v>0.14549999999999999</v>
      </c>
      <c r="E545" s="214">
        <f t="shared" si="267"/>
        <v>0.75602999999999998</v>
      </c>
      <c r="F545" s="231">
        <f t="shared" si="268"/>
        <v>252</v>
      </c>
      <c r="G545" s="235">
        <f t="shared" si="269"/>
        <v>552</v>
      </c>
      <c r="H545" s="141">
        <f t="shared" si="270"/>
        <v>7.06</v>
      </c>
      <c r="I545" s="142">
        <f t="shared" si="271"/>
        <v>151</v>
      </c>
      <c r="J545" s="141">
        <f t="shared" si="272"/>
        <v>16.13</v>
      </c>
      <c r="K545" s="142">
        <f t="shared" si="273"/>
        <v>101</v>
      </c>
      <c r="L545" s="142">
        <f t="shared" si="274"/>
        <v>401</v>
      </c>
      <c r="M545" s="141">
        <f t="shared" si="275"/>
        <v>7.16</v>
      </c>
      <c r="N545" s="141">
        <f t="shared" si="276"/>
        <v>28.43</v>
      </c>
      <c r="O545" s="217">
        <f t="shared" si="277"/>
        <v>30.349999999999998</v>
      </c>
      <c r="P545" s="236">
        <f t="shared" si="278"/>
        <v>51.62</v>
      </c>
      <c r="Q545" s="153"/>
      <c r="R545" s="133"/>
      <c r="S545" s="133"/>
      <c r="T545" s="133"/>
      <c r="U545" s="133"/>
      <c r="V545" s="133"/>
      <c r="W545" s="133"/>
    </row>
    <row r="546" spans="1:23" ht="16.5" thickBot="1">
      <c r="A546" s="145">
        <v>1060</v>
      </c>
      <c r="B546" s="35">
        <v>320</v>
      </c>
      <c r="C546" s="214">
        <f t="shared" si="266"/>
        <v>0.32</v>
      </c>
      <c r="D546" s="215">
        <v>0.16250000000000001</v>
      </c>
      <c r="E546" s="214">
        <f t="shared" si="267"/>
        <v>0.372</v>
      </c>
      <c r="F546" s="231">
        <f t="shared" si="268"/>
        <v>124</v>
      </c>
      <c r="G546" s="235">
        <f t="shared" si="269"/>
        <v>272</v>
      </c>
      <c r="H546" s="141">
        <f t="shared" si="270"/>
        <v>3.47</v>
      </c>
      <c r="I546" s="142">
        <f t="shared" si="271"/>
        <v>74</v>
      </c>
      <c r="J546" s="141">
        <f t="shared" si="272"/>
        <v>7.9</v>
      </c>
      <c r="K546" s="142">
        <f t="shared" si="273"/>
        <v>50</v>
      </c>
      <c r="L546" s="142">
        <f t="shared" si="274"/>
        <v>198</v>
      </c>
      <c r="M546" s="141">
        <f t="shared" si="275"/>
        <v>3.55</v>
      </c>
      <c r="N546" s="141">
        <f t="shared" si="276"/>
        <v>14.04</v>
      </c>
      <c r="O546" s="217">
        <f t="shared" si="277"/>
        <v>14.920000000000002</v>
      </c>
      <c r="P546" s="236">
        <f t="shared" si="278"/>
        <v>25.41</v>
      </c>
      <c r="Q546" s="153"/>
      <c r="R546" s="133"/>
      <c r="S546" s="133"/>
      <c r="T546" s="133"/>
      <c r="U546" s="133"/>
      <c r="V546" s="133"/>
      <c r="W546" s="133"/>
    </row>
    <row r="547" spans="1:23" ht="16.5" thickBot="1">
      <c r="A547" s="145">
        <v>1061</v>
      </c>
      <c r="B547" s="35">
        <v>950</v>
      </c>
      <c r="C547" s="214">
        <f t="shared" si="266"/>
        <v>0.95</v>
      </c>
      <c r="D547" s="215">
        <v>0.21579999999999999</v>
      </c>
      <c r="E547" s="214">
        <f t="shared" si="267"/>
        <v>1.1550099999999999</v>
      </c>
      <c r="F547" s="231">
        <f t="shared" si="268"/>
        <v>385</v>
      </c>
      <c r="G547" s="235">
        <f t="shared" si="269"/>
        <v>843</v>
      </c>
      <c r="H547" s="141">
        <f t="shared" si="270"/>
        <v>10.79</v>
      </c>
      <c r="I547" s="142">
        <f t="shared" si="271"/>
        <v>231</v>
      </c>
      <c r="J547" s="141">
        <f t="shared" si="272"/>
        <v>24.67</v>
      </c>
      <c r="K547" s="142">
        <f t="shared" si="273"/>
        <v>154</v>
      </c>
      <c r="L547" s="142">
        <f t="shared" si="274"/>
        <v>612</v>
      </c>
      <c r="M547" s="141">
        <f t="shared" si="275"/>
        <v>10.92</v>
      </c>
      <c r="N547" s="141">
        <f t="shared" si="276"/>
        <v>43.39</v>
      </c>
      <c r="O547" s="217">
        <f t="shared" si="277"/>
        <v>46.38</v>
      </c>
      <c r="P547" s="236">
        <f t="shared" si="278"/>
        <v>78.849999999999994</v>
      </c>
      <c r="Q547" s="153"/>
      <c r="R547" s="133"/>
      <c r="S547" s="133"/>
      <c r="T547" s="133"/>
      <c r="U547" s="133"/>
      <c r="V547" s="133"/>
      <c r="W547" s="133"/>
    </row>
    <row r="548" spans="1:23" ht="16.5" thickBot="1">
      <c r="A548" s="145">
        <v>1062</v>
      </c>
      <c r="B548" s="35">
        <v>228</v>
      </c>
      <c r="C548" s="214">
        <f t="shared" si="266"/>
        <v>0.22800000000000001</v>
      </c>
      <c r="D548" s="215">
        <v>0.3</v>
      </c>
      <c r="E548" s="214">
        <f t="shared" si="267"/>
        <v>0.2964</v>
      </c>
      <c r="F548" s="231">
        <f t="shared" si="268"/>
        <v>99</v>
      </c>
      <c r="G548" s="235">
        <f t="shared" si="269"/>
        <v>216</v>
      </c>
      <c r="H548" s="141">
        <f t="shared" si="270"/>
        <v>2.77</v>
      </c>
      <c r="I548" s="142">
        <f t="shared" si="271"/>
        <v>59</v>
      </c>
      <c r="J548" s="141">
        <f t="shared" si="272"/>
        <v>6.3</v>
      </c>
      <c r="K548" s="142">
        <f t="shared" si="273"/>
        <v>40</v>
      </c>
      <c r="L548" s="142">
        <f t="shared" si="274"/>
        <v>157</v>
      </c>
      <c r="M548" s="141">
        <f t="shared" si="275"/>
        <v>2.84</v>
      </c>
      <c r="N548" s="141">
        <f t="shared" si="276"/>
        <v>11.13</v>
      </c>
      <c r="O548" s="217">
        <f t="shared" si="277"/>
        <v>11.91</v>
      </c>
      <c r="P548" s="236">
        <f t="shared" si="278"/>
        <v>20.200000000000003</v>
      </c>
      <c r="Q548" s="153"/>
      <c r="R548" s="133"/>
      <c r="S548" s="133"/>
      <c r="T548" s="133"/>
      <c r="U548" s="133"/>
      <c r="V548" s="133"/>
      <c r="W548" s="133"/>
    </row>
    <row r="549" spans="1:23" ht="16.5" thickBot="1">
      <c r="A549" s="145">
        <v>1063</v>
      </c>
      <c r="B549" s="35">
        <v>510</v>
      </c>
      <c r="C549" s="214">
        <f t="shared" si="266"/>
        <v>0.51</v>
      </c>
      <c r="D549" s="215">
        <v>0.17649999999999999</v>
      </c>
      <c r="E549" s="214">
        <f t="shared" si="267"/>
        <v>0.60001499999999997</v>
      </c>
      <c r="F549" s="231">
        <f t="shared" si="268"/>
        <v>200</v>
      </c>
      <c r="G549" s="235">
        <f t="shared" si="269"/>
        <v>438</v>
      </c>
      <c r="H549" s="141">
        <f t="shared" si="270"/>
        <v>5.6</v>
      </c>
      <c r="I549" s="142">
        <f t="shared" si="271"/>
        <v>120</v>
      </c>
      <c r="J549" s="141">
        <f t="shared" si="272"/>
        <v>12.82</v>
      </c>
      <c r="K549" s="142">
        <f t="shared" si="273"/>
        <v>80</v>
      </c>
      <c r="L549" s="142">
        <f t="shared" si="274"/>
        <v>318</v>
      </c>
      <c r="M549" s="141">
        <f t="shared" si="275"/>
        <v>5.67</v>
      </c>
      <c r="N549" s="141">
        <f t="shared" si="276"/>
        <v>22.55</v>
      </c>
      <c r="O549" s="217">
        <f t="shared" si="277"/>
        <v>24.090000000000003</v>
      </c>
      <c r="P549" s="236">
        <f t="shared" si="278"/>
        <v>40.97</v>
      </c>
      <c r="Q549" s="153"/>
      <c r="R549" s="133"/>
      <c r="S549" s="133"/>
      <c r="T549" s="133"/>
      <c r="U549" s="133"/>
      <c r="V549" s="133"/>
      <c r="W549" s="133"/>
    </row>
    <row r="550" spans="1:23" ht="16.5" thickBot="1">
      <c r="A550" s="145">
        <v>1064</v>
      </c>
      <c r="B550" s="35">
        <v>40</v>
      </c>
      <c r="C550" s="214">
        <f t="shared" si="266"/>
        <v>0.04</v>
      </c>
      <c r="D550" s="215">
        <v>0</v>
      </c>
      <c r="E550" s="214">
        <f t="shared" si="267"/>
        <v>0.04</v>
      </c>
      <c r="F550" s="231">
        <f t="shared" si="268"/>
        <v>13</v>
      </c>
      <c r="G550" s="235">
        <f t="shared" si="269"/>
        <v>29</v>
      </c>
      <c r="H550" s="141">
        <f t="shared" si="270"/>
        <v>0.37</v>
      </c>
      <c r="I550" s="142">
        <f t="shared" si="271"/>
        <v>8</v>
      </c>
      <c r="J550" s="141">
        <f t="shared" si="272"/>
        <v>0.85</v>
      </c>
      <c r="K550" s="142">
        <f t="shared" si="273"/>
        <v>5</v>
      </c>
      <c r="L550" s="142">
        <f t="shared" si="274"/>
        <v>21</v>
      </c>
      <c r="M550" s="141">
        <f t="shared" si="275"/>
        <v>0.35</v>
      </c>
      <c r="N550" s="141">
        <f t="shared" si="276"/>
        <v>1.49</v>
      </c>
      <c r="O550" s="217">
        <f t="shared" si="277"/>
        <v>1.5699999999999998</v>
      </c>
      <c r="P550" s="236">
        <f t="shared" si="278"/>
        <v>2.71</v>
      </c>
      <c r="Q550" s="153"/>
      <c r="R550" s="133"/>
      <c r="S550" s="133"/>
      <c r="T550" s="133"/>
      <c r="U550" s="133"/>
      <c r="V550" s="133"/>
      <c r="W550" s="133"/>
    </row>
    <row r="551" spans="1:23" ht="16.5" thickBot="1">
      <c r="A551" s="145">
        <v>1065</v>
      </c>
      <c r="B551" s="35">
        <v>440</v>
      </c>
      <c r="C551" s="214">
        <f t="shared" si="266"/>
        <v>0.44</v>
      </c>
      <c r="D551" s="215">
        <v>0.2273</v>
      </c>
      <c r="E551" s="214">
        <f>(+C551*D551)+C551</f>
        <v>0.54001200000000005</v>
      </c>
      <c r="F551" s="231">
        <f t="shared" si="268"/>
        <v>180</v>
      </c>
      <c r="G551" s="235">
        <f t="shared" si="269"/>
        <v>394</v>
      </c>
      <c r="H551" s="141">
        <f>ROUND(+E551*D$7,2)</f>
        <v>5.04</v>
      </c>
      <c r="I551" s="142">
        <f>ROUND(IF((E551*200)&gt;F551,F551,(E551*200)),0)</f>
        <v>108</v>
      </c>
      <c r="J551" s="141">
        <f>ROUND(+I551*D$8,2)</f>
        <v>11.53</v>
      </c>
      <c r="K551" s="142">
        <f>F551-I551</f>
        <v>72</v>
      </c>
      <c r="L551" s="142">
        <f>G551-I551</f>
        <v>286</v>
      </c>
      <c r="M551" s="141">
        <f>ROUND(+K551*D$9,2)</f>
        <v>5.1100000000000003</v>
      </c>
      <c r="N551" s="141">
        <f>ROUND(+L551*D$9,2)</f>
        <v>20.28</v>
      </c>
      <c r="O551" s="217">
        <f>H551+J551+M551</f>
        <v>21.68</v>
      </c>
      <c r="P551" s="236">
        <f>H551+J551+N551</f>
        <v>36.85</v>
      </c>
      <c r="Q551" s="153"/>
      <c r="R551" s="133"/>
      <c r="S551" s="133"/>
      <c r="T551" s="133"/>
      <c r="U551" s="133"/>
      <c r="V551" s="133"/>
      <c r="W551" s="133"/>
    </row>
    <row r="552" spans="1:23" ht="16.5" thickBot="1">
      <c r="A552" s="145">
        <v>1066</v>
      </c>
      <c r="B552" s="35">
        <v>550</v>
      </c>
      <c r="C552" s="214">
        <f t="shared" si="266"/>
        <v>0.55000000000000004</v>
      </c>
      <c r="D552" s="215">
        <v>0.1164</v>
      </c>
      <c r="E552" s="214">
        <f t="shared" si="267"/>
        <v>0.61402000000000001</v>
      </c>
      <c r="F552" s="231">
        <f t="shared" si="268"/>
        <v>205</v>
      </c>
      <c r="G552" s="235">
        <f t="shared" si="269"/>
        <v>448</v>
      </c>
      <c r="H552" s="141">
        <f t="shared" si="270"/>
        <v>5.73</v>
      </c>
      <c r="I552" s="142">
        <f t="shared" si="271"/>
        <v>123</v>
      </c>
      <c r="J552" s="141">
        <f t="shared" si="272"/>
        <v>13.14</v>
      </c>
      <c r="K552" s="142">
        <f t="shared" si="273"/>
        <v>82</v>
      </c>
      <c r="L552" s="142">
        <f t="shared" si="274"/>
        <v>325</v>
      </c>
      <c r="M552" s="141">
        <f t="shared" si="275"/>
        <v>5.81</v>
      </c>
      <c r="N552" s="141">
        <f t="shared" si="276"/>
        <v>23.04</v>
      </c>
      <c r="O552" s="217">
        <f t="shared" si="277"/>
        <v>24.68</v>
      </c>
      <c r="P552" s="236">
        <f t="shared" si="278"/>
        <v>41.91</v>
      </c>
      <c r="Q552" s="153"/>
      <c r="R552" s="133"/>
      <c r="S552" s="133"/>
      <c r="T552" s="133"/>
      <c r="U552" s="133"/>
      <c r="V552" s="133"/>
      <c r="W552" s="133"/>
    </row>
    <row r="553" spans="1:23" ht="16.5" thickBot="1">
      <c r="A553" s="145">
        <v>1067</v>
      </c>
      <c r="B553" s="35">
        <v>200</v>
      </c>
      <c r="C553" s="214">
        <f t="shared" si="266"/>
        <v>0.2</v>
      </c>
      <c r="D553" s="215">
        <v>0.1</v>
      </c>
      <c r="E553" s="214">
        <f t="shared" si="267"/>
        <v>0.22000000000000003</v>
      </c>
      <c r="F553" s="231">
        <f t="shared" si="268"/>
        <v>73</v>
      </c>
      <c r="G553" s="235">
        <f t="shared" si="269"/>
        <v>161</v>
      </c>
      <c r="H553" s="141">
        <f t="shared" si="270"/>
        <v>2.0499999999999998</v>
      </c>
      <c r="I553" s="142">
        <f t="shared" si="271"/>
        <v>44</v>
      </c>
      <c r="J553" s="141">
        <f t="shared" si="272"/>
        <v>4.7</v>
      </c>
      <c r="K553" s="142">
        <f t="shared" si="273"/>
        <v>29</v>
      </c>
      <c r="L553" s="142">
        <f t="shared" si="274"/>
        <v>117</v>
      </c>
      <c r="M553" s="141">
        <f t="shared" si="275"/>
        <v>2.06</v>
      </c>
      <c r="N553" s="141">
        <f t="shared" si="276"/>
        <v>8.3000000000000007</v>
      </c>
      <c r="O553" s="217">
        <f t="shared" si="277"/>
        <v>8.81</v>
      </c>
      <c r="P553" s="236">
        <f t="shared" si="278"/>
        <v>15.05</v>
      </c>
      <c r="Q553" s="153"/>
      <c r="R553" s="133"/>
      <c r="S553" s="133"/>
      <c r="T553" s="133"/>
      <c r="U553" s="133"/>
      <c r="V553" s="133"/>
      <c r="W553" s="133"/>
    </row>
    <row r="554" spans="1:23" ht="16.5" thickBot="1">
      <c r="A554" s="145">
        <v>1068</v>
      </c>
      <c r="B554" s="35">
        <v>880</v>
      </c>
      <c r="C554" s="214">
        <f t="shared" si="266"/>
        <v>0.88</v>
      </c>
      <c r="D554" s="215">
        <v>0.14549999999999999</v>
      </c>
      <c r="E554" s="214">
        <f t="shared" si="267"/>
        <v>1.00804</v>
      </c>
      <c r="F554" s="231">
        <f t="shared" si="268"/>
        <v>336</v>
      </c>
      <c r="G554" s="235">
        <f t="shared" si="269"/>
        <v>736</v>
      </c>
      <c r="H554" s="141">
        <f t="shared" si="270"/>
        <v>9.41</v>
      </c>
      <c r="I554" s="142">
        <f t="shared" si="271"/>
        <v>202</v>
      </c>
      <c r="J554" s="141">
        <f t="shared" si="272"/>
        <v>21.57</v>
      </c>
      <c r="K554" s="142">
        <f t="shared" si="273"/>
        <v>134</v>
      </c>
      <c r="L554" s="142">
        <f t="shared" si="274"/>
        <v>534</v>
      </c>
      <c r="M554" s="141">
        <f t="shared" si="275"/>
        <v>9.5</v>
      </c>
      <c r="N554" s="141">
        <f t="shared" si="276"/>
        <v>37.86</v>
      </c>
      <c r="O554" s="217">
        <f t="shared" si="277"/>
        <v>40.480000000000004</v>
      </c>
      <c r="P554" s="236">
        <f t="shared" si="278"/>
        <v>68.84</v>
      </c>
      <c r="Q554" s="153"/>
      <c r="R554" s="133"/>
      <c r="S554" s="133"/>
      <c r="T554" s="133"/>
      <c r="U554" s="133"/>
      <c r="V554" s="133"/>
      <c r="W554" s="133"/>
    </row>
    <row r="555" spans="1:23" ht="16.5" thickBot="1">
      <c r="A555" s="145">
        <v>1069</v>
      </c>
      <c r="B555" s="35">
        <v>5004</v>
      </c>
      <c r="C555" s="214">
        <f t="shared" si="266"/>
        <v>5.0039999999999996</v>
      </c>
      <c r="D555" s="215">
        <v>0</v>
      </c>
      <c r="E555" s="214">
        <f t="shared" si="267"/>
        <v>5.0039999999999996</v>
      </c>
      <c r="F555" s="231">
        <f t="shared" si="268"/>
        <v>1668</v>
      </c>
      <c r="G555" s="235">
        <f t="shared" si="269"/>
        <v>3653</v>
      </c>
      <c r="H555" s="141">
        <f t="shared" si="270"/>
        <v>46.73</v>
      </c>
      <c r="I555" s="142">
        <f t="shared" si="271"/>
        <v>1001</v>
      </c>
      <c r="J555" s="141">
        <f t="shared" si="272"/>
        <v>106.91</v>
      </c>
      <c r="K555" s="142">
        <f t="shared" si="273"/>
        <v>667</v>
      </c>
      <c r="L555" s="142">
        <f t="shared" si="274"/>
        <v>2652</v>
      </c>
      <c r="M555" s="141">
        <f t="shared" si="275"/>
        <v>47.29</v>
      </c>
      <c r="N555" s="141">
        <f t="shared" si="276"/>
        <v>188.04</v>
      </c>
      <c r="O555" s="217">
        <f t="shared" si="277"/>
        <v>200.92999999999998</v>
      </c>
      <c r="P555" s="236">
        <f t="shared" si="278"/>
        <v>341.67999999999995</v>
      </c>
      <c r="Q555" s="153"/>
      <c r="R555" s="133"/>
      <c r="S555" s="133"/>
      <c r="T555" s="133"/>
      <c r="U555" s="133"/>
      <c r="V555" s="133"/>
      <c r="W555" s="133"/>
    </row>
    <row r="556" spans="1:23" ht="16.5" thickBot="1">
      <c r="A556" s="145">
        <v>1070</v>
      </c>
      <c r="B556" s="35">
        <v>720</v>
      </c>
      <c r="C556" s="214">
        <f t="shared" si="266"/>
        <v>0.72</v>
      </c>
      <c r="D556" s="215">
        <v>0.10829999999999999</v>
      </c>
      <c r="E556" s="214">
        <f t="shared" si="267"/>
        <v>0.79797600000000002</v>
      </c>
      <c r="F556" s="231">
        <f t="shared" si="268"/>
        <v>266</v>
      </c>
      <c r="G556" s="235">
        <f t="shared" si="269"/>
        <v>583</v>
      </c>
      <c r="H556" s="141">
        <f t="shared" si="270"/>
        <v>7.45</v>
      </c>
      <c r="I556" s="142">
        <f t="shared" si="271"/>
        <v>160</v>
      </c>
      <c r="J556" s="141">
        <f t="shared" si="272"/>
        <v>17.09</v>
      </c>
      <c r="K556" s="142">
        <f t="shared" si="273"/>
        <v>106</v>
      </c>
      <c r="L556" s="142">
        <f t="shared" si="274"/>
        <v>423</v>
      </c>
      <c r="M556" s="141">
        <f t="shared" si="275"/>
        <v>7.52</v>
      </c>
      <c r="N556" s="141">
        <f t="shared" si="276"/>
        <v>29.99</v>
      </c>
      <c r="O556" s="217">
        <f t="shared" si="277"/>
        <v>32.06</v>
      </c>
      <c r="P556" s="236">
        <f t="shared" si="278"/>
        <v>54.53</v>
      </c>
      <c r="Q556" s="153"/>
      <c r="R556" s="133"/>
      <c r="S556" s="133"/>
      <c r="T556" s="133"/>
      <c r="U556" s="133"/>
      <c r="V556" s="133"/>
      <c r="W556" s="133"/>
    </row>
    <row r="557" spans="1:23" ht="16.5" thickBot="1">
      <c r="A557" s="145">
        <v>1071</v>
      </c>
      <c r="B557" s="35">
        <v>825</v>
      </c>
      <c r="C557" s="214">
        <f t="shared" si="266"/>
        <v>0.82499999999999996</v>
      </c>
      <c r="D557" s="215">
        <v>0.2364</v>
      </c>
      <c r="E557" s="214">
        <f t="shared" si="267"/>
        <v>1.02003</v>
      </c>
      <c r="F557" s="231">
        <f t="shared" si="268"/>
        <v>340</v>
      </c>
      <c r="G557" s="235">
        <f t="shared" si="269"/>
        <v>745</v>
      </c>
      <c r="H557" s="141">
        <f t="shared" si="270"/>
        <v>9.5299999999999994</v>
      </c>
      <c r="I557" s="142">
        <f t="shared" si="271"/>
        <v>204</v>
      </c>
      <c r="J557" s="141">
        <f t="shared" si="272"/>
        <v>21.79</v>
      </c>
      <c r="K557" s="142">
        <f t="shared" si="273"/>
        <v>136</v>
      </c>
      <c r="L557" s="142">
        <f t="shared" si="274"/>
        <v>541</v>
      </c>
      <c r="M557" s="141">
        <f t="shared" si="275"/>
        <v>9.64</v>
      </c>
      <c r="N557" s="141">
        <f t="shared" si="276"/>
        <v>38.36</v>
      </c>
      <c r="O557" s="217">
        <f t="shared" si="277"/>
        <v>40.96</v>
      </c>
      <c r="P557" s="236">
        <f t="shared" si="278"/>
        <v>69.680000000000007</v>
      </c>
      <c r="Q557" s="153"/>
      <c r="R557" s="133"/>
      <c r="S557" s="133"/>
      <c r="T557" s="133"/>
      <c r="U557" s="133"/>
      <c r="V557" s="133"/>
      <c r="W557" s="133"/>
    </row>
    <row r="558" spans="1:23" ht="16.5" thickBot="1">
      <c r="A558" s="145">
        <v>1072</v>
      </c>
      <c r="B558" s="35">
        <v>624</v>
      </c>
      <c r="C558" s="214">
        <f t="shared" si="266"/>
        <v>0.624</v>
      </c>
      <c r="D558" s="215">
        <v>0.16669999999999999</v>
      </c>
      <c r="E558" s="214">
        <f t="shared" si="267"/>
        <v>0.72802080000000002</v>
      </c>
      <c r="F558" s="231">
        <f t="shared" si="268"/>
        <v>243</v>
      </c>
      <c r="G558" s="235">
        <f t="shared" si="269"/>
        <v>531</v>
      </c>
      <c r="H558" s="141">
        <f t="shared" si="270"/>
        <v>6.8</v>
      </c>
      <c r="I558" s="142">
        <f t="shared" si="271"/>
        <v>146</v>
      </c>
      <c r="J558" s="141">
        <f t="shared" si="272"/>
        <v>15.59</v>
      </c>
      <c r="K558" s="142">
        <f t="shared" si="273"/>
        <v>97</v>
      </c>
      <c r="L558" s="142">
        <f t="shared" si="274"/>
        <v>385</v>
      </c>
      <c r="M558" s="141">
        <f t="shared" si="275"/>
        <v>6.88</v>
      </c>
      <c r="N558" s="141">
        <f t="shared" si="276"/>
        <v>27.3</v>
      </c>
      <c r="O558" s="217">
        <f t="shared" si="277"/>
        <v>29.27</v>
      </c>
      <c r="P558" s="236">
        <f t="shared" si="278"/>
        <v>49.69</v>
      </c>
      <c r="Q558" s="153"/>
      <c r="R558" s="133"/>
      <c r="S558" s="133"/>
      <c r="T558" s="133"/>
      <c r="U558" s="133"/>
      <c r="V558" s="133"/>
      <c r="W558" s="133"/>
    </row>
    <row r="559" spans="1:23" ht="15.75">
      <c r="A559" s="145"/>
      <c r="B559" s="35"/>
      <c r="C559" s="214"/>
      <c r="D559" s="215"/>
      <c r="E559" s="214"/>
      <c r="F559" s="151"/>
      <c r="G559" s="232"/>
      <c r="H559" s="141"/>
      <c r="I559" s="142"/>
      <c r="J559" s="141"/>
      <c r="K559" s="142"/>
      <c r="L559" s="142"/>
      <c r="M559" s="141"/>
      <c r="N559" s="141"/>
      <c r="O559" s="239"/>
      <c r="P559" s="273"/>
      <c r="Q559" s="153"/>
      <c r="R559" s="133"/>
      <c r="S559" s="133"/>
      <c r="T559" s="133"/>
      <c r="U559" s="133"/>
      <c r="V559" s="133"/>
      <c r="W559" s="133"/>
    </row>
    <row r="560" spans="1:23">
      <c r="A560" s="145">
        <v>1073</v>
      </c>
      <c r="B560" s="35">
        <v>84</v>
      </c>
      <c r="C560" s="214">
        <f>B560/1000</f>
        <v>8.4000000000000005E-2</v>
      </c>
      <c r="D560" s="215">
        <v>0</v>
      </c>
      <c r="E560" s="214">
        <f>(+C560*D560)+C560</f>
        <v>8.4000000000000005E-2</v>
      </c>
      <c r="F560" s="232">
        <f>ROUND((+$E560*4000)/12,0)</f>
        <v>28</v>
      </c>
      <c r="G560" s="232">
        <f>ROUND((+$E560*8760)/12,0)</f>
        <v>61</v>
      </c>
      <c r="H560" s="141">
        <f>ROUND(+E560*D$7,2)</f>
        <v>0.78</v>
      </c>
      <c r="I560" s="142">
        <f>ROUND(IF((E560*200)&gt;F560,F560,(E560*200)),0)</f>
        <v>17</v>
      </c>
      <c r="J560" s="141">
        <f>ROUND(+I560*D$8,2)</f>
        <v>1.82</v>
      </c>
      <c r="K560" s="142">
        <f>F560-I560</f>
        <v>11</v>
      </c>
      <c r="L560" s="142">
        <f>G560-I560</f>
        <v>44</v>
      </c>
      <c r="M560" s="141">
        <f>ROUND(+K560*D$9,2)</f>
        <v>0.78</v>
      </c>
      <c r="N560" s="141">
        <f>ROUND(+L560*D$9,2)</f>
        <v>3.12</v>
      </c>
      <c r="O560" s="273">
        <f>H560+J560+M560</f>
        <v>3.38</v>
      </c>
      <c r="P560" s="273">
        <f>H560+J560+N560</f>
        <v>5.7200000000000006</v>
      </c>
      <c r="Q560" s="153"/>
      <c r="R560" s="133"/>
      <c r="S560" s="133"/>
      <c r="T560" s="133"/>
      <c r="U560" s="133"/>
      <c r="V560" s="133"/>
      <c r="W560" s="133"/>
    </row>
    <row r="561" spans="1:23" ht="15.75" thickBot="1">
      <c r="A561" s="145"/>
      <c r="B561" s="276">
        <f>175*2</f>
        <v>350</v>
      </c>
      <c r="C561" s="214">
        <f>B561/1000</f>
        <v>0.35</v>
      </c>
      <c r="D561" s="215">
        <v>0.23430000000000001</v>
      </c>
      <c r="E561" s="214">
        <f>(+C561*D561)+C561</f>
        <v>0.43200499999999997</v>
      </c>
      <c r="F561" s="384">
        <f>ROUND((+$E561*4000)/12,0)</f>
        <v>144</v>
      </c>
      <c r="G561" s="232">
        <f>ROUND((+$E561*8760)/12,0)</f>
        <v>315</v>
      </c>
      <c r="H561" s="141">
        <f>ROUND(+E561*D$7,2)</f>
        <v>4.03</v>
      </c>
      <c r="I561" s="142">
        <f>ROUND(IF((E561*200)&gt;F561,F561,(E561*200)),0)</f>
        <v>86</v>
      </c>
      <c r="J561" s="141">
        <f>ROUND(+I561*D$8,2)</f>
        <v>9.19</v>
      </c>
      <c r="K561" s="142">
        <f>F561-I561</f>
        <v>58</v>
      </c>
      <c r="L561" s="142">
        <f>G561-I561</f>
        <v>229</v>
      </c>
      <c r="M561" s="141">
        <f>ROUND(+K561*D$9,2)</f>
        <v>4.1100000000000003</v>
      </c>
      <c r="N561" s="141">
        <f>ROUND(+L561*D$9,2)</f>
        <v>16.239999999999998</v>
      </c>
      <c r="O561" s="385">
        <f>H561+J561+M561</f>
        <v>17.329999999999998</v>
      </c>
      <c r="P561" s="273">
        <f>H561+J561+N561</f>
        <v>29.459999999999997</v>
      </c>
      <c r="Q561" s="153"/>
      <c r="R561" s="133"/>
      <c r="S561" s="133"/>
      <c r="T561" s="133"/>
      <c r="U561" s="133"/>
      <c r="V561" s="133"/>
      <c r="W561" s="133"/>
    </row>
    <row r="562" spans="1:23" ht="16.5" thickBot="1">
      <c r="A562" s="145"/>
      <c r="B562" s="42">
        <f>SUM(B560:B561)</f>
        <v>434</v>
      </c>
      <c r="C562" s="214"/>
      <c r="D562" s="215"/>
      <c r="E562" s="214"/>
      <c r="F562" s="231">
        <f>SUM(F560:F561)</f>
        <v>172</v>
      </c>
      <c r="G562" s="232"/>
      <c r="H562" s="141"/>
      <c r="I562" s="142"/>
      <c r="J562" s="141"/>
      <c r="K562" s="142"/>
      <c r="L562" s="142"/>
      <c r="M562" s="141"/>
      <c r="N562" s="141"/>
      <c r="O562" s="217">
        <f>SUM(O560:O561)</f>
        <v>20.709999999999997</v>
      </c>
      <c r="P562" s="273"/>
      <c r="Q562" s="153"/>
      <c r="R562" s="133"/>
      <c r="S562" s="133"/>
      <c r="T562" s="133"/>
      <c r="U562" s="133"/>
      <c r="V562" s="133"/>
      <c r="W562" s="133"/>
    </row>
    <row r="563" spans="1:23" ht="16.5" thickBot="1">
      <c r="A563" s="145"/>
      <c r="B563" s="42"/>
      <c r="C563" s="214"/>
      <c r="D563" s="215"/>
      <c r="E563" s="214"/>
      <c r="F563" s="389"/>
      <c r="G563" s="232"/>
      <c r="H563" s="141"/>
      <c r="I563" s="142"/>
      <c r="J563" s="141"/>
      <c r="K563" s="142"/>
      <c r="L563" s="142"/>
      <c r="M563" s="141"/>
      <c r="N563" s="141"/>
      <c r="O563" s="390"/>
      <c r="P563" s="273"/>
      <c r="Q563" s="153"/>
      <c r="R563" s="133"/>
      <c r="S563" s="133"/>
      <c r="T563" s="133"/>
      <c r="U563" s="133"/>
      <c r="V563" s="133"/>
      <c r="W563" s="133"/>
    </row>
    <row r="564" spans="1:23" ht="16.5" thickBot="1">
      <c r="A564" s="145">
        <v>1075</v>
      </c>
      <c r="B564" s="35">
        <v>1320</v>
      </c>
      <c r="C564" s="214">
        <f>B564/1000</f>
        <v>1.32</v>
      </c>
      <c r="D564" s="215">
        <v>9.0899999999999995E-2</v>
      </c>
      <c r="E564" s="214">
        <f>(+C564*D564)+C564</f>
        <v>1.439988</v>
      </c>
      <c r="F564" s="231">
        <f>ROUND((+$E564*4000)/12,0)</f>
        <v>480</v>
      </c>
      <c r="G564" s="235">
        <f>ROUND((+$E564*8760)/12,0)</f>
        <v>1051</v>
      </c>
      <c r="H564" s="141">
        <f>ROUND(+E564*D$7,2)</f>
        <v>13.45</v>
      </c>
      <c r="I564" s="142">
        <f>ROUND(IF((E564*200)&gt;F564,F564,(E564*200)),0)</f>
        <v>288</v>
      </c>
      <c r="J564" s="141">
        <f>ROUND(+I564*D$8,2)</f>
        <v>30.76</v>
      </c>
      <c r="K564" s="142">
        <f>F564-I564</f>
        <v>192</v>
      </c>
      <c r="L564" s="142">
        <f>G564-I564</f>
        <v>763</v>
      </c>
      <c r="M564" s="141">
        <f>ROUND(+K564*D$9,2)</f>
        <v>13.61</v>
      </c>
      <c r="N564" s="141">
        <f>ROUND(+L564*D$9,2)</f>
        <v>54.1</v>
      </c>
      <c r="O564" s="217">
        <f>H564+J564+M564</f>
        <v>57.82</v>
      </c>
      <c r="P564" s="236">
        <f>H564+J564+N564</f>
        <v>98.31</v>
      </c>
      <c r="Q564" s="153"/>
      <c r="R564" s="133"/>
      <c r="S564" s="133"/>
      <c r="T564" s="133"/>
      <c r="U564" s="133"/>
      <c r="V564" s="133"/>
      <c r="W564" s="133"/>
    </row>
    <row r="565" spans="1:23" ht="15.75">
      <c r="A565" s="145"/>
      <c r="B565" s="35"/>
      <c r="C565" s="214"/>
      <c r="D565" s="215"/>
      <c r="E565" s="214"/>
      <c r="F565" s="388"/>
      <c r="G565" s="232"/>
      <c r="H565" s="141"/>
      <c r="I565" s="142"/>
      <c r="J565" s="141"/>
      <c r="K565" s="142"/>
      <c r="L565" s="142"/>
      <c r="M565" s="141"/>
      <c r="N565" s="141"/>
      <c r="O565" s="386"/>
      <c r="P565" s="273"/>
      <c r="Q565" s="153"/>
      <c r="R565" s="133"/>
      <c r="S565" s="133"/>
      <c r="T565" s="133"/>
      <c r="U565" s="133"/>
      <c r="V565" s="133"/>
      <c r="W565" s="133"/>
    </row>
    <row r="566" spans="1:23">
      <c r="A566" s="145">
        <v>1076</v>
      </c>
      <c r="B566" s="35">
        <f>2*60</f>
        <v>120</v>
      </c>
      <c r="C566" s="214">
        <f>B566/1000</f>
        <v>0.12</v>
      </c>
      <c r="D566" s="215">
        <v>0.14549999999999999</v>
      </c>
      <c r="E566" s="214">
        <f>(+C566*D566)+C566</f>
        <v>0.13746</v>
      </c>
      <c r="F566" s="232">
        <f>ROUND((+$E566*4000)/12,0)</f>
        <v>46</v>
      </c>
      <c r="G566" s="232">
        <f>ROUND((+$E566*8760)/12,0)</f>
        <v>100</v>
      </c>
      <c r="H566" s="141">
        <f>ROUND(+E566*D$7,2)</f>
        <v>1.28</v>
      </c>
      <c r="I566" s="142">
        <f>ROUND(IF((E566*200)&gt;F566,F566,(E566*200)),0)</f>
        <v>27</v>
      </c>
      <c r="J566" s="141">
        <f>ROUND(+I566*D$8,2)</f>
        <v>2.88</v>
      </c>
      <c r="K566" s="142">
        <f>F566-I566</f>
        <v>19</v>
      </c>
      <c r="L566" s="142">
        <f>G566-I566</f>
        <v>73</v>
      </c>
      <c r="M566" s="141">
        <f>ROUND(+K566*D$9,2)</f>
        <v>1.35</v>
      </c>
      <c r="N566" s="141">
        <f>ROUND(+L566*D$9,2)</f>
        <v>5.18</v>
      </c>
      <c r="O566" s="273">
        <f>H566+J566+M566</f>
        <v>5.51</v>
      </c>
      <c r="P566" s="273">
        <f>H566+J566+N566</f>
        <v>9.34</v>
      </c>
      <c r="Q566" s="153"/>
      <c r="R566" s="133"/>
      <c r="S566" s="133"/>
      <c r="T566" s="133"/>
      <c r="U566" s="133"/>
      <c r="V566" s="133"/>
      <c r="W566" s="133"/>
    </row>
    <row r="567" spans="1:23">
      <c r="A567" s="145"/>
      <c r="B567" s="35">
        <f>4*75</f>
        <v>300</v>
      </c>
      <c r="C567" s="214">
        <f>B567/1000</f>
        <v>0.3</v>
      </c>
      <c r="D567" s="215">
        <v>0.14549999999999999</v>
      </c>
      <c r="E567" s="214">
        <f>(+C567*D567)+C567</f>
        <v>0.34365000000000001</v>
      </c>
      <c r="F567" s="232">
        <f>ROUND((+$E567*4000)/12,0)</f>
        <v>115</v>
      </c>
      <c r="G567" s="232">
        <f>ROUND((+$E567*8760)/12,0)</f>
        <v>251</v>
      </c>
      <c r="H567" s="141">
        <f>ROUND(+E567*D$7,2)</f>
        <v>3.21</v>
      </c>
      <c r="I567" s="142">
        <f>ROUND(IF((E567*200)&gt;F567,F567,(E567*200)),0)</f>
        <v>69</v>
      </c>
      <c r="J567" s="141">
        <f>ROUND(+I567*D$8,2)</f>
        <v>7.37</v>
      </c>
      <c r="K567" s="142">
        <f>F567-I567</f>
        <v>46</v>
      </c>
      <c r="L567" s="142">
        <f>G567-I567</f>
        <v>182</v>
      </c>
      <c r="M567" s="141">
        <f>ROUND(+K567*D$9,2)</f>
        <v>3.26</v>
      </c>
      <c r="N567" s="141">
        <f>ROUND(+L567*D$9,2)</f>
        <v>12.9</v>
      </c>
      <c r="O567" s="273">
        <f>H567+J567+M567</f>
        <v>13.84</v>
      </c>
      <c r="P567" s="273">
        <f>H567+J567+N567</f>
        <v>23.48</v>
      </c>
      <c r="Q567" s="153"/>
      <c r="R567" s="133"/>
      <c r="S567" s="133"/>
      <c r="T567" s="133"/>
      <c r="U567" s="133"/>
      <c r="V567" s="133"/>
      <c r="W567" s="133"/>
    </row>
    <row r="568" spans="1:23" ht="15.75" thickBot="1">
      <c r="A568" s="145"/>
      <c r="B568" s="276">
        <f>2*85</f>
        <v>170</v>
      </c>
      <c r="C568" s="214">
        <f>B568/1000</f>
        <v>0.17</v>
      </c>
      <c r="D568" s="215">
        <v>0.14549999999999999</v>
      </c>
      <c r="E568" s="214">
        <f>(+C568*D568)+C568</f>
        <v>0.19473500000000002</v>
      </c>
      <c r="F568" s="232">
        <f>ROUND((+$E568*4000)/12,0)</f>
        <v>65</v>
      </c>
      <c r="G568" s="232">
        <f>ROUND((+$E568*8760)/12,0)</f>
        <v>142</v>
      </c>
      <c r="H568" s="141">
        <f>ROUND(+E568*D$7,2)</f>
        <v>1.82</v>
      </c>
      <c r="I568" s="142">
        <f>ROUND(IF((E568*200)&gt;F568,F568,(E568*200)),0)</f>
        <v>39</v>
      </c>
      <c r="J568" s="141">
        <f>ROUND(+I568*D$8,2)</f>
        <v>4.17</v>
      </c>
      <c r="K568" s="142">
        <f>F568-I568</f>
        <v>26</v>
      </c>
      <c r="L568" s="142">
        <f>G568-I568</f>
        <v>103</v>
      </c>
      <c r="M568" s="141">
        <f>ROUND(+K568*D$9,2)</f>
        <v>1.84</v>
      </c>
      <c r="N568" s="141">
        <f>ROUND(+L568*D$9,2)</f>
        <v>7.3</v>
      </c>
      <c r="O568" s="273">
        <f>H568+J568+M568</f>
        <v>7.83</v>
      </c>
      <c r="P568" s="273">
        <f>H568+J568+N568</f>
        <v>13.29</v>
      </c>
      <c r="Q568" s="153"/>
      <c r="R568" s="133"/>
      <c r="S568" s="133"/>
      <c r="T568" s="133"/>
      <c r="U568" s="133"/>
      <c r="V568" s="133"/>
      <c r="W568" s="133"/>
    </row>
    <row r="569" spans="1:23" ht="16.5" thickBot="1">
      <c r="A569" s="145"/>
      <c r="B569" s="42">
        <f>SUM(B566:B568)</f>
        <v>590</v>
      </c>
      <c r="C569" s="214"/>
      <c r="D569" s="215"/>
      <c r="E569" s="214"/>
      <c r="F569" s="231">
        <f>SUM(F566:F568)</f>
        <v>226</v>
      </c>
      <c r="G569" s="232"/>
      <c r="H569" s="141"/>
      <c r="I569" s="142"/>
      <c r="J569" s="141"/>
      <c r="K569" s="142"/>
      <c r="L569" s="142"/>
      <c r="M569" s="141"/>
      <c r="N569" s="141"/>
      <c r="O569" s="217">
        <f>SUM(O566:O568)</f>
        <v>27.18</v>
      </c>
      <c r="P569" s="273"/>
      <c r="Q569" s="153"/>
      <c r="R569" s="133"/>
      <c r="S569" s="133"/>
      <c r="T569" s="133"/>
      <c r="U569" s="133"/>
      <c r="V569" s="133"/>
      <c r="W569" s="133"/>
    </row>
    <row r="570" spans="1:23" ht="16.5" thickBot="1">
      <c r="A570" s="145"/>
      <c r="B570" s="35"/>
      <c r="C570" s="214"/>
      <c r="D570" s="215"/>
      <c r="E570" s="214"/>
      <c r="F570" s="389"/>
      <c r="G570" s="232"/>
      <c r="H570" s="141"/>
      <c r="I570" s="142"/>
      <c r="J570" s="141"/>
      <c r="K570" s="142"/>
      <c r="L570" s="142"/>
      <c r="M570" s="141"/>
      <c r="N570" s="141"/>
      <c r="O570" s="390"/>
      <c r="P570" s="273"/>
      <c r="Q570" s="153"/>
      <c r="R570" s="133"/>
      <c r="S570" s="133"/>
      <c r="T570" s="133"/>
      <c r="U570" s="133"/>
      <c r="V570" s="133"/>
      <c r="W570" s="133"/>
    </row>
    <row r="571" spans="1:23" ht="16.5" thickBot="1">
      <c r="A571" s="145">
        <v>1077</v>
      </c>
      <c r="B571" s="35">
        <v>700</v>
      </c>
      <c r="C571" s="214">
        <f>B571/1000</f>
        <v>0.7</v>
      </c>
      <c r="D571" s="215">
        <v>9.7100000000000006E-2</v>
      </c>
      <c r="E571" s="214">
        <f>(+C571*D571)+C571</f>
        <v>0.76796999999999993</v>
      </c>
      <c r="F571" s="231">
        <f>ROUND((+$E571*4000)/12,0)</f>
        <v>256</v>
      </c>
      <c r="G571" s="235">
        <f>ROUND((+$E571*8760)/12,0)</f>
        <v>561</v>
      </c>
      <c r="H571" s="141">
        <f>ROUND(+E571*D$7,2)</f>
        <v>7.17</v>
      </c>
      <c r="I571" s="142">
        <f>ROUND(IF((E571*200)&gt;F571,F571,(E571*200)),0)</f>
        <v>154</v>
      </c>
      <c r="J571" s="141">
        <f>ROUND(+I571*D$8,2)</f>
        <v>16.45</v>
      </c>
      <c r="K571" s="142">
        <f>F571-I571</f>
        <v>102</v>
      </c>
      <c r="L571" s="142">
        <f>G571-I571</f>
        <v>407</v>
      </c>
      <c r="M571" s="141">
        <f>ROUND(+K571*D$9,2)</f>
        <v>7.23</v>
      </c>
      <c r="N571" s="141">
        <f>ROUND(+L571*D$9,2)</f>
        <v>28.86</v>
      </c>
      <c r="O571" s="217">
        <f>H571+J571+M571</f>
        <v>30.849999999999998</v>
      </c>
      <c r="P571" s="236">
        <f>H571+J571+N571</f>
        <v>52.48</v>
      </c>
      <c r="Q571" s="153"/>
      <c r="R571" s="133"/>
      <c r="S571" s="133"/>
      <c r="T571" s="133"/>
      <c r="U571" s="133"/>
      <c r="V571" s="133"/>
      <c r="W571" s="133"/>
    </row>
    <row r="572" spans="1:23" ht="16.5" thickBot="1">
      <c r="A572" s="145">
        <v>1078</v>
      </c>
      <c r="B572" s="35">
        <v>1870</v>
      </c>
      <c r="C572" s="214">
        <f>B572/1000</f>
        <v>1.87</v>
      </c>
      <c r="D572" s="215">
        <v>0.23</v>
      </c>
      <c r="E572" s="214">
        <f>(+C572*D572)+C572</f>
        <v>2.3001</v>
      </c>
      <c r="F572" s="231">
        <f>ROUND((+$E572*4000)/12,0)</f>
        <v>767</v>
      </c>
      <c r="G572" s="235">
        <f>ROUND((+$E572*8760)/12,0)</f>
        <v>1679</v>
      </c>
      <c r="H572" s="141">
        <f>ROUND(+E572*D$7,2)</f>
        <v>21.48</v>
      </c>
      <c r="I572" s="142">
        <f>ROUND(IF((E572*200)&gt;F572,F572,(E572*200)),0)</f>
        <v>460</v>
      </c>
      <c r="J572" s="141">
        <f>ROUND(+I572*D$8,2)</f>
        <v>49.13</v>
      </c>
      <c r="K572" s="142">
        <f>F572-I572</f>
        <v>307</v>
      </c>
      <c r="L572" s="142">
        <f>G572-I572</f>
        <v>1219</v>
      </c>
      <c r="M572" s="141">
        <f>ROUND(+K572*D$9,2)</f>
        <v>21.77</v>
      </c>
      <c r="N572" s="141">
        <f>ROUND(+L572*D$9,2)</f>
        <v>86.43</v>
      </c>
      <c r="O572" s="217">
        <f>H572+J572+M572</f>
        <v>92.38</v>
      </c>
      <c r="P572" s="236">
        <f>H572+J572+N572</f>
        <v>157.04000000000002</v>
      </c>
      <c r="Q572" s="153"/>
      <c r="R572" s="133"/>
      <c r="S572" s="133"/>
      <c r="T572" s="133"/>
      <c r="U572" s="133"/>
      <c r="V572" s="133"/>
      <c r="W572" s="133"/>
    </row>
    <row r="573" spans="1:23" ht="16.5" thickBot="1">
      <c r="A573" s="145">
        <v>1079</v>
      </c>
      <c r="B573" s="42">
        <v>600</v>
      </c>
      <c r="C573" s="214">
        <f>B573/1000</f>
        <v>0.6</v>
      </c>
      <c r="D573" s="215">
        <v>0.12</v>
      </c>
      <c r="E573" s="214">
        <f>(+C573*D573)+C573</f>
        <v>0.67199999999999993</v>
      </c>
      <c r="F573" s="231">
        <f>ROUND((+$E573*4000)/12,0)</f>
        <v>224</v>
      </c>
      <c r="G573" s="235">
        <f>ROUND((+$E573*8760)/12,0)</f>
        <v>491</v>
      </c>
      <c r="H573" s="141">
        <f>ROUND(+E573*D$7,2)</f>
        <v>6.28</v>
      </c>
      <c r="I573" s="142">
        <f>ROUND(IF((E573*200)&gt;F573,F573,(E573*200)),0)</f>
        <v>134</v>
      </c>
      <c r="J573" s="141">
        <f>ROUND(+I573*D$8,2)</f>
        <v>14.31</v>
      </c>
      <c r="K573" s="142">
        <f>F573-I573</f>
        <v>90</v>
      </c>
      <c r="L573" s="142">
        <f>G573-I573</f>
        <v>357</v>
      </c>
      <c r="M573" s="141">
        <f>ROUND(+K573*D$9,2)</f>
        <v>6.38</v>
      </c>
      <c r="N573" s="141">
        <f>ROUND(+L573*D$9,2)</f>
        <v>25.31</v>
      </c>
      <c r="O573" s="217">
        <f>H573+J573+M573</f>
        <v>26.97</v>
      </c>
      <c r="P573" s="236">
        <f>H573+J573+N573</f>
        <v>45.9</v>
      </c>
      <c r="Q573" s="153"/>
      <c r="R573" s="133"/>
      <c r="S573" s="133"/>
      <c r="T573" s="133"/>
      <c r="U573" s="133"/>
      <c r="V573" s="133"/>
      <c r="W573" s="133"/>
    </row>
    <row r="574" spans="1:23" ht="16.5" thickBot="1">
      <c r="A574" s="145">
        <v>1080</v>
      </c>
      <c r="B574" s="42">
        <f>4*96</f>
        <v>384</v>
      </c>
      <c r="C574" s="214">
        <f>B574/1000</f>
        <v>0.38400000000000001</v>
      </c>
      <c r="D574" s="215">
        <v>0.20300000000000001</v>
      </c>
      <c r="E574" s="214">
        <f>(+C574*D574)+C574</f>
        <v>0.46195200000000003</v>
      </c>
      <c r="F574" s="231">
        <f>ROUND((+$E574*4000)/12,0)</f>
        <v>154</v>
      </c>
      <c r="G574" s="235">
        <f>ROUND((+$E574*8760)/12,0)</f>
        <v>337</v>
      </c>
      <c r="H574" s="141">
        <f>ROUND(+E574*D$7,2)</f>
        <v>4.3099999999999996</v>
      </c>
      <c r="I574" s="142">
        <f>ROUND(IF((E574*200)&gt;F574,F574,(E574*200)),0)</f>
        <v>92</v>
      </c>
      <c r="J574" s="141">
        <f>ROUND(+I574*D$8,2)</f>
        <v>9.83</v>
      </c>
      <c r="K574" s="142">
        <f>F574-I574</f>
        <v>62</v>
      </c>
      <c r="L574" s="142">
        <f>G574-I574</f>
        <v>245</v>
      </c>
      <c r="M574" s="141">
        <f>ROUND(+K574*D$9,2)</f>
        <v>4.4000000000000004</v>
      </c>
      <c r="N574" s="141">
        <f>ROUND(+L574*D$9,2)</f>
        <v>17.37</v>
      </c>
      <c r="O574" s="217">
        <f>H574+J574+M574</f>
        <v>18.54</v>
      </c>
      <c r="P574" s="236">
        <f>H574+J574+N574</f>
        <v>31.51</v>
      </c>
      <c r="Q574" s="153"/>
      <c r="R574" s="133"/>
      <c r="S574" s="133"/>
      <c r="T574" s="133"/>
      <c r="U574" s="133"/>
      <c r="V574" s="133"/>
      <c r="W574" s="133"/>
    </row>
    <row r="575" spans="1:23" ht="15.75">
      <c r="A575" s="145"/>
      <c r="B575" s="35"/>
      <c r="C575" s="214"/>
      <c r="D575" s="215"/>
      <c r="E575" s="214"/>
      <c r="F575" s="232"/>
      <c r="G575" s="151"/>
      <c r="H575" s="141"/>
      <c r="I575" s="142"/>
      <c r="J575" s="141"/>
      <c r="K575" s="142"/>
      <c r="L575" s="142"/>
      <c r="M575" s="141"/>
      <c r="N575" s="141"/>
      <c r="O575" s="273"/>
      <c r="P575" s="239"/>
      <c r="Q575" s="153"/>
      <c r="R575" s="133"/>
      <c r="S575" s="133"/>
      <c r="T575" s="133"/>
      <c r="U575" s="133"/>
      <c r="V575" s="133"/>
      <c r="W575" s="133"/>
    </row>
    <row r="576" spans="1:23">
      <c r="A576" s="145">
        <v>1081</v>
      </c>
      <c r="B576" s="35">
        <f>2*26</f>
        <v>52</v>
      </c>
      <c r="C576" s="214">
        <f>B576/1000</f>
        <v>5.1999999999999998E-2</v>
      </c>
      <c r="D576" s="215">
        <v>0.1</v>
      </c>
      <c r="E576" s="214">
        <f>(+C576*D576)+C576</f>
        <v>5.7200000000000001E-2</v>
      </c>
      <c r="F576" s="232">
        <f>ROUND((+$E576*4000)/12,0)</f>
        <v>19</v>
      </c>
      <c r="G576" s="232">
        <f>ROUND((+$E576*8760)/12,0)</f>
        <v>42</v>
      </c>
      <c r="H576" s="141">
        <f>ROUND(+E576*D$7,2)</f>
        <v>0.53</v>
      </c>
      <c r="I576" s="142">
        <f>ROUND(IF((E576*200)&gt;F576,F576,(E576*200)),0)</f>
        <v>11</v>
      </c>
      <c r="J576" s="141">
        <f>ROUND(+I576*D$8,2)</f>
        <v>1.17</v>
      </c>
      <c r="K576" s="142">
        <f>F576-I576</f>
        <v>8</v>
      </c>
      <c r="L576" s="142">
        <f>G576-I576</f>
        <v>31</v>
      </c>
      <c r="M576" s="141">
        <f>ROUND(+K576*D$9,2)</f>
        <v>0.56999999999999995</v>
      </c>
      <c r="N576" s="141">
        <f>ROUND(+L576*D$9,2)</f>
        <v>2.2000000000000002</v>
      </c>
      <c r="O576" s="273">
        <f>H576+J576+M576</f>
        <v>2.27</v>
      </c>
      <c r="P576" s="273">
        <f>H576+J576+N576</f>
        <v>3.9000000000000004</v>
      </c>
      <c r="Q576" s="153"/>
      <c r="R576" s="133"/>
      <c r="S576" s="133"/>
      <c r="T576" s="133"/>
      <c r="U576" s="133"/>
      <c r="V576" s="133"/>
      <c r="W576" s="133"/>
    </row>
    <row r="577" spans="1:23" ht="15.75" thickBot="1">
      <c r="A577" s="145"/>
      <c r="B577" s="276">
        <v>50</v>
      </c>
      <c r="C577" s="214">
        <f>B577/1000</f>
        <v>0.05</v>
      </c>
      <c r="D577" s="215">
        <v>0.1</v>
      </c>
      <c r="E577" s="214">
        <f>(+C577*D577)+C577</f>
        <v>5.5000000000000007E-2</v>
      </c>
      <c r="F577" s="384">
        <f>ROUND((+$E577*4000)/12,0)</f>
        <v>18</v>
      </c>
      <c r="G577" s="232">
        <f>ROUND((+$E577*8760)/12,0)</f>
        <v>40</v>
      </c>
      <c r="H577" s="141">
        <f>ROUND(+E577*D$7,2)</f>
        <v>0.51</v>
      </c>
      <c r="I577" s="142">
        <f>ROUND(IF((E577*200)&gt;F577,F577,(E577*200)),0)</f>
        <v>11</v>
      </c>
      <c r="J577" s="141">
        <f>ROUND(+I577*D$8,2)</f>
        <v>1.17</v>
      </c>
      <c r="K577" s="142">
        <f>F577-I577</f>
        <v>7</v>
      </c>
      <c r="L577" s="142">
        <f>G577-I577</f>
        <v>29</v>
      </c>
      <c r="M577" s="141">
        <f>ROUND(+K577*D$9,2)</f>
        <v>0.5</v>
      </c>
      <c r="N577" s="141">
        <f>ROUND(+L577*D$9,2)</f>
        <v>2.06</v>
      </c>
      <c r="O577" s="385">
        <f>H577+J577+M577</f>
        <v>2.1799999999999997</v>
      </c>
      <c r="P577" s="273">
        <f>H577+J577+N577</f>
        <v>3.74</v>
      </c>
      <c r="Q577" s="153"/>
      <c r="R577" s="133"/>
      <c r="S577" s="133"/>
      <c r="T577" s="133"/>
      <c r="U577" s="133"/>
      <c r="V577" s="133"/>
      <c r="W577" s="133"/>
    </row>
    <row r="578" spans="1:23" ht="16.5" thickBot="1">
      <c r="A578" s="145"/>
      <c r="B578" s="42">
        <f>SUM(B576:B577)</f>
        <v>102</v>
      </c>
      <c r="C578" s="214"/>
      <c r="D578" s="215"/>
      <c r="E578" s="214"/>
      <c r="F578" s="231">
        <f>SUM(F576:F577)</f>
        <v>37</v>
      </c>
      <c r="G578" s="232"/>
      <c r="H578" s="141"/>
      <c r="I578" s="142"/>
      <c r="J578" s="141"/>
      <c r="K578" s="142"/>
      <c r="L578" s="142"/>
      <c r="M578" s="141"/>
      <c r="N578" s="141"/>
      <c r="O578" s="217">
        <f>SUM(O576:O577)</f>
        <v>4.4499999999999993</v>
      </c>
      <c r="P578" s="273"/>
      <c r="Q578" s="153"/>
      <c r="R578" s="133"/>
      <c r="S578" s="133"/>
      <c r="T578" s="133"/>
      <c r="U578" s="133"/>
      <c r="V578" s="133"/>
      <c r="W578" s="133"/>
    </row>
    <row r="579" spans="1:23" ht="16.5" thickBot="1">
      <c r="A579" s="145"/>
      <c r="B579" s="35"/>
      <c r="C579" s="214"/>
      <c r="D579" s="215"/>
      <c r="E579" s="214"/>
      <c r="F579" s="232"/>
      <c r="G579" s="151"/>
      <c r="H579" s="141"/>
      <c r="I579" s="142"/>
      <c r="J579" s="141"/>
      <c r="K579" s="142"/>
      <c r="L579" s="142"/>
      <c r="M579" s="141"/>
      <c r="N579" s="141"/>
      <c r="O579" s="273"/>
      <c r="P579" s="239"/>
      <c r="Q579" s="153"/>
      <c r="R579" s="133"/>
      <c r="S579" s="133"/>
      <c r="T579" s="133"/>
      <c r="U579" s="133"/>
      <c r="V579" s="133"/>
      <c r="W579" s="133"/>
    </row>
    <row r="580" spans="1:23" ht="16.5" thickBot="1">
      <c r="A580" s="145">
        <v>1082</v>
      </c>
      <c r="B580" s="43">
        <f>12*110</f>
        <v>1320</v>
      </c>
      <c r="C580" s="214">
        <f t="shared" ref="C580:C590" si="279">B580/1000</f>
        <v>1.32</v>
      </c>
      <c r="D580" s="215">
        <v>0.14549999999999999</v>
      </c>
      <c r="E580" s="214">
        <f t="shared" ref="E580:E590" si="280">(+C580*D580)+C580</f>
        <v>1.51206</v>
      </c>
      <c r="F580" s="231">
        <f t="shared" ref="F580:F590" si="281">ROUND((+$E580*4000)/12,0)</f>
        <v>504</v>
      </c>
      <c r="G580" s="232">
        <f t="shared" ref="G580:G590" si="282">ROUND((+$E580*8760)/12,0)</f>
        <v>1104</v>
      </c>
      <c r="H580" s="141">
        <f t="shared" ref="H580:H590" si="283">ROUND(+E580*D$7,2)</f>
        <v>14.12</v>
      </c>
      <c r="I580" s="142">
        <f t="shared" ref="I580:I590" si="284">ROUND(IF((E580*200)&gt;F580,F580,(E580*200)),0)</f>
        <v>302</v>
      </c>
      <c r="J580" s="141">
        <f t="shared" ref="J580:J590" si="285">ROUND(+I580*D$8,2)</f>
        <v>32.25</v>
      </c>
      <c r="K580" s="142">
        <f t="shared" ref="K580:K590" si="286">F580-I580</f>
        <v>202</v>
      </c>
      <c r="L580" s="142">
        <f t="shared" ref="L580:L590" si="287">G580-I580</f>
        <v>802</v>
      </c>
      <c r="M580" s="141">
        <f t="shared" ref="M580:M590" si="288">ROUND(+K580*D$9,2)</f>
        <v>14.32</v>
      </c>
      <c r="N580" s="141">
        <f t="shared" ref="N580:N590" si="289">ROUND(+L580*D$9,2)</f>
        <v>56.87</v>
      </c>
      <c r="O580" s="217">
        <f t="shared" ref="O580:O590" si="290">H580+J580+M580</f>
        <v>60.69</v>
      </c>
      <c r="P580" s="273">
        <f t="shared" ref="P580:P590" si="291">H580+J580+N580</f>
        <v>103.24</v>
      </c>
      <c r="Q580" s="153"/>
      <c r="R580" s="133"/>
      <c r="S580" s="133"/>
      <c r="T580" s="133"/>
      <c r="U580" s="133"/>
      <c r="V580" s="133"/>
      <c r="W580" s="133"/>
    </row>
    <row r="581" spans="1:23" ht="16.5" thickBot="1">
      <c r="A581" s="145">
        <v>1083</v>
      </c>
      <c r="B581" s="43">
        <f>9*50</f>
        <v>450</v>
      </c>
      <c r="C581" s="214">
        <f t="shared" si="279"/>
        <v>0.45</v>
      </c>
      <c r="D581" s="215">
        <v>0.1</v>
      </c>
      <c r="E581" s="214">
        <f t="shared" si="280"/>
        <v>0.495</v>
      </c>
      <c r="F581" s="231">
        <f t="shared" si="281"/>
        <v>165</v>
      </c>
      <c r="G581" s="232">
        <f t="shared" si="282"/>
        <v>361</v>
      </c>
      <c r="H581" s="141">
        <f t="shared" si="283"/>
        <v>4.62</v>
      </c>
      <c r="I581" s="142">
        <f t="shared" si="284"/>
        <v>99</v>
      </c>
      <c r="J581" s="141">
        <f t="shared" si="285"/>
        <v>10.57</v>
      </c>
      <c r="K581" s="142">
        <f t="shared" si="286"/>
        <v>66</v>
      </c>
      <c r="L581" s="142">
        <f t="shared" si="287"/>
        <v>262</v>
      </c>
      <c r="M581" s="141">
        <f t="shared" si="288"/>
        <v>4.68</v>
      </c>
      <c r="N581" s="141">
        <f t="shared" si="289"/>
        <v>18.579999999999998</v>
      </c>
      <c r="O581" s="217">
        <f t="shared" si="290"/>
        <v>19.87</v>
      </c>
      <c r="P581" s="273">
        <f t="shared" si="291"/>
        <v>33.769999999999996</v>
      </c>
      <c r="Q581" s="153"/>
      <c r="R581" s="133"/>
      <c r="S581" s="133"/>
      <c r="T581" s="133"/>
      <c r="U581" s="133"/>
      <c r="V581" s="133"/>
      <c r="W581" s="133"/>
    </row>
    <row r="582" spans="1:23" ht="16.5" thickBot="1">
      <c r="A582" s="145">
        <v>1084</v>
      </c>
      <c r="B582" s="43">
        <v>162</v>
      </c>
      <c r="C582" s="214">
        <f t="shared" si="279"/>
        <v>0.16200000000000001</v>
      </c>
      <c r="D582" s="215">
        <v>0.1</v>
      </c>
      <c r="E582" s="214">
        <f t="shared" si="280"/>
        <v>0.1782</v>
      </c>
      <c r="F582" s="231">
        <f t="shared" si="281"/>
        <v>59</v>
      </c>
      <c r="G582" s="232">
        <f t="shared" si="282"/>
        <v>130</v>
      </c>
      <c r="H582" s="141">
        <f t="shared" si="283"/>
        <v>1.66</v>
      </c>
      <c r="I582" s="142">
        <f t="shared" si="284"/>
        <v>36</v>
      </c>
      <c r="J582" s="141">
        <f t="shared" si="285"/>
        <v>3.84</v>
      </c>
      <c r="K582" s="142">
        <f t="shared" si="286"/>
        <v>23</v>
      </c>
      <c r="L582" s="142">
        <f t="shared" si="287"/>
        <v>94</v>
      </c>
      <c r="M582" s="141">
        <f t="shared" si="288"/>
        <v>1.63</v>
      </c>
      <c r="N582" s="141">
        <f t="shared" si="289"/>
        <v>6.67</v>
      </c>
      <c r="O582" s="217">
        <f t="shared" si="290"/>
        <v>7.13</v>
      </c>
      <c r="P582" s="273">
        <f t="shared" si="291"/>
        <v>12.17</v>
      </c>
      <c r="Q582" s="153"/>
      <c r="R582" s="133"/>
      <c r="S582" s="133"/>
      <c r="T582" s="133"/>
      <c r="U582" s="133"/>
      <c r="V582" s="133"/>
      <c r="W582" s="133"/>
    </row>
    <row r="583" spans="1:23" ht="16.5" thickBot="1">
      <c r="A583" s="145">
        <v>1085</v>
      </c>
      <c r="B583" s="43">
        <f>5*85</f>
        <v>425</v>
      </c>
      <c r="C583" s="214">
        <f t="shared" si="279"/>
        <v>0.42499999999999999</v>
      </c>
      <c r="D583" s="215">
        <v>0.1</v>
      </c>
      <c r="E583" s="214">
        <f t="shared" si="280"/>
        <v>0.46749999999999997</v>
      </c>
      <c r="F583" s="231">
        <f t="shared" si="281"/>
        <v>156</v>
      </c>
      <c r="G583" s="232">
        <f t="shared" si="282"/>
        <v>341</v>
      </c>
      <c r="H583" s="141">
        <f t="shared" si="283"/>
        <v>4.37</v>
      </c>
      <c r="I583" s="142">
        <f t="shared" si="284"/>
        <v>94</v>
      </c>
      <c r="J583" s="141">
        <f t="shared" si="285"/>
        <v>10.039999999999999</v>
      </c>
      <c r="K583" s="142">
        <f t="shared" si="286"/>
        <v>62</v>
      </c>
      <c r="L583" s="142">
        <f t="shared" si="287"/>
        <v>247</v>
      </c>
      <c r="M583" s="141">
        <f t="shared" si="288"/>
        <v>4.4000000000000004</v>
      </c>
      <c r="N583" s="141">
        <f t="shared" si="289"/>
        <v>17.510000000000002</v>
      </c>
      <c r="O583" s="217">
        <f t="shared" si="290"/>
        <v>18.810000000000002</v>
      </c>
      <c r="P583" s="273">
        <f t="shared" si="291"/>
        <v>31.92</v>
      </c>
      <c r="Q583" s="153"/>
      <c r="R583" s="133"/>
      <c r="S583" s="133"/>
      <c r="T583" s="133"/>
      <c r="U583" s="133"/>
      <c r="V583" s="133"/>
      <c r="W583" s="133"/>
    </row>
    <row r="584" spans="1:23" ht="16.5" thickBot="1">
      <c r="A584" s="145">
        <v>1086</v>
      </c>
      <c r="B584" s="43">
        <v>720</v>
      </c>
      <c r="C584" s="214">
        <f t="shared" si="279"/>
        <v>0.72</v>
      </c>
      <c r="D584" s="215">
        <v>0.1</v>
      </c>
      <c r="E584" s="214">
        <f t="shared" si="280"/>
        <v>0.79199999999999993</v>
      </c>
      <c r="F584" s="231">
        <f t="shared" si="281"/>
        <v>264</v>
      </c>
      <c r="G584" s="232">
        <f t="shared" si="282"/>
        <v>578</v>
      </c>
      <c r="H584" s="141">
        <f t="shared" si="283"/>
        <v>7.4</v>
      </c>
      <c r="I584" s="142">
        <f t="shared" si="284"/>
        <v>158</v>
      </c>
      <c r="J584" s="141">
        <f t="shared" si="285"/>
        <v>16.87</v>
      </c>
      <c r="K584" s="142">
        <f t="shared" si="286"/>
        <v>106</v>
      </c>
      <c r="L584" s="142">
        <f t="shared" si="287"/>
        <v>420</v>
      </c>
      <c r="M584" s="141">
        <f t="shared" si="288"/>
        <v>7.52</v>
      </c>
      <c r="N584" s="141">
        <f t="shared" si="289"/>
        <v>29.78</v>
      </c>
      <c r="O584" s="217">
        <f t="shared" si="290"/>
        <v>31.790000000000003</v>
      </c>
      <c r="P584" s="273">
        <f t="shared" si="291"/>
        <v>54.050000000000004</v>
      </c>
      <c r="Q584" s="153"/>
      <c r="R584" s="133"/>
      <c r="S584" s="133"/>
      <c r="T584" s="133"/>
      <c r="U584" s="133"/>
      <c r="V584" s="133"/>
      <c r="W584" s="133"/>
    </row>
    <row r="585" spans="1:23" ht="16.5" thickBot="1">
      <c r="A585" s="145">
        <v>1087</v>
      </c>
      <c r="B585" s="43">
        <v>1200</v>
      </c>
      <c r="C585" s="214">
        <f t="shared" si="279"/>
        <v>1.2</v>
      </c>
      <c r="D585" s="215">
        <v>0.2</v>
      </c>
      <c r="E585" s="214">
        <f t="shared" si="280"/>
        <v>1.44</v>
      </c>
      <c r="F585" s="231">
        <f t="shared" si="281"/>
        <v>480</v>
      </c>
      <c r="G585" s="232">
        <f t="shared" si="282"/>
        <v>1051</v>
      </c>
      <c r="H585" s="141">
        <f t="shared" si="283"/>
        <v>13.45</v>
      </c>
      <c r="I585" s="142">
        <f t="shared" si="284"/>
        <v>288</v>
      </c>
      <c r="J585" s="141">
        <f t="shared" si="285"/>
        <v>30.76</v>
      </c>
      <c r="K585" s="142">
        <f t="shared" si="286"/>
        <v>192</v>
      </c>
      <c r="L585" s="142">
        <f t="shared" si="287"/>
        <v>763</v>
      </c>
      <c r="M585" s="141">
        <f t="shared" si="288"/>
        <v>13.61</v>
      </c>
      <c r="N585" s="141">
        <f t="shared" si="289"/>
        <v>54.1</v>
      </c>
      <c r="O585" s="217">
        <f t="shared" si="290"/>
        <v>57.82</v>
      </c>
      <c r="P585" s="273">
        <f t="shared" si="291"/>
        <v>98.31</v>
      </c>
      <c r="Q585" s="153"/>
      <c r="R585" s="133"/>
      <c r="S585" s="133"/>
      <c r="T585" s="133"/>
      <c r="U585" s="133"/>
      <c r="V585" s="133"/>
      <c r="W585" s="133"/>
    </row>
    <row r="586" spans="1:23" ht="16.5" thickBot="1">
      <c r="A586" s="145">
        <v>1088</v>
      </c>
      <c r="B586" s="43">
        <f>120*15</f>
        <v>1800</v>
      </c>
      <c r="C586" s="214">
        <f t="shared" si="279"/>
        <v>1.8</v>
      </c>
      <c r="D586" s="215">
        <v>0.14000000000000001</v>
      </c>
      <c r="E586" s="214">
        <f t="shared" si="280"/>
        <v>2.052</v>
      </c>
      <c r="F586" s="231">
        <f t="shared" si="281"/>
        <v>684</v>
      </c>
      <c r="G586" s="235">
        <f t="shared" si="282"/>
        <v>1498</v>
      </c>
      <c r="H586" s="141">
        <f t="shared" si="283"/>
        <v>19.16</v>
      </c>
      <c r="I586" s="142">
        <f t="shared" si="284"/>
        <v>410</v>
      </c>
      <c r="J586" s="141">
        <f t="shared" si="285"/>
        <v>43.79</v>
      </c>
      <c r="K586" s="142">
        <f t="shared" si="286"/>
        <v>274</v>
      </c>
      <c r="L586" s="142">
        <f t="shared" si="287"/>
        <v>1088</v>
      </c>
      <c r="M586" s="141">
        <f t="shared" si="288"/>
        <v>19.43</v>
      </c>
      <c r="N586" s="141">
        <f t="shared" si="289"/>
        <v>77.14</v>
      </c>
      <c r="O586" s="217">
        <f t="shared" si="290"/>
        <v>82.38</v>
      </c>
      <c r="P586" s="236">
        <f t="shared" si="291"/>
        <v>140.09</v>
      </c>
      <c r="Q586" s="153"/>
      <c r="R586" s="133"/>
      <c r="S586" s="133"/>
      <c r="T586" s="133"/>
      <c r="U586" s="133"/>
      <c r="V586" s="133"/>
      <c r="W586" s="133"/>
    </row>
    <row r="587" spans="1:23" ht="16.5" thickBot="1">
      <c r="A587" s="145">
        <v>1089</v>
      </c>
      <c r="B587" s="43">
        <f>120*15</f>
        <v>1800</v>
      </c>
      <c r="C587" s="214">
        <f t="shared" si="279"/>
        <v>1.8</v>
      </c>
      <c r="D587" s="215">
        <v>0</v>
      </c>
      <c r="E587" s="214">
        <f t="shared" si="280"/>
        <v>1.8</v>
      </c>
      <c r="F587" s="231">
        <f t="shared" si="281"/>
        <v>600</v>
      </c>
      <c r="G587" s="235">
        <f t="shared" si="282"/>
        <v>1314</v>
      </c>
      <c r="H587" s="141">
        <f t="shared" si="283"/>
        <v>16.809999999999999</v>
      </c>
      <c r="I587" s="142">
        <f t="shared" si="284"/>
        <v>360</v>
      </c>
      <c r="J587" s="141">
        <f t="shared" si="285"/>
        <v>38.450000000000003</v>
      </c>
      <c r="K587" s="142">
        <f t="shared" si="286"/>
        <v>240</v>
      </c>
      <c r="L587" s="142">
        <f t="shared" si="287"/>
        <v>954</v>
      </c>
      <c r="M587" s="141">
        <f t="shared" si="288"/>
        <v>17.02</v>
      </c>
      <c r="N587" s="141">
        <f t="shared" si="289"/>
        <v>67.64</v>
      </c>
      <c r="O587" s="217">
        <f t="shared" si="290"/>
        <v>72.28</v>
      </c>
      <c r="P587" s="236">
        <f t="shared" si="291"/>
        <v>122.9</v>
      </c>
      <c r="Q587" s="153"/>
      <c r="R587" s="133"/>
      <c r="S587" s="133"/>
      <c r="T587" s="133"/>
      <c r="U587" s="133"/>
      <c r="V587" s="133"/>
      <c r="W587" s="133"/>
    </row>
    <row r="588" spans="1:23" s="485" customFormat="1" ht="16.5" thickBot="1">
      <c r="A588" s="473">
        <v>1090</v>
      </c>
      <c r="B588" s="474">
        <v>792</v>
      </c>
      <c r="C588" s="475">
        <f t="shared" si="279"/>
        <v>0.79200000000000004</v>
      </c>
      <c r="D588" s="476">
        <v>0</v>
      </c>
      <c r="E588" s="475">
        <f t="shared" si="280"/>
        <v>0.79200000000000004</v>
      </c>
      <c r="F588" s="477">
        <f t="shared" si="281"/>
        <v>264</v>
      </c>
      <c r="G588" s="478">
        <f t="shared" si="282"/>
        <v>578</v>
      </c>
      <c r="H588" s="479">
        <f t="shared" si="283"/>
        <v>7.4</v>
      </c>
      <c r="I588" s="480">
        <f t="shared" si="284"/>
        <v>158</v>
      </c>
      <c r="J588" s="479">
        <f t="shared" si="285"/>
        <v>16.87</v>
      </c>
      <c r="K588" s="480">
        <f t="shared" si="286"/>
        <v>106</v>
      </c>
      <c r="L588" s="480">
        <f t="shared" si="287"/>
        <v>420</v>
      </c>
      <c r="M588" s="479">
        <f t="shared" si="288"/>
        <v>7.52</v>
      </c>
      <c r="N588" s="479">
        <f t="shared" si="289"/>
        <v>29.78</v>
      </c>
      <c r="O588" s="481">
        <f t="shared" si="290"/>
        <v>31.790000000000003</v>
      </c>
      <c r="P588" s="482">
        <f t="shared" si="291"/>
        <v>54.050000000000004</v>
      </c>
      <c r="Q588" s="483"/>
      <c r="R588" s="484"/>
    </row>
    <row r="589" spans="1:23" s="485" customFormat="1" ht="16.5" thickBot="1">
      <c r="A589" s="473">
        <v>1091</v>
      </c>
      <c r="B589" s="474">
        <f>2*400</f>
        <v>800</v>
      </c>
      <c r="C589" s="475">
        <f t="shared" si="279"/>
        <v>0.8</v>
      </c>
      <c r="D589" s="476">
        <v>0</v>
      </c>
      <c r="E589" s="475">
        <f t="shared" si="280"/>
        <v>0.8</v>
      </c>
      <c r="F589" s="477">
        <f t="shared" si="281"/>
        <v>267</v>
      </c>
      <c r="G589" s="478">
        <f t="shared" si="282"/>
        <v>584</v>
      </c>
      <c r="H589" s="479">
        <f t="shared" si="283"/>
        <v>7.47</v>
      </c>
      <c r="I589" s="480">
        <f t="shared" si="284"/>
        <v>160</v>
      </c>
      <c r="J589" s="479">
        <f t="shared" si="285"/>
        <v>17.09</v>
      </c>
      <c r="K589" s="480">
        <f t="shared" si="286"/>
        <v>107</v>
      </c>
      <c r="L589" s="480">
        <f t="shared" si="287"/>
        <v>424</v>
      </c>
      <c r="M589" s="479">
        <f t="shared" si="288"/>
        <v>7.59</v>
      </c>
      <c r="N589" s="479">
        <f t="shared" si="289"/>
        <v>30.06</v>
      </c>
      <c r="O589" s="481">
        <f t="shared" si="290"/>
        <v>32.15</v>
      </c>
      <c r="P589" s="482">
        <f t="shared" si="291"/>
        <v>54.62</v>
      </c>
      <c r="Q589" s="483"/>
      <c r="R589" s="484"/>
    </row>
    <row r="590" spans="1:23" s="485" customFormat="1" ht="16.5" thickBot="1">
      <c r="A590" s="473"/>
      <c r="B590" s="486">
        <f>2*3*120</f>
        <v>720</v>
      </c>
      <c r="C590" s="475">
        <f t="shared" si="279"/>
        <v>0.72</v>
      </c>
      <c r="D590" s="476">
        <v>0</v>
      </c>
      <c r="E590" s="475">
        <f t="shared" si="280"/>
        <v>0.72</v>
      </c>
      <c r="F590" s="487">
        <f t="shared" si="281"/>
        <v>240</v>
      </c>
      <c r="G590" s="477">
        <f t="shared" si="282"/>
        <v>526</v>
      </c>
      <c r="H590" s="479">
        <f t="shared" si="283"/>
        <v>6.72</v>
      </c>
      <c r="I590" s="480">
        <f t="shared" si="284"/>
        <v>144</v>
      </c>
      <c r="J590" s="479">
        <f t="shared" si="285"/>
        <v>15.38</v>
      </c>
      <c r="K590" s="480">
        <f t="shared" si="286"/>
        <v>96</v>
      </c>
      <c r="L590" s="480">
        <f t="shared" si="287"/>
        <v>382</v>
      </c>
      <c r="M590" s="479">
        <f t="shared" si="288"/>
        <v>6.81</v>
      </c>
      <c r="N590" s="479">
        <f t="shared" si="289"/>
        <v>27.09</v>
      </c>
      <c r="O590" s="488">
        <f t="shared" si="290"/>
        <v>28.91</v>
      </c>
      <c r="P590" s="481">
        <f t="shared" si="291"/>
        <v>49.19</v>
      </c>
      <c r="Q590" s="483"/>
      <c r="R590" s="484"/>
    </row>
    <row r="591" spans="1:23" s="485" customFormat="1" ht="16.5" thickBot="1">
      <c r="A591" s="473"/>
      <c r="B591" s="474">
        <f>SUM(B589:B590)</f>
        <v>1520</v>
      </c>
      <c r="C591" s="475"/>
      <c r="D591" s="476"/>
      <c r="E591" s="475"/>
      <c r="F591" s="251"/>
      <c r="G591" s="477">
        <f>F589+G590</f>
        <v>793</v>
      </c>
      <c r="H591" s="479"/>
      <c r="I591" s="480"/>
      <c r="J591" s="479"/>
      <c r="K591" s="480"/>
      <c r="L591" s="480"/>
      <c r="M591" s="479"/>
      <c r="N591" s="479"/>
      <c r="O591" s="489"/>
      <c r="P591" s="489">
        <f>P590+O589</f>
        <v>81.34</v>
      </c>
      <c r="Q591" s="490"/>
      <c r="R591" s="484"/>
    </row>
    <row r="592" spans="1:23" s="485" customFormat="1" ht="16.5" thickBot="1">
      <c r="A592" s="473">
        <v>1092</v>
      </c>
      <c r="B592" s="474">
        <v>2400</v>
      </c>
      <c r="C592" s="475">
        <f t="shared" ref="C592:C598" si="292">B592/1000</f>
        <v>2.4</v>
      </c>
      <c r="D592" s="476">
        <v>0</v>
      </c>
      <c r="E592" s="475">
        <f t="shared" ref="E592:E598" si="293">(+C592*D592)+C592</f>
        <v>2.4</v>
      </c>
      <c r="F592" s="477">
        <f>ROUND((+$E592*24*12)/12,0)</f>
        <v>58</v>
      </c>
      <c r="G592" s="478">
        <f t="shared" ref="G592:G598" si="294">ROUND((+$E592*8760)/12,0)</f>
        <v>1752</v>
      </c>
      <c r="H592" s="479">
        <f t="shared" ref="H592:H630" si="295">ROUND(+E592*D$7,2)</f>
        <v>22.41</v>
      </c>
      <c r="I592" s="480">
        <f t="shared" ref="I592:I630" si="296">ROUND(IF((E592*200)&gt;F592,F592,(E592*200)),0)</f>
        <v>58</v>
      </c>
      <c r="J592" s="479">
        <f t="shared" ref="J592:J630" si="297">ROUND(+I592*D$8,2)</f>
        <v>6.19</v>
      </c>
      <c r="K592" s="480">
        <f t="shared" ref="K592:K630" si="298">F592-I592</f>
        <v>0</v>
      </c>
      <c r="L592" s="480">
        <f t="shared" ref="L592:L630" si="299">G592-I592</f>
        <v>1694</v>
      </c>
      <c r="M592" s="479">
        <f t="shared" ref="M592:M630" si="300">ROUND(+K592*D$9,2)</f>
        <v>0</v>
      </c>
      <c r="N592" s="479">
        <f t="shared" ref="N592:N630" si="301">ROUND(+L592*D$9,2)</f>
        <v>120.11</v>
      </c>
      <c r="O592" s="481">
        <f t="shared" ref="O592:O604" si="302">H592+J592+M592</f>
        <v>28.6</v>
      </c>
      <c r="P592" s="482">
        <f t="shared" ref="P592:P630" si="303">H592+J592+N592</f>
        <v>148.71</v>
      </c>
      <c r="Q592" s="483"/>
      <c r="R592" s="484"/>
    </row>
    <row r="593" spans="1:18" s="485" customFormat="1" ht="16.5" thickBot="1">
      <c r="A593" s="473">
        <v>1093</v>
      </c>
      <c r="B593" s="474">
        <f>2*60</f>
        <v>120</v>
      </c>
      <c r="C593" s="475">
        <f t="shared" si="292"/>
        <v>0.12</v>
      </c>
      <c r="D593" s="476">
        <v>0.1</v>
      </c>
      <c r="E593" s="475">
        <f t="shared" si="293"/>
        <v>0.13200000000000001</v>
      </c>
      <c r="F593" s="477">
        <f>ROUND((+$E593*4000)/12,0)</f>
        <v>44</v>
      </c>
      <c r="G593" s="478">
        <f t="shared" si="294"/>
        <v>96</v>
      </c>
      <c r="H593" s="479">
        <f t="shared" si="295"/>
        <v>1.23</v>
      </c>
      <c r="I593" s="480">
        <f t="shared" si="296"/>
        <v>26</v>
      </c>
      <c r="J593" s="479">
        <f t="shared" si="297"/>
        <v>2.78</v>
      </c>
      <c r="K593" s="480">
        <f t="shared" si="298"/>
        <v>18</v>
      </c>
      <c r="L593" s="480">
        <f t="shared" si="299"/>
        <v>70</v>
      </c>
      <c r="M593" s="479">
        <f t="shared" si="300"/>
        <v>1.28</v>
      </c>
      <c r="N593" s="479">
        <f t="shared" si="301"/>
        <v>4.96</v>
      </c>
      <c r="O593" s="481">
        <f t="shared" si="302"/>
        <v>5.29</v>
      </c>
      <c r="P593" s="482">
        <f t="shared" si="303"/>
        <v>8.9699999999999989</v>
      </c>
      <c r="Q593" s="483"/>
      <c r="R593" s="484"/>
    </row>
    <row r="594" spans="1:18" s="485" customFormat="1" ht="16.5" thickBot="1">
      <c r="A594" s="473">
        <v>1094</v>
      </c>
      <c r="B594" s="474">
        <v>540</v>
      </c>
      <c r="C594" s="475">
        <f t="shared" si="292"/>
        <v>0.54</v>
      </c>
      <c r="D594" s="476">
        <v>0</v>
      </c>
      <c r="E594" s="475">
        <f t="shared" si="293"/>
        <v>0.54</v>
      </c>
      <c r="F594" s="477">
        <f>ROUND((+$E594*4000)/12,0)</f>
        <v>180</v>
      </c>
      <c r="G594" s="478">
        <f t="shared" si="294"/>
        <v>394</v>
      </c>
      <c r="H594" s="479">
        <f t="shared" si="295"/>
        <v>5.04</v>
      </c>
      <c r="I594" s="480">
        <f t="shared" si="296"/>
        <v>108</v>
      </c>
      <c r="J594" s="479">
        <f t="shared" si="297"/>
        <v>11.53</v>
      </c>
      <c r="K594" s="480">
        <f t="shared" si="298"/>
        <v>72</v>
      </c>
      <c r="L594" s="480">
        <f t="shared" si="299"/>
        <v>286</v>
      </c>
      <c r="M594" s="479">
        <f t="shared" si="300"/>
        <v>5.1100000000000003</v>
      </c>
      <c r="N594" s="479">
        <f t="shared" si="301"/>
        <v>20.28</v>
      </c>
      <c r="O594" s="481">
        <f t="shared" si="302"/>
        <v>21.68</v>
      </c>
      <c r="P594" s="482">
        <f t="shared" si="303"/>
        <v>36.85</v>
      </c>
      <c r="Q594" s="483"/>
      <c r="R594" s="484"/>
    </row>
    <row r="595" spans="1:18" s="485" customFormat="1" ht="16.5" thickBot="1">
      <c r="A595" s="473">
        <v>393</v>
      </c>
      <c r="B595" s="474">
        <v>75</v>
      </c>
      <c r="C595" s="475">
        <f t="shared" si="292"/>
        <v>7.4999999999999997E-2</v>
      </c>
      <c r="D595" s="476">
        <v>0</v>
      </c>
      <c r="E595" s="475">
        <f t="shared" si="293"/>
        <v>7.4999999999999997E-2</v>
      </c>
      <c r="F595" s="477">
        <f>ROUND((+$E595*4000)/12,0)</f>
        <v>25</v>
      </c>
      <c r="G595" s="478">
        <f t="shared" si="294"/>
        <v>55</v>
      </c>
      <c r="H595" s="479">
        <f t="shared" si="295"/>
        <v>0.7</v>
      </c>
      <c r="I595" s="480">
        <f t="shared" si="296"/>
        <v>15</v>
      </c>
      <c r="J595" s="479">
        <f t="shared" si="297"/>
        <v>1.6</v>
      </c>
      <c r="K595" s="480">
        <f t="shared" si="298"/>
        <v>10</v>
      </c>
      <c r="L595" s="480">
        <f t="shared" si="299"/>
        <v>40</v>
      </c>
      <c r="M595" s="479">
        <f t="shared" si="300"/>
        <v>0.71</v>
      </c>
      <c r="N595" s="479">
        <f t="shared" si="301"/>
        <v>2.84</v>
      </c>
      <c r="O595" s="481">
        <f t="shared" si="302"/>
        <v>3.01</v>
      </c>
      <c r="P595" s="482">
        <f t="shared" si="303"/>
        <v>5.14</v>
      </c>
      <c r="Q595" s="483"/>
      <c r="R595" s="484"/>
    </row>
    <row r="596" spans="1:18" s="485" customFormat="1" ht="16.5" thickBot="1">
      <c r="A596" s="473">
        <v>394</v>
      </c>
      <c r="B596" s="474">
        <f>7.5*120</f>
        <v>900</v>
      </c>
      <c r="C596" s="475">
        <f t="shared" si="292"/>
        <v>0.9</v>
      </c>
      <c r="D596" s="476">
        <v>0</v>
      </c>
      <c r="E596" s="475">
        <f t="shared" si="293"/>
        <v>0.9</v>
      </c>
      <c r="F596" s="491">
        <f>ROUND((+$E596*4000)/12,0)</f>
        <v>300</v>
      </c>
      <c r="G596" s="477">
        <f t="shared" si="294"/>
        <v>657</v>
      </c>
      <c r="H596" s="479">
        <f t="shared" si="295"/>
        <v>8.41</v>
      </c>
      <c r="I596" s="480">
        <f t="shared" si="296"/>
        <v>180</v>
      </c>
      <c r="J596" s="479">
        <f t="shared" si="297"/>
        <v>19.22</v>
      </c>
      <c r="K596" s="480">
        <f t="shared" si="298"/>
        <v>120</v>
      </c>
      <c r="L596" s="480">
        <f t="shared" si="299"/>
        <v>477</v>
      </c>
      <c r="M596" s="479">
        <f t="shared" si="300"/>
        <v>8.51</v>
      </c>
      <c r="N596" s="479">
        <f t="shared" si="301"/>
        <v>33.82</v>
      </c>
      <c r="O596" s="492">
        <f t="shared" si="302"/>
        <v>36.14</v>
      </c>
      <c r="P596" s="481">
        <f t="shared" si="303"/>
        <v>61.45</v>
      </c>
      <c r="Q596" s="483"/>
      <c r="R596" s="484"/>
    </row>
    <row r="597" spans="1:18" s="485" customFormat="1" ht="16.5" thickBot="1">
      <c r="A597" s="473">
        <v>395</v>
      </c>
      <c r="B597" s="474">
        <v>12</v>
      </c>
      <c r="C597" s="475">
        <f t="shared" si="292"/>
        <v>1.2E-2</v>
      </c>
      <c r="D597" s="476">
        <v>0</v>
      </c>
      <c r="E597" s="475">
        <f t="shared" si="293"/>
        <v>1.2E-2</v>
      </c>
      <c r="F597" s="491">
        <f>ROUND((+$E597*4000)/12,0)</f>
        <v>4</v>
      </c>
      <c r="G597" s="477">
        <f t="shared" si="294"/>
        <v>9</v>
      </c>
      <c r="H597" s="479">
        <f t="shared" si="295"/>
        <v>0.11</v>
      </c>
      <c r="I597" s="480">
        <f t="shared" si="296"/>
        <v>2</v>
      </c>
      <c r="J597" s="479">
        <f t="shared" si="297"/>
        <v>0.21</v>
      </c>
      <c r="K597" s="480">
        <f t="shared" si="298"/>
        <v>2</v>
      </c>
      <c r="L597" s="480">
        <f t="shared" si="299"/>
        <v>7</v>
      </c>
      <c r="M597" s="479">
        <f t="shared" si="300"/>
        <v>0.14000000000000001</v>
      </c>
      <c r="N597" s="479">
        <f t="shared" si="301"/>
        <v>0.5</v>
      </c>
      <c r="O597" s="492">
        <f t="shared" si="302"/>
        <v>0.46</v>
      </c>
      <c r="P597" s="481">
        <f t="shared" si="303"/>
        <v>0.82000000000000006</v>
      </c>
      <c r="Q597" s="483"/>
      <c r="R597" s="484"/>
    </row>
    <row r="598" spans="1:18" s="485" customFormat="1" ht="16.5" thickBot="1">
      <c r="A598" s="473"/>
      <c r="B598" s="474">
        <v>125</v>
      </c>
      <c r="C598" s="475">
        <f t="shared" si="292"/>
        <v>0.125</v>
      </c>
      <c r="D598" s="476">
        <v>0</v>
      </c>
      <c r="E598" s="475">
        <f t="shared" si="293"/>
        <v>0.125</v>
      </c>
      <c r="F598" s="477">
        <f>ROUND((+$E598*730*5)/12,0)</f>
        <v>38</v>
      </c>
      <c r="G598" s="478">
        <f t="shared" si="294"/>
        <v>91</v>
      </c>
      <c r="H598" s="479">
        <f t="shared" si="295"/>
        <v>1.17</v>
      </c>
      <c r="I598" s="480">
        <f t="shared" si="296"/>
        <v>25</v>
      </c>
      <c r="J598" s="479">
        <f t="shared" si="297"/>
        <v>2.67</v>
      </c>
      <c r="K598" s="480">
        <f t="shared" si="298"/>
        <v>13</v>
      </c>
      <c r="L598" s="480">
        <f t="shared" si="299"/>
        <v>66</v>
      </c>
      <c r="M598" s="479">
        <f t="shared" si="300"/>
        <v>0.92</v>
      </c>
      <c r="N598" s="479">
        <f t="shared" si="301"/>
        <v>4.68</v>
      </c>
      <c r="O598" s="481">
        <f t="shared" si="302"/>
        <v>4.76</v>
      </c>
      <c r="P598" s="493">
        <f t="shared" si="303"/>
        <v>8.52</v>
      </c>
      <c r="Q598" s="483"/>
      <c r="R598" s="484"/>
    </row>
    <row r="599" spans="1:18" s="485" customFormat="1" ht="16.5" thickBot="1">
      <c r="A599" s="152"/>
      <c r="B599" s="152"/>
      <c r="C599" s="152"/>
      <c r="D599" s="152"/>
      <c r="E599" s="152"/>
      <c r="F599" s="477">
        <f>G597+F598</f>
        <v>47</v>
      </c>
      <c r="G599" s="152"/>
      <c r="H599" s="152">
        <f t="shared" si="295"/>
        <v>0</v>
      </c>
      <c r="I599" s="152">
        <f t="shared" si="296"/>
        <v>0</v>
      </c>
      <c r="J599" s="152">
        <f t="shared" si="297"/>
        <v>0</v>
      </c>
      <c r="K599" s="152">
        <f t="shared" si="298"/>
        <v>47</v>
      </c>
      <c r="L599" s="152">
        <f t="shared" si="299"/>
        <v>0</v>
      </c>
      <c r="M599" s="152">
        <f t="shared" si="300"/>
        <v>3.33</v>
      </c>
      <c r="N599" s="152">
        <f t="shared" si="301"/>
        <v>0</v>
      </c>
      <c r="O599" s="481">
        <f>O598+P597</f>
        <v>5.58</v>
      </c>
      <c r="P599" s="158">
        <f t="shared" si="303"/>
        <v>0</v>
      </c>
      <c r="Q599" s="483"/>
      <c r="R599" s="484"/>
    </row>
    <row r="600" spans="1:18" s="485" customFormat="1" ht="16.5" thickBot="1">
      <c r="A600" s="473">
        <v>396</v>
      </c>
      <c r="B600" s="474">
        <v>24</v>
      </c>
      <c r="C600" s="475">
        <f>B600/1000</f>
        <v>2.4E-2</v>
      </c>
      <c r="D600" s="476">
        <v>0</v>
      </c>
      <c r="E600" s="475">
        <f>(+C600*D600)+C600</f>
        <v>2.4E-2</v>
      </c>
      <c r="F600" s="491">
        <f>ROUND((+$E600*4000)/12,0)</f>
        <v>8</v>
      </c>
      <c r="G600" s="477">
        <f>ROUND((+$E600*8760)/12,0)</f>
        <v>18</v>
      </c>
      <c r="H600" s="479">
        <f t="shared" si="295"/>
        <v>0.22</v>
      </c>
      <c r="I600" s="480">
        <f t="shared" si="296"/>
        <v>5</v>
      </c>
      <c r="J600" s="479">
        <f t="shared" si="297"/>
        <v>0.53</v>
      </c>
      <c r="K600" s="480">
        <f t="shared" si="298"/>
        <v>3</v>
      </c>
      <c r="L600" s="480">
        <f t="shared" si="299"/>
        <v>13</v>
      </c>
      <c r="M600" s="479">
        <f t="shared" si="300"/>
        <v>0.21</v>
      </c>
      <c r="N600" s="479">
        <f t="shared" si="301"/>
        <v>0.92</v>
      </c>
      <c r="O600" s="492">
        <f t="shared" si="302"/>
        <v>0.96</v>
      </c>
      <c r="P600" s="481">
        <f t="shared" si="303"/>
        <v>1.67</v>
      </c>
      <c r="Q600" s="483"/>
      <c r="R600" s="484"/>
    </row>
    <row r="601" spans="1:18" s="485" customFormat="1" ht="16.5" thickBot="1">
      <c r="A601" s="473"/>
      <c r="B601" s="474">
        <v>100</v>
      </c>
      <c r="C601" s="475">
        <f>B601/1000</f>
        <v>0.1</v>
      </c>
      <c r="D601" s="476">
        <v>0</v>
      </c>
      <c r="E601" s="475">
        <f>(+C601*D601)+C601</f>
        <v>0.1</v>
      </c>
      <c r="F601" s="477">
        <f>ROUND((+$E601*(8760/12)*5)/12,0)</f>
        <v>30</v>
      </c>
      <c r="G601" s="478">
        <f>ROUND((+$E601*8760)/12,0)</f>
        <v>73</v>
      </c>
      <c r="H601" s="479">
        <f t="shared" si="295"/>
        <v>0.93</v>
      </c>
      <c r="I601" s="480">
        <f t="shared" si="296"/>
        <v>20</v>
      </c>
      <c r="J601" s="479">
        <f t="shared" si="297"/>
        <v>2.14</v>
      </c>
      <c r="K601" s="480">
        <f t="shared" si="298"/>
        <v>10</v>
      </c>
      <c r="L601" s="480">
        <f t="shared" si="299"/>
        <v>53</v>
      </c>
      <c r="M601" s="479">
        <f t="shared" si="300"/>
        <v>0.71</v>
      </c>
      <c r="N601" s="479">
        <f t="shared" si="301"/>
        <v>3.76</v>
      </c>
      <c r="O601" s="481">
        <f t="shared" si="302"/>
        <v>3.7800000000000002</v>
      </c>
      <c r="P601" s="493">
        <f t="shared" si="303"/>
        <v>6.83</v>
      </c>
      <c r="Q601" s="483"/>
      <c r="R601" s="484"/>
    </row>
    <row r="602" spans="1:18" s="485" customFormat="1" ht="16.5" thickBot="1">
      <c r="A602" s="152"/>
      <c r="B602" s="152"/>
      <c r="C602" s="152"/>
      <c r="D602" s="152"/>
      <c r="E602" s="152"/>
      <c r="F602" s="477">
        <f>G600+F601</f>
        <v>48</v>
      </c>
      <c r="G602" s="152"/>
      <c r="H602" s="152">
        <f t="shared" si="295"/>
        <v>0</v>
      </c>
      <c r="I602" s="152">
        <f t="shared" si="296"/>
        <v>0</v>
      </c>
      <c r="J602" s="152">
        <f t="shared" si="297"/>
        <v>0</v>
      </c>
      <c r="K602" s="152">
        <f t="shared" si="298"/>
        <v>48</v>
      </c>
      <c r="L602" s="152">
        <f t="shared" si="299"/>
        <v>0</v>
      </c>
      <c r="M602" s="152">
        <f t="shared" si="300"/>
        <v>3.4</v>
      </c>
      <c r="N602" s="152">
        <f t="shared" si="301"/>
        <v>0</v>
      </c>
      <c r="O602" s="481">
        <f>O601+P600</f>
        <v>5.45</v>
      </c>
      <c r="P602" s="158">
        <f t="shared" si="303"/>
        <v>0</v>
      </c>
      <c r="Q602" s="483"/>
      <c r="R602" s="484"/>
    </row>
    <row r="603" spans="1:18" s="485" customFormat="1" ht="15.75">
      <c r="A603" s="473">
        <v>353</v>
      </c>
      <c r="B603" s="474">
        <f>2*400</f>
        <v>800</v>
      </c>
      <c r="C603" s="475">
        <f>B603/1000</f>
        <v>0.8</v>
      </c>
      <c r="D603" s="476">
        <v>0.1</v>
      </c>
      <c r="E603" s="475">
        <f>(+C603*D603)+C603</f>
        <v>0.88000000000000012</v>
      </c>
      <c r="F603" s="250">
        <f>ROUND((+$E603*4000)/12,0)</f>
        <v>293</v>
      </c>
      <c r="G603" s="250">
        <f>ROUND((+$E603*8760)/12,0)</f>
        <v>642</v>
      </c>
      <c r="H603" s="479">
        <f t="shared" si="295"/>
        <v>8.2200000000000006</v>
      </c>
      <c r="I603" s="480">
        <f t="shared" si="296"/>
        <v>176</v>
      </c>
      <c r="J603" s="479">
        <f t="shared" si="297"/>
        <v>18.8</v>
      </c>
      <c r="K603" s="480">
        <f t="shared" si="298"/>
        <v>117</v>
      </c>
      <c r="L603" s="480">
        <f t="shared" si="299"/>
        <v>466</v>
      </c>
      <c r="M603" s="479">
        <f t="shared" si="300"/>
        <v>8.3000000000000007</v>
      </c>
      <c r="N603" s="479">
        <f t="shared" si="301"/>
        <v>33.04</v>
      </c>
      <c r="O603" s="494">
        <f t="shared" si="302"/>
        <v>35.320000000000007</v>
      </c>
      <c r="P603" s="494">
        <f t="shared" si="303"/>
        <v>60.06</v>
      </c>
      <c r="Q603" s="483"/>
      <c r="R603" s="484"/>
    </row>
    <row r="604" spans="1:18" s="485" customFormat="1" ht="16.5" thickBot="1">
      <c r="A604" s="473"/>
      <c r="B604" s="486">
        <f>2*150</f>
        <v>300</v>
      </c>
      <c r="C604" s="475">
        <f>B604/1000</f>
        <v>0.3</v>
      </c>
      <c r="D604" s="476">
        <v>0.1</v>
      </c>
      <c r="E604" s="475">
        <f>(+C604*D604)+C604</f>
        <v>0.32999999999999996</v>
      </c>
      <c r="F604" s="495">
        <f>ROUND((+$E604*4000)/12,0)</f>
        <v>110</v>
      </c>
      <c r="G604" s="250">
        <f>ROUND((+$E604*8760)/12,0)</f>
        <v>241</v>
      </c>
      <c r="H604" s="479">
        <f t="shared" si="295"/>
        <v>3.08</v>
      </c>
      <c r="I604" s="480">
        <f t="shared" si="296"/>
        <v>66</v>
      </c>
      <c r="J604" s="479">
        <f t="shared" si="297"/>
        <v>7.05</v>
      </c>
      <c r="K604" s="480">
        <f t="shared" si="298"/>
        <v>44</v>
      </c>
      <c r="L604" s="480">
        <f t="shared" si="299"/>
        <v>175</v>
      </c>
      <c r="M604" s="479">
        <f t="shared" si="300"/>
        <v>3.12</v>
      </c>
      <c r="N604" s="479">
        <f t="shared" si="301"/>
        <v>12.41</v>
      </c>
      <c r="O604" s="496">
        <f t="shared" si="302"/>
        <v>13.25</v>
      </c>
      <c r="P604" s="494">
        <f t="shared" si="303"/>
        <v>22.54</v>
      </c>
      <c r="Q604" s="483"/>
      <c r="R604" s="484"/>
    </row>
    <row r="605" spans="1:18" s="485" customFormat="1" ht="16.5" thickBot="1">
      <c r="A605" s="152"/>
      <c r="B605" s="474">
        <f>+B603+B604</f>
        <v>1100</v>
      </c>
      <c r="C605" s="152"/>
      <c r="D605" s="152"/>
      <c r="E605" s="152"/>
      <c r="F605" s="477">
        <f>F603+F604</f>
        <v>403</v>
      </c>
      <c r="G605" s="152"/>
      <c r="H605" s="152">
        <f t="shared" si="295"/>
        <v>0</v>
      </c>
      <c r="I605" s="152">
        <f t="shared" si="296"/>
        <v>0</v>
      </c>
      <c r="J605" s="152">
        <f t="shared" si="297"/>
        <v>0</v>
      </c>
      <c r="K605" s="152">
        <f t="shared" si="298"/>
        <v>403</v>
      </c>
      <c r="L605" s="152">
        <f t="shared" si="299"/>
        <v>0</v>
      </c>
      <c r="M605" s="152">
        <f t="shared" si="300"/>
        <v>28.57</v>
      </c>
      <c r="N605" s="152">
        <f t="shared" si="301"/>
        <v>0</v>
      </c>
      <c r="O605" s="481">
        <f>O603+O604</f>
        <v>48.570000000000007</v>
      </c>
      <c r="P605" s="158">
        <f t="shared" si="303"/>
        <v>0</v>
      </c>
      <c r="Q605" s="483"/>
      <c r="R605" s="484"/>
    </row>
    <row r="606" spans="1:18" s="485" customFormat="1" ht="16.5" thickBot="1">
      <c r="A606" s="473">
        <v>387</v>
      </c>
      <c r="B606" s="497">
        <v>650</v>
      </c>
      <c r="C606" s="475">
        <f>B606/1000</f>
        <v>0.65</v>
      </c>
      <c r="D606" s="476">
        <v>0</v>
      </c>
      <c r="E606" s="475">
        <f>(+C606*D606)+C606</f>
        <v>0.65</v>
      </c>
      <c r="F606" s="250">
        <f>ROUND((+$E606*4000)/12,0)</f>
        <v>217</v>
      </c>
      <c r="G606" s="477">
        <f>ROUND((+$E606*8760)/12,0)</f>
        <v>475</v>
      </c>
      <c r="H606" s="479">
        <f t="shared" si="295"/>
        <v>6.07</v>
      </c>
      <c r="I606" s="480">
        <f t="shared" si="296"/>
        <v>130</v>
      </c>
      <c r="J606" s="479">
        <f t="shared" si="297"/>
        <v>13.88</v>
      </c>
      <c r="K606" s="480">
        <f t="shared" si="298"/>
        <v>87</v>
      </c>
      <c r="L606" s="480">
        <f t="shared" si="299"/>
        <v>345</v>
      </c>
      <c r="M606" s="479">
        <f t="shared" si="300"/>
        <v>6.17</v>
      </c>
      <c r="N606" s="479">
        <f t="shared" si="301"/>
        <v>24.46</v>
      </c>
      <c r="O606" s="494">
        <f t="shared" ref="O606:O615" si="304">H606+J606+M606</f>
        <v>26.120000000000005</v>
      </c>
      <c r="P606" s="481">
        <f t="shared" si="303"/>
        <v>44.410000000000004</v>
      </c>
      <c r="Q606" s="483"/>
      <c r="R606" s="484"/>
    </row>
    <row r="607" spans="1:18" s="485" customFormat="1" ht="16.5" thickBot="1">
      <c r="A607" s="152"/>
      <c r="B607" s="498">
        <f>160*1</f>
        <v>160</v>
      </c>
      <c r="C607" s="475">
        <f>B607/1000</f>
        <v>0.16</v>
      </c>
      <c r="D607" s="476">
        <v>0</v>
      </c>
      <c r="E607" s="475">
        <f>(+C607*D607)+C607</f>
        <v>0.16</v>
      </c>
      <c r="F607" s="477">
        <f>ROUND((+$E607*(6.7*730))/12,0)</f>
        <v>65</v>
      </c>
      <c r="G607" s="499">
        <f>ROUND((+$E607*8760)/12,0)</f>
        <v>117</v>
      </c>
      <c r="H607" s="479">
        <f t="shared" si="295"/>
        <v>1.49</v>
      </c>
      <c r="I607" s="480">
        <f t="shared" si="296"/>
        <v>32</v>
      </c>
      <c r="J607" s="479">
        <f t="shared" si="297"/>
        <v>3.42</v>
      </c>
      <c r="K607" s="480">
        <f t="shared" si="298"/>
        <v>33</v>
      </c>
      <c r="L607" s="480">
        <f t="shared" si="299"/>
        <v>85</v>
      </c>
      <c r="M607" s="479">
        <f t="shared" si="300"/>
        <v>2.34</v>
      </c>
      <c r="N607" s="479">
        <f t="shared" si="301"/>
        <v>6.03</v>
      </c>
      <c r="O607" s="481">
        <f t="shared" si="304"/>
        <v>7.25</v>
      </c>
      <c r="P607" s="493">
        <f t="shared" si="303"/>
        <v>10.940000000000001</v>
      </c>
      <c r="Q607" s="483"/>
      <c r="R607" s="484"/>
    </row>
    <row r="608" spans="1:18" s="485" customFormat="1" ht="16.5" thickBot="1">
      <c r="A608" s="152"/>
      <c r="B608" s="497">
        <f>B606+B607</f>
        <v>810</v>
      </c>
      <c r="C608" s="475"/>
      <c r="D608" s="476"/>
      <c r="E608" s="475"/>
      <c r="F608" s="250"/>
      <c r="G608" s="477">
        <f>G606+F607</f>
        <v>540</v>
      </c>
      <c r="H608" s="479">
        <f t="shared" si="295"/>
        <v>0</v>
      </c>
      <c r="I608" s="480">
        <f t="shared" si="296"/>
        <v>0</v>
      </c>
      <c r="J608" s="479">
        <f t="shared" si="297"/>
        <v>0</v>
      </c>
      <c r="K608" s="480">
        <f t="shared" si="298"/>
        <v>0</v>
      </c>
      <c r="L608" s="480">
        <f t="shared" si="299"/>
        <v>540</v>
      </c>
      <c r="M608" s="479">
        <f t="shared" si="300"/>
        <v>0</v>
      </c>
      <c r="N608" s="479">
        <f t="shared" si="301"/>
        <v>38.29</v>
      </c>
      <c r="O608" s="494">
        <f t="shared" si="304"/>
        <v>0</v>
      </c>
      <c r="P608" s="481">
        <f>P606+O607</f>
        <v>51.660000000000004</v>
      </c>
      <c r="Q608" s="483"/>
      <c r="R608" s="484"/>
    </row>
    <row r="609" spans="1:19" s="485" customFormat="1" ht="16.5" thickBot="1">
      <c r="A609" s="152"/>
      <c r="B609" s="497"/>
      <c r="C609" s="475"/>
      <c r="D609" s="476"/>
      <c r="E609" s="475"/>
      <c r="F609" s="250"/>
      <c r="G609" s="477"/>
      <c r="H609" s="479"/>
      <c r="I609" s="480"/>
      <c r="J609" s="479"/>
      <c r="K609" s="480"/>
      <c r="L609" s="480"/>
      <c r="M609" s="479"/>
      <c r="N609" s="479"/>
      <c r="O609" s="494"/>
      <c r="P609" s="481"/>
      <c r="Q609" s="483"/>
      <c r="R609" s="484"/>
    </row>
    <row r="610" spans="1:19" s="485" customFormat="1" ht="16.5" thickBot="1">
      <c r="A610" s="473">
        <v>378</v>
      </c>
      <c r="B610" s="497">
        <f>1.34*650</f>
        <v>871</v>
      </c>
      <c r="C610" s="475">
        <f>B610/1000</f>
        <v>0.871</v>
      </c>
      <c r="D610" s="476">
        <v>0</v>
      </c>
      <c r="E610" s="475">
        <f>(+C610*D610)+C610</f>
        <v>0.871</v>
      </c>
      <c r="F610" s="250">
        <f>ROUND((+$E610*4000)/12,0)</f>
        <v>290</v>
      </c>
      <c r="G610" s="477">
        <f>ROUND((+$E610*8760)/12,0)</f>
        <v>636</v>
      </c>
      <c r="H610" s="479">
        <f t="shared" si="295"/>
        <v>8.1300000000000008</v>
      </c>
      <c r="I610" s="480">
        <f t="shared" si="296"/>
        <v>174</v>
      </c>
      <c r="J610" s="479">
        <f t="shared" si="297"/>
        <v>18.579999999999998</v>
      </c>
      <c r="K610" s="480">
        <f t="shared" si="298"/>
        <v>116</v>
      </c>
      <c r="L610" s="480">
        <f t="shared" si="299"/>
        <v>462</v>
      </c>
      <c r="M610" s="479">
        <f t="shared" si="300"/>
        <v>8.23</v>
      </c>
      <c r="N610" s="479">
        <f t="shared" si="301"/>
        <v>32.76</v>
      </c>
      <c r="O610" s="494">
        <f t="shared" si="304"/>
        <v>34.94</v>
      </c>
      <c r="P610" s="481">
        <f t="shared" si="303"/>
        <v>59.47</v>
      </c>
      <c r="Q610" s="483"/>
      <c r="R610" s="484"/>
    </row>
    <row r="611" spans="1:19" s="485" customFormat="1" ht="16.5" thickBot="1">
      <c r="A611" s="473"/>
      <c r="B611" s="498">
        <f>160*1</f>
        <v>160</v>
      </c>
      <c r="C611" s="475">
        <f>B611/1000</f>
        <v>0.16</v>
      </c>
      <c r="D611" s="476">
        <v>0</v>
      </c>
      <c r="E611" s="475">
        <f>(+C611*D611)+C611</f>
        <v>0.16</v>
      </c>
      <c r="F611" s="477">
        <f>ROUND((+$E611*(6.6*730))/12,0)</f>
        <v>64</v>
      </c>
      <c r="G611" s="499">
        <f>ROUND((+$E611*8760)/12,0)</f>
        <v>117</v>
      </c>
      <c r="H611" s="479">
        <f t="shared" si="295"/>
        <v>1.49</v>
      </c>
      <c r="I611" s="480">
        <f t="shared" si="296"/>
        <v>32</v>
      </c>
      <c r="J611" s="479">
        <f t="shared" si="297"/>
        <v>3.42</v>
      </c>
      <c r="K611" s="480">
        <f t="shared" si="298"/>
        <v>32</v>
      </c>
      <c r="L611" s="480">
        <f t="shared" si="299"/>
        <v>85</v>
      </c>
      <c r="M611" s="479">
        <f t="shared" si="300"/>
        <v>2.27</v>
      </c>
      <c r="N611" s="479">
        <f t="shared" si="301"/>
        <v>6.03</v>
      </c>
      <c r="O611" s="481">
        <f t="shared" si="304"/>
        <v>7.18</v>
      </c>
      <c r="P611" s="493">
        <f t="shared" si="303"/>
        <v>10.940000000000001</v>
      </c>
      <c r="Q611" s="483"/>
      <c r="R611" s="484"/>
    </row>
    <row r="612" spans="1:19" s="485" customFormat="1" ht="16.5" thickBot="1">
      <c r="A612" s="473"/>
      <c r="B612" s="497">
        <f>B610+B611</f>
        <v>1031</v>
      </c>
      <c r="C612" s="475"/>
      <c r="D612" s="476"/>
      <c r="E612" s="475"/>
      <c r="F612" s="250"/>
      <c r="G612" s="477">
        <f>G610+F611</f>
        <v>700</v>
      </c>
      <c r="H612" s="479">
        <f t="shared" si="295"/>
        <v>0</v>
      </c>
      <c r="I612" s="480">
        <f t="shared" si="296"/>
        <v>0</v>
      </c>
      <c r="J612" s="479">
        <f t="shared" si="297"/>
        <v>0</v>
      </c>
      <c r="K612" s="480">
        <f t="shared" si="298"/>
        <v>0</v>
      </c>
      <c r="L612" s="480">
        <f t="shared" si="299"/>
        <v>700</v>
      </c>
      <c r="M612" s="479">
        <f t="shared" si="300"/>
        <v>0</v>
      </c>
      <c r="N612" s="479">
        <f t="shared" si="301"/>
        <v>49.63</v>
      </c>
      <c r="O612" s="494">
        <f t="shared" si="304"/>
        <v>0</v>
      </c>
      <c r="P612" s="481">
        <f>P610+O611</f>
        <v>66.650000000000006</v>
      </c>
      <c r="Q612" s="483"/>
      <c r="R612" s="484"/>
    </row>
    <row r="613" spans="1:19" ht="15.75">
      <c r="A613" s="145">
        <v>1095</v>
      </c>
      <c r="B613" s="43">
        <f>6*110</f>
        <v>660</v>
      </c>
      <c r="C613" s="214">
        <f>B613/1000</f>
        <v>0.66</v>
      </c>
      <c r="D613" s="215">
        <v>0.21740000000000001</v>
      </c>
      <c r="E613" s="214">
        <f>(+C613*D613)+C613</f>
        <v>0.80348400000000009</v>
      </c>
      <c r="F613" s="232">
        <f>ROUND((+$E613*4000)/12,0)</f>
        <v>268</v>
      </c>
      <c r="G613" s="232">
        <f>ROUND((+$E613*8760)/12,0)</f>
        <v>587</v>
      </c>
      <c r="H613" s="141">
        <f t="shared" si="295"/>
        <v>7.5</v>
      </c>
      <c r="I613" s="142">
        <f t="shared" si="296"/>
        <v>161</v>
      </c>
      <c r="J613" s="141">
        <f t="shared" si="297"/>
        <v>17.2</v>
      </c>
      <c r="K613" s="142">
        <f t="shared" si="298"/>
        <v>107</v>
      </c>
      <c r="L613" s="142">
        <f t="shared" si="299"/>
        <v>426</v>
      </c>
      <c r="M613" s="141">
        <f t="shared" si="300"/>
        <v>7.59</v>
      </c>
      <c r="N613" s="141">
        <f t="shared" si="301"/>
        <v>30.21</v>
      </c>
      <c r="O613" s="273">
        <f t="shared" si="304"/>
        <v>32.29</v>
      </c>
      <c r="P613" s="273">
        <f t="shared" si="303"/>
        <v>54.91</v>
      </c>
      <c r="Q613" s="397"/>
      <c r="R613" s="398"/>
    </row>
    <row r="614" spans="1:19" ht="15.75">
      <c r="A614" s="145"/>
      <c r="B614" s="43">
        <f>1*60</f>
        <v>60</v>
      </c>
      <c r="C614" s="214">
        <f>B614/1000</f>
        <v>0.06</v>
      </c>
      <c r="D614" s="215">
        <v>0.21740000000000001</v>
      </c>
      <c r="E614" s="214">
        <f>(+C614*D614)+C614</f>
        <v>7.3043999999999998E-2</v>
      </c>
      <c r="F614" s="232">
        <f>ROUND((+$E614*4000)/12,0)</f>
        <v>24</v>
      </c>
      <c r="G614" s="232">
        <f>ROUND((+$E614*8760)/12,0)</f>
        <v>53</v>
      </c>
      <c r="H614" s="141">
        <f t="shared" si="295"/>
        <v>0.68</v>
      </c>
      <c r="I614" s="142">
        <f t="shared" si="296"/>
        <v>15</v>
      </c>
      <c r="J614" s="141">
        <f t="shared" si="297"/>
        <v>1.6</v>
      </c>
      <c r="K614" s="142">
        <f t="shared" si="298"/>
        <v>9</v>
      </c>
      <c r="L614" s="142">
        <f t="shared" si="299"/>
        <v>38</v>
      </c>
      <c r="M614" s="141">
        <f t="shared" si="300"/>
        <v>0.64</v>
      </c>
      <c r="N614" s="141">
        <f t="shared" si="301"/>
        <v>2.69</v>
      </c>
      <c r="O614" s="273">
        <f t="shared" si="304"/>
        <v>2.9200000000000004</v>
      </c>
      <c r="P614" s="273">
        <f t="shared" si="303"/>
        <v>4.9700000000000006</v>
      </c>
      <c r="Q614" s="483"/>
      <c r="R614" s="484"/>
      <c r="S614" s="485"/>
    </row>
    <row r="615" spans="1:19" ht="16.5" thickBot="1">
      <c r="A615" s="145"/>
      <c r="B615" s="321">
        <f>1*30</f>
        <v>30</v>
      </c>
      <c r="C615" s="214">
        <f>B615/1000</f>
        <v>0.03</v>
      </c>
      <c r="D615" s="215">
        <v>0.21740000000000001</v>
      </c>
      <c r="E615" s="214">
        <f>(+C615*D615)+C615</f>
        <v>3.6521999999999999E-2</v>
      </c>
      <c r="F615" s="384">
        <f>ROUND((+$E615*4000)/12,0)</f>
        <v>12</v>
      </c>
      <c r="G615" s="232">
        <f>ROUND((+$E615*8760)/12,0)</f>
        <v>27</v>
      </c>
      <c r="H615" s="141">
        <f t="shared" si="295"/>
        <v>0.34</v>
      </c>
      <c r="I615" s="142">
        <f t="shared" si="296"/>
        <v>7</v>
      </c>
      <c r="J615" s="141">
        <f t="shared" si="297"/>
        <v>0.75</v>
      </c>
      <c r="K615" s="142">
        <f t="shared" si="298"/>
        <v>5</v>
      </c>
      <c r="L615" s="142">
        <f t="shared" si="299"/>
        <v>20</v>
      </c>
      <c r="M615" s="141">
        <f t="shared" si="300"/>
        <v>0.35</v>
      </c>
      <c r="N615" s="141">
        <f t="shared" si="301"/>
        <v>1.42</v>
      </c>
      <c r="O615" s="385">
        <f t="shared" si="304"/>
        <v>1.44</v>
      </c>
      <c r="P615" s="273">
        <f t="shared" si="303"/>
        <v>2.5099999999999998</v>
      </c>
      <c r="Q615" s="483"/>
      <c r="R615" s="484"/>
      <c r="S615" s="485"/>
    </row>
    <row r="616" spans="1:19" ht="16.5" thickBot="1">
      <c r="A616" s="133"/>
      <c r="B616" s="43">
        <f>+B613+B615</f>
        <v>690</v>
      </c>
      <c r="C616" s="133"/>
      <c r="D616" s="133"/>
      <c r="E616" s="133"/>
      <c r="F616" s="231">
        <f>SUM(F613:F615)</f>
        <v>304</v>
      </c>
      <c r="G616" s="133"/>
      <c r="H616" s="133">
        <f t="shared" si="295"/>
        <v>0</v>
      </c>
      <c r="I616" s="133">
        <f t="shared" si="296"/>
        <v>0</v>
      </c>
      <c r="J616" s="133">
        <f t="shared" si="297"/>
        <v>0</v>
      </c>
      <c r="K616" s="133">
        <f t="shared" si="298"/>
        <v>304</v>
      </c>
      <c r="L616" s="133">
        <f t="shared" si="299"/>
        <v>0</v>
      </c>
      <c r="M616" s="133">
        <f t="shared" si="300"/>
        <v>21.56</v>
      </c>
      <c r="N616" s="133">
        <f t="shared" si="301"/>
        <v>0</v>
      </c>
      <c r="O616" s="217">
        <f>O613+O614+O615</f>
        <v>36.65</v>
      </c>
      <c r="P616" s="153">
        <f t="shared" si="303"/>
        <v>0</v>
      </c>
      <c r="Q616" s="483"/>
      <c r="R616" s="484"/>
      <c r="S616" s="485"/>
    </row>
    <row r="617" spans="1:19" ht="12" customHeight="1">
      <c r="A617" s="145">
        <v>1096</v>
      </c>
      <c r="B617" s="43">
        <f>19*110</f>
        <v>2090</v>
      </c>
      <c r="C617" s="214">
        <f>B617/1000</f>
        <v>2.09</v>
      </c>
      <c r="D617" s="215">
        <v>0.2</v>
      </c>
      <c r="E617" s="214">
        <f>(+C617*D617)+C617</f>
        <v>2.508</v>
      </c>
      <c r="F617" s="232">
        <f>ROUND((+$E617*4000)/12,0)</f>
        <v>836</v>
      </c>
      <c r="G617" s="232">
        <f>ROUND((+$E617*8760)/12,0)</f>
        <v>1831</v>
      </c>
      <c r="H617" s="141">
        <f t="shared" si="295"/>
        <v>23.42</v>
      </c>
      <c r="I617" s="142">
        <f t="shared" si="296"/>
        <v>502</v>
      </c>
      <c r="J617" s="141">
        <f t="shared" si="297"/>
        <v>53.61</v>
      </c>
      <c r="K617" s="142">
        <f t="shared" si="298"/>
        <v>334</v>
      </c>
      <c r="L617" s="142">
        <f t="shared" si="299"/>
        <v>1329</v>
      </c>
      <c r="M617" s="141">
        <f t="shared" si="300"/>
        <v>23.68</v>
      </c>
      <c r="N617" s="141">
        <f t="shared" si="301"/>
        <v>94.23</v>
      </c>
      <c r="O617" s="273">
        <f>H617+J617+M617</f>
        <v>100.71000000000001</v>
      </c>
      <c r="P617" s="273">
        <f t="shared" si="303"/>
        <v>171.26</v>
      </c>
      <c r="Q617" s="483"/>
      <c r="R617" s="484"/>
      <c r="S617" s="485"/>
    </row>
    <row r="618" spans="1:19" ht="16.5" thickBot="1">
      <c r="A618" s="145"/>
      <c r="B618" s="321">
        <f>1*75</f>
        <v>75</v>
      </c>
      <c r="C618" s="214">
        <f>B618/1000</f>
        <v>7.4999999999999997E-2</v>
      </c>
      <c r="D618" s="215">
        <v>0.2</v>
      </c>
      <c r="E618" s="214">
        <f>(+C618*D618)+C618</f>
        <v>0.09</v>
      </c>
      <c r="F618" s="384">
        <f>ROUND((+$E618*4000)/12,0)</f>
        <v>30</v>
      </c>
      <c r="G618" s="232">
        <f>ROUND((+$E618*8760)/12,0)</f>
        <v>66</v>
      </c>
      <c r="H618" s="141">
        <f t="shared" si="295"/>
        <v>0.84</v>
      </c>
      <c r="I618" s="142">
        <f t="shared" si="296"/>
        <v>18</v>
      </c>
      <c r="J618" s="141">
        <f t="shared" si="297"/>
        <v>1.92</v>
      </c>
      <c r="K618" s="142">
        <f t="shared" si="298"/>
        <v>12</v>
      </c>
      <c r="L618" s="142">
        <f t="shared" si="299"/>
        <v>48</v>
      </c>
      <c r="M618" s="141">
        <f t="shared" si="300"/>
        <v>0.85</v>
      </c>
      <c r="N618" s="141">
        <f t="shared" si="301"/>
        <v>3.4</v>
      </c>
      <c r="O618" s="385">
        <f>H618+J618+M618</f>
        <v>3.61</v>
      </c>
      <c r="P618" s="273">
        <f t="shared" si="303"/>
        <v>6.16</v>
      </c>
      <c r="Q618" s="483"/>
      <c r="R618" s="484"/>
      <c r="S618" s="485"/>
    </row>
    <row r="619" spans="1:19" ht="16.5" thickBot="1">
      <c r="A619" s="133"/>
      <c r="B619" s="43">
        <f>+B617+B618</f>
        <v>2165</v>
      </c>
      <c r="C619" s="133"/>
      <c r="D619" s="133"/>
      <c r="E619" s="133"/>
      <c r="F619" s="231">
        <f>F617+F618</f>
        <v>866</v>
      </c>
      <c r="G619" s="133"/>
      <c r="H619" s="133">
        <f t="shared" si="295"/>
        <v>0</v>
      </c>
      <c r="I619" s="133">
        <f t="shared" si="296"/>
        <v>0</v>
      </c>
      <c r="J619" s="133">
        <f t="shared" si="297"/>
        <v>0</v>
      </c>
      <c r="K619" s="133">
        <f t="shared" si="298"/>
        <v>866</v>
      </c>
      <c r="L619" s="133">
        <f t="shared" si="299"/>
        <v>0</v>
      </c>
      <c r="M619" s="133">
        <f t="shared" si="300"/>
        <v>61.4</v>
      </c>
      <c r="N619" s="133">
        <f t="shared" si="301"/>
        <v>0</v>
      </c>
      <c r="O619" s="217">
        <f>SUM(O617:O618)</f>
        <v>104.32000000000001</v>
      </c>
      <c r="P619" s="153">
        <f t="shared" si="303"/>
        <v>0</v>
      </c>
      <c r="Q619" s="483"/>
      <c r="R619" s="484"/>
      <c r="S619" s="485"/>
    </row>
    <row r="620" spans="1:19" ht="16.5" thickBot="1">
      <c r="A620" s="145">
        <v>1097</v>
      </c>
      <c r="B620" s="43">
        <f>4*75</f>
        <v>300</v>
      </c>
      <c r="C620" s="214">
        <f t="shared" ref="C620:C630" si="305">B620/1000</f>
        <v>0.3</v>
      </c>
      <c r="D620" s="215">
        <v>0.1467</v>
      </c>
      <c r="E620" s="214">
        <f t="shared" ref="E620:E630" si="306">(+C620*D620)+C620</f>
        <v>0.34400999999999998</v>
      </c>
      <c r="F620" s="231">
        <f>ROUND((+$E620*4000)/12,0)</f>
        <v>115</v>
      </c>
      <c r="G620" s="232">
        <f t="shared" ref="G620:G630" si="307">ROUND((+$E620*8760)/12,0)</f>
        <v>251</v>
      </c>
      <c r="H620" s="141">
        <f t="shared" si="295"/>
        <v>3.21</v>
      </c>
      <c r="I620" s="142">
        <f t="shared" si="296"/>
        <v>69</v>
      </c>
      <c r="J620" s="141">
        <f t="shared" si="297"/>
        <v>7.37</v>
      </c>
      <c r="K620" s="142">
        <f t="shared" si="298"/>
        <v>46</v>
      </c>
      <c r="L620" s="142">
        <f t="shared" si="299"/>
        <v>182</v>
      </c>
      <c r="M620" s="141">
        <f t="shared" si="300"/>
        <v>3.26</v>
      </c>
      <c r="N620" s="141">
        <f t="shared" si="301"/>
        <v>12.9</v>
      </c>
      <c r="O620" s="217">
        <f t="shared" ref="O620:O630" si="308">H620+J620+M620</f>
        <v>13.84</v>
      </c>
      <c r="P620" s="273">
        <f t="shared" si="303"/>
        <v>23.48</v>
      </c>
      <c r="Q620" s="483"/>
      <c r="R620" s="484"/>
      <c r="S620" s="485"/>
    </row>
    <row r="621" spans="1:19" ht="16.5" thickBot="1">
      <c r="A621" s="145">
        <v>1098</v>
      </c>
      <c r="B621" s="43">
        <f>4*93.75</f>
        <v>375</v>
      </c>
      <c r="C621" s="214">
        <f t="shared" si="305"/>
        <v>0.375</v>
      </c>
      <c r="D621" s="215">
        <v>5.6000000000000001E-2</v>
      </c>
      <c r="E621" s="214">
        <f t="shared" si="306"/>
        <v>0.39600000000000002</v>
      </c>
      <c r="F621" s="231">
        <f>ROUND((+$E621*4000)/12,0)</f>
        <v>132</v>
      </c>
      <c r="G621" s="232">
        <f t="shared" si="307"/>
        <v>289</v>
      </c>
      <c r="H621" s="141">
        <f t="shared" si="295"/>
        <v>3.7</v>
      </c>
      <c r="I621" s="142">
        <f t="shared" si="296"/>
        <v>79</v>
      </c>
      <c r="J621" s="141">
        <f t="shared" si="297"/>
        <v>8.44</v>
      </c>
      <c r="K621" s="142">
        <f t="shared" si="298"/>
        <v>53</v>
      </c>
      <c r="L621" s="142">
        <f t="shared" si="299"/>
        <v>210</v>
      </c>
      <c r="M621" s="141">
        <f t="shared" si="300"/>
        <v>3.76</v>
      </c>
      <c r="N621" s="141">
        <f t="shared" si="301"/>
        <v>14.89</v>
      </c>
      <c r="O621" s="217">
        <f t="shared" si="308"/>
        <v>15.9</v>
      </c>
      <c r="P621" s="273">
        <f t="shared" si="303"/>
        <v>27.03</v>
      </c>
      <c r="Q621" s="483"/>
      <c r="R621" s="484"/>
      <c r="S621" s="485"/>
    </row>
    <row r="622" spans="1:19" ht="16.5" thickBot="1">
      <c r="A622" s="145">
        <v>1099</v>
      </c>
      <c r="B622" s="43">
        <v>0</v>
      </c>
      <c r="C622" s="214">
        <f t="shared" si="305"/>
        <v>0</v>
      </c>
      <c r="D622" s="215">
        <v>0</v>
      </c>
      <c r="E622" s="214">
        <f t="shared" si="306"/>
        <v>0</v>
      </c>
      <c r="F622" s="399">
        <f>ROUND((+E622*50.69)/12,0)</f>
        <v>0</v>
      </c>
      <c r="G622" s="232">
        <f t="shared" si="307"/>
        <v>0</v>
      </c>
      <c r="H622" s="141">
        <f t="shared" si="295"/>
        <v>0</v>
      </c>
      <c r="I622" s="214">
        <f t="shared" si="296"/>
        <v>0</v>
      </c>
      <c r="J622" s="205">
        <f t="shared" si="297"/>
        <v>0</v>
      </c>
      <c r="K622" s="142">
        <f t="shared" si="298"/>
        <v>0</v>
      </c>
      <c r="L622" s="142">
        <f t="shared" si="299"/>
        <v>0</v>
      </c>
      <c r="M622" s="141">
        <f t="shared" si="300"/>
        <v>0</v>
      </c>
      <c r="N622" s="141">
        <f t="shared" si="301"/>
        <v>0</v>
      </c>
      <c r="O622" s="217">
        <f t="shared" si="308"/>
        <v>0</v>
      </c>
      <c r="P622" s="273">
        <f t="shared" si="303"/>
        <v>0</v>
      </c>
      <c r="Q622" s="483"/>
      <c r="R622" s="484"/>
      <c r="S622" s="485"/>
    </row>
    <row r="623" spans="1:19" ht="16.5" thickBot="1">
      <c r="A623" s="145">
        <v>1100</v>
      </c>
      <c r="B623" s="43">
        <f>250+250</f>
        <v>500</v>
      </c>
      <c r="C623" s="214">
        <f t="shared" si="305"/>
        <v>0.5</v>
      </c>
      <c r="D623" s="215">
        <v>0</v>
      </c>
      <c r="E623" s="214">
        <f t="shared" si="306"/>
        <v>0.5</v>
      </c>
      <c r="F623" s="231">
        <f>ROUND((+$E623*2400)/12,0)</f>
        <v>100</v>
      </c>
      <c r="G623" s="232">
        <f t="shared" si="307"/>
        <v>365</v>
      </c>
      <c r="H623" s="141">
        <f t="shared" si="295"/>
        <v>4.67</v>
      </c>
      <c r="I623" s="142">
        <f t="shared" si="296"/>
        <v>100</v>
      </c>
      <c r="J623" s="141">
        <f t="shared" si="297"/>
        <v>10.68</v>
      </c>
      <c r="K623" s="142">
        <f t="shared" si="298"/>
        <v>0</v>
      </c>
      <c r="L623" s="142">
        <f t="shared" si="299"/>
        <v>265</v>
      </c>
      <c r="M623" s="141">
        <f t="shared" si="300"/>
        <v>0</v>
      </c>
      <c r="N623" s="141">
        <f t="shared" si="301"/>
        <v>18.79</v>
      </c>
      <c r="O623" s="217">
        <f t="shared" si="308"/>
        <v>15.35</v>
      </c>
      <c r="P623" s="273">
        <f t="shared" si="303"/>
        <v>34.14</v>
      </c>
      <c r="Q623" s="483"/>
      <c r="R623" s="484"/>
      <c r="S623" s="485"/>
    </row>
    <row r="624" spans="1:19" ht="16.5" thickBot="1">
      <c r="A624" s="145">
        <v>1101</v>
      </c>
      <c r="B624" s="43">
        <f>(220*11.3)</f>
        <v>2486</v>
      </c>
      <c r="C624" s="214">
        <f t="shared" si="305"/>
        <v>2.4860000000000002</v>
      </c>
      <c r="D624" s="215">
        <v>0</v>
      </c>
      <c r="E624" s="214">
        <f t="shared" si="306"/>
        <v>2.4860000000000002</v>
      </c>
      <c r="F624" s="232">
        <f>ROUND((+E624*4000)/12,0)</f>
        <v>829</v>
      </c>
      <c r="G624" s="231">
        <f t="shared" si="307"/>
        <v>1815</v>
      </c>
      <c r="H624" s="141">
        <f t="shared" si="295"/>
        <v>23.22</v>
      </c>
      <c r="I624" s="142">
        <f t="shared" si="296"/>
        <v>497</v>
      </c>
      <c r="J624" s="141">
        <f t="shared" si="297"/>
        <v>53.08</v>
      </c>
      <c r="K624" s="142">
        <f t="shared" si="298"/>
        <v>332</v>
      </c>
      <c r="L624" s="142">
        <f t="shared" si="299"/>
        <v>1318</v>
      </c>
      <c r="M624" s="141">
        <f t="shared" si="300"/>
        <v>23.54</v>
      </c>
      <c r="N624" s="141">
        <f t="shared" si="301"/>
        <v>93.45</v>
      </c>
      <c r="O624" s="273">
        <f t="shared" si="308"/>
        <v>99.84</v>
      </c>
      <c r="P624" s="217">
        <f t="shared" si="303"/>
        <v>169.75</v>
      </c>
      <c r="Q624" s="483"/>
      <c r="R624" s="484"/>
      <c r="S624" s="485"/>
    </row>
    <row r="625" spans="1:23" ht="16.5" thickBot="1">
      <c r="A625" s="145">
        <v>1102</v>
      </c>
      <c r="B625" s="35">
        <v>5.4</v>
      </c>
      <c r="C625" s="214">
        <f t="shared" si="305"/>
        <v>5.4000000000000003E-3</v>
      </c>
      <c r="D625" s="215">
        <v>0</v>
      </c>
      <c r="E625" s="214">
        <f t="shared" si="306"/>
        <v>5.4000000000000003E-3</v>
      </c>
      <c r="F625" s="232">
        <f>ROUND((+E625*4000)/12,0)</f>
        <v>2</v>
      </c>
      <c r="G625" s="231">
        <f t="shared" si="307"/>
        <v>4</v>
      </c>
      <c r="H625" s="141">
        <f t="shared" si="295"/>
        <v>0.05</v>
      </c>
      <c r="I625" s="142">
        <f t="shared" si="296"/>
        <v>1</v>
      </c>
      <c r="J625" s="141">
        <f t="shared" si="297"/>
        <v>0.11</v>
      </c>
      <c r="K625" s="142">
        <f t="shared" si="298"/>
        <v>1</v>
      </c>
      <c r="L625" s="142">
        <f t="shared" si="299"/>
        <v>3</v>
      </c>
      <c r="M625" s="141">
        <f t="shared" si="300"/>
        <v>7.0000000000000007E-2</v>
      </c>
      <c r="N625" s="141">
        <f t="shared" si="301"/>
        <v>0.21</v>
      </c>
      <c r="O625" s="273">
        <f t="shared" si="308"/>
        <v>0.23</v>
      </c>
      <c r="P625" s="217">
        <f t="shared" si="303"/>
        <v>0.37</v>
      </c>
      <c r="Q625" s="483"/>
      <c r="R625" s="484"/>
      <c r="S625" s="485"/>
    </row>
    <row r="626" spans="1:23" ht="16.5" thickBot="1">
      <c r="A626" s="145">
        <v>1103</v>
      </c>
      <c r="B626" s="43">
        <f>4*70</f>
        <v>280</v>
      </c>
      <c r="C626" s="214">
        <f t="shared" si="305"/>
        <v>0.28000000000000003</v>
      </c>
      <c r="D626" s="215">
        <v>0</v>
      </c>
      <c r="E626" s="214">
        <f t="shared" si="306"/>
        <v>0.28000000000000003</v>
      </c>
      <c r="F626" s="231">
        <f>ROUND((+$E626*4000)/12,0)</f>
        <v>93</v>
      </c>
      <c r="G626" s="232">
        <f t="shared" si="307"/>
        <v>204</v>
      </c>
      <c r="H626" s="141">
        <f t="shared" si="295"/>
        <v>2.62</v>
      </c>
      <c r="I626" s="142">
        <f t="shared" si="296"/>
        <v>56</v>
      </c>
      <c r="J626" s="141">
        <f t="shared" si="297"/>
        <v>5.98</v>
      </c>
      <c r="K626" s="142">
        <f t="shared" si="298"/>
        <v>37</v>
      </c>
      <c r="L626" s="142">
        <f t="shared" si="299"/>
        <v>148</v>
      </c>
      <c r="M626" s="141">
        <f t="shared" si="300"/>
        <v>2.62</v>
      </c>
      <c r="N626" s="141">
        <f t="shared" si="301"/>
        <v>10.49</v>
      </c>
      <c r="O626" s="217">
        <f t="shared" si="308"/>
        <v>11.220000000000002</v>
      </c>
      <c r="P626" s="273">
        <f t="shared" si="303"/>
        <v>19.090000000000003</v>
      </c>
      <c r="Q626" s="483"/>
      <c r="R626" s="484"/>
      <c r="S626" s="485"/>
    </row>
    <row r="627" spans="1:23" ht="16.5" thickBot="1">
      <c r="A627" s="145">
        <v>1104</v>
      </c>
      <c r="B627" s="43">
        <v>1000</v>
      </c>
      <c r="C627" s="214">
        <f t="shared" si="305"/>
        <v>1</v>
      </c>
      <c r="D627" s="215">
        <v>0</v>
      </c>
      <c r="E627" s="214">
        <f t="shared" si="306"/>
        <v>1</v>
      </c>
      <c r="F627" s="231">
        <f>ROUND((+$E627*120*24)/12,0)</f>
        <v>240</v>
      </c>
      <c r="G627" s="232">
        <f t="shared" si="307"/>
        <v>730</v>
      </c>
      <c r="H627" s="141">
        <f t="shared" si="295"/>
        <v>9.34</v>
      </c>
      <c r="I627" s="142">
        <f t="shared" si="296"/>
        <v>200</v>
      </c>
      <c r="J627" s="141">
        <f t="shared" si="297"/>
        <v>21.36</v>
      </c>
      <c r="K627" s="142">
        <f t="shared" si="298"/>
        <v>40</v>
      </c>
      <c r="L627" s="142">
        <f t="shared" si="299"/>
        <v>530</v>
      </c>
      <c r="M627" s="141">
        <f t="shared" si="300"/>
        <v>2.84</v>
      </c>
      <c r="N627" s="141">
        <f t="shared" si="301"/>
        <v>37.58</v>
      </c>
      <c r="O627" s="217">
        <f t="shared" si="308"/>
        <v>33.54</v>
      </c>
      <c r="P627" s="273">
        <f t="shared" si="303"/>
        <v>68.28</v>
      </c>
      <c r="Q627" s="483"/>
      <c r="R627" s="484"/>
      <c r="S627" s="485"/>
    </row>
    <row r="628" spans="1:23" ht="16.5" thickBot="1">
      <c r="A628" s="400">
        <v>834</v>
      </c>
      <c r="B628" s="401">
        <v>595</v>
      </c>
      <c r="C628" s="402">
        <f t="shared" si="305"/>
        <v>0.59499999999999997</v>
      </c>
      <c r="D628" s="403">
        <v>0</v>
      </c>
      <c r="E628" s="402">
        <f t="shared" si="306"/>
        <v>0.59499999999999997</v>
      </c>
      <c r="F628" s="232">
        <f>ROUND((+$E628*120*24)/12,0)</f>
        <v>143</v>
      </c>
      <c r="G628" s="231">
        <v>344</v>
      </c>
      <c r="H628" s="141">
        <f t="shared" si="295"/>
        <v>5.56</v>
      </c>
      <c r="I628" s="142">
        <f t="shared" si="296"/>
        <v>119</v>
      </c>
      <c r="J628" s="141">
        <f t="shared" si="297"/>
        <v>12.71</v>
      </c>
      <c r="K628" s="142">
        <f t="shared" si="298"/>
        <v>24</v>
      </c>
      <c r="L628" s="142">
        <f t="shared" si="299"/>
        <v>225</v>
      </c>
      <c r="M628" s="141">
        <f t="shared" si="300"/>
        <v>1.7</v>
      </c>
      <c r="N628" s="141">
        <f t="shared" si="301"/>
        <v>15.95</v>
      </c>
      <c r="O628" s="273">
        <f t="shared" si="308"/>
        <v>19.97</v>
      </c>
      <c r="P628" s="217">
        <f t="shared" si="303"/>
        <v>34.22</v>
      </c>
      <c r="Q628" s="490"/>
      <c r="R628" s="598"/>
      <c r="S628" s="485"/>
    </row>
    <row r="629" spans="1:23" ht="16.5" thickBot="1">
      <c r="A629" s="400">
        <v>1109</v>
      </c>
      <c r="B629" s="401">
        <f>110*6</f>
        <v>660</v>
      </c>
      <c r="C629" s="402">
        <f t="shared" si="305"/>
        <v>0.66</v>
      </c>
      <c r="D629" s="403">
        <v>0.127</v>
      </c>
      <c r="E629" s="402">
        <f t="shared" si="306"/>
        <v>0.74382000000000004</v>
      </c>
      <c r="F629" s="231">
        <f>ROUND((+$E629*4000)/12,0)</f>
        <v>248</v>
      </c>
      <c r="G629" s="232">
        <f t="shared" si="307"/>
        <v>543</v>
      </c>
      <c r="H629" s="141">
        <f t="shared" si="295"/>
        <v>6.95</v>
      </c>
      <c r="I629" s="142">
        <f t="shared" si="296"/>
        <v>149</v>
      </c>
      <c r="J629" s="141">
        <f t="shared" si="297"/>
        <v>15.91</v>
      </c>
      <c r="K629" s="142">
        <f t="shared" si="298"/>
        <v>99</v>
      </c>
      <c r="L629" s="142">
        <f t="shared" si="299"/>
        <v>394</v>
      </c>
      <c r="M629" s="141">
        <f t="shared" si="300"/>
        <v>7.02</v>
      </c>
      <c r="N629" s="141">
        <f t="shared" si="301"/>
        <v>27.94</v>
      </c>
      <c r="O629" s="217">
        <f t="shared" si="308"/>
        <v>29.88</v>
      </c>
      <c r="P629" s="273">
        <f t="shared" si="303"/>
        <v>50.8</v>
      </c>
      <c r="Q629" s="490"/>
      <c r="R629" s="598"/>
      <c r="S629" s="152"/>
      <c r="T629" s="133"/>
      <c r="U629" s="133"/>
      <c r="V629" s="133"/>
      <c r="W629" s="133"/>
    </row>
    <row r="630" spans="1:23" ht="16.5" thickBot="1">
      <c r="A630" s="400">
        <v>1108</v>
      </c>
      <c r="B630" s="401">
        <f>6*34</f>
        <v>204</v>
      </c>
      <c r="C630" s="402">
        <f t="shared" si="305"/>
        <v>0.20399999999999999</v>
      </c>
      <c r="D630" s="403">
        <v>0.1605</v>
      </c>
      <c r="E630" s="402">
        <f t="shared" si="306"/>
        <v>0.23674199999999998</v>
      </c>
      <c r="F630" s="232">
        <f>ROUND((+$E630*4000)/12,0)</f>
        <v>79</v>
      </c>
      <c r="G630" s="231">
        <f t="shared" si="307"/>
        <v>173</v>
      </c>
      <c r="H630" s="141">
        <f t="shared" si="295"/>
        <v>2.21</v>
      </c>
      <c r="I630" s="142">
        <f t="shared" si="296"/>
        <v>47</v>
      </c>
      <c r="J630" s="141">
        <f t="shared" si="297"/>
        <v>5.0199999999999996</v>
      </c>
      <c r="K630" s="142">
        <f t="shared" si="298"/>
        <v>32</v>
      </c>
      <c r="L630" s="142">
        <f t="shared" si="299"/>
        <v>126</v>
      </c>
      <c r="M630" s="141">
        <f t="shared" si="300"/>
        <v>2.27</v>
      </c>
      <c r="N630" s="141">
        <f t="shared" si="301"/>
        <v>8.93</v>
      </c>
      <c r="O630" s="273">
        <f t="shared" si="308"/>
        <v>9.5</v>
      </c>
      <c r="P630" s="217">
        <f t="shared" si="303"/>
        <v>16.16</v>
      </c>
      <c r="Q630" s="490"/>
      <c r="R630" s="598"/>
      <c r="S630" s="152"/>
      <c r="T630" s="133"/>
      <c r="U630" s="133"/>
      <c r="V630" s="133"/>
      <c r="W630" s="133"/>
    </row>
    <row r="631" spans="1:23" ht="15.75">
      <c r="A631" s="99">
        <v>1106</v>
      </c>
      <c r="B631" s="404">
        <f>0.178*365</f>
        <v>64.97</v>
      </c>
      <c r="C631">
        <f>ROUND(+B631/12,0)</f>
        <v>5</v>
      </c>
      <c r="D631" s="405">
        <v>12.65</v>
      </c>
      <c r="E631" s="406">
        <f>ROUND(C631*$P$7,2)</f>
        <v>0.67</v>
      </c>
      <c r="F631" s="405">
        <v>0</v>
      </c>
      <c r="G631" s="405">
        <f>SUM(D631:F631)</f>
        <v>13.32</v>
      </c>
      <c r="H631" s="405"/>
      <c r="I631" s="142"/>
      <c r="J631" s="141"/>
      <c r="K631" s="142"/>
      <c r="L631" s="142"/>
      <c r="M631" s="141"/>
      <c r="N631" s="141"/>
      <c r="O631" s="273"/>
      <c r="P631" s="239"/>
      <c r="Q631" s="490"/>
      <c r="R631" s="598"/>
      <c r="S631" s="152"/>
      <c r="T631" s="133"/>
      <c r="U631" s="133"/>
      <c r="V631" s="133"/>
      <c r="W631" s="133"/>
    </row>
    <row r="632" spans="1:23" ht="16.5" thickBot="1">
      <c r="A632" s="99">
        <v>1105</v>
      </c>
      <c r="B632" s="404">
        <f>4.24*365</f>
        <v>1547.6000000000001</v>
      </c>
      <c r="C632">
        <f>ROUND(+B632/12,0)</f>
        <v>129</v>
      </c>
      <c r="D632" s="405">
        <v>12.65</v>
      </c>
      <c r="E632" s="406">
        <f>ROUND(C632*$P$7,2)</f>
        <v>17.25</v>
      </c>
      <c r="F632" s="405">
        <v>0</v>
      </c>
      <c r="G632" s="405">
        <f>SUM(D632:F632)</f>
        <v>29.9</v>
      </c>
      <c r="H632" s="405"/>
      <c r="I632" s="142"/>
      <c r="J632" s="141"/>
      <c r="K632" s="142"/>
      <c r="L632" s="142"/>
      <c r="M632" s="141"/>
      <c r="N632" s="141"/>
      <c r="O632" s="273"/>
      <c r="P632" s="239"/>
      <c r="Q632" s="490"/>
      <c r="R632" s="598"/>
      <c r="S632" s="152"/>
      <c r="T632" s="133"/>
      <c r="U632" s="133"/>
      <c r="V632" s="133"/>
      <c r="W632" s="133"/>
    </row>
    <row r="633" spans="1:23" ht="16.5" thickBot="1">
      <c r="A633" s="400">
        <v>1110</v>
      </c>
      <c r="B633" s="401">
        <v>20</v>
      </c>
      <c r="C633" s="402">
        <f>B633/1000</f>
        <v>0.02</v>
      </c>
      <c r="D633" s="403">
        <v>0</v>
      </c>
      <c r="E633" s="402">
        <f>(+C633*D633)+C633</f>
        <v>0.02</v>
      </c>
      <c r="F633" s="232">
        <f>ROUND((+$E633*4000)/12,0)</f>
        <v>7</v>
      </c>
      <c r="G633" s="231">
        <f>ROUND((+$E633*8760)/12,0)</f>
        <v>15</v>
      </c>
      <c r="H633" s="154">
        <f>ROUND(+E633*'2012 Rates'!D$7,2)</f>
        <v>0.19</v>
      </c>
      <c r="I633" s="155">
        <f>ROUND(IF((E633*200)&gt;F633,F633,(E633*200)),0)</f>
        <v>4</v>
      </c>
      <c r="J633" s="154">
        <f>ROUND(+I633*'2012 Rates'!D$8,2)</f>
        <v>0.43</v>
      </c>
      <c r="K633" s="155">
        <f>F633-I633</f>
        <v>3</v>
      </c>
      <c r="L633" s="155">
        <f>G633-I633</f>
        <v>11</v>
      </c>
      <c r="M633" s="154">
        <f>ROUND(+K633*'2012 Rates'!D$9,2)</f>
        <v>0.21</v>
      </c>
      <c r="N633" s="154">
        <f>ROUND(+L633*'2012 Rates'!D$9,2)</f>
        <v>0.78</v>
      </c>
      <c r="O633" s="273"/>
      <c r="P633" s="217">
        <v>13.89</v>
      </c>
      <c r="Q633" s="490"/>
      <c r="R633" s="598"/>
      <c r="S633" s="152"/>
      <c r="T633" s="133"/>
      <c r="U633" s="133"/>
      <c r="V633" s="133"/>
      <c r="W633" s="133"/>
    </row>
    <row r="634" spans="1:23" s="391" customFormat="1" ht="15.75">
      <c r="A634" s="574">
        <v>1111</v>
      </c>
      <c r="B634" s="575">
        <f>3*400</f>
        <v>1200</v>
      </c>
      <c r="C634" s="568">
        <f>B634/1000</f>
        <v>1.2</v>
      </c>
      <c r="D634" s="576">
        <v>0</v>
      </c>
      <c r="E634" s="568">
        <f>(+C634*D634)+C634</f>
        <v>1.2</v>
      </c>
      <c r="F634" s="569">
        <f>ROUND((+$E634*4000)/12,0)</f>
        <v>400</v>
      </c>
      <c r="G634" s="570">
        <f>ROUND((+$E634*8760)/12,0)</f>
        <v>876</v>
      </c>
      <c r="H634" s="571">
        <f t="shared" ref="H634:H642" si="309">ROUND(+E634*D$7,2)</f>
        <v>11.21</v>
      </c>
      <c r="I634" s="577">
        <f>ROUND(IF((E634*200)&gt;F634,F634,(E634*200)),0)</f>
        <v>240</v>
      </c>
      <c r="J634" s="571">
        <f t="shared" ref="J634:J640" si="310">ROUND(+I634*D$8,2)</f>
        <v>25.63</v>
      </c>
      <c r="K634" s="577">
        <f>F634-I634</f>
        <v>160</v>
      </c>
      <c r="L634" s="578">
        <v>636</v>
      </c>
      <c r="M634" s="571">
        <f>ROUND(+K634*D$9,2)</f>
        <v>11.34</v>
      </c>
      <c r="N634" s="571">
        <f t="shared" ref="N634:N640" si="311">ROUND(+L634*D$9,2)</f>
        <v>45.1</v>
      </c>
      <c r="O634" s="572">
        <f t="shared" ref="O634:O640" si="312">H634+J634+M634</f>
        <v>48.180000000000007</v>
      </c>
      <c r="P634" s="573">
        <f>H634+J634+N634</f>
        <v>81.94</v>
      </c>
      <c r="Q634" s="579"/>
      <c r="R634" s="580"/>
      <c r="S634" s="152"/>
      <c r="T634" s="394"/>
      <c r="U634" s="394"/>
      <c r="V634" s="394"/>
      <c r="W634" s="394"/>
    </row>
    <row r="635" spans="1:23" s="391" customFormat="1" ht="15.75">
      <c r="A635" s="581"/>
      <c r="B635" s="575">
        <f>3*120</f>
        <v>360</v>
      </c>
      <c r="C635" s="568">
        <f>B635/1000</f>
        <v>0.36</v>
      </c>
      <c r="D635" s="576">
        <v>0</v>
      </c>
      <c r="E635" s="568">
        <f>(+C635*D635)+C635</f>
        <v>0.36</v>
      </c>
      <c r="F635" s="569">
        <f>ROUND((+$E635*8760)/12,0)</f>
        <v>263</v>
      </c>
      <c r="G635" s="570">
        <f>ROUND((+$E635*8760)/12,0)</f>
        <v>263</v>
      </c>
      <c r="H635" s="571">
        <f t="shared" si="309"/>
        <v>3.36</v>
      </c>
      <c r="I635" s="577">
        <f>ROUND(IF((E635*200)&gt;F635,F635,(E635*200)),0)</f>
        <v>72</v>
      </c>
      <c r="J635" s="571">
        <f t="shared" si="310"/>
        <v>7.69</v>
      </c>
      <c r="K635" s="577">
        <f>F635-I635</f>
        <v>191</v>
      </c>
      <c r="L635" s="578">
        <v>191</v>
      </c>
      <c r="M635" s="571">
        <f>ROUND(+K635*D$9,2)</f>
        <v>13.54</v>
      </c>
      <c r="N635" s="571">
        <f t="shared" si="311"/>
        <v>13.54</v>
      </c>
      <c r="O635" s="572">
        <f t="shared" si="312"/>
        <v>24.59</v>
      </c>
      <c r="P635" s="573">
        <f>H635+J635+N635</f>
        <v>24.59</v>
      </c>
      <c r="Q635" s="582"/>
      <c r="R635" s="582"/>
      <c r="S635" s="152"/>
      <c r="T635" s="394"/>
      <c r="U635" s="394"/>
      <c r="V635" s="394"/>
      <c r="W635" s="394"/>
    </row>
    <row r="636" spans="1:23" s="391" customFormat="1" ht="15.75">
      <c r="A636" s="581"/>
      <c r="B636" s="575"/>
      <c r="C636" s="583"/>
      <c r="D636" s="576"/>
      <c r="E636" s="583"/>
      <c r="F636" s="569">
        <f>F634+F635</f>
        <v>663</v>
      </c>
      <c r="G636" s="584"/>
      <c r="H636" s="571"/>
      <c r="I636" s="578"/>
      <c r="J636" s="571"/>
      <c r="K636" s="578"/>
      <c r="L636" s="578"/>
      <c r="M636" s="571"/>
      <c r="N636" s="571"/>
      <c r="O636" s="572">
        <f>O634+O635</f>
        <v>72.77000000000001</v>
      </c>
      <c r="P636" s="582"/>
      <c r="Q636" s="582"/>
      <c r="R636" s="582"/>
      <c r="S636" s="152"/>
      <c r="T636" s="394"/>
      <c r="U636" s="394"/>
      <c r="V636" s="394"/>
      <c r="W636" s="394"/>
    </row>
    <row r="637" spans="1:23" s="391" customFormat="1" ht="15.75">
      <c r="A637" s="581"/>
      <c r="B637" s="575"/>
      <c r="C637" s="583"/>
      <c r="D637" s="576"/>
      <c r="E637" s="583"/>
      <c r="F637" s="569"/>
      <c r="G637" s="584"/>
      <c r="H637" s="571"/>
      <c r="I637" s="578"/>
      <c r="J637" s="571"/>
      <c r="K637" s="578"/>
      <c r="L637" s="578"/>
      <c r="M637" s="571"/>
      <c r="N637" s="571"/>
      <c r="O637" s="572"/>
      <c r="P637" s="582"/>
      <c r="Q637" s="582"/>
      <c r="R637" s="582"/>
      <c r="S637" s="152"/>
      <c r="T637" s="394"/>
      <c r="U637" s="394"/>
      <c r="V637" s="394"/>
      <c r="W637" s="394"/>
    </row>
    <row r="638" spans="1:23" s="391" customFormat="1" ht="15.75">
      <c r="A638" s="574">
        <v>1112</v>
      </c>
      <c r="B638" s="575">
        <v>660</v>
      </c>
      <c r="C638" s="568">
        <f>B638/1000</f>
        <v>0.66</v>
      </c>
      <c r="D638" s="576">
        <v>0</v>
      </c>
      <c r="E638" s="568">
        <f>(+C638*D638)+C638</f>
        <v>0.66</v>
      </c>
      <c r="F638" s="569">
        <f>ROUND((+$E638*4000)/12,0)</f>
        <v>220</v>
      </c>
      <c r="G638" s="570">
        <f>ROUND((+$E638*8760)/12,0)</f>
        <v>482</v>
      </c>
      <c r="H638" s="571">
        <f t="shared" si="309"/>
        <v>6.16</v>
      </c>
      <c r="I638" s="578">
        <v>132</v>
      </c>
      <c r="J638" s="571">
        <f t="shared" si="310"/>
        <v>14.1</v>
      </c>
      <c r="K638" s="577">
        <f>F638-I638</f>
        <v>88</v>
      </c>
      <c r="L638" s="577">
        <f>G638-I638</f>
        <v>350</v>
      </c>
      <c r="M638" s="571">
        <f>ROUND(+K638*D$9,2)</f>
        <v>6.24</v>
      </c>
      <c r="N638" s="571">
        <f t="shared" si="311"/>
        <v>24.82</v>
      </c>
      <c r="O638" s="572">
        <f t="shared" si="312"/>
        <v>26.5</v>
      </c>
      <c r="P638" s="573">
        <f>H638+J638+N638</f>
        <v>45.08</v>
      </c>
      <c r="Q638" s="579"/>
      <c r="R638" s="580"/>
      <c r="S638" s="152"/>
      <c r="T638" s="394"/>
      <c r="U638" s="394"/>
      <c r="V638" s="394"/>
      <c r="W638" s="394"/>
    </row>
    <row r="639" spans="1:23" s="391" customFormat="1" ht="15.75">
      <c r="A639" s="574">
        <v>1113</v>
      </c>
      <c r="B639" s="575">
        <v>1680</v>
      </c>
      <c r="C639" s="568">
        <f>B639/1000</f>
        <v>1.68</v>
      </c>
      <c r="D639" s="576">
        <v>0.12690000000000001</v>
      </c>
      <c r="E639" s="568">
        <f>(+C639*D639)+C639</f>
        <v>1.893192</v>
      </c>
      <c r="F639" s="569">
        <f>ROUND((+$E639*4000)/12,0)</f>
        <v>631</v>
      </c>
      <c r="G639" s="570">
        <f>ROUND((+$E639*8760)/12,0)</f>
        <v>1382</v>
      </c>
      <c r="H639" s="571">
        <f t="shared" si="309"/>
        <v>17.68</v>
      </c>
      <c r="I639" s="578">
        <v>379</v>
      </c>
      <c r="J639" s="571">
        <f t="shared" si="310"/>
        <v>40.479999999999997</v>
      </c>
      <c r="K639" s="577">
        <f>F639-I639</f>
        <v>252</v>
      </c>
      <c r="L639" s="577">
        <f>G639-I639</f>
        <v>1003</v>
      </c>
      <c r="M639" s="571">
        <f>ROUND(+K639*D$9,2)</f>
        <v>17.87</v>
      </c>
      <c r="N639" s="571">
        <f t="shared" si="311"/>
        <v>71.12</v>
      </c>
      <c r="O639" s="572">
        <f t="shared" si="312"/>
        <v>76.03</v>
      </c>
      <c r="P639" s="573">
        <f>H639+J639+N639</f>
        <v>129.28</v>
      </c>
      <c r="Q639" s="579"/>
      <c r="R639" s="580"/>
      <c r="S639" s="152"/>
      <c r="T639" s="394"/>
      <c r="U639" s="394"/>
      <c r="V639" s="394"/>
      <c r="W639" s="394"/>
    </row>
    <row r="640" spans="1:23" s="391" customFormat="1" ht="15.75">
      <c r="A640" s="574">
        <v>1114</v>
      </c>
      <c r="B640" s="575">
        <v>700</v>
      </c>
      <c r="C640" s="568">
        <f>B640/1000</f>
        <v>0.7</v>
      </c>
      <c r="D640" s="576">
        <v>0.1</v>
      </c>
      <c r="E640" s="568">
        <f>(+C640*D640)+C640</f>
        <v>0.76999999999999991</v>
      </c>
      <c r="F640" s="569">
        <f>ROUND((+$E640*4000)/12,0)</f>
        <v>257</v>
      </c>
      <c r="G640" s="570">
        <f>ROUND((+$E640*8760)/12,0)</f>
        <v>562</v>
      </c>
      <c r="H640" s="571">
        <f t="shared" si="309"/>
        <v>7.19</v>
      </c>
      <c r="I640" s="578">
        <v>154</v>
      </c>
      <c r="J640" s="571">
        <f t="shared" si="310"/>
        <v>16.45</v>
      </c>
      <c r="K640" s="577">
        <f>F640-I640</f>
        <v>103</v>
      </c>
      <c r="L640" s="577">
        <f>G640-I640</f>
        <v>408</v>
      </c>
      <c r="M640" s="571">
        <f>ROUND(+K640*D$9,2)</f>
        <v>7.3</v>
      </c>
      <c r="N640" s="571">
        <f t="shared" si="311"/>
        <v>28.93</v>
      </c>
      <c r="O640" s="572">
        <f t="shared" si="312"/>
        <v>30.94</v>
      </c>
      <c r="P640" s="573">
        <f>H640+J640+N640</f>
        <v>52.57</v>
      </c>
      <c r="Q640" s="579"/>
      <c r="R640" s="580"/>
      <c r="S640" s="152"/>
      <c r="T640" s="394"/>
      <c r="U640" s="394"/>
      <c r="V640" s="394"/>
      <c r="W640" s="394"/>
    </row>
    <row r="641" spans="1:23" s="391" customFormat="1" ht="15.75">
      <c r="A641" s="574"/>
      <c r="B641" s="575"/>
      <c r="C641" s="583"/>
      <c r="D641" s="576"/>
      <c r="E641" s="583"/>
      <c r="F641" s="569"/>
      <c r="G641" s="584"/>
      <c r="H641" s="585"/>
      <c r="I641" s="578"/>
      <c r="J641" s="585"/>
      <c r="K641" s="578"/>
      <c r="L641" s="578"/>
      <c r="M641" s="585"/>
      <c r="N641" s="585"/>
      <c r="O641" s="572"/>
      <c r="P641" s="582"/>
      <c r="Q641" s="579"/>
      <c r="R641" s="580"/>
      <c r="S641" s="152"/>
      <c r="T641" s="394"/>
      <c r="U641" s="394"/>
      <c r="V641" s="394"/>
      <c r="W641" s="394"/>
    </row>
    <row r="642" spans="1:23" s="391" customFormat="1" ht="15.75">
      <c r="A642" s="574">
        <v>1115</v>
      </c>
      <c r="B642" s="401">
        <v>3500</v>
      </c>
      <c r="C642" s="402">
        <f>B642/1000</f>
        <v>3.5</v>
      </c>
      <c r="D642" s="403">
        <v>0</v>
      </c>
      <c r="E642" s="402">
        <f>(+C642*D642)+C642</f>
        <v>3.5</v>
      </c>
      <c r="F642" s="395">
        <f>ROUND((+$E642*8760)/12,0)</f>
        <v>2555</v>
      </c>
      <c r="G642" s="151">
        <f>ROUND((+$E642*8760)/12,0)</f>
        <v>2555</v>
      </c>
      <c r="H642" s="571">
        <f t="shared" si="309"/>
        <v>32.69</v>
      </c>
      <c r="I642" s="155">
        <f>ROUND(IF((E642*200)&gt;F642,F642,(E642*200)),0)</f>
        <v>700</v>
      </c>
      <c r="J642" s="571">
        <f>ROUND(+I642*D$8,2)</f>
        <v>74.760000000000005</v>
      </c>
      <c r="K642" s="155">
        <f>F642-I642</f>
        <v>1855</v>
      </c>
      <c r="L642" s="155">
        <f>G642-I642</f>
        <v>1855</v>
      </c>
      <c r="M642" s="571">
        <f>ROUND(+K642*D$9,2)</f>
        <v>131.53</v>
      </c>
      <c r="N642" s="571">
        <f>ROUND(+L642*D$9,2)</f>
        <v>131.53</v>
      </c>
      <c r="O642" s="572">
        <f>H642+J642+M642</f>
        <v>238.98000000000002</v>
      </c>
      <c r="P642" s="239">
        <f>H642+J642+N642</f>
        <v>238.98000000000002</v>
      </c>
      <c r="Q642" s="579"/>
      <c r="R642" s="580"/>
      <c r="S642" s="152"/>
      <c r="T642" s="394"/>
      <c r="U642" s="394"/>
      <c r="V642" s="394"/>
      <c r="W642" s="394"/>
    </row>
    <row r="643" spans="1:23" s="391" customFormat="1" ht="15.75">
      <c r="A643" s="574"/>
      <c r="B643" s="401">
        <f>5000/5</f>
        <v>1000</v>
      </c>
      <c r="C643" s="402">
        <f>B643/1000</f>
        <v>1</v>
      </c>
      <c r="D643" s="403">
        <v>0</v>
      </c>
      <c r="E643" s="402">
        <f>(+C643*D643)+C643</f>
        <v>1</v>
      </c>
      <c r="F643" s="392">
        <f>ROUND((+$E643*10*365)/12,0)</f>
        <v>304</v>
      </c>
      <c r="G643" s="232">
        <f>ROUND((+$E643*8760)/12,0)</f>
        <v>730</v>
      </c>
      <c r="H643" s="571">
        <f>ROUND(+E643*D$7,2)</f>
        <v>9.34</v>
      </c>
      <c r="I643" s="155">
        <f>ROUND(IF((E643*200)&gt;F643,F643,(E643*200)),0)</f>
        <v>200</v>
      </c>
      <c r="J643" s="571">
        <f>ROUND(+I643*D$8,2)</f>
        <v>21.36</v>
      </c>
      <c r="K643" s="155">
        <f>F643-I643</f>
        <v>104</v>
      </c>
      <c r="L643" s="155">
        <f>G643-I643</f>
        <v>530</v>
      </c>
      <c r="M643" s="571">
        <f>ROUND(+K643*D$9,2)</f>
        <v>7.37</v>
      </c>
      <c r="N643" s="571">
        <f>ROUND(+L643*D$9,2)</f>
        <v>37.58</v>
      </c>
      <c r="O643" s="393">
        <f>H643+J643+M643</f>
        <v>38.07</v>
      </c>
      <c r="P643" s="273">
        <f>H643+J643+N643</f>
        <v>68.28</v>
      </c>
      <c r="Q643" s="490"/>
      <c r="R643" s="599"/>
      <c r="S643" s="152"/>
      <c r="T643" s="394"/>
      <c r="U643" s="394"/>
      <c r="V643" s="394"/>
      <c r="W643" s="394"/>
    </row>
    <row r="644" spans="1:23" s="391" customFormat="1" ht="15.75">
      <c r="A644" s="574"/>
      <c r="B644" s="401">
        <f>2500/5</f>
        <v>500</v>
      </c>
      <c r="C644" s="402">
        <f>B644/1000</f>
        <v>0.5</v>
      </c>
      <c r="D644" s="403">
        <v>0</v>
      </c>
      <c r="E644" s="402">
        <f>(+C644*D644)+C644</f>
        <v>0.5</v>
      </c>
      <c r="F644" s="392">
        <f>ROUND((+$E644*5110)/12,0)</f>
        <v>213</v>
      </c>
      <c r="G644" s="232">
        <f>ROUND((+$E644*8760)/12,0)</f>
        <v>365</v>
      </c>
      <c r="H644" s="571">
        <f>ROUND(+E644*D$7,2)</f>
        <v>4.67</v>
      </c>
      <c r="I644" s="155">
        <f>ROUND(IF((E644*200)&gt;F644,F644,(E644*200)),0)</f>
        <v>100</v>
      </c>
      <c r="J644" s="571">
        <f>ROUND(+I644*D$8,2)</f>
        <v>10.68</v>
      </c>
      <c r="K644" s="155">
        <f>F644-I644</f>
        <v>113</v>
      </c>
      <c r="L644" s="155">
        <f>G644-I644</f>
        <v>265</v>
      </c>
      <c r="M644" s="571">
        <f>ROUND(+K644*D$9,2)</f>
        <v>8.01</v>
      </c>
      <c r="N644" s="571">
        <f>ROUND(+L644*D$9,2)</f>
        <v>18.79</v>
      </c>
      <c r="O644" s="393">
        <f>H644+J644+M644</f>
        <v>23.36</v>
      </c>
      <c r="P644" s="273">
        <f>H644+J644+N644</f>
        <v>34.14</v>
      </c>
      <c r="Q644" s="490"/>
      <c r="R644" s="598"/>
      <c r="S644" s="152"/>
      <c r="T644" s="394"/>
      <c r="U644" s="394"/>
      <c r="V644" s="394"/>
      <c r="W644" s="394"/>
    </row>
    <row r="645" spans="1:23" s="391" customFormat="1" ht="15.75">
      <c r="A645" s="574"/>
      <c r="B645" s="401"/>
      <c r="C645" s="402"/>
      <c r="D645" s="403"/>
      <c r="E645" s="402"/>
      <c r="F645" s="392">
        <f>F643+F644</f>
        <v>517</v>
      </c>
      <c r="G645" s="232">
        <f>SUM(G643:G644)</f>
        <v>1095</v>
      </c>
      <c r="H645" s="154"/>
      <c r="I645" s="155"/>
      <c r="J645" s="154"/>
      <c r="K645" s="155"/>
      <c r="L645" s="155"/>
      <c r="M645" s="154"/>
      <c r="N645" s="154"/>
      <c r="O645" s="393">
        <f>SUM(O643:O644)</f>
        <v>61.43</v>
      </c>
      <c r="P645" s="239">
        <f>SUM(P643:P644)</f>
        <v>102.42</v>
      </c>
      <c r="Q645" s="490"/>
      <c r="R645" s="598"/>
      <c r="S645" s="152"/>
      <c r="T645" s="394"/>
      <c r="U645" s="394"/>
      <c r="V645" s="394"/>
      <c r="W645" s="394"/>
    </row>
    <row r="646" spans="1:23" s="391" customFormat="1" ht="15.75">
      <c r="A646" s="574"/>
      <c r="B646" s="401"/>
      <c r="C646" s="402"/>
      <c r="D646" s="403"/>
      <c r="E646" s="402"/>
      <c r="F646" s="392"/>
      <c r="G646" s="232"/>
      <c r="H646" s="154"/>
      <c r="I646" s="155"/>
      <c r="J646" s="154"/>
      <c r="K646" s="155"/>
      <c r="L646" s="155"/>
      <c r="M646" s="154"/>
      <c r="N646" s="154"/>
      <c r="O646" s="393"/>
      <c r="P646" s="239"/>
      <c r="Q646" s="490"/>
      <c r="R646" s="598"/>
      <c r="S646" s="152"/>
      <c r="T646" s="394"/>
      <c r="U646" s="394"/>
      <c r="V646" s="394"/>
      <c r="W646" s="394"/>
    </row>
    <row r="647" spans="1:23" s="391" customFormat="1" ht="15.75">
      <c r="A647" s="574">
        <v>1116</v>
      </c>
      <c r="B647" s="401">
        <f>85*11</f>
        <v>935</v>
      </c>
      <c r="C647" s="402">
        <f>B647/1000</f>
        <v>0.93500000000000005</v>
      </c>
      <c r="D647" s="403">
        <f>((85+(200*5))/(11*85))-1</f>
        <v>0.16042780748663099</v>
      </c>
      <c r="E647" s="402">
        <f>(+C647*D647)+C647</f>
        <v>1.085</v>
      </c>
      <c r="F647" s="392">
        <f>ROUND((+$E647*4000)/12,0)</f>
        <v>362</v>
      </c>
      <c r="G647" s="232">
        <f>ROUND((+$E647*8760)/12,0)</f>
        <v>792</v>
      </c>
      <c r="H647" s="571">
        <f>ROUND(+E647*D$7,2)</f>
        <v>10.130000000000001</v>
      </c>
      <c r="I647" s="155">
        <f>ROUND(IF((E647*200)&gt;F647,F647,(E647*200)),0)</f>
        <v>217</v>
      </c>
      <c r="J647" s="571">
        <f>ROUND(+I647*D$8,2)</f>
        <v>23.18</v>
      </c>
      <c r="K647" s="155">
        <f>F647-I647</f>
        <v>145</v>
      </c>
      <c r="L647" s="155">
        <f>G647-I647</f>
        <v>575</v>
      </c>
      <c r="M647" s="571">
        <f>ROUND(+K647*D$9,2)</f>
        <v>10.28</v>
      </c>
      <c r="N647" s="571">
        <f>ROUND(+L647*D$9,2)</f>
        <v>40.770000000000003</v>
      </c>
      <c r="O647" s="393">
        <f>H647+J647+M647</f>
        <v>43.59</v>
      </c>
      <c r="P647" s="273">
        <f>H647+J647+N647</f>
        <v>74.080000000000013</v>
      </c>
      <c r="Q647" s="579"/>
      <c r="R647" s="580"/>
      <c r="S647" s="152"/>
      <c r="T647" s="394"/>
      <c r="U647" s="394"/>
      <c r="V647" s="394"/>
      <c r="W647" s="394"/>
    </row>
    <row r="648" spans="1:23" s="391" customFormat="1" ht="15.75">
      <c r="A648" s="586"/>
      <c r="B648" s="575"/>
      <c r="C648" s="583"/>
      <c r="D648" s="576"/>
      <c r="E648" s="583"/>
      <c r="F648" s="569"/>
      <c r="G648" s="584"/>
      <c r="H648" s="585"/>
      <c r="I648" s="578"/>
      <c r="J648" s="585"/>
      <c r="K648" s="578"/>
      <c r="L648" s="578"/>
      <c r="M648" s="585"/>
      <c r="N648" s="585"/>
      <c r="O648" s="572"/>
      <c r="P648" s="582"/>
      <c r="Q648" s="582"/>
      <c r="R648" s="582"/>
      <c r="S648" s="152"/>
      <c r="T648" s="394"/>
      <c r="U648" s="394"/>
      <c r="V648" s="394"/>
      <c r="W648" s="394"/>
    </row>
    <row r="649" spans="1:23" s="391" customFormat="1" ht="15.75">
      <c r="A649" s="574">
        <v>1117</v>
      </c>
      <c r="B649" s="401">
        <f>8*45</f>
        <v>360</v>
      </c>
      <c r="C649" s="402">
        <f>B649/1000</f>
        <v>0.36</v>
      </c>
      <c r="D649" s="403">
        <v>0.13900000000000001</v>
      </c>
      <c r="E649" s="402">
        <f>(+C649*D649)+C649</f>
        <v>0.41003999999999996</v>
      </c>
      <c r="F649" s="392">
        <f>ROUND((+$E649*4000)/12,0)</f>
        <v>137</v>
      </c>
      <c r="G649" s="232">
        <f>ROUND((+$E649*8760)/12,0)</f>
        <v>299</v>
      </c>
      <c r="H649" s="571">
        <f>ROUND(+E649*D$7,2)</f>
        <v>3.83</v>
      </c>
      <c r="I649" s="155">
        <f>ROUND(IF((E649*200)&gt;F649,F649,(E649*200)),0)</f>
        <v>82</v>
      </c>
      <c r="J649" s="571">
        <f>ROUND(+I649*D$8,2)</f>
        <v>8.76</v>
      </c>
      <c r="K649" s="155">
        <f>F649-I649</f>
        <v>55</v>
      </c>
      <c r="L649" s="155">
        <f>G649-I649</f>
        <v>217</v>
      </c>
      <c r="M649" s="571">
        <f>ROUND(+K649*D$9,2)</f>
        <v>3.9</v>
      </c>
      <c r="N649" s="571">
        <f>ROUND(+L649*D$9,2)</f>
        <v>15.39</v>
      </c>
      <c r="O649" s="393">
        <f>H649+J649+M649</f>
        <v>16.489999999999998</v>
      </c>
      <c r="P649" s="273">
        <f>H649+J649+N649</f>
        <v>27.98</v>
      </c>
      <c r="Q649" s="582"/>
      <c r="R649" s="582"/>
      <c r="S649" s="152"/>
      <c r="T649" s="394"/>
      <c r="U649" s="394"/>
      <c r="V649" s="394"/>
      <c r="W649" s="394"/>
    </row>
    <row r="650" spans="1:23" s="391" customFormat="1" ht="15.75">
      <c r="A650" s="574"/>
      <c r="B650" s="401">
        <f>2*35</f>
        <v>70</v>
      </c>
      <c r="C650" s="402">
        <f>B650/1000</f>
        <v>7.0000000000000007E-2</v>
      </c>
      <c r="D650" s="403">
        <v>0.186</v>
      </c>
      <c r="E650" s="402">
        <f>(+C650*D650)+C650</f>
        <v>8.302000000000001E-2</v>
      </c>
      <c r="F650" s="392">
        <f>ROUND((+$E650*4000)/12,0)</f>
        <v>28</v>
      </c>
      <c r="G650" s="232">
        <f>ROUND((+$E650*8760)/12,0)</f>
        <v>61</v>
      </c>
      <c r="H650" s="571">
        <f>ROUND(+E650*D$7,2)</f>
        <v>0.78</v>
      </c>
      <c r="I650" s="155">
        <f>ROUND(IF((E650*200)&gt;F650,F650,(E650*200)),0)</f>
        <v>17</v>
      </c>
      <c r="J650" s="571">
        <f>ROUND(+I650*D$8,2)</f>
        <v>1.82</v>
      </c>
      <c r="K650" s="155">
        <f>F650-I650</f>
        <v>11</v>
      </c>
      <c r="L650" s="155">
        <f>G650-I650</f>
        <v>44</v>
      </c>
      <c r="M650" s="571">
        <f>ROUND(+K650*D$9,2)</f>
        <v>0.78</v>
      </c>
      <c r="N650" s="571">
        <f>ROUND(+L650*D$9,2)</f>
        <v>3.12</v>
      </c>
      <c r="O650" s="393">
        <f>H650+J650+M650</f>
        <v>3.38</v>
      </c>
      <c r="P650" s="273">
        <f>H650+J650+N650</f>
        <v>5.7200000000000006</v>
      </c>
      <c r="Q650" s="582"/>
      <c r="R650" s="582"/>
      <c r="S650" s="152"/>
      <c r="T650" s="394"/>
      <c r="U650" s="394"/>
      <c r="V650" s="394"/>
      <c r="W650" s="394"/>
    </row>
    <row r="651" spans="1:23" s="391" customFormat="1" ht="15.75">
      <c r="A651" s="574"/>
      <c r="B651" s="401">
        <v>80</v>
      </c>
      <c r="C651" s="402">
        <f>B651/1000</f>
        <v>0.08</v>
      </c>
      <c r="D651" s="403">
        <v>0.184</v>
      </c>
      <c r="E651" s="402">
        <f>(+C651*D651)+C651</f>
        <v>9.4719999999999999E-2</v>
      </c>
      <c r="F651" s="392">
        <f>ROUND((+$E651*4000)/12,0)</f>
        <v>32</v>
      </c>
      <c r="G651" s="232">
        <f>ROUND((+$E651*8760)/12,0)</f>
        <v>69</v>
      </c>
      <c r="H651" s="571">
        <f>ROUND(+E651*D$7,2)</f>
        <v>0.88</v>
      </c>
      <c r="I651" s="155">
        <f>ROUND(IF((E651*200)&gt;F651,F651,(E651*200)),0)</f>
        <v>19</v>
      </c>
      <c r="J651" s="571">
        <f>ROUND(+I651*D$8,2)</f>
        <v>2.0299999999999998</v>
      </c>
      <c r="K651" s="155">
        <f>F651-I651</f>
        <v>13</v>
      </c>
      <c r="L651" s="155">
        <f>G651-I651</f>
        <v>50</v>
      </c>
      <c r="M651" s="571">
        <f>ROUND(+K651*D$9,2)</f>
        <v>0.92</v>
      </c>
      <c r="N651" s="571">
        <f>ROUND(+L651*D$9,2)</f>
        <v>3.55</v>
      </c>
      <c r="O651" s="393">
        <f>H651+J651+M651</f>
        <v>3.8299999999999996</v>
      </c>
      <c r="P651" s="273">
        <f>H651+J651+N651</f>
        <v>6.4599999999999991</v>
      </c>
      <c r="Q651" s="582"/>
      <c r="R651" s="582"/>
      <c r="S651" s="152"/>
      <c r="T651" s="394"/>
      <c r="U651" s="394"/>
      <c r="V651" s="394"/>
      <c r="W651" s="394"/>
    </row>
    <row r="652" spans="1:23" s="391" customFormat="1" ht="15.75">
      <c r="A652" s="574"/>
      <c r="B652" s="401">
        <f>20*60</f>
        <v>1200</v>
      </c>
      <c r="C652" s="402">
        <f>B652/1000</f>
        <v>1.2</v>
      </c>
      <c r="D652" s="403">
        <v>0.17799999999999999</v>
      </c>
      <c r="E652" s="402">
        <f>(+C652*D652)+C652</f>
        <v>1.4136</v>
      </c>
      <c r="F652" s="392">
        <f>ROUND((+$E652*4000)/12,0)</f>
        <v>471</v>
      </c>
      <c r="G652" s="232">
        <f>ROUND((+$E652*8760)/12,0)</f>
        <v>1032</v>
      </c>
      <c r="H652" s="571">
        <f>ROUND(+E652*D$7,2)</f>
        <v>13.2</v>
      </c>
      <c r="I652" s="155">
        <f>ROUND(IF((E652*200)&gt;F652,F652,(E652*200)),0)</f>
        <v>283</v>
      </c>
      <c r="J652" s="571">
        <f>ROUND(+I652*D$8,2)</f>
        <v>30.23</v>
      </c>
      <c r="K652" s="155">
        <f>F652-I652</f>
        <v>188</v>
      </c>
      <c r="L652" s="155">
        <f>G652-I652</f>
        <v>749</v>
      </c>
      <c r="M652" s="571">
        <f>ROUND(+K652*D$9,2)</f>
        <v>13.33</v>
      </c>
      <c r="N652" s="571">
        <f>ROUND(+L652*D$9,2)</f>
        <v>53.11</v>
      </c>
      <c r="O652" s="393">
        <f>H652+J652+M652</f>
        <v>56.76</v>
      </c>
      <c r="P652" s="273">
        <f>H652+J652+N652</f>
        <v>96.539999999999992</v>
      </c>
      <c r="Q652" s="582"/>
      <c r="R652" s="582"/>
      <c r="S652" s="152"/>
      <c r="T652" s="394"/>
      <c r="U652" s="394"/>
      <c r="V652" s="394"/>
      <c r="W652" s="394"/>
    </row>
    <row r="653" spans="1:23" s="391" customFormat="1" ht="15.75">
      <c r="A653" s="574"/>
      <c r="B653" s="401">
        <f>SUM(B649:B652)</f>
        <v>1710</v>
      </c>
      <c r="C653" s="314"/>
      <c r="D653" s="587"/>
      <c r="E653" s="314"/>
      <c r="F653" s="392">
        <f>SUM(F649:F652)</f>
        <v>668</v>
      </c>
      <c r="G653" s="250"/>
      <c r="H653" s="16"/>
      <c r="I653" s="588"/>
      <c r="J653" s="16"/>
      <c r="K653" s="588"/>
      <c r="L653" s="588"/>
      <c r="M653" s="16"/>
      <c r="N653" s="16"/>
      <c r="O653" s="589">
        <f>SUM(O649:O652)</f>
        <v>80.459999999999994</v>
      </c>
      <c r="P653" s="16"/>
      <c r="Q653" s="582"/>
      <c r="R653" s="582"/>
      <c r="S653" s="152"/>
      <c r="T653" s="394"/>
      <c r="U653" s="394"/>
      <c r="V653" s="394"/>
      <c r="W653" s="394"/>
    </row>
    <row r="654" spans="1:23" s="391" customFormat="1" ht="15.75">
      <c r="A654" s="574"/>
      <c r="B654" s="575"/>
      <c r="C654" s="583"/>
      <c r="D654" s="576"/>
      <c r="E654" s="583"/>
      <c r="F654" s="569"/>
      <c r="G654" s="584"/>
      <c r="H654" s="585"/>
      <c r="I654" s="578"/>
      <c r="J654" s="585"/>
      <c r="K654" s="578"/>
      <c r="L654" s="578"/>
      <c r="M654" s="585"/>
      <c r="N654" s="585"/>
      <c r="O654" s="590"/>
      <c r="P654" s="582"/>
      <c r="Q654" s="579"/>
      <c r="R654" s="580"/>
      <c r="S654" s="152"/>
      <c r="T654" s="394"/>
      <c r="U654" s="394"/>
      <c r="V654" s="394"/>
      <c r="W654" s="394"/>
    </row>
    <row r="655" spans="1:23" s="391" customFormat="1" ht="15.75">
      <c r="A655" s="574">
        <v>1118</v>
      </c>
      <c r="B655" s="575">
        <v>40</v>
      </c>
      <c r="C655" s="314">
        <f t="shared" ref="C655:C672" si="313">B655/1000</f>
        <v>0.04</v>
      </c>
      <c r="D655" s="576">
        <v>0.1</v>
      </c>
      <c r="E655" s="314">
        <f t="shared" ref="E655:E672" si="314">(+C655*D655)+C655</f>
        <v>4.3999999999999997E-2</v>
      </c>
      <c r="F655" s="395">
        <f>ROUND((+$E655*4000)/12,0)</f>
        <v>15</v>
      </c>
      <c r="G655" s="232">
        <f t="shared" ref="G655:G672" si="315">ROUND((+$E655*8760)/12,0)</f>
        <v>32</v>
      </c>
      <c r="H655" s="571">
        <f t="shared" ref="H655:H672" si="316">ROUND(+E655*D$7,2)</f>
        <v>0.41</v>
      </c>
      <c r="I655" s="578">
        <v>176</v>
      </c>
      <c r="J655" s="571">
        <f t="shared" ref="J655:J672" si="317">ROUND(+I655*D$8,2)</f>
        <v>18.8</v>
      </c>
      <c r="K655" s="578">
        <v>117</v>
      </c>
      <c r="L655" s="578">
        <v>466</v>
      </c>
      <c r="M655" s="571">
        <f t="shared" ref="M655:M672" si="318">ROUND(+K655*D$9,2)</f>
        <v>8.3000000000000007</v>
      </c>
      <c r="N655" s="571">
        <f t="shared" ref="N655:N672" si="319">ROUND(+L655*D$9,2)</f>
        <v>33.04</v>
      </c>
      <c r="O655" s="875">
        <v>13.89</v>
      </c>
      <c r="P655" s="494">
        <f t="shared" ref="P655:P670" si="320">H655+J655+N655</f>
        <v>52.25</v>
      </c>
      <c r="Q655" s="579"/>
      <c r="R655" s="580"/>
      <c r="S655" s="152"/>
      <c r="T655" s="394"/>
      <c r="U655" s="394"/>
      <c r="V655" s="394"/>
      <c r="W655" s="394"/>
    </row>
    <row r="656" spans="1:23" ht="15.75">
      <c r="A656" s="574">
        <v>1119</v>
      </c>
      <c r="B656" s="575">
        <v>3234</v>
      </c>
      <c r="C656" s="314">
        <f t="shared" si="313"/>
        <v>3.234</v>
      </c>
      <c r="D656" s="576">
        <v>0</v>
      </c>
      <c r="E656" s="314">
        <f t="shared" si="314"/>
        <v>3.234</v>
      </c>
      <c r="F656" s="569">
        <v>202</v>
      </c>
      <c r="G656" s="232">
        <f t="shared" si="315"/>
        <v>2361</v>
      </c>
      <c r="H656" s="571">
        <f t="shared" si="316"/>
        <v>30.2</v>
      </c>
      <c r="I656" s="578">
        <v>202</v>
      </c>
      <c r="J656" s="571">
        <f t="shared" si="317"/>
        <v>21.57</v>
      </c>
      <c r="K656" s="578">
        <v>0</v>
      </c>
      <c r="L656" s="578">
        <v>2159</v>
      </c>
      <c r="M656" s="571">
        <f t="shared" si="318"/>
        <v>0</v>
      </c>
      <c r="N656" s="571">
        <f t="shared" si="319"/>
        <v>153.08000000000001</v>
      </c>
      <c r="O656" s="393">
        <f t="shared" ref="O656:O672" si="321">H656+J656+M656</f>
        <v>51.769999999999996</v>
      </c>
      <c r="P656" s="494">
        <f t="shared" si="320"/>
        <v>204.85000000000002</v>
      </c>
      <c r="Q656" s="579"/>
      <c r="R656" s="580"/>
      <c r="S656" s="152"/>
      <c r="T656" s="133"/>
      <c r="U656" s="133"/>
      <c r="V656" s="133"/>
      <c r="W656" s="133"/>
    </row>
    <row r="657" spans="1:23" ht="15.75">
      <c r="A657" s="574">
        <v>1120</v>
      </c>
      <c r="B657" s="575">
        <v>120</v>
      </c>
      <c r="C657" s="314">
        <f t="shared" si="313"/>
        <v>0.12</v>
      </c>
      <c r="D657" s="576">
        <v>0.21665999999999999</v>
      </c>
      <c r="E657" s="314">
        <f t="shared" si="314"/>
        <v>0.1459992</v>
      </c>
      <c r="F657" s="395">
        <f t="shared" ref="F657:F671" si="322">ROUND((+$E657*4000)/12,0)</f>
        <v>49</v>
      </c>
      <c r="G657" s="232">
        <f t="shared" si="315"/>
        <v>107</v>
      </c>
      <c r="H657" s="571">
        <f t="shared" si="316"/>
        <v>1.36</v>
      </c>
      <c r="I657" s="578">
        <v>29</v>
      </c>
      <c r="J657" s="571">
        <f t="shared" si="317"/>
        <v>3.1</v>
      </c>
      <c r="K657" s="578">
        <v>20</v>
      </c>
      <c r="L657" s="578">
        <v>78</v>
      </c>
      <c r="M657" s="571">
        <f t="shared" si="318"/>
        <v>1.42</v>
      </c>
      <c r="N657" s="571">
        <f t="shared" si="319"/>
        <v>5.53</v>
      </c>
      <c r="O657" s="393">
        <f t="shared" si="321"/>
        <v>5.88</v>
      </c>
      <c r="P657" s="494">
        <f t="shared" si="320"/>
        <v>9.99</v>
      </c>
      <c r="Q657" s="579"/>
      <c r="R657" s="580"/>
      <c r="S657" s="152"/>
      <c r="T657" s="133"/>
      <c r="U657" s="133"/>
      <c r="V657" s="133"/>
      <c r="W657" s="133"/>
    </row>
    <row r="658" spans="1:23" ht="15.75">
      <c r="A658" s="574">
        <v>1121</v>
      </c>
      <c r="B658" s="575">
        <v>180</v>
      </c>
      <c r="C658" s="314">
        <f t="shared" si="313"/>
        <v>0.18</v>
      </c>
      <c r="D658" s="576">
        <v>0.1</v>
      </c>
      <c r="E658" s="314">
        <f t="shared" si="314"/>
        <v>0.19799999999999998</v>
      </c>
      <c r="F658" s="395">
        <f t="shared" si="322"/>
        <v>66</v>
      </c>
      <c r="G658" s="232">
        <f t="shared" si="315"/>
        <v>145</v>
      </c>
      <c r="H658" s="571">
        <f t="shared" si="316"/>
        <v>1.85</v>
      </c>
      <c r="I658" s="578">
        <v>40</v>
      </c>
      <c r="J658" s="571">
        <f t="shared" si="317"/>
        <v>4.2699999999999996</v>
      </c>
      <c r="K658" s="578">
        <v>26</v>
      </c>
      <c r="L658" s="578">
        <v>105</v>
      </c>
      <c r="M658" s="571">
        <f t="shared" si="318"/>
        <v>1.84</v>
      </c>
      <c r="N658" s="571">
        <f t="shared" si="319"/>
        <v>7.45</v>
      </c>
      <c r="O658" s="393">
        <f t="shared" si="321"/>
        <v>7.9599999999999991</v>
      </c>
      <c r="P658" s="494">
        <f t="shared" si="320"/>
        <v>13.57</v>
      </c>
      <c r="Q658" s="579"/>
      <c r="R658" s="580"/>
      <c r="S658" s="152"/>
      <c r="T658" s="133"/>
      <c r="U658" s="133"/>
      <c r="V658" s="133"/>
      <c r="W658" s="133"/>
    </row>
    <row r="659" spans="1:23" ht="15.75">
      <c r="A659" s="574">
        <v>1122</v>
      </c>
      <c r="B659" s="575">
        <v>82</v>
      </c>
      <c r="C659" s="314">
        <f t="shared" si="313"/>
        <v>8.2000000000000003E-2</v>
      </c>
      <c r="D659" s="576">
        <v>0</v>
      </c>
      <c r="E659" s="314">
        <f t="shared" si="314"/>
        <v>8.2000000000000003E-2</v>
      </c>
      <c r="F659" s="395">
        <f t="shared" si="322"/>
        <v>27</v>
      </c>
      <c r="G659" s="232">
        <f t="shared" si="315"/>
        <v>60</v>
      </c>
      <c r="H659" s="571">
        <f t="shared" si="316"/>
        <v>0.77</v>
      </c>
      <c r="I659" s="578">
        <v>16</v>
      </c>
      <c r="J659" s="571">
        <f t="shared" si="317"/>
        <v>1.71</v>
      </c>
      <c r="K659" s="578">
        <v>11</v>
      </c>
      <c r="L659" s="578">
        <v>44</v>
      </c>
      <c r="M659" s="571">
        <f t="shared" si="318"/>
        <v>0.78</v>
      </c>
      <c r="N659" s="571">
        <f t="shared" si="319"/>
        <v>3.12</v>
      </c>
      <c r="O659" s="393">
        <f>B12</f>
        <v>13.891133302485763</v>
      </c>
      <c r="P659" s="494">
        <f t="shared" si="320"/>
        <v>5.6</v>
      </c>
      <c r="Q659" s="579"/>
      <c r="R659" s="580"/>
      <c r="S659" s="152"/>
      <c r="T659" s="133"/>
      <c r="U659" s="133"/>
      <c r="V659" s="133"/>
      <c r="W659" s="133"/>
    </row>
    <row r="660" spans="1:23" ht="15.75">
      <c r="A660" s="574">
        <v>1123</v>
      </c>
      <c r="B660" s="575">
        <v>110</v>
      </c>
      <c r="C660" s="314">
        <f t="shared" si="313"/>
        <v>0.11</v>
      </c>
      <c r="D660" s="576">
        <v>0</v>
      </c>
      <c r="E660" s="314">
        <f t="shared" si="314"/>
        <v>0.11</v>
      </c>
      <c r="F660" s="395">
        <f t="shared" si="322"/>
        <v>37</v>
      </c>
      <c r="G660" s="232">
        <f t="shared" si="315"/>
        <v>80</v>
      </c>
      <c r="H660" s="571">
        <f t="shared" si="316"/>
        <v>1.03</v>
      </c>
      <c r="I660" s="578">
        <v>22</v>
      </c>
      <c r="J660" s="571">
        <f t="shared" si="317"/>
        <v>2.35</v>
      </c>
      <c r="K660" s="578">
        <v>15</v>
      </c>
      <c r="L660" s="578">
        <v>58</v>
      </c>
      <c r="M660" s="571">
        <f t="shared" si="318"/>
        <v>1.06</v>
      </c>
      <c r="N660" s="571">
        <f t="shared" si="319"/>
        <v>4.1100000000000003</v>
      </c>
      <c r="O660" s="393">
        <f t="shared" si="321"/>
        <v>4.4399999999999995</v>
      </c>
      <c r="P660" s="494">
        <f t="shared" si="320"/>
        <v>7.49</v>
      </c>
      <c r="Q660" s="579"/>
      <c r="R660" s="580"/>
      <c r="S660" s="152"/>
      <c r="T660" s="133"/>
      <c r="U660" s="133"/>
      <c r="V660" s="133"/>
      <c r="W660" s="133"/>
    </row>
    <row r="661" spans="1:23" ht="15.75">
      <c r="A661" s="574">
        <v>1124</v>
      </c>
      <c r="B661" s="575">
        <v>1200</v>
      </c>
      <c r="C661" s="314">
        <f t="shared" si="313"/>
        <v>1.2</v>
      </c>
      <c r="D661" s="576">
        <v>0.05</v>
      </c>
      <c r="E661" s="314">
        <f t="shared" si="314"/>
        <v>1.26</v>
      </c>
      <c r="F661" s="395">
        <f t="shared" si="322"/>
        <v>420</v>
      </c>
      <c r="G661" s="232">
        <f t="shared" si="315"/>
        <v>920</v>
      </c>
      <c r="H661" s="571">
        <f t="shared" si="316"/>
        <v>11.77</v>
      </c>
      <c r="I661" s="578">
        <v>252</v>
      </c>
      <c r="J661" s="571">
        <f t="shared" si="317"/>
        <v>26.91</v>
      </c>
      <c r="K661" s="578">
        <v>168</v>
      </c>
      <c r="L661" s="578">
        <v>668</v>
      </c>
      <c r="M661" s="571">
        <f t="shared" si="318"/>
        <v>11.91</v>
      </c>
      <c r="N661" s="571">
        <f t="shared" si="319"/>
        <v>47.36</v>
      </c>
      <c r="O661" s="393">
        <f t="shared" si="321"/>
        <v>50.59</v>
      </c>
      <c r="P661" s="494">
        <f t="shared" si="320"/>
        <v>86.039999999999992</v>
      </c>
      <c r="Q661" s="579"/>
      <c r="R661" s="580"/>
      <c r="S661" s="152"/>
      <c r="T661" s="133"/>
      <c r="U661" s="133"/>
      <c r="V661" s="133"/>
      <c r="W661" s="133"/>
    </row>
    <row r="662" spans="1:23" ht="15.75">
      <c r="A662" s="574">
        <v>1125</v>
      </c>
      <c r="B662" s="575">
        <v>1200</v>
      </c>
      <c r="C662" s="314">
        <f t="shared" si="313"/>
        <v>1.2</v>
      </c>
      <c r="D662" s="576">
        <v>0.216</v>
      </c>
      <c r="E662" s="314">
        <f t="shared" si="314"/>
        <v>1.4592000000000001</v>
      </c>
      <c r="F662" s="395">
        <f t="shared" si="322"/>
        <v>486</v>
      </c>
      <c r="G662" s="232">
        <f t="shared" si="315"/>
        <v>1065</v>
      </c>
      <c r="H662" s="571">
        <f t="shared" si="316"/>
        <v>13.63</v>
      </c>
      <c r="I662" s="578">
        <v>292</v>
      </c>
      <c r="J662" s="571">
        <f t="shared" si="317"/>
        <v>31.19</v>
      </c>
      <c r="K662" s="578">
        <v>194</v>
      </c>
      <c r="L662" s="578">
        <v>773</v>
      </c>
      <c r="M662" s="571">
        <f t="shared" si="318"/>
        <v>13.76</v>
      </c>
      <c r="N662" s="571">
        <f t="shared" si="319"/>
        <v>54.81</v>
      </c>
      <c r="O662" s="393">
        <f t="shared" si="321"/>
        <v>58.58</v>
      </c>
      <c r="P662" s="494">
        <f t="shared" si="320"/>
        <v>99.63</v>
      </c>
      <c r="Q662" s="579"/>
      <c r="R662" s="580"/>
      <c r="S662" s="152"/>
      <c r="T662" s="133"/>
      <c r="U662" s="133"/>
      <c r="V662" s="133"/>
      <c r="W662" s="133"/>
    </row>
    <row r="663" spans="1:23" ht="15.75">
      <c r="A663" s="574">
        <f>A662+1</f>
        <v>1126</v>
      </c>
      <c r="B663" s="591">
        <v>440.5</v>
      </c>
      <c r="C663" s="314">
        <f t="shared" si="313"/>
        <v>0.4405</v>
      </c>
      <c r="D663" s="592">
        <v>0.216</v>
      </c>
      <c r="E663" s="314">
        <f t="shared" si="314"/>
        <v>0.53564800000000001</v>
      </c>
      <c r="F663" s="392">
        <f t="shared" si="322"/>
        <v>179</v>
      </c>
      <c r="G663" s="250">
        <f t="shared" si="315"/>
        <v>391</v>
      </c>
      <c r="H663" s="571">
        <f t="shared" si="316"/>
        <v>5</v>
      </c>
      <c r="I663" s="588">
        <f t="shared" ref="I663:I672" si="323">ROUND(IF((E663*200)&gt;F663,F663,(E663*200)),0)</f>
        <v>107</v>
      </c>
      <c r="J663" s="571">
        <f t="shared" si="317"/>
        <v>11.43</v>
      </c>
      <c r="K663" s="588">
        <f t="shared" ref="K663:K672" si="324">F663-I663</f>
        <v>72</v>
      </c>
      <c r="L663" s="588">
        <f t="shared" ref="L663:L672" si="325">G663-I663</f>
        <v>284</v>
      </c>
      <c r="M663" s="571">
        <f t="shared" si="318"/>
        <v>5.1100000000000003</v>
      </c>
      <c r="N663" s="571">
        <f t="shared" si="319"/>
        <v>20.14</v>
      </c>
      <c r="O663" s="393">
        <f t="shared" si="321"/>
        <v>21.54</v>
      </c>
      <c r="P663" s="494">
        <f t="shared" si="320"/>
        <v>36.57</v>
      </c>
      <c r="Q663" s="579"/>
      <c r="R663" s="580"/>
      <c r="S663" s="152"/>
      <c r="T663" s="133"/>
      <c r="U663" s="133"/>
      <c r="V663" s="133"/>
      <c r="W663" s="133"/>
    </row>
    <row r="664" spans="1:23" ht="15.75">
      <c r="A664" s="574">
        <f t="shared" ref="A664:A680" si="326">A663+1</f>
        <v>1127</v>
      </c>
      <c r="B664" s="591">
        <v>2420</v>
      </c>
      <c r="C664" s="314">
        <f t="shared" si="313"/>
        <v>2.42</v>
      </c>
      <c r="D664" s="592">
        <v>0.216</v>
      </c>
      <c r="E664" s="314">
        <f t="shared" si="314"/>
        <v>2.94272</v>
      </c>
      <c r="F664" s="392">
        <f t="shared" si="322"/>
        <v>981</v>
      </c>
      <c r="G664" s="250">
        <f t="shared" si="315"/>
        <v>2148</v>
      </c>
      <c r="H664" s="571">
        <f t="shared" si="316"/>
        <v>27.48</v>
      </c>
      <c r="I664" s="588">
        <f t="shared" si="323"/>
        <v>589</v>
      </c>
      <c r="J664" s="571">
        <f t="shared" si="317"/>
        <v>62.91</v>
      </c>
      <c r="K664" s="588">
        <f t="shared" si="324"/>
        <v>392</v>
      </c>
      <c r="L664" s="588">
        <f t="shared" si="325"/>
        <v>1559</v>
      </c>
      <c r="M664" s="571">
        <f t="shared" si="318"/>
        <v>27.79</v>
      </c>
      <c r="N664" s="571">
        <f t="shared" si="319"/>
        <v>110.54</v>
      </c>
      <c r="O664" s="393">
        <f t="shared" si="321"/>
        <v>118.18</v>
      </c>
      <c r="P664" s="494">
        <f t="shared" si="320"/>
        <v>200.93</v>
      </c>
      <c r="Q664" s="579"/>
      <c r="R664" s="580"/>
      <c r="S664" s="152"/>
      <c r="T664" s="133"/>
      <c r="U664" s="133"/>
      <c r="V664" s="133"/>
      <c r="W664" s="133"/>
    </row>
    <row r="665" spans="1:23" ht="15.75">
      <c r="A665" s="574">
        <f t="shared" si="326"/>
        <v>1128</v>
      </c>
      <c r="B665" s="591">
        <v>860</v>
      </c>
      <c r="C665" s="314">
        <f t="shared" si="313"/>
        <v>0.86</v>
      </c>
      <c r="D665" s="592">
        <v>0.1721</v>
      </c>
      <c r="E665" s="314">
        <f t="shared" si="314"/>
        <v>1.008006</v>
      </c>
      <c r="F665" s="392">
        <f t="shared" si="322"/>
        <v>336</v>
      </c>
      <c r="G665" s="250">
        <f t="shared" si="315"/>
        <v>736</v>
      </c>
      <c r="H665" s="571">
        <f t="shared" si="316"/>
        <v>9.41</v>
      </c>
      <c r="I665" s="588">
        <f t="shared" si="323"/>
        <v>202</v>
      </c>
      <c r="J665" s="571">
        <f t="shared" si="317"/>
        <v>21.57</v>
      </c>
      <c r="K665" s="588">
        <f t="shared" si="324"/>
        <v>134</v>
      </c>
      <c r="L665" s="588">
        <f t="shared" si="325"/>
        <v>534</v>
      </c>
      <c r="M665" s="571">
        <f t="shared" si="318"/>
        <v>9.5</v>
      </c>
      <c r="N665" s="571">
        <f t="shared" si="319"/>
        <v>37.86</v>
      </c>
      <c r="O665" s="393">
        <f t="shared" si="321"/>
        <v>40.480000000000004</v>
      </c>
      <c r="P665" s="494">
        <f t="shared" si="320"/>
        <v>68.84</v>
      </c>
      <c r="Q665" s="579"/>
      <c r="R665" s="580"/>
      <c r="S665" s="152"/>
      <c r="T665" s="133"/>
      <c r="U665" s="133"/>
      <c r="V665" s="133"/>
      <c r="W665" s="133"/>
    </row>
    <row r="666" spans="1:23" ht="15.75">
      <c r="A666" s="574">
        <f t="shared" si="326"/>
        <v>1129</v>
      </c>
      <c r="B666" s="591">
        <f>73*60</f>
        <v>4380</v>
      </c>
      <c r="C666" s="314">
        <f t="shared" si="313"/>
        <v>4.38</v>
      </c>
      <c r="D666" s="592">
        <v>0.1780822</v>
      </c>
      <c r="E666" s="314">
        <f t="shared" si="314"/>
        <v>5.1600000359999996</v>
      </c>
      <c r="F666" s="392">
        <f t="shared" si="322"/>
        <v>1720</v>
      </c>
      <c r="G666" s="250">
        <f>ROUND((+$E666*8760)/12,0)</f>
        <v>3767</v>
      </c>
      <c r="H666" s="571">
        <f t="shared" si="316"/>
        <v>48.19</v>
      </c>
      <c r="I666" s="588">
        <f t="shared" si="323"/>
        <v>1032</v>
      </c>
      <c r="J666" s="571">
        <f t="shared" si="317"/>
        <v>110.22</v>
      </c>
      <c r="K666" s="588">
        <f t="shared" si="324"/>
        <v>688</v>
      </c>
      <c r="L666" s="588">
        <f t="shared" si="325"/>
        <v>2735</v>
      </c>
      <c r="M666" s="571">
        <f t="shared" si="318"/>
        <v>48.78</v>
      </c>
      <c r="N666" s="571">
        <f t="shared" si="319"/>
        <v>193.93</v>
      </c>
      <c r="O666" s="393">
        <f t="shared" si="321"/>
        <v>207.19</v>
      </c>
      <c r="P666" s="494">
        <f t="shared" si="320"/>
        <v>352.34000000000003</v>
      </c>
      <c r="Q666" s="579"/>
      <c r="R666" s="580"/>
      <c r="S666" s="152"/>
      <c r="T666" s="133"/>
      <c r="U666" s="133"/>
      <c r="V666" s="133"/>
      <c r="W666" s="133"/>
    </row>
    <row r="667" spans="1:23" ht="15.75">
      <c r="A667" s="574">
        <f t="shared" si="326"/>
        <v>1130</v>
      </c>
      <c r="B667" s="591">
        <f>6*85+6*80+4*75+4*60</f>
        <v>1530</v>
      </c>
      <c r="C667" s="314">
        <f t="shared" si="313"/>
        <v>1.53</v>
      </c>
      <c r="D667" s="592">
        <v>0.15</v>
      </c>
      <c r="E667" s="314">
        <f t="shared" si="314"/>
        <v>1.7595000000000001</v>
      </c>
      <c r="F667" s="392">
        <f t="shared" si="322"/>
        <v>587</v>
      </c>
      <c r="G667" s="250">
        <f t="shared" si="315"/>
        <v>1284</v>
      </c>
      <c r="H667" s="571">
        <f t="shared" si="316"/>
        <v>16.43</v>
      </c>
      <c r="I667" s="588">
        <f t="shared" si="323"/>
        <v>352</v>
      </c>
      <c r="J667" s="571">
        <f t="shared" si="317"/>
        <v>37.590000000000003</v>
      </c>
      <c r="K667" s="588">
        <f t="shared" si="324"/>
        <v>235</v>
      </c>
      <c r="L667" s="588">
        <f t="shared" si="325"/>
        <v>932</v>
      </c>
      <c r="M667" s="571">
        <f t="shared" si="318"/>
        <v>16.66</v>
      </c>
      <c r="N667" s="571">
        <f t="shared" si="319"/>
        <v>66.08</v>
      </c>
      <c r="O667" s="393">
        <f t="shared" si="321"/>
        <v>70.680000000000007</v>
      </c>
      <c r="P667" s="494">
        <f t="shared" si="320"/>
        <v>120.1</v>
      </c>
      <c r="Q667" s="579"/>
      <c r="R667" s="580"/>
      <c r="S667" s="152"/>
      <c r="T667" s="133"/>
      <c r="U667" s="133"/>
      <c r="V667" s="133"/>
      <c r="W667" s="133"/>
    </row>
    <row r="668" spans="1:23" ht="15.75">
      <c r="A668" s="574">
        <f t="shared" si="326"/>
        <v>1131</v>
      </c>
      <c r="B668" s="591">
        <f>5*85</f>
        <v>425</v>
      </c>
      <c r="C668" s="314">
        <f t="shared" si="313"/>
        <v>0.42499999999999999</v>
      </c>
      <c r="D668" s="592">
        <v>0.15</v>
      </c>
      <c r="E668" s="314">
        <f t="shared" si="314"/>
        <v>0.48875000000000002</v>
      </c>
      <c r="F668" s="392">
        <f t="shared" si="322"/>
        <v>163</v>
      </c>
      <c r="G668" s="250">
        <f t="shared" si="315"/>
        <v>357</v>
      </c>
      <c r="H668" s="571">
        <f t="shared" si="316"/>
        <v>4.5599999999999996</v>
      </c>
      <c r="I668" s="588">
        <f t="shared" si="323"/>
        <v>98</v>
      </c>
      <c r="J668" s="571">
        <f t="shared" si="317"/>
        <v>10.47</v>
      </c>
      <c r="K668" s="588">
        <f t="shared" si="324"/>
        <v>65</v>
      </c>
      <c r="L668" s="588">
        <f t="shared" si="325"/>
        <v>259</v>
      </c>
      <c r="M668" s="571">
        <f t="shared" si="318"/>
        <v>4.6100000000000003</v>
      </c>
      <c r="N668" s="571">
        <f t="shared" si="319"/>
        <v>18.36</v>
      </c>
      <c r="O668" s="393">
        <f t="shared" si="321"/>
        <v>19.64</v>
      </c>
      <c r="P668" s="494">
        <f t="shared" si="320"/>
        <v>33.39</v>
      </c>
      <c r="Q668" s="579"/>
      <c r="R668" s="580"/>
      <c r="S668" s="152"/>
      <c r="T668" s="133"/>
      <c r="U668" s="133"/>
      <c r="V668" s="133"/>
      <c r="W668" s="133"/>
    </row>
    <row r="669" spans="1:23" ht="15.75">
      <c r="A669" s="574">
        <f t="shared" si="326"/>
        <v>1132</v>
      </c>
      <c r="B669" s="591">
        <v>240</v>
      </c>
      <c r="C669" s="314">
        <f t="shared" si="313"/>
        <v>0.24</v>
      </c>
      <c r="D669" s="592">
        <v>0.1</v>
      </c>
      <c r="E669" s="314">
        <f t="shared" si="314"/>
        <v>0.26400000000000001</v>
      </c>
      <c r="F669" s="392">
        <f t="shared" si="322"/>
        <v>88</v>
      </c>
      <c r="G669" s="250">
        <f t="shared" si="315"/>
        <v>193</v>
      </c>
      <c r="H669" s="571">
        <f t="shared" si="316"/>
        <v>2.4700000000000002</v>
      </c>
      <c r="I669" s="588">
        <f t="shared" si="323"/>
        <v>53</v>
      </c>
      <c r="J669" s="571">
        <f t="shared" si="317"/>
        <v>5.66</v>
      </c>
      <c r="K669" s="588">
        <f t="shared" si="324"/>
        <v>35</v>
      </c>
      <c r="L669" s="588">
        <f t="shared" si="325"/>
        <v>140</v>
      </c>
      <c r="M669" s="571">
        <f t="shared" si="318"/>
        <v>2.48</v>
      </c>
      <c r="N669" s="571">
        <f t="shared" si="319"/>
        <v>9.93</v>
      </c>
      <c r="O669" s="393">
        <f t="shared" si="321"/>
        <v>10.610000000000001</v>
      </c>
      <c r="P669" s="494">
        <f t="shared" si="320"/>
        <v>18.060000000000002</v>
      </c>
      <c r="Q669" s="579"/>
      <c r="R669" s="580"/>
      <c r="S669" s="485"/>
    </row>
    <row r="670" spans="1:23" ht="15.75">
      <c r="A670" s="574">
        <f t="shared" si="326"/>
        <v>1133</v>
      </c>
      <c r="B670" s="591">
        <f>14*135</f>
        <v>1890</v>
      </c>
      <c r="C670" s="314">
        <f t="shared" si="313"/>
        <v>1.89</v>
      </c>
      <c r="D670" s="592">
        <v>0.1</v>
      </c>
      <c r="E670" s="314">
        <f t="shared" si="314"/>
        <v>2.0789999999999997</v>
      </c>
      <c r="F670" s="392">
        <f t="shared" si="322"/>
        <v>693</v>
      </c>
      <c r="G670" s="250">
        <f t="shared" si="315"/>
        <v>1518</v>
      </c>
      <c r="H670" s="571">
        <f t="shared" si="316"/>
        <v>19.420000000000002</v>
      </c>
      <c r="I670" s="588">
        <f t="shared" si="323"/>
        <v>416</v>
      </c>
      <c r="J670" s="571">
        <f t="shared" si="317"/>
        <v>44.43</v>
      </c>
      <c r="K670" s="588">
        <f t="shared" si="324"/>
        <v>277</v>
      </c>
      <c r="L670" s="588">
        <f t="shared" si="325"/>
        <v>1102</v>
      </c>
      <c r="M670" s="571">
        <f t="shared" si="318"/>
        <v>19.64</v>
      </c>
      <c r="N670" s="571">
        <f t="shared" si="319"/>
        <v>78.14</v>
      </c>
      <c r="O670" s="393">
        <f t="shared" si="321"/>
        <v>83.490000000000009</v>
      </c>
      <c r="P670" s="494">
        <f t="shared" si="320"/>
        <v>141.99</v>
      </c>
      <c r="Q670" s="579"/>
      <c r="R670" s="580"/>
      <c r="S670" s="485"/>
    </row>
    <row r="671" spans="1:23" ht="15.75">
      <c r="A671" s="574">
        <f t="shared" si="326"/>
        <v>1134</v>
      </c>
      <c r="B671" s="591">
        <v>84</v>
      </c>
      <c r="C671" s="314">
        <f t="shared" si="313"/>
        <v>8.4000000000000005E-2</v>
      </c>
      <c r="D671" s="592">
        <v>0.1</v>
      </c>
      <c r="E671" s="314">
        <f t="shared" si="314"/>
        <v>9.240000000000001E-2</v>
      </c>
      <c r="F671" s="395">
        <f t="shared" si="322"/>
        <v>31</v>
      </c>
      <c r="G671" s="251">
        <f t="shared" si="315"/>
        <v>67</v>
      </c>
      <c r="H671" s="571">
        <f t="shared" si="316"/>
        <v>0.86</v>
      </c>
      <c r="I671" s="588">
        <f t="shared" si="323"/>
        <v>18</v>
      </c>
      <c r="J671" s="571">
        <f t="shared" si="317"/>
        <v>1.92</v>
      </c>
      <c r="K671" s="588">
        <f t="shared" si="324"/>
        <v>13</v>
      </c>
      <c r="L671" s="588">
        <f t="shared" si="325"/>
        <v>49</v>
      </c>
      <c r="M671" s="571">
        <f t="shared" si="318"/>
        <v>0.92</v>
      </c>
      <c r="N671" s="571">
        <f t="shared" si="319"/>
        <v>3.47</v>
      </c>
      <c r="O671" s="396">
        <f t="shared" si="321"/>
        <v>3.6999999999999997</v>
      </c>
      <c r="P671" s="489">
        <f>B12</f>
        <v>13.891133302485763</v>
      </c>
      <c r="Q671" s="579"/>
      <c r="R671" s="580"/>
      <c r="S671" s="485"/>
    </row>
    <row r="672" spans="1:23" ht="15.75">
      <c r="A672" s="574">
        <f t="shared" si="326"/>
        <v>1135</v>
      </c>
      <c r="B672" s="591">
        <f>3.5*120</f>
        <v>420</v>
      </c>
      <c r="C672" s="314">
        <f t="shared" si="313"/>
        <v>0.42</v>
      </c>
      <c r="D672" s="592">
        <v>0.1</v>
      </c>
      <c r="E672" s="314">
        <f t="shared" si="314"/>
        <v>0.46199999999999997</v>
      </c>
      <c r="F672" s="395">
        <f>ROUND((+$E672*(7*365))/12,0)</f>
        <v>98</v>
      </c>
      <c r="G672" s="251">
        <f t="shared" si="315"/>
        <v>337</v>
      </c>
      <c r="H672" s="571">
        <f t="shared" si="316"/>
        <v>4.3099999999999996</v>
      </c>
      <c r="I672" s="588">
        <f t="shared" si="323"/>
        <v>92</v>
      </c>
      <c r="J672" s="571">
        <f t="shared" si="317"/>
        <v>9.83</v>
      </c>
      <c r="K672" s="588">
        <f t="shared" si="324"/>
        <v>6</v>
      </c>
      <c r="L672" s="588">
        <f t="shared" si="325"/>
        <v>245</v>
      </c>
      <c r="M672" s="571">
        <f t="shared" si="318"/>
        <v>0.43</v>
      </c>
      <c r="N672" s="571">
        <f t="shared" si="319"/>
        <v>17.37</v>
      </c>
      <c r="O672" s="396">
        <f t="shared" si="321"/>
        <v>14.57</v>
      </c>
      <c r="P672" s="494">
        <f>H672+J672+N672</f>
        <v>31.51</v>
      </c>
      <c r="Q672" s="579"/>
      <c r="R672" s="580"/>
      <c r="S672" s="485"/>
    </row>
    <row r="673" spans="1:19" ht="15.75">
      <c r="A673" s="574"/>
      <c r="B673" s="591"/>
      <c r="C673" s="314"/>
      <c r="D673" s="592"/>
      <c r="E673" s="314"/>
      <c r="F673" s="395"/>
      <c r="G673" s="251"/>
      <c r="H673" s="593"/>
      <c r="I673" s="588"/>
      <c r="J673" s="593"/>
      <c r="K673" s="588"/>
      <c r="L673" s="588"/>
      <c r="M673" s="593"/>
      <c r="N673" s="593"/>
      <c r="O673" s="396"/>
      <c r="P673" s="494"/>
      <c r="Q673" s="579"/>
      <c r="R673" s="580"/>
      <c r="S673" s="485"/>
    </row>
    <row r="674" spans="1:19" ht="15.75">
      <c r="A674" s="574">
        <f>A672+1</f>
        <v>1136</v>
      </c>
      <c r="B674" s="591">
        <v>1242</v>
      </c>
      <c r="C674" s="314">
        <f>B674/1000</f>
        <v>1.242</v>
      </c>
      <c r="D674" s="592">
        <v>0</v>
      </c>
      <c r="E674" s="314">
        <f>(+C674*D674)+C674</f>
        <v>1.242</v>
      </c>
      <c r="F674" s="392">
        <f>ROUND((+$E674*8760*((40/60*5)/(7*24)))/12,0)</f>
        <v>18</v>
      </c>
      <c r="G674" s="250"/>
      <c r="H674" s="571">
        <f>ROUND(+E674*D$7,2)</f>
        <v>11.6</v>
      </c>
      <c r="I674" s="588">
        <f>ROUND(IF((E674*200)&gt;F674,F674,(E674*200)),0)</f>
        <v>18</v>
      </c>
      <c r="J674" s="571">
        <f>ROUND(+I674*D$8,2)</f>
        <v>1.92</v>
      </c>
      <c r="K674" s="588">
        <f>F674-I674</f>
        <v>0</v>
      </c>
      <c r="L674" s="588">
        <f>G674-I674</f>
        <v>-18</v>
      </c>
      <c r="M674" s="571">
        <f>ROUND(+K674*D$9,2)</f>
        <v>0</v>
      </c>
      <c r="N674" s="571">
        <f>ROUND(+L674*D$9,2)</f>
        <v>-1.28</v>
      </c>
      <c r="O674" s="393">
        <f>H674+J674+M674</f>
        <v>13.52</v>
      </c>
      <c r="P674" s="494">
        <f>H674+J674+N674</f>
        <v>12.24</v>
      </c>
      <c r="Q674" s="579"/>
      <c r="R674" s="580"/>
      <c r="S674" s="485"/>
    </row>
    <row r="675" spans="1:19" ht="15.75">
      <c r="A675" s="574"/>
      <c r="B675" s="591">
        <f>1*120</f>
        <v>120</v>
      </c>
      <c r="C675" s="314">
        <f>B675/1000</f>
        <v>0.12</v>
      </c>
      <c r="D675" s="592">
        <v>0</v>
      </c>
      <c r="E675" s="314">
        <f>(+C675*D675)+C675</f>
        <v>0.12</v>
      </c>
      <c r="F675" s="594">
        <f>ROUND((+$E675*8760)/12,0)</f>
        <v>88</v>
      </c>
      <c r="G675" s="250"/>
      <c r="H675" s="571">
        <f>ROUND(+E675*D$7,2)</f>
        <v>1.1200000000000001</v>
      </c>
      <c r="I675" s="588">
        <f>ROUND(IF((E675*200)&gt;F675,F675,(E675*200)),0)</f>
        <v>24</v>
      </c>
      <c r="J675" s="571">
        <f>ROUND(+I675*D$8,2)</f>
        <v>2.56</v>
      </c>
      <c r="K675" s="588">
        <f>F675-I675</f>
        <v>64</v>
      </c>
      <c r="L675" s="588">
        <f>G675-I675</f>
        <v>-24</v>
      </c>
      <c r="M675" s="571">
        <f>ROUND(+K675*D$9,2)</f>
        <v>4.54</v>
      </c>
      <c r="N675" s="571">
        <f>ROUND(+L675*D$9,2)</f>
        <v>-1.7</v>
      </c>
      <c r="O675" s="393">
        <f>H675+J675+M675</f>
        <v>8.2200000000000006</v>
      </c>
      <c r="P675" s="494">
        <f>H675+J675+N675</f>
        <v>1.9800000000000002</v>
      </c>
      <c r="Q675" s="579"/>
      <c r="R675" s="580"/>
      <c r="S675" s="485"/>
    </row>
    <row r="676" spans="1:19">
      <c r="A676" s="574"/>
      <c r="B676" s="158">
        <f>B674+B675</f>
        <v>1362</v>
      </c>
      <c r="C676" s="158"/>
      <c r="D676" s="158"/>
      <c r="E676" s="158"/>
      <c r="F676" s="501">
        <f>SUM(F674:F675)</f>
        <v>106</v>
      </c>
      <c r="G676" s="158"/>
      <c r="H676" s="571">
        <f>ROUND(+E676*D$7,2)</f>
        <v>0</v>
      </c>
      <c r="I676" s="158"/>
      <c r="J676" s="571">
        <f>ROUND(+I676*D$8,2)</f>
        <v>0</v>
      </c>
      <c r="K676" s="158"/>
      <c r="L676" s="158"/>
      <c r="M676" s="158"/>
      <c r="N676" s="158"/>
      <c r="O676" s="500">
        <f>SUM(O674:O675)</f>
        <v>21.740000000000002</v>
      </c>
      <c r="P676" s="593"/>
      <c r="Q676" s="579"/>
      <c r="R676" s="580"/>
      <c r="S676" s="485"/>
    </row>
    <row r="677" spans="1:19">
      <c r="A677" s="574"/>
      <c r="B677" s="158"/>
      <c r="C677" s="158"/>
      <c r="D677" s="158"/>
      <c r="E677" s="158"/>
      <c r="F677" s="501"/>
      <c r="G677" s="158"/>
      <c r="H677" s="593"/>
      <c r="I677" s="158"/>
      <c r="J677" s="593"/>
      <c r="K677" s="158"/>
      <c r="L677" s="158"/>
      <c r="M677" s="158"/>
      <c r="N677" s="158"/>
      <c r="O677" s="500"/>
      <c r="P677" s="593"/>
      <c r="Q677" s="579"/>
      <c r="R677" s="580"/>
      <c r="S677" s="485"/>
    </row>
    <row r="678" spans="1:19" ht="15.75">
      <c r="A678" s="574">
        <f>A674+1</f>
        <v>1137</v>
      </c>
      <c r="B678" s="591">
        <f>(14+20)/2</f>
        <v>17</v>
      </c>
      <c r="C678" s="314">
        <f>B678/1000</f>
        <v>1.7000000000000001E-2</v>
      </c>
      <c r="D678" s="592">
        <v>0</v>
      </c>
      <c r="E678" s="314">
        <f>(+C678*D678)+C678</f>
        <v>1.7000000000000001E-2</v>
      </c>
      <c r="F678" s="392">
        <f>ROUND((+$E678*8760)/12,0)</f>
        <v>12</v>
      </c>
      <c r="G678" s="250">
        <f>ROUND((+$E678*8760)/12,0)</f>
        <v>12</v>
      </c>
      <c r="H678" s="571">
        <f>ROUND(+E678*D$7,2)</f>
        <v>0.16</v>
      </c>
      <c r="I678" s="588">
        <f>ROUND(IF((E678*200)&gt;F678,F678,(E678*200)),0)</f>
        <v>3</v>
      </c>
      <c r="J678" s="571">
        <f>ROUND(+I678*D$8,2)</f>
        <v>0.32</v>
      </c>
      <c r="K678" s="588">
        <f>F678-I678</f>
        <v>9</v>
      </c>
      <c r="L678" s="588">
        <f>G678-I678</f>
        <v>9</v>
      </c>
      <c r="M678" s="571">
        <f>ROUND(+K678*D$9,2)</f>
        <v>0.64</v>
      </c>
      <c r="N678" s="571">
        <f>ROUND(+L678*D$9,2)</f>
        <v>0.64</v>
      </c>
      <c r="O678" s="393">
        <f>H678+J678+M678</f>
        <v>1.1200000000000001</v>
      </c>
      <c r="P678" s="494">
        <f>H678+J678+N678</f>
        <v>1.1200000000000001</v>
      </c>
      <c r="Q678" s="579"/>
      <c r="R678" s="580"/>
      <c r="S678" s="485"/>
    </row>
    <row r="679" spans="1:19" ht="15.75">
      <c r="A679" s="574">
        <f t="shared" si="326"/>
        <v>1138</v>
      </c>
      <c r="B679" s="591">
        <v>2316</v>
      </c>
      <c r="C679" s="314">
        <f>B679/1000</f>
        <v>2.3159999999999998</v>
      </c>
      <c r="D679" s="592">
        <v>0.1</v>
      </c>
      <c r="E679" s="314">
        <f>(+C679*D679)+C679</f>
        <v>2.5475999999999996</v>
      </c>
      <c r="F679" s="392">
        <f>ROUND((+$E679*4000)/12,0)</f>
        <v>849</v>
      </c>
      <c r="G679" s="250">
        <f>ROUND((+$E679*8760)/12,0)</f>
        <v>1860</v>
      </c>
      <c r="H679" s="571">
        <f>ROUND(+E679*D$7,2)</f>
        <v>23.79</v>
      </c>
      <c r="I679" s="588">
        <f>ROUND(IF((E679*200)&gt;F679,F679,(E679*200)),0)</f>
        <v>510</v>
      </c>
      <c r="J679" s="571">
        <f>ROUND(+I679*D$8,2)</f>
        <v>54.47</v>
      </c>
      <c r="K679" s="588">
        <f>F679-I679</f>
        <v>339</v>
      </c>
      <c r="L679" s="588">
        <f>G679-I679</f>
        <v>1350</v>
      </c>
      <c r="M679" s="571">
        <f>ROUND(+K679*D$9,2)</f>
        <v>24.04</v>
      </c>
      <c r="N679" s="571">
        <f>ROUND(+L679*D$9,2)</f>
        <v>95.72</v>
      </c>
      <c r="O679" s="393">
        <f>H679+J679+M679</f>
        <v>102.29999999999998</v>
      </c>
      <c r="P679" s="494">
        <f>H679+J679+N679</f>
        <v>173.98</v>
      </c>
      <c r="Q679" s="579"/>
      <c r="R679" s="580"/>
      <c r="S679" s="485"/>
    </row>
    <row r="680" spans="1:19" ht="15.75">
      <c r="A680" s="574">
        <f t="shared" si="326"/>
        <v>1139</v>
      </c>
      <c r="B680" s="591">
        <f>12*120</f>
        <v>1440</v>
      </c>
      <c r="C680" s="314">
        <f>B680/1000</f>
        <v>1.44</v>
      </c>
      <c r="D680" s="592">
        <v>0</v>
      </c>
      <c r="E680" s="314">
        <f>(+C680*D680)+C680</f>
        <v>1.44</v>
      </c>
      <c r="F680" s="392">
        <f>ROUND((+$E680*8760)/12,0)</f>
        <v>1051</v>
      </c>
      <c r="G680" s="250">
        <f>ROUND((+$E680*8760)/12,0)</f>
        <v>1051</v>
      </c>
      <c r="H680" s="571">
        <f>ROUND(+E680*D$7,2)</f>
        <v>13.45</v>
      </c>
      <c r="I680" s="588">
        <f>ROUND(IF((E680*200)&gt;F680,F680,(E680*200)),0)</f>
        <v>288</v>
      </c>
      <c r="J680" s="571">
        <f>ROUND(+I680*D$8,2)</f>
        <v>30.76</v>
      </c>
      <c r="K680" s="588">
        <f>F680-I680</f>
        <v>763</v>
      </c>
      <c r="L680" s="588">
        <f>G680-I680</f>
        <v>763</v>
      </c>
      <c r="M680" s="571">
        <f>ROUND(+K680*D$9,2)</f>
        <v>54.1</v>
      </c>
      <c r="N680" s="571">
        <f>ROUND(+L680*D$9,2)</f>
        <v>54.1</v>
      </c>
      <c r="O680" s="393">
        <f>H680+J680+M680</f>
        <v>98.31</v>
      </c>
      <c r="P680" s="494">
        <f>H680+J680+N680</f>
        <v>98.31</v>
      </c>
      <c r="Q680" s="579"/>
      <c r="R680" s="580"/>
      <c r="S680" s="485"/>
    </row>
    <row r="681" spans="1:19" ht="15.75">
      <c r="A681" s="574"/>
      <c r="B681" s="591"/>
      <c r="C681" s="314"/>
      <c r="D681" s="592"/>
      <c r="E681" s="314"/>
      <c r="F681" s="392"/>
      <c r="G681" s="250"/>
      <c r="H681" s="593"/>
      <c r="I681" s="588"/>
      <c r="J681" s="593"/>
      <c r="K681" s="588"/>
      <c r="L681" s="588"/>
      <c r="M681" s="593"/>
      <c r="N681" s="593"/>
      <c r="O681" s="393"/>
      <c r="P681" s="494"/>
      <c r="Q681" s="579"/>
      <c r="R681" s="580"/>
      <c r="S681" s="485"/>
    </row>
    <row r="682" spans="1:19" ht="15.75">
      <c r="A682" s="574">
        <f>A680+1</f>
        <v>1140</v>
      </c>
      <c r="B682" s="401">
        <f>120*8*2</f>
        <v>1920</v>
      </c>
      <c r="C682" s="402">
        <f>B682/1000</f>
        <v>1.92</v>
      </c>
      <c r="D682" s="592">
        <v>0.1</v>
      </c>
      <c r="E682" s="402">
        <f>(+C682*D682)+C682</f>
        <v>2.1120000000000001</v>
      </c>
      <c r="F682" s="392">
        <f>ROUND((+$E682*(16*365))/12,0)</f>
        <v>1028</v>
      </c>
      <c r="G682" s="232">
        <f>ROUND((+$E682*8760)/12,0)</f>
        <v>1542</v>
      </c>
      <c r="H682" s="571">
        <f>ROUND(+E682*D$7,2)</f>
        <v>19.72</v>
      </c>
      <c r="I682" s="155">
        <f>ROUND(IF((E682*200)&gt;F682,F682,(E682*200)),0)</f>
        <v>422</v>
      </c>
      <c r="J682" s="571">
        <f>ROUND(+I682*D$8,2)</f>
        <v>45.07</v>
      </c>
      <c r="K682" s="155">
        <f>F682-I682</f>
        <v>606</v>
      </c>
      <c r="L682" s="155">
        <f>G682-I682</f>
        <v>1120</v>
      </c>
      <c r="M682" s="571">
        <f>ROUND(+K682*D$9,2)</f>
        <v>42.97</v>
      </c>
      <c r="N682" s="571">
        <f>ROUND(+L682*D$9,2)</f>
        <v>79.41</v>
      </c>
      <c r="O682" s="393">
        <f>H682+J682+M682</f>
        <v>107.75999999999999</v>
      </c>
      <c r="P682" s="273">
        <f>H682+J682+N682</f>
        <v>144.19999999999999</v>
      </c>
      <c r="Q682" s="579"/>
      <c r="R682" s="580"/>
      <c r="S682" s="485"/>
    </row>
    <row r="683" spans="1:19" ht="15.75">
      <c r="A683" s="574"/>
      <c r="B683" s="258">
        <f>120*1</f>
        <v>120</v>
      </c>
      <c r="C683" s="402">
        <f>B683/1000</f>
        <v>0.12</v>
      </c>
      <c r="D683" s="592">
        <v>0.1</v>
      </c>
      <c r="E683" s="402">
        <f>(+C683*D683)+C683</f>
        <v>0.13200000000000001</v>
      </c>
      <c r="F683" s="392">
        <f>ROUND((+$E683*(16*365))/12,0)</f>
        <v>64</v>
      </c>
      <c r="G683" s="232">
        <f>ROUND((+$E683*8760)/12,0)</f>
        <v>96</v>
      </c>
      <c r="H683" s="571">
        <f>ROUND(+E683*D$7,2)</f>
        <v>1.23</v>
      </c>
      <c r="I683" s="155">
        <f>ROUND(IF((E683*200)&gt;F683,F683,(E683*200)),0)</f>
        <v>26</v>
      </c>
      <c r="J683" s="571">
        <f>ROUND(+I683*D$8,2)</f>
        <v>2.78</v>
      </c>
      <c r="K683" s="155">
        <f>F683-I683</f>
        <v>38</v>
      </c>
      <c r="L683" s="155">
        <f>G683-I683</f>
        <v>70</v>
      </c>
      <c r="M683" s="571">
        <f>ROUND(+K683*D$9,2)</f>
        <v>2.69</v>
      </c>
      <c r="N683" s="571">
        <f>ROUND(+L683*D$9,2)</f>
        <v>4.96</v>
      </c>
      <c r="O683" s="393">
        <f>H683+J683+M683</f>
        <v>6.6999999999999993</v>
      </c>
      <c r="P683" s="273">
        <f>H683+J683+N683</f>
        <v>8.9699999999999989</v>
      </c>
      <c r="Q683" s="579"/>
      <c r="R683" s="580"/>
      <c r="S683" s="485"/>
    </row>
    <row r="684" spans="1:19" ht="15.75">
      <c r="A684" s="574"/>
      <c r="B684" s="258">
        <f>B682+B683</f>
        <v>2040</v>
      </c>
      <c r="C684" s="402"/>
      <c r="D684" s="592"/>
      <c r="E684" s="402"/>
      <c r="F684" s="595">
        <f>F682+F683</f>
        <v>1092</v>
      </c>
      <c r="G684" s="232"/>
      <c r="H684" s="154"/>
      <c r="I684" s="155"/>
      <c r="J684" s="154"/>
      <c r="K684" s="155"/>
      <c r="L684" s="155"/>
      <c r="M684" s="154"/>
      <c r="N684" s="154"/>
      <c r="O684" s="596">
        <f>SUM(O682:O683)</f>
        <v>114.46</v>
      </c>
      <c r="P684" s="273"/>
      <c r="Q684" s="579"/>
      <c r="R684" s="580"/>
      <c r="S684" s="485"/>
    </row>
    <row r="685" spans="1:19" ht="15.75">
      <c r="A685" s="574"/>
      <c r="B685" s="260"/>
      <c r="C685" s="314"/>
      <c r="D685" s="592"/>
      <c r="E685" s="314"/>
      <c r="F685" s="595"/>
      <c r="G685" s="250"/>
      <c r="H685" s="593"/>
      <c r="I685" s="588"/>
      <c r="J685" s="593"/>
      <c r="K685" s="588"/>
      <c r="L685" s="588"/>
      <c r="M685" s="593"/>
      <c r="N685" s="593"/>
      <c r="O685" s="596"/>
      <c r="P685" s="494"/>
      <c r="Q685" s="579"/>
      <c r="R685" s="580"/>
      <c r="S685" s="485"/>
    </row>
    <row r="686" spans="1:19" ht="15.75">
      <c r="A686" s="99">
        <v>1141</v>
      </c>
      <c r="B686" s="43">
        <f>19*110</f>
        <v>2090</v>
      </c>
      <c r="C686" s="214">
        <f>B686/1000</f>
        <v>2.09</v>
      </c>
      <c r="D686" s="403">
        <f>(((9*140)+(252*5))/(19*110))-1</f>
        <v>0.20574162679425845</v>
      </c>
      <c r="E686" s="214">
        <f>(+C686*D686)+C686</f>
        <v>2.52</v>
      </c>
      <c r="F686" s="151">
        <f>ROUND((+$E686*4000)/12,0)</f>
        <v>840</v>
      </c>
      <c r="G686" s="232">
        <f>ROUND((+$E686*8760)/12,0)</f>
        <v>1840</v>
      </c>
      <c r="H686" s="154">
        <f>ROUND(+E686*$D$7,2)</f>
        <v>23.54</v>
      </c>
      <c r="I686" s="155">
        <f>ROUND(IF((E686*200)&gt;F686,F686,(E686*200)),0)</f>
        <v>504</v>
      </c>
      <c r="J686" s="154">
        <f>ROUND(+I686*$D$8,2)</f>
        <v>53.83</v>
      </c>
      <c r="K686" s="155">
        <f>F686-I686</f>
        <v>336</v>
      </c>
      <c r="L686" s="155">
        <f>G686-I686</f>
        <v>1336</v>
      </c>
      <c r="M686" s="154">
        <f t="shared" ref="M686:N689" si="327">ROUND(+K686*$D$9,2)</f>
        <v>23.82</v>
      </c>
      <c r="N686" s="154">
        <f t="shared" si="327"/>
        <v>94.73</v>
      </c>
      <c r="O686" s="239">
        <f>H686+J686+M686</f>
        <v>101.19</v>
      </c>
      <c r="P686" s="273">
        <f>H686+J686+N686</f>
        <v>172.10000000000002</v>
      </c>
      <c r="Q686" s="579"/>
      <c r="R686" s="580"/>
      <c r="S686" s="485"/>
    </row>
    <row r="687" spans="1:19" ht="15.75">
      <c r="A687" s="99">
        <v>1142</v>
      </c>
      <c r="B687" s="43">
        <v>2316</v>
      </c>
      <c r="C687" s="214">
        <f>B687/1000</f>
        <v>2.3159999999999998</v>
      </c>
      <c r="D687" s="592">
        <v>0</v>
      </c>
      <c r="E687" s="214">
        <f>(+C687*D687)+C687</f>
        <v>2.3159999999999998</v>
      </c>
      <c r="F687" s="151">
        <f>ROUND((+$E687*8760)/12,0)</f>
        <v>1691</v>
      </c>
      <c r="G687" s="232">
        <f>ROUND((+$E687*8760)/12,0)</f>
        <v>1691</v>
      </c>
      <c r="H687" s="154">
        <f>ROUND(+E687*$D$7,2)</f>
        <v>21.63</v>
      </c>
      <c r="I687" s="155">
        <f>ROUND(IF((E687*200)&gt;F687,F687,(E687*200)),0)</f>
        <v>463</v>
      </c>
      <c r="J687" s="154">
        <f>ROUND(+I687*$D$8,2)</f>
        <v>49.45</v>
      </c>
      <c r="K687" s="155">
        <f>F687-I687</f>
        <v>1228</v>
      </c>
      <c r="L687" s="155">
        <f>G687-I687</f>
        <v>1228</v>
      </c>
      <c r="M687" s="154">
        <f t="shared" si="327"/>
        <v>87.07</v>
      </c>
      <c r="N687" s="154">
        <f t="shared" si="327"/>
        <v>87.07</v>
      </c>
      <c r="O687" s="239">
        <f>H687+J687+M687</f>
        <v>158.14999999999998</v>
      </c>
      <c r="P687" s="273">
        <f>H687+J687+N687</f>
        <v>158.14999999999998</v>
      </c>
      <c r="Q687" s="579"/>
      <c r="R687" s="580"/>
      <c r="S687" s="485"/>
    </row>
    <row r="688" spans="1:19" ht="15.75">
      <c r="A688" s="99">
        <v>1143</v>
      </c>
      <c r="B688" s="43">
        <v>25</v>
      </c>
      <c r="C688" s="214">
        <f>B688/1000</f>
        <v>2.5000000000000001E-2</v>
      </c>
      <c r="D688" s="592">
        <v>0</v>
      </c>
      <c r="E688" s="214">
        <f>(+C688*D688)+C688</f>
        <v>2.5000000000000001E-2</v>
      </c>
      <c r="F688" s="151">
        <f>ROUND((+$E688*8760)/12,0)</f>
        <v>18</v>
      </c>
      <c r="G688" s="232">
        <f>ROUND((+$E688*8760)/12,0)</f>
        <v>18</v>
      </c>
      <c r="H688" s="154">
        <f>ROUND(+E688*$D$7,2)</f>
        <v>0.23</v>
      </c>
      <c r="I688" s="155">
        <f>ROUND(IF((E688*200)&gt;F688,F688,(E688*200)),0)</f>
        <v>5</v>
      </c>
      <c r="J688" s="154">
        <f>ROUND(+I688*$D$8,2)</f>
        <v>0.53</v>
      </c>
      <c r="K688" s="155">
        <f>F688-I688</f>
        <v>13</v>
      </c>
      <c r="L688" s="155">
        <f>G688-I688</f>
        <v>13</v>
      </c>
      <c r="M688" s="154">
        <f t="shared" si="327"/>
        <v>0.92</v>
      </c>
      <c r="N688" s="154">
        <f t="shared" si="327"/>
        <v>0.92</v>
      </c>
      <c r="O688" s="239">
        <f>N690</f>
        <v>3.76</v>
      </c>
      <c r="P688" s="273">
        <f>H688+J688+N688</f>
        <v>1.6800000000000002</v>
      </c>
      <c r="Q688" s="579"/>
      <c r="R688" s="580"/>
      <c r="S688" s="485"/>
    </row>
    <row r="689" spans="1:19" ht="15.75">
      <c r="A689" s="446"/>
      <c r="B689" s="43">
        <v>75</v>
      </c>
      <c r="C689" s="214">
        <f>B689/1000</f>
        <v>7.4999999999999997E-2</v>
      </c>
      <c r="D689" s="592">
        <v>0</v>
      </c>
      <c r="E689" s="214">
        <f>(+C689*D689)+C689</f>
        <v>7.4999999999999997E-2</v>
      </c>
      <c r="F689" s="151">
        <f>ROUND((+$E689*(1.5*12*365))/12,0)</f>
        <v>41</v>
      </c>
      <c r="G689" s="232">
        <f>ROUND((+$E689*8760)/12,0)</f>
        <v>55</v>
      </c>
      <c r="H689" s="154">
        <f>ROUND(+E689*$D$7,2)</f>
        <v>0.7</v>
      </c>
      <c r="I689" s="155">
        <f>ROUND(IF((E689*200)&gt;F689,F689,(E689*200)),0)</f>
        <v>15</v>
      </c>
      <c r="J689" s="154">
        <f>ROUND(+I689*$D$8,2)</f>
        <v>1.6</v>
      </c>
      <c r="K689" s="155">
        <f>F689-I689</f>
        <v>26</v>
      </c>
      <c r="L689" s="155">
        <f>G689-I689</f>
        <v>40</v>
      </c>
      <c r="M689" s="154">
        <f t="shared" si="327"/>
        <v>1.84</v>
      </c>
      <c r="N689" s="154">
        <f t="shared" si="327"/>
        <v>2.84</v>
      </c>
      <c r="O689" s="239"/>
      <c r="P689" s="273"/>
      <c r="Q689" s="579"/>
      <c r="R689" s="580"/>
      <c r="S689" s="485"/>
    </row>
    <row r="690" spans="1:19">
      <c r="A690" s="446"/>
      <c r="F690" s="441">
        <f>F688+F689</f>
        <v>59</v>
      </c>
      <c r="N690" s="405">
        <f>SUM(N688:N689)</f>
        <v>3.76</v>
      </c>
      <c r="O690" s="405"/>
      <c r="P690" s="16"/>
      <c r="Q690" s="597"/>
      <c r="R690" s="597"/>
      <c r="S690" s="485"/>
    </row>
    <row r="691" spans="1:19">
      <c r="A691" s="446"/>
      <c r="F691" s="441"/>
      <c r="O691" s="405"/>
      <c r="P691" s="16"/>
      <c r="Q691" s="597"/>
      <c r="R691" s="597"/>
      <c r="S691" s="485"/>
    </row>
    <row r="692" spans="1:19" ht="15.75">
      <c r="A692" s="99">
        <v>1144</v>
      </c>
      <c r="B692" s="43">
        <v>82</v>
      </c>
      <c r="C692" s="214">
        <f t="shared" ref="C692:C697" si="328">B692/1000</f>
        <v>8.2000000000000003E-2</v>
      </c>
      <c r="D692" s="592">
        <v>0</v>
      </c>
      <c r="E692" s="214">
        <f t="shared" ref="E692:E697" si="329">(+C692*D692)+C692</f>
        <v>8.2000000000000003E-2</v>
      </c>
      <c r="F692" s="151">
        <f t="shared" ref="F692:F697" si="330">ROUND((+$E692*4000)/12,0)</f>
        <v>27</v>
      </c>
      <c r="G692" s="232">
        <f t="shared" ref="G692:G697" si="331">ROUND((+$E692*8760)/12,0)</f>
        <v>60</v>
      </c>
      <c r="H692" s="154">
        <f t="shared" ref="H692:H697" si="332">ROUND(+E692*$D$7,2)</f>
        <v>0.77</v>
      </c>
      <c r="I692" s="155">
        <f t="shared" ref="I692:I697" si="333">ROUND(IF((E692*200)&gt;F692,F692,(E692*200)),0)</f>
        <v>16</v>
      </c>
      <c r="J692" s="154">
        <f>ROUND(+I692*$D$8,2)</f>
        <v>1.71</v>
      </c>
      <c r="K692" s="155">
        <f t="shared" ref="K692:K697" si="334">F692-I692</f>
        <v>11</v>
      </c>
      <c r="L692" s="155">
        <f t="shared" ref="L692:L697" si="335">G692-I692</f>
        <v>44</v>
      </c>
      <c r="M692" s="154">
        <f t="shared" ref="M692:N694" si="336">ROUND(+K692*$D$9,2)</f>
        <v>0.78</v>
      </c>
      <c r="N692" s="154">
        <f t="shared" si="336"/>
        <v>3.12</v>
      </c>
      <c r="O692" s="239">
        <f t="shared" ref="O692:O697" si="337">H692+J692+M692</f>
        <v>3.26</v>
      </c>
      <c r="P692" s="273">
        <f t="shared" ref="P692:P697" si="338">H692+J692+N692</f>
        <v>5.6</v>
      </c>
      <c r="Q692" s="579"/>
      <c r="R692" s="580"/>
      <c r="S692" s="485"/>
    </row>
    <row r="693" spans="1:19" ht="15.75">
      <c r="A693" s="99">
        <v>1145</v>
      </c>
      <c r="B693" s="43">
        <f>2*115</f>
        <v>230</v>
      </c>
      <c r="C693" s="214">
        <f t="shared" si="328"/>
        <v>0.23</v>
      </c>
      <c r="D693" s="476">
        <v>0</v>
      </c>
      <c r="E693" s="214">
        <f t="shared" si="329"/>
        <v>0.23</v>
      </c>
      <c r="F693" s="151">
        <f t="shared" si="330"/>
        <v>77</v>
      </c>
      <c r="G693" s="232">
        <f t="shared" si="331"/>
        <v>168</v>
      </c>
      <c r="H693" s="154">
        <f t="shared" si="332"/>
        <v>2.15</v>
      </c>
      <c r="I693" s="155">
        <f t="shared" si="333"/>
        <v>46</v>
      </c>
      <c r="J693" s="154">
        <f>ROUND(+I693*$D$8,2)</f>
        <v>4.91</v>
      </c>
      <c r="K693" s="155">
        <f t="shared" si="334"/>
        <v>31</v>
      </c>
      <c r="L693" s="155">
        <f t="shared" si="335"/>
        <v>122</v>
      </c>
      <c r="M693" s="154">
        <f t="shared" si="336"/>
        <v>2.2000000000000002</v>
      </c>
      <c r="N693" s="154">
        <f t="shared" si="336"/>
        <v>8.65</v>
      </c>
      <c r="O693" s="239">
        <f t="shared" si="337"/>
        <v>9.2600000000000016</v>
      </c>
      <c r="P693" s="273">
        <f t="shared" si="338"/>
        <v>15.71</v>
      </c>
      <c r="Q693" s="490"/>
      <c r="R693" s="598"/>
      <c r="S693" s="485"/>
    </row>
    <row r="694" spans="1:19" ht="15.75">
      <c r="A694" s="99">
        <v>1146</v>
      </c>
      <c r="B694" s="43">
        <v>280</v>
      </c>
      <c r="C694" s="214">
        <f t="shared" si="328"/>
        <v>0.28000000000000003</v>
      </c>
      <c r="D694" s="476">
        <v>0</v>
      </c>
      <c r="E694" s="214">
        <f t="shared" si="329"/>
        <v>0.28000000000000003</v>
      </c>
      <c r="F694" s="232">
        <f t="shared" si="330"/>
        <v>93</v>
      </c>
      <c r="G694" s="151">
        <f t="shared" si="331"/>
        <v>204</v>
      </c>
      <c r="H694" s="154">
        <f t="shared" si="332"/>
        <v>2.62</v>
      </c>
      <c r="I694" s="155">
        <f t="shared" si="333"/>
        <v>56</v>
      </c>
      <c r="J694" s="154">
        <f>ROUND(+I694*$D$8,2)</f>
        <v>5.98</v>
      </c>
      <c r="K694" s="155">
        <f t="shared" si="334"/>
        <v>37</v>
      </c>
      <c r="L694" s="155">
        <f t="shared" si="335"/>
        <v>148</v>
      </c>
      <c r="M694" s="154">
        <f t="shared" si="336"/>
        <v>2.62</v>
      </c>
      <c r="N694" s="154">
        <f t="shared" si="336"/>
        <v>10.49</v>
      </c>
      <c r="O694" s="239">
        <f t="shared" si="337"/>
        <v>11.220000000000002</v>
      </c>
      <c r="P694" s="273">
        <f t="shared" si="338"/>
        <v>19.090000000000003</v>
      </c>
      <c r="Q694" s="490"/>
      <c r="R694" s="598"/>
      <c r="S694" s="485"/>
    </row>
    <row r="695" spans="1:19" ht="15.75">
      <c r="A695" s="99">
        <v>1147</v>
      </c>
      <c r="B695" s="43">
        <f>6*75</f>
        <v>450</v>
      </c>
      <c r="C695" s="214">
        <f t="shared" si="328"/>
        <v>0.45</v>
      </c>
      <c r="D695" s="476">
        <v>0.05</v>
      </c>
      <c r="E695" s="214">
        <f t="shared" si="329"/>
        <v>0.47250000000000003</v>
      </c>
      <c r="F695" s="151">
        <f t="shared" si="330"/>
        <v>158</v>
      </c>
      <c r="G695" s="232">
        <f t="shared" si="331"/>
        <v>345</v>
      </c>
      <c r="H695" s="154">
        <f t="shared" si="332"/>
        <v>4.41</v>
      </c>
      <c r="I695" s="155">
        <f t="shared" si="333"/>
        <v>95</v>
      </c>
      <c r="J695" s="154">
        <f t="shared" ref="J695:J700" si="339">ROUND(+I695*$D$8,2)</f>
        <v>10.15</v>
      </c>
      <c r="K695" s="155">
        <f t="shared" si="334"/>
        <v>63</v>
      </c>
      <c r="L695" s="155">
        <f t="shared" si="335"/>
        <v>250</v>
      </c>
      <c r="M695" s="154">
        <f t="shared" ref="M695:N697" si="340">ROUND(+K695*$D$9,2)</f>
        <v>4.47</v>
      </c>
      <c r="N695" s="154">
        <f t="shared" si="340"/>
        <v>17.73</v>
      </c>
      <c r="O695" s="239">
        <f t="shared" si="337"/>
        <v>19.03</v>
      </c>
      <c r="P695" s="273">
        <f t="shared" si="338"/>
        <v>32.29</v>
      </c>
      <c r="Q695" s="490"/>
      <c r="R695" s="598"/>
      <c r="S695" s="485"/>
    </row>
    <row r="696" spans="1:19" ht="15.75">
      <c r="A696" s="99">
        <v>1148</v>
      </c>
      <c r="B696" s="43">
        <f>2*400</f>
        <v>800</v>
      </c>
      <c r="C696" s="214">
        <f t="shared" si="328"/>
        <v>0.8</v>
      </c>
      <c r="D696" s="476">
        <v>0.05</v>
      </c>
      <c r="E696" s="214">
        <f t="shared" si="329"/>
        <v>0.84000000000000008</v>
      </c>
      <c r="F696" s="151">
        <f t="shared" si="330"/>
        <v>280</v>
      </c>
      <c r="G696" s="232">
        <f t="shared" si="331"/>
        <v>613</v>
      </c>
      <c r="H696" s="154">
        <f t="shared" si="332"/>
        <v>7.85</v>
      </c>
      <c r="I696" s="155">
        <f t="shared" si="333"/>
        <v>168</v>
      </c>
      <c r="J696" s="154">
        <f t="shared" si="339"/>
        <v>17.940000000000001</v>
      </c>
      <c r="K696" s="155">
        <f t="shared" si="334"/>
        <v>112</v>
      </c>
      <c r="L696" s="155">
        <f t="shared" si="335"/>
        <v>445</v>
      </c>
      <c r="M696" s="154">
        <f t="shared" si="340"/>
        <v>7.94</v>
      </c>
      <c r="N696" s="154">
        <f t="shared" si="340"/>
        <v>31.55</v>
      </c>
      <c r="O696" s="239">
        <f t="shared" si="337"/>
        <v>33.729999999999997</v>
      </c>
      <c r="P696" s="273">
        <f t="shared" si="338"/>
        <v>57.34</v>
      </c>
      <c r="Q696" s="490"/>
      <c r="R696" s="598"/>
      <c r="S696" s="485"/>
    </row>
    <row r="697" spans="1:19" ht="15.75">
      <c r="A697" s="99">
        <v>1149</v>
      </c>
      <c r="B697">
        <v>129</v>
      </c>
      <c r="C697" s="214">
        <f t="shared" si="328"/>
        <v>0.129</v>
      </c>
      <c r="D697" s="476">
        <v>0</v>
      </c>
      <c r="E697" s="214">
        <f t="shared" si="329"/>
        <v>0.129</v>
      </c>
      <c r="F697" s="151">
        <f t="shared" si="330"/>
        <v>43</v>
      </c>
      <c r="G697" s="232">
        <f t="shared" si="331"/>
        <v>94</v>
      </c>
      <c r="H697" s="154">
        <f t="shared" si="332"/>
        <v>1.2</v>
      </c>
      <c r="I697" s="155">
        <f t="shared" si="333"/>
        <v>26</v>
      </c>
      <c r="J697" s="154">
        <f t="shared" si="339"/>
        <v>2.78</v>
      </c>
      <c r="K697" s="155">
        <f t="shared" si="334"/>
        <v>17</v>
      </c>
      <c r="L697" s="155">
        <f t="shared" si="335"/>
        <v>68</v>
      </c>
      <c r="M697" s="154">
        <f t="shared" si="340"/>
        <v>1.21</v>
      </c>
      <c r="N697" s="154">
        <f t="shared" si="340"/>
        <v>4.82</v>
      </c>
      <c r="O697" s="239">
        <f t="shared" si="337"/>
        <v>5.1899999999999995</v>
      </c>
      <c r="P697" s="273">
        <f t="shared" si="338"/>
        <v>8.8000000000000007</v>
      </c>
      <c r="Q697" s="490"/>
      <c r="R697" s="598"/>
      <c r="S697" s="485"/>
    </row>
    <row r="698" spans="1:19" ht="15.75">
      <c r="A698" s="400"/>
      <c r="B698" s="401"/>
      <c r="C698" s="402"/>
      <c r="D698" s="403"/>
      <c r="E698" s="402"/>
      <c r="F698" s="232"/>
      <c r="G698" s="151"/>
      <c r="H698" s="154"/>
      <c r="I698" s="155"/>
      <c r="J698" s="154"/>
      <c r="K698" s="155"/>
      <c r="L698" s="155"/>
      <c r="M698" s="154"/>
      <c r="N698" s="154"/>
      <c r="O698" s="273"/>
      <c r="P698" s="239"/>
      <c r="Q698" s="490"/>
      <c r="R698" s="598"/>
      <c r="S698" s="485"/>
    </row>
    <row r="699" spans="1:19" ht="15.75">
      <c r="A699" s="99">
        <v>1150</v>
      </c>
      <c r="B699">
        <f>2*60</f>
        <v>120</v>
      </c>
      <c r="C699" s="214">
        <f>B699/1000</f>
        <v>0.12</v>
      </c>
      <c r="D699" s="476">
        <v>0.25</v>
      </c>
      <c r="E699" s="214">
        <f>(+C699*D699)+C699</f>
        <v>0.15</v>
      </c>
      <c r="F699" s="151">
        <f>ROUND((+$E699*4000)/12,0)</f>
        <v>50</v>
      </c>
      <c r="G699" s="232">
        <f>ROUND((+$E699*8760)/12,0)</f>
        <v>110</v>
      </c>
      <c r="H699" s="154">
        <f>ROUND(+E699*$D$7,2)</f>
        <v>1.4</v>
      </c>
      <c r="I699" s="155">
        <f>ROUND(IF((E699*200)&gt;F699,F699,(E699*200)),0)</f>
        <v>30</v>
      </c>
      <c r="J699" s="154">
        <f t="shared" si="339"/>
        <v>3.2</v>
      </c>
      <c r="K699" s="155">
        <f>F699-I699</f>
        <v>20</v>
      </c>
      <c r="L699" s="155">
        <f>G699-I699</f>
        <v>80</v>
      </c>
      <c r="M699" s="154">
        <f>ROUND(+K699*$D$9,2)</f>
        <v>1.42</v>
      </c>
      <c r="N699" s="154">
        <f>ROUND(+L699*$D$9,2)</f>
        <v>5.67</v>
      </c>
      <c r="O699" s="239">
        <f>H699+J699+M699</f>
        <v>6.02</v>
      </c>
      <c r="P699" s="273">
        <f>H699+J699+N699</f>
        <v>10.27</v>
      </c>
      <c r="Q699" s="490"/>
      <c r="R699" s="598"/>
      <c r="S699" s="485"/>
    </row>
    <row r="700" spans="1:19" ht="15.75">
      <c r="B700">
        <f>2*40</f>
        <v>80</v>
      </c>
      <c r="C700" s="214">
        <f>B700/1000</f>
        <v>0.08</v>
      </c>
      <c r="D700" s="476">
        <v>0.3</v>
      </c>
      <c r="E700" s="214">
        <f>(+C700*D700)+C700</f>
        <v>0.10400000000000001</v>
      </c>
      <c r="F700" s="151">
        <f>ROUND((+$E700*4000)/12,0)</f>
        <v>35</v>
      </c>
      <c r="G700" s="232">
        <f>ROUND((+$E700*8760)/12,0)</f>
        <v>76</v>
      </c>
      <c r="H700" s="154">
        <f>ROUND(+E700*$D$7,2)</f>
        <v>0.97</v>
      </c>
      <c r="I700" s="155">
        <f>ROUND(IF((E700*200)&gt;F700,F700,(E700*200)),0)</f>
        <v>21</v>
      </c>
      <c r="J700" s="154">
        <f t="shared" si="339"/>
        <v>2.2400000000000002</v>
      </c>
      <c r="K700" s="155">
        <f>F700-I700</f>
        <v>14</v>
      </c>
      <c r="L700" s="155">
        <f>G700-I700</f>
        <v>55</v>
      </c>
      <c r="M700" s="154">
        <f>ROUND(+K700*$D$9,2)</f>
        <v>0.99</v>
      </c>
      <c r="N700" s="154">
        <f>ROUND(+L700*$D$9,2)</f>
        <v>3.9</v>
      </c>
      <c r="O700" s="239">
        <f>H700+J700+M700</f>
        <v>4.2</v>
      </c>
      <c r="P700" s="273">
        <f>H700+J700+N700</f>
        <v>7.1099999999999994</v>
      </c>
      <c r="Q700" s="490"/>
      <c r="R700" s="598"/>
      <c r="S700" s="485"/>
    </row>
    <row r="701" spans="1:19" ht="15.75">
      <c r="B701">
        <f>B699+B700</f>
        <v>200</v>
      </c>
      <c r="F701" s="232">
        <f>SUM(F699:F700)</f>
        <v>85</v>
      </c>
      <c r="G701" s="151"/>
      <c r="H701" s="154"/>
      <c r="I701" s="155"/>
      <c r="J701" s="154"/>
      <c r="K701" s="155"/>
      <c r="L701" s="155"/>
      <c r="M701" s="154"/>
      <c r="N701" s="154"/>
      <c r="O701" s="671">
        <f>B12</f>
        <v>13.891133302485763</v>
      </c>
      <c r="P701" s="239"/>
      <c r="Q701" s="490"/>
      <c r="R701" s="598"/>
      <c r="S701" s="485"/>
    </row>
    <row r="702" spans="1:19" ht="15.75">
      <c r="F702" s="232"/>
      <c r="G702" s="151"/>
      <c r="H702" s="154"/>
      <c r="I702" s="155"/>
      <c r="J702" s="154"/>
      <c r="K702" s="155"/>
      <c r="L702" s="155"/>
      <c r="M702" s="154"/>
      <c r="N702" s="154"/>
      <c r="O702" s="612"/>
      <c r="P702" s="239"/>
      <c r="Q702" s="490"/>
      <c r="R702" s="598"/>
      <c r="S702" s="485"/>
    </row>
    <row r="703" spans="1:19" ht="15.75">
      <c r="A703" s="99">
        <v>1151</v>
      </c>
      <c r="B703">
        <v>2400</v>
      </c>
      <c r="C703" s="214">
        <f>B703/1000</f>
        <v>2.4</v>
      </c>
      <c r="D703" s="476">
        <v>0.05</v>
      </c>
      <c r="E703" s="214">
        <f>(+C703*D703)+C703</f>
        <v>2.52</v>
      </c>
      <c r="F703" s="151">
        <f>ROUND((+$E703*4000)/12,0)</f>
        <v>840</v>
      </c>
      <c r="G703" s="232">
        <f>ROUND((+$E703*8760)/12,0)</f>
        <v>1840</v>
      </c>
      <c r="H703" s="154">
        <f>ROUND(+E703*$D$7,2)</f>
        <v>23.54</v>
      </c>
      <c r="I703" s="155">
        <f>ROUND(IF((E703*200)&gt;F703,F703,(E703*200)),0)</f>
        <v>504</v>
      </c>
      <c r="J703" s="154">
        <f>ROUND(+I703*$D$8,2)</f>
        <v>53.83</v>
      </c>
      <c r="K703" s="155">
        <f>F703-I703</f>
        <v>336</v>
      </c>
      <c r="L703" s="155">
        <f>G703-I703</f>
        <v>1336</v>
      </c>
      <c r="M703" s="154">
        <f>ROUND(+K703*$D$9,2)</f>
        <v>23.82</v>
      </c>
      <c r="N703" s="154">
        <f>ROUND(+L703*$D$9,2)</f>
        <v>94.73</v>
      </c>
      <c r="O703" s="239">
        <f>H703+J703+M703</f>
        <v>101.19</v>
      </c>
      <c r="P703" s="273">
        <f>H703+J703+N703</f>
        <v>172.10000000000002</v>
      </c>
      <c r="Q703" s="490"/>
      <c r="R703" s="598"/>
      <c r="S703" s="485"/>
    </row>
    <row r="704" spans="1:19" ht="15.75">
      <c r="A704" s="99">
        <v>1152</v>
      </c>
      <c r="B704">
        <f>8*250</f>
        <v>2000</v>
      </c>
      <c r="C704" s="214">
        <f>B704/1000</f>
        <v>2</v>
      </c>
      <c r="D704" s="476">
        <v>0.22</v>
      </c>
      <c r="E704" s="214">
        <f>(+C704*D704)+C704</f>
        <v>2.44</v>
      </c>
      <c r="F704" s="151">
        <f>ROUND((+$E704*4000)/12,0)</f>
        <v>813</v>
      </c>
      <c r="G704" s="232">
        <f>ROUND((+$E704*8760)/12,0)</f>
        <v>1781</v>
      </c>
      <c r="H704" s="154">
        <f>ROUND(+E704*$D$7,2)</f>
        <v>22.79</v>
      </c>
      <c r="I704" s="155">
        <f>ROUND(IF((E704*200)&gt;F704,F704,(E704*200)),0)</f>
        <v>488</v>
      </c>
      <c r="J704" s="154">
        <f>ROUND(+I704*$D$8,2)</f>
        <v>52.12</v>
      </c>
      <c r="K704" s="155">
        <f>F704-I704</f>
        <v>325</v>
      </c>
      <c r="L704" s="155">
        <f>G704-I704</f>
        <v>1293</v>
      </c>
      <c r="M704" s="154">
        <f>ROUND(+K704*$D$9,2)</f>
        <v>23.04</v>
      </c>
      <c r="N704" s="154">
        <f>ROUND(+L704*$D$9,2)</f>
        <v>91.68</v>
      </c>
      <c r="O704" s="239">
        <f>H704+J704+M704</f>
        <v>97.949999999999989</v>
      </c>
      <c r="P704" s="273">
        <f>H704+J704+N704</f>
        <v>166.59</v>
      </c>
      <c r="Q704" s="490"/>
      <c r="R704" s="598"/>
      <c r="S704" s="485"/>
    </row>
    <row r="705" spans="1:19" ht="15.75">
      <c r="A705" s="145"/>
      <c r="B705" s="43"/>
      <c r="C705" s="214"/>
      <c r="D705" s="215"/>
      <c r="E705" s="214"/>
      <c r="F705" s="151"/>
      <c r="G705" s="232"/>
      <c r="H705" s="141"/>
      <c r="I705" s="142"/>
      <c r="J705" s="141"/>
      <c r="K705" s="142"/>
      <c r="L705" s="142"/>
      <c r="M705" s="141"/>
      <c r="N705" s="141"/>
      <c r="O705" s="239"/>
      <c r="P705" s="273"/>
      <c r="Q705" s="158"/>
      <c r="R705" s="152"/>
      <c r="S705" s="485"/>
    </row>
    <row r="706" spans="1:19">
      <c r="A706" s="133"/>
      <c r="B706" s="407"/>
      <c r="C706" s="133" t="s">
        <v>276</v>
      </c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52"/>
      <c r="R706" s="152"/>
      <c r="S706" s="485"/>
    </row>
    <row r="707" spans="1:19">
      <c r="P707" s="408"/>
    </row>
    <row r="709" spans="1:19">
      <c r="A709" s="99" t="s">
        <v>277</v>
      </c>
      <c r="B709" t="s">
        <v>278</v>
      </c>
      <c r="D709" s="409">
        <v>300</v>
      </c>
    </row>
    <row r="710" spans="1:19">
      <c r="A710" s="99" t="s">
        <v>279</v>
      </c>
      <c r="B710" t="s">
        <v>278</v>
      </c>
      <c r="D710" s="409">
        <v>300</v>
      </c>
    </row>
    <row r="711" spans="1:19">
      <c r="A711" s="99" t="s">
        <v>280</v>
      </c>
      <c r="B711" t="s">
        <v>278</v>
      </c>
      <c r="D711" s="409">
        <v>645</v>
      </c>
    </row>
    <row r="713" spans="1:19">
      <c r="D713" s="410" t="s">
        <v>281</v>
      </c>
      <c r="E713" s="410" t="s">
        <v>282</v>
      </c>
      <c r="F713" s="410" t="s">
        <v>283</v>
      </c>
      <c r="G713" s="410" t="s">
        <v>284</v>
      </c>
    </row>
    <row r="714" spans="1:19">
      <c r="A714" s="99" t="s">
        <v>285</v>
      </c>
      <c r="B714" t="s">
        <v>132</v>
      </c>
      <c r="C714">
        <v>5.8</v>
      </c>
    </row>
    <row r="715" spans="1:19">
      <c r="B715" t="s">
        <v>286</v>
      </c>
      <c r="C715">
        <v>24</v>
      </c>
    </row>
    <row r="716" spans="1:19">
      <c r="B716" t="s">
        <v>287</v>
      </c>
      <c r="D716">
        <v>28</v>
      </c>
      <c r="E716">
        <v>29</v>
      </c>
      <c r="F716">
        <v>30</v>
      </c>
      <c r="G716">
        <v>31</v>
      </c>
    </row>
    <row r="717" spans="1:19">
      <c r="B717" t="s">
        <v>288</v>
      </c>
      <c r="C717" s="404"/>
      <c r="D717" s="404">
        <f>ROUND(+$C714*$C715*D716,0)</f>
        <v>3898</v>
      </c>
      <c r="E717" s="404">
        <f>ROUND(+$C714*$C715*E716,0)</f>
        <v>4037</v>
      </c>
      <c r="F717" s="404">
        <f>ROUND(+$C714*$C715*F716,0)</f>
        <v>4176</v>
      </c>
      <c r="G717" s="404">
        <f>ROUND(+$C714*$C715*G716,0)</f>
        <v>4315</v>
      </c>
    </row>
    <row r="718" spans="1:19">
      <c r="B718" t="s">
        <v>289</v>
      </c>
      <c r="C718" s="411"/>
      <c r="D718" s="411">
        <v>1.7500000000000002E-2</v>
      </c>
      <c r="E718" s="411">
        <v>1.7500000000000002E-2</v>
      </c>
      <c r="F718" s="411">
        <v>1.7500000000000002E-2</v>
      </c>
      <c r="G718" s="411">
        <v>1.7500000000000002E-2</v>
      </c>
    </row>
    <row r="719" spans="1:19">
      <c r="B719" t="s">
        <v>290</v>
      </c>
      <c r="C719" s="404"/>
      <c r="D719" s="404">
        <f>ROUND(+D717*(1+D718),0)</f>
        <v>3966</v>
      </c>
      <c r="E719" s="404">
        <f>ROUND(+E717*(1+E718),0)</f>
        <v>4108</v>
      </c>
      <c r="F719" s="404">
        <f>ROUND(+F717*(1+F718),0)</f>
        <v>4249</v>
      </c>
      <c r="G719" s="404">
        <f>ROUND(+G717*(1+G718),0)</f>
        <v>4391</v>
      </c>
    </row>
    <row r="721" spans="1:17" ht="15.75">
      <c r="B721" s="80" t="s">
        <v>291</v>
      </c>
      <c r="C721" s="80"/>
      <c r="D721" s="412">
        <f>+D719*$L$9</f>
        <v>252.59453999999999</v>
      </c>
      <c r="E721" s="412">
        <f>+E719*$L$9</f>
        <v>261.63851999999997</v>
      </c>
      <c r="F721" s="412">
        <f>+F719*$L$9</f>
        <v>270.61881</v>
      </c>
      <c r="G721" s="412">
        <f>+G719*$L$9</f>
        <v>279.66278999999997</v>
      </c>
    </row>
    <row r="723" spans="1:17" ht="15.75">
      <c r="A723" s="30"/>
      <c r="B723" s="30"/>
      <c r="C723" s="42" t="s">
        <v>132</v>
      </c>
      <c r="D723" s="42" t="s">
        <v>133</v>
      </c>
      <c r="E723" s="42" t="s">
        <v>132</v>
      </c>
      <c r="F723" s="208" t="s">
        <v>134</v>
      </c>
      <c r="G723" s="209"/>
      <c r="H723" s="210" t="s">
        <v>132</v>
      </c>
      <c r="I723" s="42" t="s">
        <v>135</v>
      </c>
      <c r="J723" s="42" t="s">
        <v>135</v>
      </c>
      <c r="K723" s="208" t="s">
        <v>136</v>
      </c>
      <c r="L723" s="209"/>
      <c r="M723" s="208" t="s">
        <v>137</v>
      </c>
      <c r="N723" s="209"/>
      <c r="O723" s="208" t="s">
        <v>138</v>
      </c>
      <c r="P723" s="211"/>
      <c r="Q723" s="16"/>
    </row>
    <row r="724" spans="1:17" ht="15.75">
      <c r="A724" s="42" t="s">
        <v>656</v>
      </c>
      <c r="B724" s="42" t="s">
        <v>139</v>
      </c>
      <c r="C724" s="42" t="s">
        <v>140</v>
      </c>
      <c r="D724" s="42" t="s">
        <v>141</v>
      </c>
      <c r="E724" s="42" t="s">
        <v>142</v>
      </c>
      <c r="F724" s="212" t="s">
        <v>792</v>
      </c>
      <c r="G724" s="212" t="s">
        <v>898</v>
      </c>
      <c r="H724" s="42" t="s">
        <v>143</v>
      </c>
      <c r="I724" s="42" t="s">
        <v>645</v>
      </c>
      <c r="J724" s="42" t="s">
        <v>144</v>
      </c>
      <c r="K724" s="212" t="s">
        <v>792</v>
      </c>
      <c r="L724" s="212" t="s">
        <v>898</v>
      </c>
      <c r="M724" s="212" t="s">
        <v>792</v>
      </c>
      <c r="N724" s="212" t="s">
        <v>898</v>
      </c>
      <c r="O724" s="212" t="s">
        <v>792</v>
      </c>
      <c r="P724" s="212" t="s">
        <v>898</v>
      </c>
    </row>
    <row r="725" spans="1:17" ht="15.75" thickBot="1"/>
    <row r="726" spans="1:17" ht="16.5" thickBot="1">
      <c r="A726" s="145" t="s">
        <v>292</v>
      </c>
      <c r="B726" s="43">
        <f>25*2*7*34</f>
        <v>11900</v>
      </c>
      <c r="C726" s="214">
        <f t="shared" ref="C726:C731" si="341">B726/1000</f>
        <v>11.9</v>
      </c>
      <c r="D726" s="215">
        <v>0</v>
      </c>
      <c r="E726" s="214">
        <f t="shared" ref="E726:E731" si="342">(+C726*D726)+C726</f>
        <v>11.9</v>
      </c>
      <c r="F726" s="231">
        <f>ROUND((+$E726*60*24)/12,0)</f>
        <v>1428</v>
      </c>
      <c r="G726" s="232"/>
      <c r="H726" s="141">
        <f>ROUND((+E726*D$7*(60/30))/12,2)</f>
        <v>18.52</v>
      </c>
      <c r="I726" s="142">
        <f>ROUND(IF((E726*200*(60/30))&gt;F726,F726,(E726*200*(60/30))),0)</f>
        <v>1428</v>
      </c>
      <c r="J726" s="141">
        <f t="shared" ref="J726:J731" si="343">ROUND(+I726*D$8,2)</f>
        <v>152.51</v>
      </c>
      <c r="K726" s="142">
        <f>F726-I726</f>
        <v>0</v>
      </c>
      <c r="L726" s="142"/>
      <c r="M726" s="141">
        <f t="shared" ref="M726:M731" si="344">ROUND(+K726*D$9,2)</f>
        <v>0</v>
      </c>
      <c r="N726" s="141"/>
      <c r="O726" s="217">
        <f t="shared" ref="O726:O731" si="345">H726+J726+M726</f>
        <v>171.03</v>
      </c>
      <c r="P726" s="273"/>
    </row>
    <row r="727" spans="1:17" ht="16.5" thickBot="1">
      <c r="A727" s="145" t="s">
        <v>293</v>
      </c>
      <c r="B727" s="43">
        <f>25*2*0.057*7</f>
        <v>19.95</v>
      </c>
      <c r="C727" s="214">
        <f t="shared" si="341"/>
        <v>1.9949999999999999E-2</v>
      </c>
      <c r="D727" s="215">
        <v>0</v>
      </c>
      <c r="E727" s="214">
        <f t="shared" si="342"/>
        <v>1.9949999999999999E-2</v>
      </c>
      <c r="F727" s="231">
        <f>ROUND((+$E727*60*24)/12,0)</f>
        <v>2</v>
      </c>
      <c r="G727" s="232"/>
      <c r="H727" s="141">
        <f>ROUND((+E727*D$7*(60/30))/12,2)</f>
        <v>0.03</v>
      </c>
      <c r="I727" s="142">
        <f>ROUND(IF((E727*200)&gt;F727,F727,(E727*200)),0)</f>
        <v>2</v>
      </c>
      <c r="J727" s="141">
        <f t="shared" si="343"/>
        <v>0.21</v>
      </c>
      <c r="K727" s="142">
        <f>F727-I727</f>
        <v>0</v>
      </c>
      <c r="L727" s="142"/>
      <c r="M727" s="141">
        <f t="shared" si="344"/>
        <v>0</v>
      </c>
      <c r="N727" s="141"/>
      <c r="O727" s="217">
        <f t="shared" si="345"/>
        <v>0.24</v>
      </c>
      <c r="P727" s="273"/>
    </row>
    <row r="728" spans="1:17" ht="16.5" thickBot="1">
      <c r="A728" s="145" t="s">
        <v>294</v>
      </c>
      <c r="B728" s="43">
        <v>0</v>
      </c>
      <c r="C728" s="214">
        <f t="shared" si="341"/>
        <v>0</v>
      </c>
      <c r="D728" s="215">
        <v>0</v>
      </c>
      <c r="E728" s="214">
        <f t="shared" si="342"/>
        <v>0</v>
      </c>
      <c r="F728" s="231">
        <v>1</v>
      </c>
      <c r="G728" s="232"/>
      <c r="H728" s="141">
        <f>ROUND((+E728*D$7*(60/30))/12,2)</f>
        <v>0</v>
      </c>
      <c r="I728" s="142">
        <f>ROUND(IF((E728*200)&gt;F728,F728,(E728*200)),0)</f>
        <v>0</v>
      </c>
      <c r="J728" s="141">
        <f t="shared" si="343"/>
        <v>0</v>
      </c>
      <c r="K728" s="142">
        <f>F728-I728</f>
        <v>1</v>
      </c>
      <c r="L728" s="142"/>
      <c r="M728" s="141">
        <f t="shared" si="344"/>
        <v>7.0000000000000007E-2</v>
      </c>
      <c r="N728" s="141"/>
      <c r="O728" s="217">
        <f t="shared" si="345"/>
        <v>7.0000000000000007E-2</v>
      </c>
      <c r="P728" s="273"/>
    </row>
    <row r="729" spans="1:17" ht="16.5" thickBot="1">
      <c r="A729" s="99" t="s">
        <v>295</v>
      </c>
      <c r="B729" s="42">
        <v>5275</v>
      </c>
      <c r="C729" s="214">
        <f t="shared" si="341"/>
        <v>5.2750000000000004</v>
      </c>
      <c r="D729" s="215">
        <v>0</v>
      </c>
      <c r="E729" s="214">
        <f t="shared" si="342"/>
        <v>5.2750000000000004</v>
      </c>
      <c r="F729" s="231">
        <f>ROUND((+$E729*37*24)/12,0)</f>
        <v>390</v>
      </c>
      <c r="G729" s="235"/>
      <c r="H729" s="141">
        <f>ROUND((+E729*D$7*(37/30))/12,2)</f>
        <v>5.0599999999999996</v>
      </c>
      <c r="I729" s="142">
        <f>ROUND(((E729*(37/30)/12)*200),0)</f>
        <v>108</v>
      </c>
      <c r="J729" s="141">
        <f t="shared" si="343"/>
        <v>11.53</v>
      </c>
      <c r="K729" s="142">
        <f>F729-I729</f>
        <v>282</v>
      </c>
      <c r="L729" s="142"/>
      <c r="M729" s="141">
        <f t="shared" si="344"/>
        <v>20</v>
      </c>
      <c r="N729" s="141"/>
      <c r="O729" s="217">
        <f t="shared" si="345"/>
        <v>36.590000000000003</v>
      </c>
      <c r="P729" s="236"/>
    </row>
    <row r="730" spans="1:17" ht="16.5" thickBot="1">
      <c r="A730" s="99" t="s">
        <v>297</v>
      </c>
      <c r="B730" s="42">
        <f>19*25*7</f>
        <v>3325</v>
      </c>
      <c r="C730" s="214">
        <f t="shared" si="341"/>
        <v>3.3250000000000002</v>
      </c>
      <c r="D730" s="215">
        <v>0</v>
      </c>
      <c r="E730" s="214">
        <f t="shared" si="342"/>
        <v>3.3250000000000002</v>
      </c>
      <c r="F730" s="231">
        <f>ROUND((+$E730*37*24)/12,0)</f>
        <v>246</v>
      </c>
      <c r="G730" s="235"/>
      <c r="H730" s="141">
        <f>ROUND((+E730*D$7*(37/30))/12,2)</f>
        <v>3.19</v>
      </c>
      <c r="I730" s="142">
        <f>ROUND(((E730*(37/30)/12)*200),0)</f>
        <v>68</v>
      </c>
      <c r="J730" s="141">
        <f t="shared" si="343"/>
        <v>7.26</v>
      </c>
      <c r="K730" s="142">
        <f>F730-I730</f>
        <v>178</v>
      </c>
      <c r="L730" s="142"/>
      <c r="M730" s="141">
        <f t="shared" si="344"/>
        <v>12.62</v>
      </c>
      <c r="N730" s="141"/>
      <c r="O730" s="217">
        <f t="shared" si="345"/>
        <v>23.07</v>
      </c>
      <c r="P730" s="236"/>
    </row>
    <row r="731" spans="1:17" ht="16.5" thickBot="1">
      <c r="A731" s="145" t="s">
        <v>298</v>
      </c>
      <c r="B731" s="42">
        <f>13*175</f>
        <v>2275</v>
      </c>
      <c r="C731" s="214">
        <f t="shared" si="341"/>
        <v>2.2749999999999999</v>
      </c>
      <c r="D731" s="215">
        <v>0</v>
      </c>
      <c r="E731" s="214">
        <f t="shared" si="342"/>
        <v>2.2749999999999999</v>
      </c>
      <c r="F731" s="231">
        <f>ROUND((+$E731*60*12)/12,0)</f>
        <v>137</v>
      </c>
      <c r="G731" s="413"/>
      <c r="H731" s="141">
        <f>ROUND(+E731*D$7*(60/30)/12,2)</f>
        <v>3.54</v>
      </c>
      <c r="I731" s="142">
        <f>ROUND((E731*(60/30)*200)/12,0)</f>
        <v>76</v>
      </c>
      <c r="J731" s="141">
        <f t="shared" si="343"/>
        <v>8.1199999999999992</v>
      </c>
      <c r="K731" s="414">
        <f>+F731-I731</f>
        <v>61</v>
      </c>
      <c r="L731" s="415"/>
      <c r="M731" s="141">
        <f t="shared" si="344"/>
        <v>4.33</v>
      </c>
      <c r="N731" s="415"/>
      <c r="O731" s="217">
        <f t="shared" si="345"/>
        <v>15.99</v>
      </c>
      <c r="P731" s="415"/>
    </row>
  </sheetData>
  <phoneticPr fontId="0" type="noConversion"/>
  <printOptions horizontalCentered="1"/>
  <pageMargins left="0.39370078740157483" right="0.39370078740157483" top="0.39370078740157483" bottom="0.39370078740157483" header="0.51181102362204722" footer="0.51181102362204722"/>
  <pageSetup paperSize="5" scale="60" fitToHeight="0" orientation="landscape" r:id="rId1"/>
  <headerFooter alignWithMargins="0"/>
  <rowBreaks count="2" manualBreakCount="2">
    <brk id="269" max="19" man="1"/>
    <brk id="302" max="19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0"/>
  <sheetViews>
    <sheetView view="pageLayout" topLeftCell="A115" zoomScaleNormal="50" workbookViewId="0">
      <selection sqref="A1:K88"/>
    </sheetView>
  </sheetViews>
  <sheetFormatPr defaultColWidth="9.6640625" defaultRowHeight="15"/>
  <cols>
    <col min="1" max="1" width="12.44140625" style="546" customWidth="1"/>
    <col min="2" max="2" width="31.88671875" style="546" customWidth="1"/>
    <col min="3" max="3" width="11.21875" style="546" customWidth="1"/>
    <col min="4" max="4" width="14.5546875" style="546" bestFit="1" customWidth="1"/>
    <col min="5" max="5" width="11.5546875" style="546" bestFit="1" customWidth="1"/>
    <col min="6" max="6" width="11.21875" style="546" customWidth="1"/>
    <col min="7" max="7" width="1" style="546" customWidth="1"/>
    <col min="8" max="8" width="11.21875" style="546" bestFit="1" customWidth="1"/>
    <col min="9" max="9" width="14.5546875" style="546" bestFit="1" customWidth="1"/>
    <col min="10" max="10" width="11.5546875" style="546" bestFit="1" customWidth="1"/>
    <col min="11" max="11" width="14.5546875" style="546" bestFit="1" customWidth="1"/>
    <col min="12" max="16384" width="9.6640625" style="546"/>
  </cols>
  <sheetData>
    <row r="1" spans="1:11" ht="18">
      <c r="K1" s="826" t="s">
        <v>1242</v>
      </c>
    </row>
    <row r="2" spans="1:11" ht="18">
      <c r="A2" s="1121" t="s">
        <v>655</v>
      </c>
      <c r="B2" s="1121"/>
      <c r="C2" s="1121"/>
      <c r="D2" s="1121"/>
      <c r="E2" s="1121"/>
      <c r="F2" s="1121"/>
    </row>
    <row r="3" spans="1:11" ht="18">
      <c r="A3" s="809"/>
      <c r="B3" s="809"/>
      <c r="C3" s="809"/>
      <c r="D3" s="809"/>
      <c r="E3" s="809"/>
    </row>
    <row r="4" spans="1:11">
      <c r="A4" s="547"/>
    </row>
    <row r="5" spans="1:11" ht="15.75">
      <c r="A5" s="548" t="s">
        <v>1241</v>
      </c>
    </row>
    <row r="6" spans="1:11" ht="18">
      <c r="A6" s="547"/>
      <c r="C6" s="1122" t="s">
        <v>664</v>
      </c>
      <c r="D6" s="1123"/>
      <c r="E6" s="1123"/>
      <c r="F6" s="1124"/>
      <c r="H6" s="1122" t="s">
        <v>1257</v>
      </c>
      <c r="I6" s="1123"/>
      <c r="J6" s="1123"/>
      <c r="K6" s="1124"/>
    </row>
    <row r="7" spans="1:11" ht="15.75">
      <c r="A7" s="549" t="s">
        <v>656</v>
      </c>
      <c r="B7" s="549" t="s">
        <v>657</v>
      </c>
      <c r="C7" s="549" t="s">
        <v>658</v>
      </c>
      <c r="D7" s="549" t="s">
        <v>659</v>
      </c>
      <c r="E7" s="549" t="s">
        <v>660</v>
      </c>
      <c r="F7" s="549" t="s">
        <v>648</v>
      </c>
      <c r="H7" s="549" t="s">
        <v>658</v>
      </c>
      <c r="I7" s="549" t="s">
        <v>659</v>
      </c>
      <c r="J7" s="549" t="s">
        <v>660</v>
      </c>
      <c r="K7" s="549" t="s">
        <v>648</v>
      </c>
    </row>
    <row r="8" spans="1:11">
      <c r="A8" s="550"/>
      <c r="B8" s="550"/>
      <c r="C8" s="550"/>
      <c r="D8" s="550"/>
      <c r="E8" s="550"/>
      <c r="F8" s="550"/>
    </row>
    <row r="9" spans="1:11">
      <c r="A9" s="551" t="s">
        <v>661</v>
      </c>
      <c r="B9" s="546" t="s">
        <v>662</v>
      </c>
      <c r="C9" s="552">
        <v>27</v>
      </c>
      <c r="D9" s="553">
        <v>0</v>
      </c>
      <c r="E9" s="552">
        <v>7</v>
      </c>
      <c r="F9" s="553">
        <f>SUM(C9:E9)</f>
        <v>34</v>
      </c>
      <c r="H9" s="829">
        <f>C9*'2012 Rev Reconciliation'!$B$8</f>
        <v>26.910807994023603</v>
      </c>
      <c r="I9" s="829">
        <f>D9*'2012 Rev Reconciliation'!$B$8</f>
        <v>0</v>
      </c>
      <c r="J9" s="829">
        <f>E9*'2012 Rev Reconciliation'!$B$8</f>
        <v>6.9768761465987117</v>
      </c>
      <c r="K9" s="829">
        <f>SUM(H9:J9)</f>
        <v>33.887684140622312</v>
      </c>
    </row>
    <row r="10" spans="1:11">
      <c r="A10" s="551" t="s">
        <v>665</v>
      </c>
      <c r="B10" s="546" t="s">
        <v>666</v>
      </c>
      <c r="C10" s="554">
        <v>2</v>
      </c>
      <c r="D10" s="553">
        <v>0</v>
      </c>
      <c r="E10" s="555">
        <v>0</v>
      </c>
      <c r="F10" s="554">
        <f>SUM(C10:E10)</f>
        <v>2</v>
      </c>
      <c r="H10" s="830">
        <f>C10*'2012 Rev Reconciliation'!$B$8</f>
        <v>1.9933931847424891</v>
      </c>
      <c r="I10" s="830">
        <f>D10*'2012 Rev Reconciliation'!$B$8</f>
        <v>0</v>
      </c>
      <c r="J10" s="830">
        <f>E10*'2012 Rev Reconciliation'!$B$8</f>
        <v>0</v>
      </c>
      <c r="K10" s="830">
        <f>SUM(H10:J10)</f>
        <v>1.9933931847424891</v>
      </c>
    </row>
    <row r="11" spans="1:11">
      <c r="A11" s="547"/>
      <c r="C11" s="552">
        <f>SUM(C9:C10)</f>
        <v>29</v>
      </c>
      <c r="D11" s="552">
        <f>SUM(D9:D10)</f>
        <v>0</v>
      </c>
      <c r="E11" s="552">
        <f>SUM(E9:E10)</f>
        <v>7</v>
      </c>
      <c r="F11" s="552">
        <f>SUM(F9:F10)</f>
        <v>36</v>
      </c>
      <c r="H11" s="829">
        <f>C11*'2012 Rev Reconciliation'!$B$8</f>
        <v>28.90420117876609</v>
      </c>
      <c r="I11" s="829">
        <f>D11*'2012 Rev Reconciliation'!$B$8</f>
        <v>0</v>
      </c>
      <c r="J11" s="829">
        <f>E11*'2012 Rev Reconciliation'!$B$8</f>
        <v>6.9768761465987117</v>
      </c>
      <c r="K11" s="829">
        <f>SUM(H11:J11)</f>
        <v>35.881077325364799</v>
      </c>
    </row>
    <row r="12" spans="1:11">
      <c r="A12" s="547"/>
      <c r="C12" s="552"/>
      <c r="D12" s="553"/>
      <c r="E12" s="552"/>
    </row>
    <row r="13" spans="1:11">
      <c r="A13" s="551" t="s">
        <v>667</v>
      </c>
      <c r="B13" s="546" t="s">
        <v>668</v>
      </c>
      <c r="C13" s="552">
        <v>272</v>
      </c>
      <c r="D13" s="553">
        <v>0</v>
      </c>
      <c r="E13" s="552">
        <v>0</v>
      </c>
      <c r="F13" s="553">
        <f t="shared" ref="F13:F20" si="0">SUM(C13:E13)</f>
        <v>272</v>
      </c>
      <c r="H13" s="829">
        <f>C13*'2012 Rev Reconciliation'!$B$8</f>
        <v>271.1014731249785</v>
      </c>
      <c r="I13" s="829">
        <f>D13*'2012 Rev Reconciliation'!$B$8</f>
        <v>0</v>
      </c>
      <c r="J13" s="829">
        <f>E13*'2012 Rev Reconciliation'!$B$8</f>
        <v>0</v>
      </c>
      <c r="K13" s="829">
        <f t="shared" ref="K13:K21" si="1">SUM(H13:J13)</f>
        <v>271.1014731249785</v>
      </c>
    </row>
    <row r="14" spans="1:11">
      <c r="A14" s="551" t="s">
        <v>669</v>
      </c>
      <c r="B14" s="546" t="s">
        <v>670</v>
      </c>
      <c r="C14" s="552">
        <v>11222</v>
      </c>
      <c r="D14" s="553">
        <v>7</v>
      </c>
      <c r="E14" s="552">
        <v>11</v>
      </c>
      <c r="F14" s="553">
        <f t="shared" si="0"/>
        <v>11240</v>
      </c>
      <c r="H14" s="829">
        <f>C14*'2012 Rev Reconciliation'!$B$8</f>
        <v>11184.929159590107</v>
      </c>
      <c r="I14" s="829">
        <f>D14*'2012 Rev Reconciliation'!$B$8</f>
        <v>6.9768761465987117</v>
      </c>
      <c r="J14" s="829">
        <f>E14*'2012 Rev Reconciliation'!$B$8</f>
        <v>10.963662516083691</v>
      </c>
      <c r="K14" s="829">
        <f t="shared" si="1"/>
        <v>11202.869698252789</v>
      </c>
    </row>
    <row r="15" spans="1:11">
      <c r="A15" s="551" t="s">
        <v>671</v>
      </c>
      <c r="B15" s="546" t="s">
        <v>672</v>
      </c>
      <c r="C15" s="552">
        <v>2684</v>
      </c>
      <c r="D15" s="553">
        <v>21</v>
      </c>
      <c r="E15" s="552">
        <v>157</v>
      </c>
      <c r="F15" s="553">
        <f t="shared" si="0"/>
        <v>2862</v>
      </c>
      <c r="H15" s="829">
        <f>C15*'2012 Rev Reconciliation'!$B$8</f>
        <v>2675.1336539244203</v>
      </c>
      <c r="I15" s="829">
        <f>D15*'2012 Rev Reconciliation'!$B$8</f>
        <v>20.930628439796134</v>
      </c>
      <c r="J15" s="829">
        <f>E15*'2012 Rev Reconciliation'!$B$8</f>
        <v>156.4813650022854</v>
      </c>
      <c r="K15" s="829">
        <f t="shared" si="1"/>
        <v>2852.5456473665017</v>
      </c>
    </row>
    <row r="16" spans="1:11">
      <c r="A16" s="551" t="s">
        <v>673</v>
      </c>
      <c r="B16" s="546" t="s">
        <v>674</v>
      </c>
      <c r="C16" s="552">
        <v>1033</v>
      </c>
      <c r="D16" s="553">
        <v>35</v>
      </c>
      <c r="E16" s="552">
        <v>54</v>
      </c>
      <c r="F16" s="553">
        <f t="shared" si="0"/>
        <v>1122</v>
      </c>
      <c r="H16" s="829">
        <f>C16*'2012 Rev Reconciliation'!$B$8</f>
        <v>1029.5875799194955</v>
      </c>
      <c r="I16" s="829">
        <f>D16*'2012 Rev Reconciliation'!$B$8</f>
        <v>34.884380732993556</v>
      </c>
      <c r="J16" s="829">
        <f>E16*'2012 Rev Reconciliation'!$B$8</f>
        <v>53.821615988047206</v>
      </c>
      <c r="K16" s="829">
        <f t="shared" si="1"/>
        <v>1118.2935766405362</v>
      </c>
    </row>
    <row r="17" spans="1:11">
      <c r="A17" s="551" t="s">
        <v>675</v>
      </c>
      <c r="B17" s="546" t="s">
        <v>676</v>
      </c>
      <c r="C17" s="552">
        <v>1413</v>
      </c>
      <c r="D17" s="553">
        <v>9</v>
      </c>
      <c r="E17" s="552">
        <v>15</v>
      </c>
      <c r="F17" s="553">
        <f t="shared" si="0"/>
        <v>1437</v>
      </c>
      <c r="H17" s="829">
        <f>C17*'2012 Rev Reconciliation'!$B$8</f>
        <v>1408.3322850205684</v>
      </c>
      <c r="I17" s="829">
        <f>D17*'2012 Rev Reconciliation'!$B$8</f>
        <v>8.9702693313411999</v>
      </c>
      <c r="J17" s="829">
        <f>E17*'2012 Rev Reconciliation'!$B$8</f>
        <v>14.950448885568669</v>
      </c>
      <c r="K17" s="829">
        <f t="shared" si="1"/>
        <v>1432.2530032374782</v>
      </c>
    </row>
    <row r="18" spans="1:11">
      <c r="A18" s="551" t="s">
        <v>677</v>
      </c>
      <c r="B18" s="546" t="s">
        <v>678</v>
      </c>
      <c r="C18" s="552">
        <v>11</v>
      </c>
      <c r="D18" s="553">
        <v>0</v>
      </c>
      <c r="E18" s="552">
        <v>1</v>
      </c>
      <c r="F18" s="553">
        <f t="shared" si="0"/>
        <v>12</v>
      </c>
      <c r="H18" s="829">
        <f>C18*'2012 Rev Reconciliation'!$B$8</f>
        <v>10.963662516083691</v>
      </c>
      <c r="I18" s="829">
        <f>D18*'2012 Rev Reconciliation'!$B$8</f>
        <v>0</v>
      </c>
      <c r="J18" s="829">
        <f>E18*'2012 Rev Reconciliation'!$B$8</f>
        <v>0.99669659237124453</v>
      </c>
      <c r="K18" s="829">
        <f t="shared" si="1"/>
        <v>11.960359108454934</v>
      </c>
    </row>
    <row r="19" spans="1:11">
      <c r="A19" s="551" t="s">
        <v>679</v>
      </c>
      <c r="B19" s="546" t="s">
        <v>680</v>
      </c>
      <c r="C19" s="552">
        <v>86</v>
      </c>
      <c r="D19" s="553">
        <v>22</v>
      </c>
      <c r="E19" s="552">
        <v>7</v>
      </c>
      <c r="F19" s="553">
        <f t="shared" si="0"/>
        <v>115</v>
      </c>
      <c r="H19" s="829">
        <f>C19*'2012 Rev Reconciliation'!$B$8</f>
        <v>85.715906943927024</v>
      </c>
      <c r="I19" s="829">
        <f>D19*'2012 Rev Reconciliation'!$B$8</f>
        <v>21.927325032167381</v>
      </c>
      <c r="J19" s="829">
        <f>E19*'2012 Rev Reconciliation'!$B$8</f>
        <v>6.9768761465987117</v>
      </c>
      <c r="K19" s="829">
        <f t="shared" si="1"/>
        <v>114.62010812269311</v>
      </c>
    </row>
    <row r="20" spans="1:11">
      <c r="A20" s="551" t="s">
        <v>681</v>
      </c>
      <c r="B20" s="546" t="s">
        <v>682</v>
      </c>
      <c r="C20" s="554">
        <v>3</v>
      </c>
      <c r="D20" s="554">
        <v>0</v>
      </c>
      <c r="E20" s="555">
        <v>0</v>
      </c>
      <c r="F20" s="554">
        <f t="shared" si="0"/>
        <v>3</v>
      </c>
      <c r="H20" s="830">
        <f>C20*'2012 Rev Reconciliation'!$B$8</f>
        <v>2.9900897771137336</v>
      </c>
      <c r="I20" s="830">
        <f>D20*'2012 Rev Reconciliation'!$B$8</f>
        <v>0</v>
      </c>
      <c r="J20" s="830">
        <f>E20*'2012 Rev Reconciliation'!$B$8</f>
        <v>0</v>
      </c>
      <c r="K20" s="830">
        <f t="shared" si="1"/>
        <v>2.9900897771137336</v>
      </c>
    </row>
    <row r="21" spans="1:11">
      <c r="A21" s="547"/>
      <c r="C21" s="552">
        <f>SUM(C13:C20)</f>
        <v>16724</v>
      </c>
      <c r="D21" s="552">
        <f>SUM(D13:D20)</f>
        <v>94</v>
      </c>
      <c r="E21" s="552">
        <f>SUM(E13:E20)</f>
        <v>245</v>
      </c>
      <c r="F21" s="552">
        <f>SUM(F13:F20)</f>
        <v>17063</v>
      </c>
      <c r="H21" s="829">
        <f>C21*'2012 Rev Reconciliation'!$B$8</f>
        <v>16668.753810816692</v>
      </c>
      <c r="I21" s="829">
        <f>D21*'2012 Rev Reconciliation'!$B$8</f>
        <v>93.689479682896987</v>
      </c>
      <c r="J21" s="829">
        <f>E21*'2012 Rev Reconciliation'!$B$8</f>
        <v>244.1906651309549</v>
      </c>
      <c r="K21" s="829">
        <f t="shared" si="1"/>
        <v>17006.633955630543</v>
      </c>
    </row>
    <row r="22" spans="1:11">
      <c r="A22" s="547"/>
      <c r="C22" s="552"/>
      <c r="D22" s="553"/>
      <c r="E22" s="552"/>
    </row>
    <row r="23" spans="1:11">
      <c r="A23" s="551" t="s">
        <v>683</v>
      </c>
      <c r="B23" s="546" t="s">
        <v>684</v>
      </c>
      <c r="C23" s="552">
        <v>897</v>
      </c>
      <c r="D23" s="553">
        <v>0</v>
      </c>
      <c r="E23" s="552">
        <v>0</v>
      </c>
      <c r="F23" s="553">
        <f t="shared" ref="F23:F33" si="2">SUM(C23:E23)</f>
        <v>897</v>
      </c>
      <c r="H23" s="829">
        <f>C23*'2012 Rev Reconciliation'!$B$8</f>
        <v>894.03684335700632</v>
      </c>
      <c r="I23" s="829">
        <f>D23*'2012 Rev Reconciliation'!$B$8</f>
        <v>0</v>
      </c>
      <c r="J23" s="829">
        <f>E23*'2012 Rev Reconciliation'!$B$8</f>
        <v>0</v>
      </c>
      <c r="K23" s="829">
        <f t="shared" ref="K23:K34" si="3">SUM(H23:J23)</f>
        <v>894.03684335700632</v>
      </c>
    </row>
    <row r="24" spans="1:11">
      <c r="A24" s="551" t="s">
        <v>685</v>
      </c>
      <c r="B24" s="546" t="s">
        <v>686</v>
      </c>
      <c r="C24" s="556">
        <v>114</v>
      </c>
      <c r="D24" s="557">
        <v>0</v>
      </c>
      <c r="E24" s="556">
        <v>0</v>
      </c>
      <c r="F24" s="557">
        <f t="shared" si="2"/>
        <v>114</v>
      </c>
      <c r="H24" s="829">
        <f>C24*'2012 Rev Reconciliation'!$B$8</f>
        <v>113.62341153032187</v>
      </c>
      <c r="I24" s="829">
        <f>D24*'2012 Rev Reconciliation'!$B$8</f>
        <v>0</v>
      </c>
      <c r="J24" s="829">
        <f>E24*'2012 Rev Reconciliation'!$B$8</f>
        <v>0</v>
      </c>
      <c r="K24" s="829">
        <f t="shared" si="3"/>
        <v>113.62341153032187</v>
      </c>
    </row>
    <row r="25" spans="1:11">
      <c r="A25" s="551" t="s">
        <v>687</v>
      </c>
      <c r="B25" s="546" t="s">
        <v>688</v>
      </c>
      <c r="C25" s="552">
        <v>67</v>
      </c>
      <c r="D25" s="553">
        <v>0</v>
      </c>
      <c r="E25" s="552">
        <v>0</v>
      </c>
      <c r="F25" s="553">
        <f t="shared" si="2"/>
        <v>67</v>
      </c>
      <c r="H25" s="829">
        <f>C25*'2012 Rev Reconciliation'!$B$8</f>
        <v>66.778671688873388</v>
      </c>
      <c r="I25" s="829">
        <f>D25*'2012 Rev Reconciliation'!$B$8</f>
        <v>0</v>
      </c>
      <c r="J25" s="829">
        <f>E25*'2012 Rev Reconciliation'!$B$8</f>
        <v>0</v>
      </c>
      <c r="K25" s="829">
        <f t="shared" si="3"/>
        <v>66.778671688873388</v>
      </c>
    </row>
    <row r="26" spans="1:11">
      <c r="A26" s="551" t="s">
        <v>689</v>
      </c>
      <c r="B26" s="546" t="s">
        <v>690</v>
      </c>
      <c r="C26" s="552">
        <v>15</v>
      </c>
      <c r="D26" s="553">
        <v>0</v>
      </c>
      <c r="E26" s="552">
        <v>0</v>
      </c>
      <c r="F26" s="553">
        <f t="shared" si="2"/>
        <v>15</v>
      </c>
      <c r="H26" s="829">
        <f>C26*'2012 Rev Reconciliation'!$B$8</f>
        <v>14.950448885568669</v>
      </c>
      <c r="I26" s="829">
        <f>D26*'2012 Rev Reconciliation'!$B$8</f>
        <v>0</v>
      </c>
      <c r="J26" s="829">
        <f>E26*'2012 Rev Reconciliation'!$B$8</f>
        <v>0</v>
      </c>
      <c r="K26" s="829">
        <f t="shared" si="3"/>
        <v>14.950448885568669</v>
      </c>
    </row>
    <row r="27" spans="1:11">
      <c r="A27" s="551" t="s">
        <v>691</v>
      </c>
      <c r="B27" s="546" t="s">
        <v>692</v>
      </c>
      <c r="C27" s="552">
        <v>5</v>
      </c>
      <c r="D27" s="553">
        <v>26</v>
      </c>
      <c r="E27" s="552">
        <v>0</v>
      </c>
      <c r="F27" s="553">
        <f t="shared" si="2"/>
        <v>31</v>
      </c>
      <c r="H27" s="829">
        <f>C27*'2012 Rev Reconciliation'!$B$8</f>
        <v>4.9834829618562226</v>
      </c>
      <c r="I27" s="829">
        <f>D27*'2012 Rev Reconciliation'!$B$8</f>
        <v>25.914111401652356</v>
      </c>
      <c r="J27" s="829">
        <f>E27*'2012 Rev Reconciliation'!$B$8</f>
        <v>0</v>
      </c>
      <c r="K27" s="829">
        <f t="shared" si="3"/>
        <v>30.897594363508578</v>
      </c>
    </row>
    <row r="28" spans="1:11">
      <c r="A28" s="551" t="s">
        <v>693</v>
      </c>
      <c r="B28" s="546" t="s">
        <v>694</v>
      </c>
      <c r="C28" s="552">
        <v>1</v>
      </c>
      <c r="D28" s="553">
        <v>3</v>
      </c>
      <c r="E28" s="552">
        <v>0</v>
      </c>
      <c r="F28" s="553">
        <f t="shared" si="2"/>
        <v>4</v>
      </c>
      <c r="H28" s="829">
        <f>C28*'2012 Rev Reconciliation'!$B$8</f>
        <v>0.99669659237124453</v>
      </c>
      <c r="I28" s="829">
        <f>D28*'2012 Rev Reconciliation'!$B$8</f>
        <v>2.9900897771137336</v>
      </c>
      <c r="J28" s="829">
        <f>E28*'2012 Rev Reconciliation'!$B$8</f>
        <v>0</v>
      </c>
      <c r="K28" s="829">
        <f t="shared" si="3"/>
        <v>3.9867863694849781</v>
      </c>
    </row>
    <row r="29" spans="1:11">
      <c r="A29" s="551" t="s">
        <v>695</v>
      </c>
      <c r="B29" s="546" t="s">
        <v>696</v>
      </c>
      <c r="C29" s="553">
        <v>2</v>
      </c>
      <c r="D29" s="553">
        <v>0</v>
      </c>
      <c r="E29" s="552">
        <v>0</v>
      </c>
      <c r="F29" s="553">
        <f t="shared" si="2"/>
        <v>2</v>
      </c>
      <c r="H29" s="829">
        <f>C29*'2012 Rev Reconciliation'!$B$8</f>
        <v>1.9933931847424891</v>
      </c>
      <c r="I29" s="829">
        <f>D29*'2012 Rev Reconciliation'!$B$8</f>
        <v>0</v>
      </c>
      <c r="J29" s="829">
        <f>E29*'2012 Rev Reconciliation'!$B$8</f>
        <v>0</v>
      </c>
      <c r="K29" s="829">
        <f t="shared" si="3"/>
        <v>1.9933931847424891</v>
      </c>
    </row>
    <row r="30" spans="1:11">
      <c r="A30" s="457">
        <v>217</v>
      </c>
      <c r="B30" s="558" t="s">
        <v>697</v>
      </c>
      <c r="C30" s="559">
        <v>0</v>
      </c>
      <c r="D30" s="559">
        <v>1</v>
      </c>
      <c r="E30" s="460">
        <v>0</v>
      </c>
      <c r="F30" s="559">
        <f t="shared" si="2"/>
        <v>1</v>
      </c>
      <c r="H30" s="829">
        <f>C30*'2012 Rev Reconciliation'!$B$8</f>
        <v>0</v>
      </c>
      <c r="I30" s="829">
        <f>D30*'2012 Rev Reconciliation'!$B$8</f>
        <v>0.99669659237124453</v>
      </c>
      <c r="J30" s="829">
        <f>E30*'2012 Rev Reconciliation'!$B$8</f>
        <v>0</v>
      </c>
      <c r="K30" s="829">
        <f t="shared" si="3"/>
        <v>0.99669659237124453</v>
      </c>
    </row>
    <row r="31" spans="1:11">
      <c r="A31" s="457">
        <v>218</v>
      </c>
      <c r="B31" s="558" t="s">
        <v>698</v>
      </c>
      <c r="C31" s="559">
        <v>0</v>
      </c>
      <c r="D31" s="559">
        <v>0</v>
      </c>
      <c r="E31" s="460">
        <v>0</v>
      </c>
      <c r="F31" s="559">
        <f t="shared" si="2"/>
        <v>0</v>
      </c>
      <c r="H31" s="829">
        <f>C31*'2012 Rev Reconciliation'!$B$8</f>
        <v>0</v>
      </c>
      <c r="I31" s="829">
        <f>D31*'2012 Rev Reconciliation'!$B$8</f>
        <v>0</v>
      </c>
      <c r="J31" s="829">
        <f>E31*'2012 Rev Reconciliation'!$B$8</f>
        <v>0</v>
      </c>
      <c r="K31" s="829">
        <f t="shared" si="3"/>
        <v>0</v>
      </c>
    </row>
    <row r="32" spans="1:11">
      <c r="A32" s="457">
        <v>330</v>
      </c>
      <c r="B32" s="558" t="s">
        <v>699</v>
      </c>
      <c r="C32" s="559">
        <v>0</v>
      </c>
      <c r="D32" s="559">
        <v>0</v>
      </c>
      <c r="E32" s="460">
        <v>2</v>
      </c>
      <c r="F32" s="559">
        <f t="shared" si="2"/>
        <v>2</v>
      </c>
      <c r="H32" s="829">
        <f>C32*'2012 Rev Reconciliation'!$B$8</f>
        <v>0</v>
      </c>
      <c r="I32" s="829">
        <f>D32*'2012 Rev Reconciliation'!$B$8</f>
        <v>0</v>
      </c>
      <c r="J32" s="829">
        <f>E32*'2012 Rev Reconciliation'!$B$8</f>
        <v>1.9933931847424891</v>
      </c>
      <c r="K32" s="829">
        <f t="shared" si="3"/>
        <v>1.9933931847424891</v>
      </c>
    </row>
    <row r="33" spans="1:11">
      <c r="A33" s="457">
        <v>350</v>
      </c>
      <c r="B33" s="558" t="s">
        <v>700</v>
      </c>
      <c r="C33" s="560">
        <v>0</v>
      </c>
      <c r="D33" s="560">
        <v>0</v>
      </c>
      <c r="E33" s="561">
        <v>76</v>
      </c>
      <c r="F33" s="560">
        <f t="shared" si="2"/>
        <v>76</v>
      </c>
      <c r="H33" s="830">
        <f>C33*'2012 Rev Reconciliation'!$B$8</f>
        <v>0</v>
      </c>
      <c r="I33" s="830">
        <f>D33*'2012 Rev Reconciliation'!$B$8</f>
        <v>0</v>
      </c>
      <c r="J33" s="830">
        <f>E33*'2012 Rev Reconciliation'!$B$8</f>
        <v>75.748941020214588</v>
      </c>
      <c r="K33" s="830">
        <f t="shared" si="3"/>
        <v>75.748941020214588</v>
      </c>
    </row>
    <row r="34" spans="1:11">
      <c r="A34" s="551"/>
      <c r="C34" s="552">
        <f>SUM(C23:C33)</f>
        <v>1101</v>
      </c>
      <c r="D34" s="552">
        <f>SUM(D23:D33)</f>
        <v>30</v>
      </c>
      <c r="E34" s="552">
        <f>SUM(E23:E33)</f>
        <v>78</v>
      </c>
      <c r="F34" s="552">
        <f>SUM(F23:F33)</f>
        <v>1209</v>
      </c>
      <c r="H34" s="829">
        <f>C34*'2012 Rev Reconciliation'!$B$8</f>
        <v>1097.3629482007402</v>
      </c>
      <c r="I34" s="829">
        <f>D34*'2012 Rev Reconciliation'!$B$8</f>
        <v>29.900897771137338</v>
      </c>
      <c r="J34" s="829">
        <f>E34*'2012 Rev Reconciliation'!$B$8</f>
        <v>77.742334204957075</v>
      </c>
      <c r="K34" s="829">
        <f t="shared" si="3"/>
        <v>1205.0061801768347</v>
      </c>
    </row>
    <row r="35" spans="1:11">
      <c r="A35" s="551"/>
      <c r="C35" s="552"/>
      <c r="D35" s="552"/>
      <c r="E35" s="552"/>
      <c r="F35" s="552"/>
    </row>
    <row r="36" spans="1:11">
      <c r="A36" s="551">
        <v>117</v>
      </c>
      <c r="B36" s="546" t="s">
        <v>701</v>
      </c>
      <c r="C36" s="552">
        <v>0</v>
      </c>
      <c r="D36" s="552">
        <v>0</v>
      </c>
      <c r="E36" s="552">
        <v>1</v>
      </c>
      <c r="F36" s="553">
        <f>SUM(C36:E36)</f>
        <v>1</v>
      </c>
      <c r="H36" s="829">
        <f>C36*'2012 Rev Reconciliation'!$B$8</f>
        <v>0</v>
      </c>
      <c r="I36" s="829">
        <f>D36*'2012 Rev Reconciliation'!$B$8</f>
        <v>0</v>
      </c>
      <c r="J36" s="829">
        <f>E36*'2012 Rev Reconciliation'!$B$8</f>
        <v>0.99669659237124453</v>
      </c>
      <c r="K36" s="829">
        <f t="shared" ref="K36:K41" si="4">SUM(H36:J36)</f>
        <v>0.99669659237124453</v>
      </c>
    </row>
    <row r="37" spans="1:11">
      <c r="A37" s="551">
        <v>118</v>
      </c>
      <c r="B37" s="546" t="s">
        <v>702</v>
      </c>
      <c r="C37" s="552">
        <v>0</v>
      </c>
      <c r="D37" s="552">
        <v>0</v>
      </c>
      <c r="E37" s="552">
        <v>17</v>
      </c>
      <c r="F37" s="553">
        <f>SUM(C37:E37)</f>
        <v>17</v>
      </c>
      <c r="H37" s="829">
        <f>C37*'2012 Rev Reconciliation'!$B$8</f>
        <v>0</v>
      </c>
      <c r="I37" s="829">
        <f>D37*'2012 Rev Reconciliation'!$B$8</f>
        <v>0</v>
      </c>
      <c r="J37" s="829">
        <f>E37*'2012 Rev Reconciliation'!$B$8</f>
        <v>16.943842070311156</v>
      </c>
      <c r="K37" s="829">
        <f t="shared" si="4"/>
        <v>16.943842070311156</v>
      </c>
    </row>
    <row r="38" spans="1:11">
      <c r="A38" s="551">
        <v>119</v>
      </c>
      <c r="B38" s="546" t="s">
        <v>703</v>
      </c>
      <c r="C38" s="552">
        <v>0</v>
      </c>
      <c r="D38" s="552">
        <v>0</v>
      </c>
      <c r="E38" s="552">
        <v>23</v>
      </c>
      <c r="F38" s="553">
        <f>SUM(C38:E38)</f>
        <v>23</v>
      </c>
      <c r="H38" s="829">
        <f>C38*'2012 Rev Reconciliation'!$B$8</f>
        <v>0</v>
      </c>
      <c r="I38" s="829">
        <f>D38*'2012 Rev Reconciliation'!$B$8</f>
        <v>0</v>
      </c>
      <c r="J38" s="829">
        <f>E38*'2012 Rev Reconciliation'!$B$8</f>
        <v>22.924021624538625</v>
      </c>
      <c r="K38" s="829">
        <f t="shared" si="4"/>
        <v>22.924021624538625</v>
      </c>
    </row>
    <row r="39" spans="1:11">
      <c r="A39" s="551">
        <v>120</v>
      </c>
      <c r="B39" s="546" t="s">
        <v>704</v>
      </c>
      <c r="C39" s="552">
        <v>0</v>
      </c>
      <c r="D39" s="552">
        <v>0</v>
      </c>
      <c r="E39" s="552">
        <v>30</v>
      </c>
      <c r="F39" s="553">
        <f>SUM(C39:E39)</f>
        <v>30</v>
      </c>
      <c r="H39" s="829">
        <f>C39*'2012 Rev Reconciliation'!$B$8</f>
        <v>0</v>
      </c>
      <c r="I39" s="829">
        <f>D39*'2012 Rev Reconciliation'!$B$8</f>
        <v>0</v>
      </c>
      <c r="J39" s="829">
        <f>E39*'2012 Rev Reconciliation'!$B$8</f>
        <v>29.900897771137338</v>
      </c>
      <c r="K39" s="829">
        <f t="shared" si="4"/>
        <v>29.900897771137338</v>
      </c>
    </row>
    <row r="40" spans="1:11">
      <c r="A40" s="551">
        <v>150</v>
      </c>
      <c r="B40" s="546" t="s">
        <v>705</v>
      </c>
      <c r="C40" s="555">
        <v>0</v>
      </c>
      <c r="D40" s="555">
        <v>0</v>
      </c>
      <c r="E40" s="555">
        <v>21</v>
      </c>
      <c r="F40" s="554">
        <f>SUM(C40:E40)</f>
        <v>21</v>
      </c>
      <c r="H40" s="830">
        <f>C40*'2012 Rev Reconciliation'!$B$8</f>
        <v>0</v>
      </c>
      <c r="I40" s="830">
        <f>D40*'2012 Rev Reconciliation'!$B$8</f>
        <v>0</v>
      </c>
      <c r="J40" s="830">
        <f>E40*'2012 Rev Reconciliation'!$B$8</f>
        <v>20.930628439796134</v>
      </c>
      <c r="K40" s="830">
        <f t="shared" si="4"/>
        <v>20.930628439796134</v>
      </c>
    </row>
    <row r="41" spans="1:11">
      <c r="A41" s="547"/>
      <c r="C41" s="552">
        <f>SUM(C36:C40)</f>
        <v>0</v>
      </c>
      <c r="D41" s="552">
        <f>SUM(D36:D40)</f>
        <v>0</v>
      </c>
      <c r="E41" s="552">
        <f>SUM(E36:E40)</f>
        <v>92</v>
      </c>
      <c r="F41" s="552">
        <f>SUM(F36:F40)</f>
        <v>92</v>
      </c>
      <c r="H41" s="829">
        <f>C41*'2012 Rev Reconciliation'!$B$8</f>
        <v>0</v>
      </c>
      <c r="I41" s="829">
        <f>D41*'2012 Rev Reconciliation'!$B$8</f>
        <v>0</v>
      </c>
      <c r="J41" s="829">
        <f>E41*'2012 Rev Reconciliation'!$B$8</f>
        <v>91.6960864981545</v>
      </c>
      <c r="K41" s="829">
        <f t="shared" si="4"/>
        <v>91.6960864981545</v>
      </c>
    </row>
    <row r="42" spans="1:11">
      <c r="A42" s="547"/>
      <c r="C42" s="552"/>
      <c r="D42" s="553"/>
      <c r="E42" s="552"/>
    </row>
    <row r="43" spans="1:11">
      <c r="A43" s="551">
        <v>310</v>
      </c>
      <c r="B43" s="546" t="s">
        <v>706</v>
      </c>
      <c r="C43" s="552">
        <v>0</v>
      </c>
      <c r="D43" s="552">
        <v>0</v>
      </c>
      <c r="E43" s="552">
        <v>2</v>
      </c>
      <c r="F43" s="553">
        <f t="shared" ref="F43:F48" si="5">SUM(C43:E43)</f>
        <v>2</v>
      </c>
      <c r="H43" s="829">
        <f>C43*'2012 Rev Reconciliation'!$B$8</f>
        <v>0</v>
      </c>
      <c r="I43" s="829">
        <f>D43*'2012 Rev Reconciliation'!$B$8</f>
        <v>0</v>
      </c>
      <c r="J43" s="829">
        <f>E43*'2012 Rev Reconciliation'!$B$8</f>
        <v>1.9933931847424891</v>
      </c>
      <c r="K43" s="829">
        <f t="shared" ref="K43:K49" si="6">SUM(H43:J43)</f>
        <v>1.9933931847424891</v>
      </c>
    </row>
    <row r="44" spans="1:11">
      <c r="A44" s="551">
        <v>311</v>
      </c>
      <c r="B44" s="546" t="s">
        <v>707</v>
      </c>
      <c r="C44" s="552">
        <v>0</v>
      </c>
      <c r="D44" s="552">
        <v>0</v>
      </c>
      <c r="E44" s="552">
        <v>5</v>
      </c>
      <c r="F44" s="553">
        <f t="shared" si="5"/>
        <v>5</v>
      </c>
      <c r="H44" s="829">
        <f>C44*'2012 Rev Reconciliation'!$B$8</f>
        <v>0</v>
      </c>
      <c r="I44" s="829">
        <f>D44*'2012 Rev Reconciliation'!$B$8</f>
        <v>0</v>
      </c>
      <c r="J44" s="829">
        <f>E44*'2012 Rev Reconciliation'!$B$8</f>
        <v>4.9834829618562226</v>
      </c>
      <c r="K44" s="829">
        <f t="shared" si="6"/>
        <v>4.9834829618562226</v>
      </c>
    </row>
    <row r="45" spans="1:11">
      <c r="A45" s="551">
        <v>312</v>
      </c>
      <c r="B45" s="546" t="s">
        <v>708</v>
      </c>
      <c r="C45" s="552">
        <v>0</v>
      </c>
      <c r="D45" s="552">
        <v>0</v>
      </c>
      <c r="E45" s="552">
        <v>1</v>
      </c>
      <c r="F45" s="553">
        <f t="shared" si="5"/>
        <v>1</v>
      </c>
      <c r="H45" s="829">
        <f>C45*'2012 Rev Reconciliation'!$B$8</f>
        <v>0</v>
      </c>
      <c r="I45" s="829">
        <f>D45*'2012 Rev Reconciliation'!$B$8</f>
        <v>0</v>
      </c>
      <c r="J45" s="829">
        <f>E45*'2012 Rev Reconciliation'!$B$8</f>
        <v>0.99669659237124453</v>
      </c>
      <c r="K45" s="829">
        <f t="shared" si="6"/>
        <v>0.99669659237124453</v>
      </c>
    </row>
    <row r="46" spans="1:11">
      <c r="A46" s="551">
        <v>313</v>
      </c>
      <c r="B46" s="546" t="s">
        <v>709</v>
      </c>
      <c r="C46" s="552">
        <v>0</v>
      </c>
      <c r="D46" s="552">
        <v>0</v>
      </c>
      <c r="E46" s="552">
        <v>0</v>
      </c>
      <c r="F46" s="553">
        <f t="shared" si="5"/>
        <v>0</v>
      </c>
      <c r="H46" s="829">
        <f>C46*'2012 Rev Reconciliation'!$B$8</f>
        <v>0</v>
      </c>
      <c r="I46" s="829">
        <f>D46*'2012 Rev Reconciliation'!$B$8</f>
        <v>0</v>
      </c>
      <c r="J46" s="829">
        <f>E46*'2012 Rev Reconciliation'!$B$8</f>
        <v>0</v>
      </c>
      <c r="K46" s="829">
        <f t="shared" si="6"/>
        <v>0</v>
      </c>
    </row>
    <row r="47" spans="1:11">
      <c r="A47" s="551">
        <v>314</v>
      </c>
      <c r="B47" s="546" t="s">
        <v>710</v>
      </c>
      <c r="C47" s="552">
        <v>0</v>
      </c>
      <c r="D47" s="552">
        <v>0</v>
      </c>
      <c r="E47" s="552">
        <v>25</v>
      </c>
      <c r="F47" s="553">
        <f t="shared" si="5"/>
        <v>25</v>
      </c>
      <c r="H47" s="829">
        <f>C47*'2012 Rev Reconciliation'!$B$8</f>
        <v>0</v>
      </c>
      <c r="I47" s="829">
        <f>D47*'2012 Rev Reconciliation'!$B$8</f>
        <v>0</v>
      </c>
      <c r="J47" s="829">
        <f>E47*'2012 Rev Reconciliation'!$B$8</f>
        <v>24.917414809281112</v>
      </c>
      <c r="K47" s="829">
        <f t="shared" si="6"/>
        <v>24.917414809281112</v>
      </c>
    </row>
    <row r="48" spans="1:11">
      <c r="A48" s="551">
        <v>315</v>
      </c>
      <c r="B48" s="546" t="s">
        <v>711</v>
      </c>
      <c r="C48" s="555">
        <v>0</v>
      </c>
      <c r="D48" s="555">
        <v>0</v>
      </c>
      <c r="E48" s="555">
        <v>0</v>
      </c>
      <c r="F48" s="554">
        <f t="shared" si="5"/>
        <v>0</v>
      </c>
      <c r="H48" s="830">
        <f>C48*'2012 Rev Reconciliation'!$B$8</f>
        <v>0</v>
      </c>
      <c r="I48" s="830">
        <f>D48*'2012 Rev Reconciliation'!$B$8</f>
        <v>0</v>
      </c>
      <c r="J48" s="830">
        <f>E48*'2012 Rev Reconciliation'!$B$8</f>
        <v>0</v>
      </c>
      <c r="K48" s="830">
        <f t="shared" si="6"/>
        <v>0</v>
      </c>
    </row>
    <row r="49" spans="1:11">
      <c r="A49" s="547"/>
      <c r="C49" s="552">
        <f>SUM(C43:C48)</f>
        <v>0</v>
      </c>
      <c r="D49" s="552">
        <f>SUM(D43:D48)</f>
        <v>0</v>
      </c>
      <c r="E49" s="552">
        <f>SUM(E43:E48)</f>
        <v>33</v>
      </c>
      <c r="F49" s="552">
        <f>SUM(F43:F48)</f>
        <v>33</v>
      </c>
      <c r="H49" s="829">
        <f>C49*'2012 Rev Reconciliation'!$B$8</f>
        <v>0</v>
      </c>
      <c r="I49" s="829">
        <f>D49*'2012 Rev Reconciliation'!$B$8</f>
        <v>0</v>
      </c>
      <c r="J49" s="829">
        <f>E49*'2012 Rev Reconciliation'!$B$8</f>
        <v>32.890987548251069</v>
      </c>
      <c r="K49" s="829">
        <f t="shared" si="6"/>
        <v>32.890987548251069</v>
      </c>
    </row>
    <row r="50" spans="1:11">
      <c r="A50" s="547"/>
      <c r="C50" s="552"/>
      <c r="D50" s="553"/>
      <c r="E50" s="552"/>
    </row>
    <row r="51" spans="1:11">
      <c r="A51" s="551" t="s">
        <v>712</v>
      </c>
      <c r="B51" s="546" t="s">
        <v>713</v>
      </c>
      <c r="C51" s="552">
        <v>5550</v>
      </c>
      <c r="D51" s="553">
        <v>171</v>
      </c>
      <c r="E51" s="552">
        <v>1699</v>
      </c>
      <c r="F51" s="553">
        <f t="shared" ref="F51:F59" si="7">SUM(C51:E51)</f>
        <v>7420</v>
      </c>
      <c r="H51" s="829">
        <f>C51*'2012 Rev Reconciliation'!$B$8</f>
        <v>5531.6660876604074</v>
      </c>
      <c r="I51" s="829">
        <f>D51*'2012 Rev Reconciliation'!$B$8</f>
        <v>170.43511729548283</v>
      </c>
      <c r="J51" s="829">
        <f>E51*'2012 Rev Reconciliation'!$B$8</f>
        <v>1693.3875104387444</v>
      </c>
      <c r="K51" s="829">
        <f t="shared" ref="K51:K60" si="8">SUM(H51:J51)</f>
        <v>7395.4887153946347</v>
      </c>
    </row>
    <row r="52" spans="1:11">
      <c r="A52" s="551" t="s">
        <v>714</v>
      </c>
      <c r="B52" s="546" t="s">
        <v>715</v>
      </c>
      <c r="C52" s="559">
        <v>3664</v>
      </c>
      <c r="D52" s="553">
        <v>0</v>
      </c>
      <c r="E52" s="552">
        <v>89</v>
      </c>
      <c r="F52" s="553">
        <f t="shared" si="7"/>
        <v>3753</v>
      </c>
      <c r="H52" s="829">
        <f>C52*'2012 Rev Reconciliation'!$B$8</f>
        <v>3651.89631444824</v>
      </c>
      <c r="I52" s="829">
        <f>D52*'2012 Rev Reconciliation'!$B$8</f>
        <v>0</v>
      </c>
      <c r="J52" s="829">
        <f>E52*'2012 Rev Reconciliation'!$B$8</f>
        <v>88.705996721040762</v>
      </c>
      <c r="K52" s="829">
        <f t="shared" si="8"/>
        <v>3740.6023111692807</v>
      </c>
    </row>
    <row r="53" spans="1:11">
      <c r="A53" s="551" t="s">
        <v>716</v>
      </c>
      <c r="B53" s="546" t="s">
        <v>717</v>
      </c>
      <c r="C53" s="559">
        <v>40531</v>
      </c>
      <c r="D53" s="553">
        <v>258</v>
      </c>
      <c r="E53" s="552">
        <v>6324</v>
      </c>
      <c r="F53" s="553">
        <f t="shared" si="7"/>
        <v>47113</v>
      </c>
      <c r="H53" s="829">
        <f>C53*'2012 Rev Reconciliation'!$B$8</f>
        <v>40397.10958539891</v>
      </c>
      <c r="I53" s="829">
        <f>D53*'2012 Rev Reconciliation'!$B$8</f>
        <v>257.1477208317811</v>
      </c>
      <c r="J53" s="829">
        <f>E53*'2012 Rev Reconciliation'!$B$8</f>
        <v>6303.1092501557505</v>
      </c>
      <c r="K53" s="829">
        <f t="shared" si="8"/>
        <v>46957.366556386442</v>
      </c>
    </row>
    <row r="54" spans="1:11">
      <c r="A54" s="551" t="s">
        <v>718</v>
      </c>
      <c r="B54" s="546" t="s">
        <v>719</v>
      </c>
      <c r="C54" s="559">
        <v>47219</v>
      </c>
      <c r="D54" s="553">
        <v>135</v>
      </c>
      <c r="E54" s="552">
        <v>2584</v>
      </c>
      <c r="F54" s="553">
        <f t="shared" si="7"/>
        <v>49938</v>
      </c>
      <c r="H54" s="829">
        <f>C54*'2012 Rev Reconciliation'!$B$8</f>
        <v>47063.016395177794</v>
      </c>
      <c r="I54" s="829">
        <f>D54*'2012 Rev Reconciliation'!$B$8</f>
        <v>134.554039970118</v>
      </c>
      <c r="J54" s="829">
        <f>E54*'2012 Rev Reconciliation'!$B$8</f>
        <v>2575.4639946872958</v>
      </c>
      <c r="K54" s="829">
        <f t="shared" si="8"/>
        <v>49773.034429835214</v>
      </c>
    </row>
    <row r="55" spans="1:11">
      <c r="A55" s="551" t="s">
        <v>720</v>
      </c>
      <c r="B55" s="546" t="s">
        <v>721</v>
      </c>
      <c r="C55" s="559">
        <v>5730</v>
      </c>
      <c r="D55" s="559">
        <v>230</v>
      </c>
      <c r="E55" s="460">
        <v>1163</v>
      </c>
      <c r="F55" s="553">
        <f t="shared" si="7"/>
        <v>7123</v>
      </c>
      <c r="H55" s="829">
        <f>C55*'2012 Rev Reconciliation'!$B$8</f>
        <v>5711.0714742872315</v>
      </c>
      <c r="I55" s="829">
        <f>D55*'2012 Rev Reconciliation'!$B$8</f>
        <v>229.24021624538625</v>
      </c>
      <c r="J55" s="829">
        <f>E55*'2012 Rev Reconciliation'!$B$8</f>
        <v>1159.1581369277574</v>
      </c>
      <c r="K55" s="829">
        <f t="shared" si="8"/>
        <v>7099.4698274603752</v>
      </c>
    </row>
    <row r="56" spans="1:11">
      <c r="A56" s="551">
        <v>126</v>
      </c>
      <c r="B56" s="546" t="s">
        <v>722</v>
      </c>
      <c r="C56" s="559">
        <v>15</v>
      </c>
      <c r="D56" s="559">
        <v>0</v>
      </c>
      <c r="E56" s="460">
        <v>0</v>
      </c>
      <c r="F56" s="553">
        <f t="shared" si="7"/>
        <v>15</v>
      </c>
      <c r="H56" s="829">
        <f>C56*'2012 Rev Reconciliation'!$B$8</f>
        <v>14.950448885568669</v>
      </c>
      <c r="I56" s="829">
        <f>D56*'2012 Rev Reconciliation'!$B$8</f>
        <v>0</v>
      </c>
      <c r="J56" s="829">
        <f>E56*'2012 Rev Reconciliation'!$B$8</f>
        <v>0</v>
      </c>
      <c r="K56" s="829">
        <f t="shared" si="8"/>
        <v>14.950448885568669</v>
      </c>
    </row>
    <row r="57" spans="1:11">
      <c r="A57" s="457">
        <v>327</v>
      </c>
      <c r="B57" s="558" t="s">
        <v>723</v>
      </c>
      <c r="C57" s="559">
        <v>0</v>
      </c>
      <c r="D57" s="559">
        <v>0</v>
      </c>
      <c r="E57" s="460">
        <v>3</v>
      </c>
      <c r="F57" s="559">
        <f t="shared" si="7"/>
        <v>3</v>
      </c>
      <c r="H57" s="829">
        <f>C57*'2012 Rev Reconciliation'!$B$8</f>
        <v>0</v>
      </c>
      <c r="I57" s="829">
        <f>D57*'2012 Rev Reconciliation'!$B$8</f>
        <v>0</v>
      </c>
      <c r="J57" s="829">
        <f>E57*'2012 Rev Reconciliation'!$B$8</f>
        <v>2.9900897771137336</v>
      </c>
      <c r="K57" s="829">
        <f t="shared" si="8"/>
        <v>2.9900897771137336</v>
      </c>
    </row>
    <row r="58" spans="1:11" s="558" customFormat="1">
      <c r="A58" s="457">
        <v>328</v>
      </c>
      <c r="B58" s="558" t="s">
        <v>724</v>
      </c>
      <c r="C58" s="559">
        <v>0</v>
      </c>
      <c r="D58" s="559">
        <v>0</v>
      </c>
      <c r="E58" s="460">
        <v>16</v>
      </c>
      <c r="F58" s="559">
        <f t="shared" si="7"/>
        <v>16</v>
      </c>
      <c r="H58" s="829">
        <f>C58*'2012 Rev Reconciliation'!$B$8</f>
        <v>0</v>
      </c>
      <c r="I58" s="829">
        <f>D58*'2012 Rev Reconciliation'!$B$8</f>
        <v>0</v>
      </c>
      <c r="J58" s="829">
        <f>E58*'2012 Rev Reconciliation'!$B$8</f>
        <v>15.947145477939912</v>
      </c>
      <c r="K58" s="829">
        <f t="shared" si="8"/>
        <v>15.947145477939912</v>
      </c>
    </row>
    <row r="59" spans="1:11" s="558" customFormat="1">
      <c r="A59" s="457">
        <v>329</v>
      </c>
      <c r="B59" s="558" t="s">
        <v>950</v>
      </c>
      <c r="C59" s="554">
        <v>0</v>
      </c>
      <c r="D59" s="554">
        <v>0</v>
      </c>
      <c r="E59" s="555">
        <v>1</v>
      </c>
      <c r="F59" s="554">
        <f t="shared" si="7"/>
        <v>1</v>
      </c>
      <c r="H59" s="830">
        <f>C59*'2012 Rev Reconciliation'!$B$8</f>
        <v>0</v>
      </c>
      <c r="I59" s="830">
        <f>D59*'2012 Rev Reconciliation'!$B$8</f>
        <v>0</v>
      </c>
      <c r="J59" s="830">
        <f>E59*'2012 Rev Reconciliation'!$B$8</f>
        <v>0.99669659237124453</v>
      </c>
      <c r="K59" s="830">
        <f t="shared" si="8"/>
        <v>0.99669659237124453</v>
      </c>
    </row>
    <row r="60" spans="1:11" s="558" customFormat="1">
      <c r="A60" s="825"/>
      <c r="C60" s="460">
        <f>SUM(C51:C59)</f>
        <v>102709</v>
      </c>
      <c r="D60" s="460">
        <f>SUM(D51:D59)</f>
        <v>794</v>
      </c>
      <c r="E60" s="460">
        <f>SUM(E51:E59)</f>
        <v>11879</v>
      </c>
      <c r="F60" s="460">
        <f>SUM(F51:F59)</f>
        <v>115382</v>
      </c>
      <c r="H60" s="829">
        <f>C60*'2012 Rev Reconciliation'!$B$8</f>
        <v>102369.71030585816</v>
      </c>
      <c r="I60" s="829">
        <f>D60*'2012 Rev Reconciliation'!$B$8</f>
        <v>791.37709434276815</v>
      </c>
      <c r="J60" s="829">
        <f>E60*'2012 Rev Reconciliation'!$B$8</f>
        <v>11839.758820778014</v>
      </c>
      <c r="K60" s="829">
        <f t="shared" si="8"/>
        <v>115000.84622097894</v>
      </c>
    </row>
    <row r="61" spans="1:11" s="558" customFormat="1">
      <c r="A61" s="825"/>
      <c r="C61" s="460"/>
      <c r="D61" s="559"/>
      <c r="E61" s="460"/>
    </row>
    <row r="62" spans="1:11">
      <c r="A62" s="551" t="s">
        <v>725</v>
      </c>
      <c r="B62" s="546" t="s">
        <v>726</v>
      </c>
      <c r="C62" s="552">
        <v>58</v>
      </c>
      <c r="D62" s="553">
        <v>0</v>
      </c>
      <c r="E62" s="552">
        <v>0</v>
      </c>
      <c r="F62" s="553">
        <f>SUM(C62:E62)</f>
        <v>58</v>
      </c>
      <c r="H62" s="829">
        <f>C62*'2012 Rev Reconciliation'!$B$8</f>
        <v>57.808402357532181</v>
      </c>
      <c r="I62" s="829">
        <f>D62*'2012 Rev Reconciliation'!$B$8</f>
        <v>0</v>
      </c>
      <c r="J62" s="829">
        <f>E62*'2012 Rev Reconciliation'!$B$8</f>
        <v>0</v>
      </c>
      <c r="K62" s="829">
        <f>SUM(H62:J62)</f>
        <v>57.808402357532181</v>
      </c>
    </row>
    <row r="63" spans="1:11">
      <c r="A63" s="551" t="s">
        <v>727</v>
      </c>
      <c r="B63" s="546" t="s">
        <v>728</v>
      </c>
      <c r="C63" s="559">
        <v>806</v>
      </c>
      <c r="D63" s="553">
        <v>39</v>
      </c>
      <c r="E63" s="552">
        <v>37</v>
      </c>
      <c r="F63" s="553">
        <f>SUM(C63:E63)</f>
        <v>882</v>
      </c>
      <c r="H63" s="829">
        <f>C63*'2012 Rev Reconciliation'!$B$8</f>
        <v>803.33745345122304</v>
      </c>
      <c r="I63" s="829">
        <f>D63*'2012 Rev Reconciliation'!$B$8</f>
        <v>38.871167102478537</v>
      </c>
      <c r="J63" s="829">
        <f>E63*'2012 Rev Reconciliation'!$B$8</f>
        <v>36.87777391773605</v>
      </c>
      <c r="K63" s="829">
        <f>SUM(H63:J63)</f>
        <v>879.08639447143764</v>
      </c>
    </row>
    <row r="64" spans="1:11">
      <c r="A64" s="551">
        <v>132</v>
      </c>
      <c r="B64" s="546" t="s">
        <v>729</v>
      </c>
      <c r="C64" s="554">
        <v>0</v>
      </c>
      <c r="D64" s="554">
        <v>0</v>
      </c>
      <c r="E64" s="555">
        <v>0</v>
      </c>
      <c r="F64" s="554">
        <f>SUM(C64:E64)</f>
        <v>0</v>
      </c>
      <c r="H64" s="830">
        <f>C64*'2012 Rev Reconciliation'!$B$8</f>
        <v>0</v>
      </c>
      <c r="I64" s="830">
        <f>D64*'2012 Rev Reconciliation'!$B$8</f>
        <v>0</v>
      </c>
      <c r="J64" s="830">
        <f>E64*'2012 Rev Reconciliation'!$B$8</f>
        <v>0</v>
      </c>
      <c r="K64" s="830">
        <f>SUM(H64:J64)</f>
        <v>0</v>
      </c>
    </row>
    <row r="65" spans="1:11">
      <c r="A65" s="547"/>
      <c r="C65" s="552">
        <f>SUM(C62:C64)</f>
        <v>864</v>
      </c>
      <c r="D65" s="552">
        <f>SUM(D62:D64)</f>
        <v>39</v>
      </c>
      <c r="E65" s="552">
        <f>SUM(E62:E64)</f>
        <v>37</v>
      </c>
      <c r="F65" s="552">
        <f>SUM(F62:F64)</f>
        <v>940</v>
      </c>
      <c r="H65" s="829">
        <f>C65*'2012 Rev Reconciliation'!$B$8</f>
        <v>861.1458558087553</v>
      </c>
      <c r="I65" s="829">
        <f>D65*'2012 Rev Reconciliation'!$B$8</f>
        <v>38.871167102478537</v>
      </c>
      <c r="J65" s="829">
        <f>E65*'2012 Rev Reconciliation'!$B$8</f>
        <v>36.87777391773605</v>
      </c>
      <c r="K65" s="829">
        <f>SUM(H65:J65)</f>
        <v>936.8947968289699</v>
      </c>
    </row>
    <row r="66" spans="1:11">
      <c r="A66" s="547"/>
      <c r="C66" s="552"/>
      <c r="D66" s="553"/>
      <c r="E66" s="552"/>
    </row>
    <row r="67" spans="1:11">
      <c r="A67" s="551" t="s">
        <v>730</v>
      </c>
      <c r="B67" s="546" t="s">
        <v>731</v>
      </c>
      <c r="C67" s="552">
        <v>1315</v>
      </c>
      <c r="D67" s="553">
        <v>0</v>
      </c>
      <c r="E67" s="552">
        <v>159</v>
      </c>
      <c r="F67" s="553">
        <f t="shared" ref="F67:F74" si="9">SUM(C67:E67)</f>
        <v>1474</v>
      </c>
      <c r="H67" s="829">
        <f>C67*'2012 Rev Reconciliation'!$B$8</f>
        <v>1310.6560189681866</v>
      </c>
      <c r="I67" s="829">
        <f>D67*'2012 Rev Reconciliation'!$B$8</f>
        <v>0</v>
      </c>
      <c r="J67" s="829">
        <f>E67*'2012 Rev Reconciliation'!$B$8</f>
        <v>158.47475818702787</v>
      </c>
      <c r="K67" s="829">
        <f t="shared" ref="K67:K75" si="10">SUM(H67:J67)</f>
        <v>1469.1307771552144</v>
      </c>
    </row>
    <row r="68" spans="1:11">
      <c r="A68" s="551" t="s">
        <v>732</v>
      </c>
      <c r="B68" s="546" t="s">
        <v>733</v>
      </c>
      <c r="C68" s="559">
        <v>981</v>
      </c>
      <c r="D68" s="553">
        <v>0</v>
      </c>
      <c r="E68" s="552">
        <v>22</v>
      </c>
      <c r="F68" s="553">
        <f t="shared" si="9"/>
        <v>1003</v>
      </c>
      <c r="H68" s="829">
        <f>C68*'2012 Rev Reconciliation'!$B$8</f>
        <v>977.75935711619093</v>
      </c>
      <c r="I68" s="829">
        <f>D68*'2012 Rev Reconciliation'!$B$8</f>
        <v>0</v>
      </c>
      <c r="J68" s="829">
        <f>E68*'2012 Rev Reconciliation'!$B$8</f>
        <v>21.927325032167381</v>
      </c>
      <c r="K68" s="829">
        <f t="shared" si="10"/>
        <v>999.68668214835827</v>
      </c>
    </row>
    <row r="69" spans="1:11">
      <c r="A69" s="551" t="s">
        <v>734</v>
      </c>
      <c r="B69" s="546" t="s">
        <v>735</v>
      </c>
      <c r="C69" s="553">
        <v>109</v>
      </c>
      <c r="D69" s="553">
        <v>0</v>
      </c>
      <c r="E69" s="552">
        <v>84</v>
      </c>
      <c r="F69" s="553">
        <f t="shared" si="9"/>
        <v>193</v>
      </c>
      <c r="H69" s="829">
        <f>C69*'2012 Rev Reconciliation'!$B$8</f>
        <v>108.63992856846565</v>
      </c>
      <c r="I69" s="829">
        <f>D69*'2012 Rev Reconciliation'!$B$8</f>
        <v>0</v>
      </c>
      <c r="J69" s="829">
        <f>E69*'2012 Rev Reconciliation'!$B$8</f>
        <v>83.722513759184537</v>
      </c>
      <c r="K69" s="829">
        <f t="shared" si="10"/>
        <v>192.36244232765017</v>
      </c>
    </row>
    <row r="70" spans="1:11">
      <c r="A70" s="551">
        <v>143</v>
      </c>
      <c r="B70" s="546" t="s">
        <v>736</v>
      </c>
      <c r="C70" s="553">
        <v>4</v>
      </c>
      <c r="D70" s="553">
        <v>0</v>
      </c>
      <c r="E70" s="552">
        <v>0</v>
      </c>
      <c r="F70" s="553">
        <f t="shared" si="9"/>
        <v>4</v>
      </c>
      <c r="H70" s="829">
        <f>C70*'2012 Rev Reconciliation'!$B$8</f>
        <v>3.9867863694849781</v>
      </c>
      <c r="I70" s="829">
        <f>D70*'2012 Rev Reconciliation'!$B$8</f>
        <v>0</v>
      </c>
      <c r="J70" s="829">
        <f>E70*'2012 Rev Reconciliation'!$B$8</f>
        <v>0</v>
      </c>
      <c r="K70" s="829">
        <f t="shared" si="10"/>
        <v>3.9867863694849781</v>
      </c>
    </row>
    <row r="71" spans="1:11">
      <c r="A71" s="457">
        <v>144</v>
      </c>
      <c r="B71" s="558" t="s">
        <v>737</v>
      </c>
      <c r="C71" s="559">
        <v>7</v>
      </c>
      <c r="D71" s="559">
        <v>0</v>
      </c>
      <c r="E71" s="460">
        <v>0</v>
      </c>
      <c r="F71" s="559">
        <f t="shared" si="9"/>
        <v>7</v>
      </c>
      <c r="H71" s="829">
        <f>C71*'2012 Rev Reconciliation'!$B$8</f>
        <v>6.9768761465987117</v>
      </c>
      <c r="I71" s="829">
        <f>D71*'2012 Rev Reconciliation'!$B$8</f>
        <v>0</v>
      </c>
      <c r="J71" s="829">
        <f>E71*'2012 Rev Reconciliation'!$B$8</f>
        <v>0</v>
      </c>
      <c r="K71" s="829">
        <f t="shared" si="10"/>
        <v>6.9768761465987117</v>
      </c>
    </row>
    <row r="72" spans="1:11">
      <c r="A72" s="457">
        <v>344</v>
      </c>
      <c r="B72" s="558" t="s">
        <v>738</v>
      </c>
      <c r="C72" s="559">
        <v>0</v>
      </c>
      <c r="D72" s="559">
        <v>0</v>
      </c>
      <c r="E72" s="460">
        <v>112</v>
      </c>
      <c r="F72" s="559">
        <f t="shared" si="9"/>
        <v>112</v>
      </c>
      <c r="H72" s="829">
        <f>C72*'2012 Rev Reconciliation'!$B$8</f>
        <v>0</v>
      </c>
      <c r="I72" s="829">
        <f>D72*'2012 Rev Reconciliation'!$B$8</f>
        <v>0</v>
      </c>
      <c r="J72" s="829">
        <f>E72*'2012 Rev Reconciliation'!$B$8</f>
        <v>111.63001834557939</v>
      </c>
      <c r="K72" s="829">
        <f t="shared" si="10"/>
        <v>111.63001834557939</v>
      </c>
    </row>
    <row r="73" spans="1:11">
      <c r="A73" s="457">
        <v>345</v>
      </c>
      <c r="B73" s="558" t="s">
        <v>736</v>
      </c>
      <c r="C73" s="559">
        <v>0</v>
      </c>
      <c r="D73" s="559">
        <v>0</v>
      </c>
      <c r="E73" s="460">
        <v>20</v>
      </c>
      <c r="F73" s="559">
        <f t="shared" si="9"/>
        <v>20</v>
      </c>
      <c r="H73" s="829">
        <f>C73*'2012 Rev Reconciliation'!$B$8</f>
        <v>0</v>
      </c>
      <c r="I73" s="829">
        <f>D73*'2012 Rev Reconciliation'!$B$8</f>
        <v>0</v>
      </c>
      <c r="J73" s="829">
        <f>E73*'2012 Rev Reconciliation'!$B$8</f>
        <v>19.933931847424891</v>
      </c>
      <c r="K73" s="829">
        <f t="shared" si="10"/>
        <v>19.933931847424891</v>
      </c>
    </row>
    <row r="74" spans="1:11">
      <c r="A74" s="457">
        <v>346</v>
      </c>
      <c r="B74" s="558" t="s">
        <v>737</v>
      </c>
      <c r="C74" s="560">
        <v>0</v>
      </c>
      <c r="D74" s="560">
        <v>0</v>
      </c>
      <c r="E74" s="561">
        <v>0</v>
      </c>
      <c r="F74" s="560">
        <f t="shared" si="9"/>
        <v>0</v>
      </c>
      <c r="H74" s="830">
        <f>C74*'2012 Rev Reconciliation'!$B$8</f>
        <v>0</v>
      </c>
      <c r="I74" s="830">
        <f>D74*'2012 Rev Reconciliation'!$B$8</f>
        <v>0</v>
      </c>
      <c r="J74" s="830">
        <f>E74*'2012 Rev Reconciliation'!$B$8</f>
        <v>0</v>
      </c>
      <c r="K74" s="830">
        <f t="shared" si="10"/>
        <v>0</v>
      </c>
    </row>
    <row r="75" spans="1:11">
      <c r="A75" s="547"/>
      <c r="C75" s="552">
        <f>SUM(C67:C73)</f>
        <v>2416</v>
      </c>
      <c r="D75" s="552">
        <f>SUM(D67:D73)</f>
        <v>0</v>
      </c>
      <c r="E75" s="552">
        <f>SUM(E67:E73)</f>
        <v>397</v>
      </c>
      <c r="F75" s="552">
        <f>SUM(F67:F73)</f>
        <v>2813</v>
      </c>
      <c r="H75" s="829">
        <f>C75*'2012 Rev Reconciliation'!$B$8</f>
        <v>2408.0189671689268</v>
      </c>
      <c r="I75" s="829">
        <f>D75*'2012 Rev Reconciliation'!$B$8</f>
        <v>0</v>
      </c>
      <c r="J75" s="829">
        <f>E75*'2012 Rev Reconciliation'!$B$8</f>
        <v>395.68854717138407</v>
      </c>
      <c r="K75" s="829">
        <f t="shared" si="10"/>
        <v>2803.7075143403108</v>
      </c>
    </row>
    <row r="76" spans="1:11">
      <c r="A76" s="547"/>
      <c r="C76" s="552"/>
      <c r="D76" s="552"/>
      <c r="E76" s="552"/>
      <c r="F76" s="552"/>
    </row>
    <row r="77" spans="1:11">
      <c r="A77" s="457" t="s">
        <v>101</v>
      </c>
      <c r="B77" s="546" t="s">
        <v>98</v>
      </c>
      <c r="C77" s="552">
        <v>0</v>
      </c>
      <c r="D77" s="552">
        <v>0</v>
      </c>
      <c r="E77" s="552">
        <v>96</v>
      </c>
      <c r="F77" s="552">
        <f t="shared" ref="F77:F86" si="11">SUM(C77:E77)</f>
        <v>96</v>
      </c>
      <c r="H77" s="829">
        <f>C77*'2012 Rev Reconciliation'!$B$8</f>
        <v>0</v>
      </c>
      <c r="I77" s="829">
        <f>D77*'2012 Rev Reconciliation'!$B$8</f>
        <v>0</v>
      </c>
      <c r="J77" s="829">
        <f>E77*'2012 Rev Reconciliation'!$B$8</f>
        <v>95.682872867639475</v>
      </c>
      <c r="K77" s="829">
        <f t="shared" ref="K77:K86" si="12">SUM(H77:J77)</f>
        <v>95.682872867639475</v>
      </c>
    </row>
    <row r="78" spans="1:11">
      <c r="A78" s="457">
        <v>539</v>
      </c>
      <c r="B78" s="546" t="s">
        <v>410</v>
      </c>
      <c r="C78" s="552">
        <v>0</v>
      </c>
      <c r="D78" s="552">
        <v>0</v>
      </c>
      <c r="E78" s="552">
        <v>104</v>
      </c>
      <c r="F78" s="552">
        <f t="shared" si="11"/>
        <v>104</v>
      </c>
      <c r="H78" s="829">
        <f>C78*'2012 Rev Reconciliation'!$B$8</f>
        <v>0</v>
      </c>
      <c r="I78" s="829">
        <f>D78*'2012 Rev Reconciliation'!$B$8</f>
        <v>0</v>
      </c>
      <c r="J78" s="829">
        <f>E78*'2012 Rev Reconciliation'!$B$8</f>
        <v>103.65644560660942</v>
      </c>
      <c r="K78" s="829">
        <f t="shared" si="12"/>
        <v>103.65644560660942</v>
      </c>
    </row>
    <row r="79" spans="1:11">
      <c r="A79" s="457">
        <v>533</v>
      </c>
      <c r="B79" s="546" t="s">
        <v>99</v>
      </c>
      <c r="C79" s="552">
        <v>0</v>
      </c>
      <c r="D79" s="552">
        <v>0</v>
      </c>
      <c r="E79" s="552">
        <v>69</v>
      </c>
      <c r="F79" s="552">
        <f t="shared" si="11"/>
        <v>69</v>
      </c>
      <c r="H79" s="829">
        <f>C79*'2012 Rev Reconciliation'!$B$8</f>
        <v>0</v>
      </c>
      <c r="I79" s="829">
        <f>D79*'2012 Rev Reconciliation'!$B$8</f>
        <v>0</v>
      </c>
      <c r="J79" s="829">
        <f>E79*'2012 Rev Reconciliation'!$B$8</f>
        <v>68.772064873615875</v>
      </c>
      <c r="K79" s="829">
        <f t="shared" si="12"/>
        <v>68.772064873615875</v>
      </c>
    </row>
    <row r="80" spans="1:11">
      <c r="A80" s="457">
        <v>534</v>
      </c>
      <c r="B80" s="546" t="s">
        <v>100</v>
      </c>
      <c r="C80" s="676">
        <v>0</v>
      </c>
      <c r="D80" s="676">
        <v>0</v>
      </c>
      <c r="E80" s="676">
        <v>291</v>
      </c>
      <c r="F80" s="676">
        <f t="shared" si="11"/>
        <v>291</v>
      </c>
      <c r="H80" s="829">
        <f>C80*'2012 Rev Reconciliation'!$B$8</f>
        <v>0</v>
      </c>
      <c r="I80" s="829">
        <f>D80*'2012 Rev Reconciliation'!$B$8</f>
        <v>0</v>
      </c>
      <c r="J80" s="829">
        <f>E80*'2012 Rev Reconciliation'!$B$8</f>
        <v>290.03870838003218</v>
      </c>
      <c r="K80" s="829">
        <f t="shared" si="12"/>
        <v>290.03870838003218</v>
      </c>
    </row>
    <row r="81" spans="1:11">
      <c r="A81" s="547">
        <v>540</v>
      </c>
      <c r="B81" s="546" t="s">
        <v>585</v>
      </c>
      <c r="C81" s="676">
        <v>0</v>
      </c>
      <c r="D81" s="676">
        <v>0</v>
      </c>
      <c r="E81" s="676">
        <v>305</v>
      </c>
      <c r="F81" s="676">
        <f t="shared" si="11"/>
        <v>305</v>
      </c>
      <c r="H81" s="829">
        <f>C81*'2012 Rev Reconciliation'!$B$8</f>
        <v>0</v>
      </c>
      <c r="I81" s="829">
        <f>D81*'2012 Rev Reconciliation'!$B$8</f>
        <v>0</v>
      </c>
      <c r="J81" s="829">
        <f>E81*'2012 Rev Reconciliation'!$B$8</f>
        <v>303.99246067322957</v>
      </c>
      <c r="K81" s="829">
        <f t="shared" si="12"/>
        <v>303.99246067322957</v>
      </c>
    </row>
    <row r="82" spans="1:11">
      <c r="A82" s="547">
        <v>541</v>
      </c>
      <c r="B82" s="546" t="s">
        <v>586</v>
      </c>
      <c r="C82" s="676">
        <v>0</v>
      </c>
      <c r="D82" s="676">
        <v>0</v>
      </c>
      <c r="E82" s="676">
        <v>198</v>
      </c>
      <c r="F82" s="676">
        <f t="shared" si="11"/>
        <v>198</v>
      </c>
      <c r="H82" s="829">
        <f>C82*'2012 Rev Reconciliation'!$B$8</f>
        <v>0</v>
      </c>
      <c r="I82" s="829">
        <f>D82*'2012 Rev Reconciliation'!$B$8</f>
        <v>0</v>
      </c>
      <c r="J82" s="829">
        <f>E82*'2012 Rev Reconciliation'!$B$8</f>
        <v>197.34592528950643</v>
      </c>
      <c r="K82" s="829">
        <f t="shared" si="12"/>
        <v>197.34592528950643</v>
      </c>
    </row>
    <row r="83" spans="1:11">
      <c r="A83" s="547">
        <v>542</v>
      </c>
      <c r="B83" s="546" t="s">
        <v>587</v>
      </c>
      <c r="C83" s="676">
        <v>0</v>
      </c>
      <c r="D83" s="676">
        <v>0</v>
      </c>
      <c r="E83" s="676">
        <v>82</v>
      </c>
      <c r="F83" s="676">
        <f t="shared" si="11"/>
        <v>82</v>
      </c>
      <c r="G83" s="152"/>
      <c r="H83" s="829">
        <f>C83*'2012 Rev Reconciliation'!$B$8</f>
        <v>0</v>
      </c>
      <c r="I83" s="829">
        <f>D83*'2012 Rev Reconciliation'!$B$8</f>
        <v>0</v>
      </c>
      <c r="J83" s="829">
        <f>E83*'2012 Rev Reconciliation'!$B$8</f>
        <v>81.729120574442049</v>
      </c>
      <c r="K83" s="829">
        <f t="shared" si="12"/>
        <v>81.729120574442049</v>
      </c>
    </row>
    <row r="84" spans="1:11">
      <c r="A84" s="547">
        <v>543</v>
      </c>
      <c r="B84" s="737" t="s">
        <v>411</v>
      </c>
      <c r="C84" s="676">
        <v>0</v>
      </c>
      <c r="D84" s="676">
        <v>0</v>
      </c>
      <c r="E84" s="676">
        <v>72</v>
      </c>
      <c r="F84" s="676">
        <f t="shared" si="11"/>
        <v>72</v>
      </c>
      <c r="H84" s="829">
        <f>C84*'2012 Rev Reconciliation'!$B$8</f>
        <v>0</v>
      </c>
      <c r="I84" s="829">
        <f>D84*'2012 Rev Reconciliation'!$B$8</f>
        <v>0</v>
      </c>
      <c r="J84" s="829">
        <f>E84*'2012 Rev Reconciliation'!$B$8</f>
        <v>71.762154650729599</v>
      </c>
      <c r="K84" s="829">
        <f t="shared" si="12"/>
        <v>71.762154650729599</v>
      </c>
    </row>
    <row r="85" spans="1:11">
      <c r="A85" s="547">
        <v>544</v>
      </c>
      <c r="B85" s="737" t="s">
        <v>412</v>
      </c>
      <c r="C85" s="676">
        <v>0</v>
      </c>
      <c r="D85" s="676">
        <v>0</v>
      </c>
      <c r="E85" s="555">
        <v>308</v>
      </c>
      <c r="F85" s="555">
        <f t="shared" si="11"/>
        <v>308</v>
      </c>
      <c r="H85" s="830">
        <f>C85*'2012 Rev Reconciliation'!$B$8</f>
        <v>0</v>
      </c>
      <c r="I85" s="830">
        <f>D85*'2012 Rev Reconciliation'!$B$8</f>
        <v>0</v>
      </c>
      <c r="J85" s="830">
        <f>E85*'2012 Rev Reconciliation'!$B$8</f>
        <v>306.9825504503433</v>
      </c>
      <c r="K85" s="830">
        <f t="shared" si="12"/>
        <v>306.9825504503433</v>
      </c>
    </row>
    <row r="86" spans="1:11">
      <c r="A86" s="547"/>
      <c r="B86" s="546" t="s">
        <v>648</v>
      </c>
      <c r="C86" s="552">
        <f>SUM(C77:C83)</f>
        <v>0</v>
      </c>
      <c r="D86" s="552">
        <f>SUM(D77:D83)</f>
        <v>0</v>
      </c>
      <c r="E86" s="552">
        <f>SUM(E77:E85)</f>
        <v>1525</v>
      </c>
      <c r="F86" s="676">
        <f t="shared" si="11"/>
        <v>1525</v>
      </c>
      <c r="H86" s="829">
        <f>C86*'2012 Rev Reconciliation'!$B$8</f>
        <v>0</v>
      </c>
      <c r="I86" s="829">
        <f>D86*'2012 Rev Reconciliation'!$B$8</f>
        <v>0</v>
      </c>
      <c r="J86" s="829">
        <f>E86*'2012 Rev Reconciliation'!$B$8</f>
        <v>1519.9623033661478</v>
      </c>
      <c r="K86" s="829">
        <f t="shared" si="12"/>
        <v>1519.9623033661478</v>
      </c>
    </row>
    <row r="87" spans="1:11">
      <c r="C87" s="552"/>
      <c r="D87" s="553"/>
      <c r="E87" s="552"/>
    </row>
    <row r="88" spans="1:11" ht="15.75">
      <c r="B88" s="546" t="s">
        <v>648</v>
      </c>
      <c r="C88" s="562">
        <f>SUM(C86,C75,C65,C60,C49,C41,C34,C21,C11)</f>
        <v>123843</v>
      </c>
      <c r="D88" s="562">
        <f>SUM(D86,D75,D65,D60,D49,D41,D34,D21,D11)</f>
        <v>957</v>
      </c>
      <c r="E88" s="562">
        <f>SUM(E86,E75,E65,E60,E49,E41,E34,E21,E11)</f>
        <v>14293</v>
      </c>
      <c r="F88" s="562">
        <f>SUM(F86,F75,F65,F60,F49,F41,F34,F21,F11)</f>
        <v>139093</v>
      </c>
      <c r="H88" s="562">
        <f>SUM(H86,H75,H65,H60,H49,H41,H34,H21,H11)</f>
        <v>123433.89608903203</v>
      </c>
      <c r="I88" s="562">
        <f>SUM(I86,I75,I65,I60,I49,I41,I34,I21,I11)</f>
        <v>953.83863889928102</v>
      </c>
      <c r="J88" s="562">
        <f>SUM(J86,J75,J65,J60,J49,J41,J34,J21,J11)</f>
        <v>14245.784394762197</v>
      </c>
      <c r="K88" s="562">
        <f>SUM(K86,K75,K65,K60,K49,K41,K34,K21,K11)</f>
        <v>138633.51912269351</v>
      </c>
    </row>
    <row r="90" spans="1:11">
      <c r="D90" s="553"/>
      <c r="I90" s="553"/>
    </row>
  </sheetData>
  <mergeCells count="3">
    <mergeCell ref="A2:F2"/>
    <mergeCell ref="C6:F6"/>
    <mergeCell ref="H6:K6"/>
  </mergeCells>
  <phoneticPr fontId="0" type="noConversion"/>
  <printOptions horizontalCentered="1" verticalCentered="1"/>
  <pageMargins left="0.5" right="0.5" top="0.5" bottom="0.65277777777777801" header="0" footer="0"/>
  <pageSetup scale="5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topLeftCell="A19" zoomScaleNormal="100" workbookViewId="0">
      <selection activeCell="B8" sqref="B8"/>
    </sheetView>
  </sheetViews>
  <sheetFormatPr defaultColWidth="9.6640625" defaultRowHeight="15"/>
  <cols>
    <col min="1" max="1" width="9.6640625" style="27" customWidth="1"/>
    <col min="2" max="2" width="34.109375" style="27" customWidth="1"/>
    <col min="3" max="3" width="13.109375" style="27" customWidth="1"/>
    <col min="4" max="4" width="19.5546875" style="27" customWidth="1"/>
    <col min="5" max="5" width="13.21875" style="27" customWidth="1"/>
    <col min="6" max="6" width="11.44140625" style="27" customWidth="1"/>
    <col min="7" max="7" width="11.21875" style="27" customWidth="1"/>
    <col min="8" max="8" width="12.21875" style="27" customWidth="1"/>
    <col min="9" max="9" width="12.6640625" style="27" bestFit="1" customWidth="1"/>
    <col min="10" max="16384" width="9.6640625" style="27"/>
  </cols>
  <sheetData>
    <row r="1" spans="1:10" ht="15.75">
      <c r="H1" s="28" t="s">
        <v>740</v>
      </c>
    </row>
    <row r="2" spans="1:10" ht="18">
      <c r="A2" s="29" t="s">
        <v>655</v>
      </c>
      <c r="B2" s="38"/>
      <c r="C2" s="38"/>
      <c r="D2" s="38"/>
      <c r="E2" s="38"/>
      <c r="F2" s="38"/>
      <c r="G2" s="38"/>
      <c r="H2" s="38"/>
    </row>
    <row r="3" spans="1:10" ht="15.75">
      <c r="A3" s="39" t="s">
        <v>741</v>
      </c>
      <c r="B3" s="38"/>
      <c r="C3" s="38"/>
      <c r="D3" s="38"/>
      <c r="E3" s="38"/>
      <c r="F3" s="38"/>
      <c r="G3" s="38"/>
      <c r="H3" s="38"/>
    </row>
    <row r="4" spans="1:10" ht="15.75">
      <c r="A4" s="39"/>
      <c r="B4" s="38"/>
      <c r="C4" s="38"/>
      <c r="D4" s="38"/>
      <c r="E4" s="38"/>
      <c r="F4" s="38"/>
      <c r="G4" s="38"/>
      <c r="H4" s="38"/>
    </row>
    <row r="6" spans="1:10" ht="15.75">
      <c r="A6" s="40" t="s">
        <v>742</v>
      </c>
      <c r="B6" s="40" t="s">
        <v>743</v>
      </c>
      <c r="C6" s="40" t="s">
        <v>744</v>
      </c>
      <c r="D6" s="40" t="s">
        <v>745</v>
      </c>
      <c r="E6" s="40" t="s">
        <v>746</v>
      </c>
      <c r="F6" s="40" t="s">
        <v>747</v>
      </c>
      <c r="G6" s="40" t="s">
        <v>748</v>
      </c>
      <c r="H6" s="40" t="s">
        <v>749</v>
      </c>
    </row>
    <row r="7" spans="1:10" ht="15.75">
      <c r="A7" s="41"/>
      <c r="B7" s="41"/>
      <c r="C7" s="41"/>
      <c r="E7" s="40" t="s">
        <v>750</v>
      </c>
      <c r="F7" s="41"/>
      <c r="G7" s="41"/>
      <c r="H7" s="41"/>
    </row>
    <row r="8" spans="1:10" ht="15.75">
      <c r="A8" s="30"/>
      <c r="B8" s="30"/>
      <c r="C8" s="42" t="s">
        <v>751</v>
      </c>
      <c r="D8" s="43" t="s">
        <v>646</v>
      </c>
      <c r="E8" s="44" t="s">
        <v>752</v>
      </c>
      <c r="F8" s="42" t="s">
        <v>753</v>
      </c>
      <c r="G8" s="42" t="s">
        <v>754</v>
      </c>
      <c r="H8" s="42" t="s">
        <v>754</v>
      </c>
    </row>
    <row r="9" spans="1:10" ht="15.75">
      <c r="A9" s="45" t="s">
        <v>755</v>
      </c>
      <c r="B9" s="45" t="s">
        <v>756</v>
      </c>
      <c r="C9" s="45" t="s">
        <v>757</v>
      </c>
      <c r="D9" s="45" t="s">
        <v>758</v>
      </c>
      <c r="E9" s="45" t="s">
        <v>759</v>
      </c>
      <c r="F9" s="45" t="s">
        <v>648</v>
      </c>
      <c r="G9" s="45" t="s">
        <v>760</v>
      </c>
      <c r="H9" s="45" t="s">
        <v>761</v>
      </c>
    </row>
    <row r="10" spans="1:10" ht="15.75">
      <c r="A10" s="45"/>
      <c r="B10" s="45"/>
      <c r="C10" s="45"/>
      <c r="D10" s="45"/>
      <c r="E10" s="45"/>
      <c r="F10" s="45"/>
      <c r="G10" s="45"/>
      <c r="H10" s="45"/>
    </row>
    <row r="11" spans="1:10">
      <c r="E11" s="546"/>
    </row>
    <row r="12" spans="1:10">
      <c r="A12" s="31" t="s">
        <v>762</v>
      </c>
      <c r="B12" s="27" t="s">
        <v>763</v>
      </c>
      <c r="C12" s="46">
        <f>+'Schedule 8'!D15</f>
        <v>6</v>
      </c>
      <c r="D12" s="47">
        <f>C$15/C12</f>
        <v>1</v>
      </c>
      <c r="E12" s="552">
        <f>'Schedule 1'!H21+'Schedule 1'!I21-'Schedule 2'!E13+'Schedule 1'!H11+'Schedule 1'!I11</f>
        <v>5599.4414559416491</v>
      </c>
      <c r="F12" s="32">
        <f t="shared" ref="F12:F19" si="0">D12*E12</f>
        <v>5599.4414559416491</v>
      </c>
      <c r="G12" s="48">
        <f>D$27*D12</f>
        <v>43.785937284199861</v>
      </c>
      <c r="H12" s="48">
        <f>+G12/12</f>
        <v>3.6488281070166551</v>
      </c>
      <c r="I12" s="48"/>
      <c r="J12" s="48"/>
    </row>
    <row r="13" spans="1:10">
      <c r="A13" s="31" t="s">
        <v>764</v>
      </c>
      <c r="B13" s="27" t="s">
        <v>765</v>
      </c>
      <c r="C13" s="46">
        <f>+'Schedule 8'!D16</f>
        <v>4.5</v>
      </c>
      <c r="D13" s="47">
        <f t="shared" ref="D13:D19" si="1">C$15/C13</f>
        <v>1.3333333333333333</v>
      </c>
      <c r="E13" s="552">
        <f>'Schedule 1'!H14+'Schedule 1'!I14</f>
        <v>11191.906035736705</v>
      </c>
      <c r="F13" s="32">
        <f>D13*E13</f>
        <v>14922.541380982273</v>
      </c>
      <c r="G13" s="48">
        <f t="shared" ref="G13:G20" si="2">D$27*D13</f>
        <v>58.381249712266481</v>
      </c>
      <c r="H13" s="48">
        <f>+G13/12</f>
        <v>4.8651041426888737</v>
      </c>
      <c r="I13" s="48"/>
    </row>
    <row r="14" spans="1:10">
      <c r="A14" s="31" t="s">
        <v>766</v>
      </c>
      <c r="B14" s="27" t="s">
        <v>767</v>
      </c>
      <c r="C14" s="46">
        <f>+'Schedule 8'!D14</f>
        <v>3</v>
      </c>
      <c r="D14" s="47">
        <f t="shared" si="1"/>
        <v>2</v>
      </c>
      <c r="E14" s="556">
        <f>'Schedule 1'!H34+'Schedule 1'!I34</f>
        <v>1127.2638459718776</v>
      </c>
      <c r="F14" s="32">
        <f t="shared" si="0"/>
        <v>2254.5276919437551</v>
      </c>
      <c r="G14" s="48">
        <f t="shared" si="2"/>
        <v>87.571874568399721</v>
      </c>
      <c r="H14" s="48">
        <f t="shared" ref="H14:H20" si="3">+G14/12</f>
        <v>7.2976562140333101</v>
      </c>
      <c r="I14" s="48"/>
    </row>
    <row r="15" spans="1:10">
      <c r="A15" s="31" t="s">
        <v>768</v>
      </c>
      <c r="B15" s="27" t="s">
        <v>769</v>
      </c>
      <c r="C15" s="46">
        <f>+'Schedule 8'!D22</f>
        <v>6</v>
      </c>
      <c r="D15" s="47">
        <f t="shared" si="1"/>
        <v>1</v>
      </c>
      <c r="E15" s="552">
        <f>'Schedule 1'!H60+'Schedule 1'!I60+'Schedule 1'!H56</f>
        <v>103176.0378490865</v>
      </c>
      <c r="F15" s="32">
        <f t="shared" si="0"/>
        <v>103176.0378490865</v>
      </c>
      <c r="G15" s="48">
        <f t="shared" si="2"/>
        <v>43.785937284199861</v>
      </c>
      <c r="H15" s="48">
        <f t="shared" si="3"/>
        <v>3.6488281070166551</v>
      </c>
      <c r="I15" s="48"/>
    </row>
    <row r="16" spans="1:10">
      <c r="A16" s="31" t="s">
        <v>770</v>
      </c>
      <c r="B16" s="27" t="s">
        <v>773</v>
      </c>
      <c r="C16" s="46">
        <v>2.5</v>
      </c>
      <c r="D16" s="47">
        <f t="shared" si="1"/>
        <v>2.4</v>
      </c>
      <c r="E16" s="552">
        <f>'Schedule 1'!H75+'Schedule 1'!I75-'Schedule 2'!E17-'Schedule 2'!E18</f>
        <v>119.60359108454929</v>
      </c>
      <c r="F16" s="32">
        <f>D16*E16</f>
        <v>287.04861860291828</v>
      </c>
      <c r="G16" s="48">
        <f t="shared" si="2"/>
        <v>105.08624948207967</v>
      </c>
      <c r="H16" s="48">
        <f t="shared" si="3"/>
        <v>8.7571874568399721</v>
      </c>
      <c r="I16" s="48"/>
    </row>
    <row r="17" spans="1:9">
      <c r="A17" s="31" t="s">
        <v>542</v>
      </c>
      <c r="B17" s="27" t="s">
        <v>775</v>
      </c>
      <c r="C17" s="46">
        <f>+'Schedule 8'!D19</f>
        <v>3.75</v>
      </c>
      <c r="D17" s="47">
        <f t="shared" si="1"/>
        <v>1.6</v>
      </c>
      <c r="E17" s="552">
        <f>+'Schedule 1'!H67+'Schedule 1'!I67</f>
        <v>1310.6560189681866</v>
      </c>
      <c r="F17" s="32">
        <f t="shared" si="0"/>
        <v>2097.0496303490986</v>
      </c>
      <c r="G17" s="48">
        <f t="shared" si="2"/>
        <v>70.057499654719777</v>
      </c>
      <c r="H17" s="48">
        <f t="shared" si="3"/>
        <v>5.8381249712266481</v>
      </c>
      <c r="I17" s="48"/>
    </row>
    <row r="18" spans="1:9">
      <c r="A18" s="31" t="s">
        <v>772</v>
      </c>
      <c r="B18" s="27" t="s">
        <v>777</v>
      </c>
      <c r="C18" s="46">
        <f>+'Schedule 8'!D20</f>
        <v>2.5</v>
      </c>
      <c r="D18" s="47">
        <f t="shared" si="1"/>
        <v>2.4</v>
      </c>
      <c r="E18" s="552">
        <f>+'Schedule 1'!H68+'Schedule 1'!I68</f>
        <v>977.75935711619093</v>
      </c>
      <c r="F18" s="32">
        <f t="shared" si="0"/>
        <v>2346.6224570788581</v>
      </c>
      <c r="G18" s="48">
        <f t="shared" si="2"/>
        <v>105.08624948207967</v>
      </c>
      <c r="H18" s="48">
        <f t="shared" si="3"/>
        <v>8.7571874568399721</v>
      </c>
      <c r="I18" s="48"/>
    </row>
    <row r="19" spans="1:9">
      <c r="A19" s="31" t="s">
        <v>774</v>
      </c>
      <c r="B19" s="27" t="s">
        <v>778</v>
      </c>
      <c r="C19" s="46">
        <f>+'Schedule 8'!D23</f>
        <v>2</v>
      </c>
      <c r="D19" s="47">
        <f t="shared" si="1"/>
        <v>3</v>
      </c>
      <c r="E19" s="553">
        <f>+'Schedule 1'!H65+'Schedule 1'!I65</f>
        <v>900.01702291123388</v>
      </c>
      <c r="F19" s="33">
        <f t="shared" si="0"/>
        <v>2700.0510687337019</v>
      </c>
      <c r="G19" s="48">
        <f t="shared" si="2"/>
        <v>131.35781185259958</v>
      </c>
      <c r="H19" s="48">
        <f t="shared" si="3"/>
        <v>10.946484321049965</v>
      </c>
      <c r="I19" s="48"/>
    </row>
    <row r="20" spans="1:9">
      <c r="A20" s="31" t="s">
        <v>776</v>
      </c>
      <c r="B20" s="27" t="s">
        <v>779</v>
      </c>
      <c r="C20" s="46">
        <v>20</v>
      </c>
      <c r="D20" s="47">
        <f>C$15/C20</f>
        <v>0.3</v>
      </c>
      <c r="E20" s="554">
        <f>'Schedule 1'!H86+'Schedule 1'!I86</f>
        <v>0</v>
      </c>
      <c r="F20" s="34">
        <f>D20*E20</f>
        <v>0</v>
      </c>
      <c r="G20" s="48">
        <f t="shared" si="2"/>
        <v>13.135781185259958</v>
      </c>
      <c r="H20" s="48">
        <f t="shared" si="3"/>
        <v>1.0946484321049965</v>
      </c>
      <c r="I20" s="48"/>
    </row>
    <row r="21" spans="1:9">
      <c r="C21" s="49"/>
      <c r="E21" s="32">
        <f>SUM(E12:E20)</f>
        <v>124402.6851768169</v>
      </c>
      <c r="F21" s="32">
        <f>SUM(F12:F20)</f>
        <v>133383.32015271875</v>
      </c>
      <c r="I21" s="48"/>
    </row>
    <row r="23" spans="1:9" ht="15.75">
      <c r="A23" s="30" t="s">
        <v>780</v>
      </c>
    </row>
    <row r="24" spans="1:9" ht="15.75">
      <c r="A24" s="703" t="s">
        <v>628</v>
      </c>
      <c r="D24" s="50">
        <v>5840313.6909652948</v>
      </c>
    </row>
    <row r="26" spans="1:9" ht="15.75">
      <c r="A26" s="30" t="s">
        <v>781</v>
      </c>
    </row>
    <row r="27" spans="1:9" ht="15.75">
      <c r="A27" s="51" t="str">
        <f>"("&amp;TEXT(D24,"$0,00.00")&amp;" / "&amp;F21&amp;" weighted fixtures)"</f>
        <v>($5,840,313.69 / 133383.320152719 weighted fixtures)</v>
      </c>
      <c r="D27" s="52">
        <f>D24/F21</f>
        <v>43.785937284199861</v>
      </c>
      <c r="E27" s="48"/>
    </row>
    <row r="29" spans="1:9" ht="15.75">
      <c r="A29" s="53" t="s">
        <v>782</v>
      </c>
      <c r="B29" s="27" t="s">
        <v>783</v>
      </c>
    </row>
    <row r="30" spans="1:9">
      <c r="B30" s="27" t="s">
        <v>784</v>
      </c>
    </row>
    <row r="32" spans="1:9">
      <c r="A32" s="51"/>
    </row>
  </sheetData>
  <phoneticPr fontId="0" type="noConversion"/>
  <printOptions horizontalCentered="1"/>
  <pageMargins left="0.5" right="0.5" top="0.5" bottom="0.65277777777777801" header="0" footer="0"/>
  <pageSetup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view="pageLayout" zoomScaleNormal="100" workbookViewId="0">
      <selection activeCell="C33" sqref="C33"/>
    </sheetView>
  </sheetViews>
  <sheetFormatPr defaultColWidth="9.6640625" defaultRowHeight="15"/>
  <cols>
    <col min="1" max="1" width="33.33203125" style="152" customWidth="1"/>
    <col min="2" max="2" width="12" style="152" customWidth="1"/>
    <col min="3" max="3" width="11.33203125" style="152" customWidth="1"/>
    <col min="4" max="4" width="10.5546875" style="152" bestFit="1" customWidth="1"/>
    <col min="5" max="5" width="13.21875" style="152" bestFit="1" customWidth="1"/>
    <col min="6" max="6" width="12.6640625" style="152" bestFit="1" customWidth="1"/>
    <col min="7" max="7" width="11.109375" style="152" customWidth="1"/>
    <col min="8" max="8" width="11.5546875" style="152" bestFit="1" customWidth="1"/>
    <col min="9" max="9" width="11.109375" style="152" customWidth="1"/>
    <col min="10" max="10" width="17.44140625" style="152" bestFit="1" customWidth="1"/>
    <col min="11" max="11" width="12.109375" style="152" bestFit="1" customWidth="1"/>
    <col min="12" max="12" width="10.33203125" style="152" bestFit="1" customWidth="1"/>
    <col min="13" max="13" width="11.109375" style="152" bestFit="1" customWidth="1"/>
    <col min="14" max="14" width="11.21875" style="152" bestFit="1" customWidth="1"/>
    <col min="15" max="15" width="10.6640625" style="152" bestFit="1" customWidth="1"/>
    <col min="16" max="16384" width="9.6640625" style="152"/>
  </cols>
  <sheetData>
    <row r="1" spans="1:13" ht="15.75">
      <c r="F1" s="876" t="s">
        <v>966</v>
      </c>
      <c r="G1" s="876"/>
      <c r="H1" s="876"/>
    </row>
    <row r="2" spans="1:13" ht="18">
      <c r="A2" s="1121" t="s">
        <v>655</v>
      </c>
      <c r="B2" s="1121"/>
      <c r="C2" s="1121"/>
      <c r="D2" s="1121"/>
      <c r="E2" s="1121"/>
      <c r="F2" s="1121"/>
      <c r="G2" s="810"/>
      <c r="H2" s="810"/>
      <c r="I2" s="810"/>
      <c r="J2" s="810"/>
    </row>
    <row r="3" spans="1:13" ht="15.75">
      <c r="A3" s="827"/>
      <c r="B3" s="810"/>
      <c r="C3" s="810"/>
      <c r="D3" s="810"/>
      <c r="E3" s="810"/>
      <c r="F3" s="810"/>
      <c r="G3" s="822">
        <f>'StLgt Assets'!B43</f>
        <v>54.506167999999995</v>
      </c>
      <c r="H3" s="810"/>
      <c r="I3" s="810"/>
      <c r="J3" s="810"/>
    </row>
    <row r="4" spans="1:13">
      <c r="G4" s="479">
        <f>'StLgt Assets'!C43*0.85</f>
        <v>60.340472349999992</v>
      </c>
    </row>
    <row r="5" spans="1:13" ht="15.75">
      <c r="A5" s="548" t="s">
        <v>968</v>
      </c>
      <c r="G5" s="822">
        <v>-12.3046747915</v>
      </c>
    </row>
    <row r="6" spans="1:13">
      <c r="G6" s="479">
        <f>G8/1000000</f>
        <v>17.679728999999998</v>
      </c>
      <c r="H6" s="479"/>
    </row>
    <row r="7" spans="1:13" ht="15.75">
      <c r="A7" s="152" t="s">
        <v>969</v>
      </c>
      <c r="F7" s="474" t="s">
        <v>648</v>
      </c>
      <c r="H7" s="822"/>
    </row>
    <row r="8" spans="1:13" ht="15.75">
      <c r="A8" s="152" t="s">
        <v>296</v>
      </c>
      <c r="F8" s="691">
        <v>46669571.005000003</v>
      </c>
      <c r="G8" s="691">
        <v>17679729</v>
      </c>
      <c r="H8" s="691"/>
      <c r="I8" s="692"/>
    </row>
    <row r="9" spans="1:13" ht="15.75">
      <c r="F9" s="808"/>
      <c r="G9" s="691"/>
      <c r="H9" s="691"/>
      <c r="I9" s="692"/>
    </row>
    <row r="10" spans="1:13" ht="15.75">
      <c r="A10" s="152" t="s">
        <v>239</v>
      </c>
      <c r="F10" s="691"/>
      <c r="G10" s="691"/>
      <c r="H10" s="691"/>
      <c r="I10" s="807"/>
    </row>
    <row r="11" spans="1:13" ht="15.75">
      <c r="D11" s="486" t="s">
        <v>1258</v>
      </c>
      <c r="E11" s="877"/>
      <c r="F11" s="691"/>
      <c r="G11" s="691"/>
      <c r="H11" s="691"/>
      <c r="I11" s="811"/>
      <c r="K11" s="777"/>
    </row>
    <row r="12" spans="1:13" ht="15.75">
      <c r="B12" s="497" t="s">
        <v>970</v>
      </c>
      <c r="C12" s="497" t="s">
        <v>970</v>
      </c>
      <c r="D12" s="878">
        <v>2012</v>
      </c>
      <c r="E12" s="497" t="s">
        <v>648</v>
      </c>
      <c r="G12" s="879"/>
      <c r="H12" s="497"/>
      <c r="I12" s="812"/>
      <c r="M12" s="813"/>
    </row>
    <row r="13" spans="1:13" ht="15.75">
      <c r="A13" s="497" t="s">
        <v>657</v>
      </c>
      <c r="B13" s="880" t="s">
        <v>971</v>
      </c>
      <c r="C13" s="880" t="s">
        <v>787</v>
      </c>
      <c r="D13" s="497" t="s">
        <v>759</v>
      </c>
      <c r="E13" s="497" t="s">
        <v>972</v>
      </c>
      <c r="M13" s="777"/>
    </row>
    <row r="15" spans="1:13">
      <c r="A15" s="152" t="s">
        <v>662</v>
      </c>
      <c r="B15" s="479">
        <v>51.36</v>
      </c>
      <c r="C15" s="479">
        <f>+B15*B$56</f>
        <v>64.2</v>
      </c>
      <c r="D15" s="676">
        <f>'Schedule 1'!H9</f>
        <v>26.910807994023603</v>
      </c>
      <c r="E15" s="879">
        <f>C15*D15</f>
        <v>1727.6738732163153</v>
      </c>
      <c r="F15" s="879"/>
      <c r="G15" s="879"/>
      <c r="H15" s="879"/>
      <c r="J15" s="480"/>
      <c r="K15" s="777"/>
      <c r="L15" s="777"/>
      <c r="M15" s="814"/>
    </row>
    <row r="16" spans="1:13" ht="15.75" thickBot="1">
      <c r="A16" s="152" t="s">
        <v>666</v>
      </c>
      <c r="B16" s="479">
        <v>63.62</v>
      </c>
      <c r="C16" s="479">
        <f>+B16*B$56</f>
        <v>79.524999999999991</v>
      </c>
      <c r="D16" s="676">
        <f>'Schedule 1'!H10</f>
        <v>1.9933931847424891</v>
      </c>
      <c r="E16" s="879">
        <f t="shared" ref="E16:E44" si="0">C16*D16</f>
        <v>158.52459301664643</v>
      </c>
      <c r="F16" s="879"/>
      <c r="G16" s="879"/>
      <c r="H16" s="879"/>
      <c r="J16" s="480"/>
      <c r="K16" s="777"/>
      <c r="L16" s="777"/>
      <c r="M16" s="814"/>
    </row>
    <row r="17" spans="1:13">
      <c r="A17" s="717" t="s">
        <v>668</v>
      </c>
      <c r="B17" s="718">
        <v>76.55</v>
      </c>
      <c r="C17" s="718">
        <f>+'Schedule 6'!B11</f>
        <v>229.54730000000001</v>
      </c>
      <c r="D17" s="764">
        <f>'Schedule 1'!H13</f>
        <v>271.1014731249785</v>
      </c>
      <c r="E17" s="881">
        <f t="shared" si="0"/>
        <v>62230.611181861379</v>
      </c>
      <c r="F17" s="879"/>
      <c r="G17" s="879"/>
      <c r="H17" s="693"/>
      <c r="J17" s="480"/>
      <c r="K17" s="815"/>
      <c r="L17" s="777"/>
      <c r="M17" s="814"/>
    </row>
    <row r="18" spans="1:13">
      <c r="A18" s="720" t="s">
        <v>670</v>
      </c>
      <c r="B18" s="593">
        <v>77.16</v>
      </c>
      <c r="C18" s="593">
        <f>+'Schedule 6'!B12</f>
        <v>204.78190000000001</v>
      </c>
      <c r="D18" s="721">
        <f>'Schedule 1'!H14</f>
        <v>11184.929159590107</v>
      </c>
      <c r="E18" s="882">
        <f t="shared" si="0"/>
        <v>2290471.0446662656</v>
      </c>
      <c r="F18" s="879"/>
      <c r="G18" s="879"/>
      <c r="H18" s="693"/>
      <c r="J18" s="480"/>
      <c r="K18" s="777"/>
      <c r="L18" s="777"/>
      <c r="M18" s="814"/>
    </row>
    <row r="19" spans="1:13">
      <c r="A19" s="720" t="s">
        <v>672</v>
      </c>
      <c r="B19" s="593">
        <v>85.3</v>
      </c>
      <c r="C19" s="593">
        <f>+'Schedule 6'!B13</f>
        <v>201.27160000000003</v>
      </c>
      <c r="D19" s="721">
        <f>'Schedule 1'!H15</f>
        <v>2675.1336539244203</v>
      </c>
      <c r="E19" s="882">
        <f t="shared" si="0"/>
        <v>538428.43073921441</v>
      </c>
      <c r="F19" s="879"/>
      <c r="G19" s="879"/>
      <c r="H19" s="693"/>
      <c r="J19" s="480"/>
      <c r="K19" s="777"/>
      <c r="L19" s="777"/>
      <c r="M19" s="814"/>
    </row>
    <row r="20" spans="1:13">
      <c r="A20" s="720" t="s">
        <v>674</v>
      </c>
      <c r="B20" s="593">
        <v>87.24</v>
      </c>
      <c r="C20" s="593">
        <f>+'Schedule 6'!B14</f>
        <v>291.37530000000004</v>
      </c>
      <c r="D20" s="721">
        <f>'Schedule 1'!H16</f>
        <v>1029.5875799194955</v>
      </c>
      <c r="E20" s="882">
        <f t="shared" si="0"/>
        <v>299996.389975317</v>
      </c>
      <c r="F20" s="879"/>
      <c r="G20" s="879"/>
      <c r="H20" s="693"/>
      <c r="J20" s="480"/>
      <c r="K20" s="777"/>
      <c r="L20" s="777"/>
      <c r="M20" s="814"/>
    </row>
    <row r="21" spans="1:13" ht="15.75" thickBot="1">
      <c r="A21" s="722" t="s">
        <v>676</v>
      </c>
      <c r="B21" s="723">
        <v>107.82</v>
      </c>
      <c r="C21" s="723">
        <f>+'Schedule 6'!B15</f>
        <v>301.45</v>
      </c>
      <c r="D21" s="724">
        <f>'Schedule 1'!H17</f>
        <v>1408.3322850205684</v>
      </c>
      <c r="E21" s="883">
        <f t="shared" si="0"/>
        <v>424541.76731945033</v>
      </c>
      <c r="F21" s="879"/>
      <c r="G21" s="879"/>
      <c r="H21" s="693"/>
      <c r="J21" s="480"/>
      <c r="K21" s="777"/>
      <c r="L21" s="777"/>
      <c r="M21" s="814"/>
    </row>
    <row r="22" spans="1:13">
      <c r="A22" s="152" t="s">
        <v>678</v>
      </c>
      <c r="B22" s="479">
        <v>485.12</v>
      </c>
      <c r="C22" s="479">
        <f>+'Schedule 6'!B16</f>
        <v>449.78130000000004</v>
      </c>
      <c r="D22" s="676">
        <f>'Schedule 1'!H18</f>
        <v>10.963662516083691</v>
      </c>
      <c r="E22" s="879">
        <f t="shared" si="0"/>
        <v>4931.2503792453936</v>
      </c>
      <c r="F22" s="879"/>
      <c r="G22" s="879"/>
      <c r="H22" s="884"/>
      <c r="J22" s="480"/>
      <c r="K22" s="777"/>
      <c r="L22" s="777"/>
      <c r="M22" s="814"/>
    </row>
    <row r="23" spans="1:13">
      <c r="A23" s="152" t="s">
        <v>680</v>
      </c>
      <c r="B23" s="479">
        <v>492.29</v>
      </c>
      <c r="C23" s="479">
        <f>+'Schedule 6'!B17</f>
        <v>579.25280000000009</v>
      </c>
      <c r="D23" s="676">
        <f>'Schedule 1'!H19</f>
        <v>85.715906943927024</v>
      </c>
      <c r="E23" s="879">
        <f t="shared" si="0"/>
        <v>49651.179101809183</v>
      </c>
      <c r="F23" s="879"/>
      <c r="G23" s="879"/>
      <c r="H23" s="884"/>
      <c r="J23" s="480"/>
      <c r="K23" s="777"/>
      <c r="L23" s="777"/>
      <c r="M23" s="814"/>
    </row>
    <row r="24" spans="1:13">
      <c r="A24" s="152" t="s">
        <v>682</v>
      </c>
      <c r="B24" s="479">
        <v>87.24</v>
      </c>
      <c r="C24" s="479">
        <f>+'Schedule 6'!B18</f>
        <v>291.37530000000004</v>
      </c>
      <c r="D24" s="676">
        <f>'Schedule 1'!H20</f>
        <v>2.9900897771137336</v>
      </c>
      <c r="E24" s="879">
        <f t="shared" si="0"/>
        <v>871.23830583344738</v>
      </c>
      <c r="F24" s="879"/>
      <c r="G24" s="879"/>
      <c r="H24" s="884"/>
      <c r="J24" s="480"/>
      <c r="K24" s="777"/>
      <c r="L24" s="777"/>
      <c r="M24" s="814"/>
    </row>
    <row r="25" spans="1:13">
      <c r="A25" s="152" t="s">
        <v>684</v>
      </c>
      <c r="B25" s="479">
        <v>106.44</v>
      </c>
      <c r="C25" s="479">
        <f t="shared" ref="C25:C31" si="1">+B25*B$57</f>
        <v>133.05000000000001</v>
      </c>
      <c r="D25" s="676">
        <f>'Schedule 1'!H23</f>
        <v>894.03684335700632</v>
      </c>
      <c r="E25" s="879">
        <f t="shared" si="0"/>
        <v>118951.6020086497</v>
      </c>
      <c r="F25" s="879"/>
      <c r="G25" s="879"/>
      <c r="H25" s="884"/>
      <c r="J25" s="480"/>
      <c r="K25" s="777"/>
      <c r="L25" s="777"/>
      <c r="M25" s="814"/>
    </row>
    <row r="26" spans="1:13">
      <c r="A26" s="152" t="s">
        <v>686</v>
      </c>
      <c r="B26" s="479">
        <v>131.91</v>
      </c>
      <c r="C26" s="479">
        <f t="shared" si="1"/>
        <v>164.88749999999999</v>
      </c>
      <c r="D26" s="676">
        <f>'Schedule 1'!H24</f>
        <v>113.62341153032187</v>
      </c>
      <c r="E26" s="879">
        <f t="shared" si="0"/>
        <v>18735.080268705948</v>
      </c>
      <c r="F26" s="879"/>
      <c r="G26" s="879"/>
      <c r="H26" s="884"/>
      <c r="J26" s="480"/>
      <c r="K26" s="777"/>
      <c r="L26" s="777"/>
      <c r="M26" s="814"/>
    </row>
    <row r="27" spans="1:13">
      <c r="A27" s="152" t="s">
        <v>688</v>
      </c>
      <c r="B27" s="479">
        <v>178.72</v>
      </c>
      <c r="C27" s="479">
        <f t="shared" si="1"/>
        <v>223.4</v>
      </c>
      <c r="D27" s="676">
        <f>'Schedule 1'!H25</f>
        <v>66.778671688873388</v>
      </c>
      <c r="E27" s="879">
        <f t="shared" si="0"/>
        <v>14918.355255294315</v>
      </c>
      <c r="F27" s="879"/>
      <c r="G27" s="879"/>
      <c r="H27" s="884"/>
      <c r="J27" s="480"/>
      <c r="K27" s="777"/>
      <c r="L27" s="777"/>
      <c r="M27" s="814"/>
    </row>
    <row r="28" spans="1:13">
      <c r="A28" s="152" t="s">
        <v>690</v>
      </c>
      <c r="B28" s="479">
        <v>293.72000000000003</v>
      </c>
      <c r="C28" s="479">
        <f t="shared" si="1"/>
        <v>367.15000000000003</v>
      </c>
      <c r="D28" s="676">
        <f>'Schedule 1'!H26</f>
        <v>14.950448885568669</v>
      </c>
      <c r="E28" s="879">
        <f t="shared" si="0"/>
        <v>5489.0573083365371</v>
      </c>
      <c r="F28" s="879"/>
      <c r="G28" s="879"/>
      <c r="H28" s="884"/>
      <c r="J28" s="480"/>
      <c r="K28" s="777"/>
      <c r="L28" s="777"/>
      <c r="M28" s="814"/>
    </row>
    <row r="29" spans="1:13">
      <c r="A29" s="152" t="s">
        <v>692</v>
      </c>
      <c r="B29" s="479">
        <v>160</v>
      </c>
      <c r="C29" s="479">
        <f t="shared" si="1"/>
        <v>200</v>
      </c>
      <c r="D29" s="676">
        <f>'Schedule 1'!H27</f>
        <v>4.9834829618562226</v>
      </c>
      <c r="E29" s="879">
        <f t="shared" si="0"/>
        <v>996.69659237124449</v>
      </c>
      <c r="F29" s="879"/>
      <c r="G29" s="879"/>
      <c r="H29" s="884"/>
      <c r="J29" s="480"/>
      <c r="K29" s="777"/>
      <c r="L29" s="777"/>
      <c r="M29" s="814"/>
    </row>
    <row r="30" spans="1:13">
      <c r="A30" s="152" t="s">
        <v>694</v>
      </c>
      <c r="B30" s="479">
        <v>121.22</v>
      </c>
      <c r="C30" s="479">
        <f t="shared" si="1"/>
        <v>151.52500000000001</v>
      </c>
      <c r="D30" s="676">
        <f>'Schedule 1'!H28</f>
        <v>0.99669659237124453</v>
      </c>
      <c r="E30" s="879">
        <f t="shared" si="0"/>
        <v>151.02445115905283</v>
      </c>
      <c r="F30" s="879"/>
      <c r="G30" s="879"/>
      <c r="H30" s="884"/>
      <c r="J30" s="480"/>
      <c r="K30" s="777"/>
      <c r="L30" s="777"/>
      <c r="M30" s="814"/>
    </row>
    <row r="31" spans="1:13" ht="15.75" thickBot="1">
      <c r="A31" s="152" t="s">
        <v>696</v>
      </c>
      <c r="B31" s="479">
        <v>188.91</v>
      </c>
      <c r="C31" s="479">
        <f t="shared" si="1"/>
        <v>236.13749999999999</v>
      </c>
      <c r="D31" s="676">
        <f>'Schedule 1'!H29</f>
        <v>1.9933931847424891</v>
      </c>
      <c r="E31" s="879">
        <f t="shared" si="0"/>
        <v>470.71488316212947</v>
      </c>
      <c r="F31" s="879"/>
      <c r="G31" s="879"/>
      <c r="H31" s="884"/>
      <c r="J31" s="480"/>
      <c r="K31" s="777"/>
      <c r="L31" s="777"/>
      <c r="M31" s="814"/>
    </row>
    <row r="32" spans="1:13">
      <c r="A32" s="717" t="s">
        <v>717</v>
      </c>
      <c r="B32" s="725" t="s">
        <v>973</v>
      </c>
      <c r="C32" s="718">
        <f>+'Schedule 6'!B26</f>
        <v>207.50980000000001</v>
      </c>
      <c r="D32" s="719">
        <f>+'Schedule 1'!H53</f>
        <v>40397.10958539891</v>
      </c>
      <c r="E32" s="881">
        <f t="shared" si="0"/>
        <v>8382796.1306442115</v>
      </c>
      <c r="F32" s="879"/>
      <c r="G32" s="879"/>
      <c r="H32" s="693"/>
      <c r="J32" s="480"/>
      <c r="K32" s="777"/>
      <c r="L32" s="777"/>
      <c r="M32" s="814"/>
    </row>
    <row r="33" spans="1:13">
      <c r="A33" s="892" t="s">
        <v>719</v>
      </c>
      <c r="B33" s="893" t="s">
        <v>973</v>
      </c>
      <c r="C33" s="894">
        <f>+'Schedule 6'!B27</f>
        <v>210.64600000000002</v>
      </c>
      <c r="D33" s="895">
        <f>+'Schedule 1'!H54+'Schedule 1'!H56</f>
        <v>47077.966844063361</v>
      </c>
      <c r="E33" s="896">
        <f t="shared" si="0"/>
        <v>9916785.4038345721</v>
      </c>
      <c r="F33" s="879"/>
      <c r="G33" s="879"/>
      <c r="H33" s="693"/>
      <c r="J33" s="480"/>
      <c r="K33" s="777"/>
      <c r="L33" s="777"/>
      <c r="M33" s="814"/>
    </row>
    <row r="34" spans="1:13">
      <c r="A34" s="892" t="s">
        <v>721</v>
      </c>
      <c r="B34" s="893" t="s">
        <v>973</v>
      </c>
      <c r="C34" s="894">
        <f>+'Schedule 6'!B28</f>
        <v>232.66470000000001</v>
      </c>
      <c r="D34" s="895">
        <f>+'Schedule 1'!H55</f>
        <v>5711.0714742872315</v>
      </c>
      <c r="E34" s="896">
        <f t="shared" si="0"/>
        <v>1328764.7312435964</v>
      </c>
      <c r="F34" s="879"/>
      <c r="G34" s="879"/>
      <c r="H34" s="693"/>
      <c r="J34" s="480"/>
      <c r="K34" s="777"/>
      <c r="L34" s="777"/>
      <c r="M34" s="814"/>
    </row>
    <row r="35" spans="1:13">
      <c r="A35" s="892" t="s">
        <v>713</v>
      </c>
      <c r="B35" s="894">
        <v>156.49</v>
      </c>
      <c r="C35" s="894">
        <f>+'Schedule 6'!B29</f>
        <v>231.6748</v>
      </c>
      <c r="D35" s="895">
        <f>'Schedule 1'!H51</f>
        <v>5531.6660876604074</v>
      </c>
      <c r="E35" s="896">
        <f t="shared" si="0"/>
        <v>1281547.6345255075</v>
      </c>
      <c r="F35" s="879"/>
      <c r="G35" s="879"/>
      <c r="H35" s="693"/>
      <c r="J35" s="480"/>
      <c r="K35" s="777"/>
      <c r="L35" s="777"/>
      <c r="M35" s="814"/>
    </row>
    <row r="36" spans="1:13" ht="15.75" thickBot="1">
      <c r="A36" s="897" t="s">
        <v>715</v>
      </c>
      <c r="B36" s="898">
        <v>173.73</v>
      </c>
      <c r="C36" s="898">
        <f>+'Schedule 6'!B30</f>
        <v>246.21270000000001</v>
      </c>
      <c r="D36" s="899">
        <f>'Schedule 1'!H52</f>
        <v>3651.89631444824</v>
      </c>
      <c r="E36" s="900">
        <f t="shared" si="0"/>
        <v>899143.2517003502</v>
      </c>
      <c r="F36" s="879"/>
      <c r="G36" s="879"/>
      <c r="H36" s="693"/>
      <c r="J36" s="480"/>
      <c r="K36" s="777"/>
      <c r="L36" s="777"/>
      <c r="M36" s="814"/>
    </row>
    <row r="37" spans="1:13">
      <c r="A37" s="901" t="s">
        <v>724</v>
      </c>
      <c r="B37" s="902" t="s">
        <v>973</v>
      </c>
      <c r="C37" s="903">
        <f>C36*2.5</f>
        <v>615.53174999999999</v>
      </c>
      <c r="D37" s="904">
        <v>0</v>
      </c>
      <c r="E37" s="905">
        <f t="shared" si="0"/>
        <v>0</v>
      </c>
      <c r="F37" s="879"/>
      <c r="G37" s="879"/>
      <c r="H37" s="884"/>
      <c r="J37" s="480"/>
      <c r="K37" s="777"/>
      <c r="L37" s="777"/>
      <c r="M37" s="814"/>
    </row>
    <row r="38" spans="1:13" ht="15.75" thickBot="1">
      <c r="A38" s="906" t="s">
        <v>729</v>
      </c>
      <c r="B38" s="902" t="s">
        <v>973</v>
      </c>
      <c r="C38" s="907">
        <f>+'Schedule 6'!B31</f>
        <v>554.53030000000012</v>
      </c>
      <c r="D38" s="908">
        <f>'Schedule 1'!H64</f>
        <v>0</v>
      </c>
      <c r="E38" s="905">
        <f t="shared" si="0"/>
        <v>0</v>
      </c>
      <c r="F38" s="879"/>
      <c r="G38" s="879"/>
      <c r="H38" s="884"/>
      <c r="J38" s="480"/>
      <c r="K38" s="777"/>
      <c r="L38" s="777"/>
      <c r="M38" s="814"/>
    </row>
    <row r="39" spans="1:13">
      <c r="A39" s="909" t="s">
        <v>726</v>
      </c>
      <c r="B39" s="910">
        <v>371.69</v>
      </c>
      <c r="C39" s="910">
        <f>+'Schedule 6'!B32</f>
        <v>554.53030000000012</v>
      </c>
      <c r="D39" s="911">
        <f>'Schedule 1'!H62</f>
        <v>57.808402357532181</v>
      </c>
      <c r="E39" s="912">
        <f t="shared" si="0"/>
        <v>32056.510701843035</v>
      </c>
      <c r="F39" s="879"/>
      <c r="G39" s="879"/>
      <c r="H39" s="693"/>
      <c r="J39" s="480"/>
      <c r="K39" s="777"/>
      <c r="L39" s="777"/>
      <c r="M39" s="814"/>
    </row>
    <row r="40" spans="1:13">
      <c r="A40" s="892" t="s">
        <v>728</v>
      </c>
      <c r="B40" s="894">
        <v>226.1</v>
      </c>
      <c r="C40" s="894">
        <f>+'Schedule 6'!B33</f>
        <v>880.13869999999997</v>
      </c>
      <c r="D40" s="895">
        <f>'Schedule 1'!H63</f>
        <v>803.33745345122304</v>
      </c>
      <c r="E40" s="896">
        <f t="shared" si="0"/>
        <v>707048.38194186997</v>
      </c>
      <c r="F40" s="879"/>
      <c r="G40" s="879"/>
      <c r="H40" s="693"/>
      <c r="J40" s="480"/>
      <c r="K40" s="777"/>
      <c r="L40" s="777"/>
      <c r="M40" s="814"/>
    </row>
    <row r="41" spans="1:13">
      <c r="A41" s="892" t="s">
        <v>974</v>
      </c>
      <c r="B41" s="893" t="s">
        <v>973</v>
      </c>
      <c r="C41" s="894">
        <f>+'Schedule 6'!B34</f>
        <v>298.32710000000003</v>
      </c>
      <c r="D41" s="895">
        <f>'Schedule 1'!H69+'Schedule 1'!H70</f>
        <v>112.62671493795062</v>
      </c>
      <c r="E41" s="896">
        <f t="shared" si="0"/>
        <v>33599.60124996549</v>
      </c>
      <c r="F41" s="879"/>
      <c r="G41" s="879"/>
      <c r="H41" s="693"/>
      <c r="J41" s="480"/>
      <c r="K41" s="777"/>
      <c r="L41" s="777"/>
      <c r="M41" s="814"/>
    </row>
    <row r="42" spans="1:13" ht="15.75" thickBot="1">
      <c r="A42" s="897" t="s">
        <v>975</v>
      </c>
      <c r="B42" s="898">
        <v>358.84</v>
      </c>
      <c r="C42" s="898">
        <f>+'Schedule 6'!B35</f>
        <v>305.75860000000006</v>
      </c>
      <c r="D42" s="899">
        <f>'Schedule 1'!H67</f>
        <v>1310.6560189681866</v>
      </c>
      <c r="E42" s="900">
        <f t="shared" si="0"/>
        <v>400744.34944128623</v>
      </c>
      <c r="F42" s="879"/>
      <c r="G42" s="879"/>
      <c r="H42" s="693"/>
      <c r="J42" s="480"/>
      <c r="K42" s="777"/>
      <c r="L42" s="777"/>
      <c r="M42" s="814"/>
    </row>
    <row r="43" spans="1:13" ht="15.75" thickBot="1">
      <c r="A43" s="152" t="s">
        <v>976</v>
      </c>
      <c r="B43" s="479">
        <v>560.49</v>
      </c>
      <c r="C43" s="479">
        <f>+'Schedule 6'!B36</f>
        <v>526.15610000000004</v>
      </c>
      <c r="D43" s="721">
        <f>'Schedule 1'!H68</f>
        <v>977.75935711619093</v>
      </c>
      <c r="E43" s="879">
        <f t="shared" si="0"/>
        <v>514454.05007876229</v>
      </c>
      <c r="F43" s="884"/>
      <c r="G43" s="884"/>
      <c r="H43" s="884"/>
      <c r="J43" s="480"/>
      <c r="K43" s="777"/>
      <c r="L43" s="777"/>
      <c r="M43" s="814"/>
    </row>
    <row r="44" spans="1:13" ht="18" thickBot="1">
      <c r="A44" s="726" t="s">
        <v>977</v>
      </c>
      <c r="B44" s="727" t="s">
        <v>973</v>
      </c>
      <c r="C44" s="728"/>
      <c r="D44" s="729">
        <f>+'Schedule 1'!H71</f>
        <v>6.9768761465987117</v>
      </c>
      <c r="E44" s="886">
        <f t="shared" si="0"/>
        <v>0</v>
      </c>
      <c r="F44" s="887"/>
      <c r="G44" s="887"/>
      <c r="H44" s="693"/>
      <c r="J44" s="554"/>
      <c r="K44" s="816"/>
      <c r="L44" s="817"/>
      <c r="M44" s="814"/>
    </row>
    <row r="45" spans="1:13" ht="15.75">
      <c r="D45" s="480">
        <f>SUM(D15:D44)</f>
        <v>123433.89608903204</v>
      </c>
      <c r="F45" s="251">
        <f>SUM(E15:E44)</f>
        <v>27329660.686264869</v>
      </c>
      <c r="H45" s="818"/>
      <c r="I45" s="818"/>
      <c r="J45" s="480"/>
      <c r="K45" s="777"/>
      <c r="L45" s="777"/>
    </row>
    <row r="46" spans="1:13">
      <c r="D46" s="480"/>
      <c r="E46" s="818"/>
      <c r="H46" s="818"/>
      <c r="I46" s="818"/>
    </row>
    <row r="47" spans="1:13" ht="15.75">
      <c r="D47" s="480"/>
      <c r="F47" s="888">
        <f>F8-F45</f>
        <v>19339910.318735134</v>
      </c>
      <c r="H47" s="818"/>
      <c r="I47" s="818"/>
    </row>
    <row r="48" spans="1:13">
      <c r="D48" s="480"/>
      <c r="H48" s="818"/>
      <c r="I48" s="818"/>
    </row>
    <row r="49" spans="1:15" ht="16.5" thickBot="1">
      <c r="D49" s="480"/>
      <c r="F49" s="889">
        <f>F47/D45</f>
        <v>156.68232901589192</v>
      </c>
      <c r="H49" s="818"/>
      <c r="I49" s="818"/>
    </row>
    <row r="50" spans="1:15" ht="15.75" thickBot="1">
      <c r="A50" s="152" t="s">
        <v>597</v>
      </c>
      <c r="D50" s="730">
        <f>D17+D19+D18+D20+D21+D32+D33+D34+D35+D36+D39+D40+D41+D42+D44</f>
        <v>121230.19992329924</v>
      </c>
      <c r="H50" s="879"/>
      <c r="I50" s="819"/>
      <c r="J50" s="776"/>
      <c r="K50" s="776"/>
      <c r="L50" s="820"/>
      <c r="M50" s="813"/>
    </row>
    <row r="51" spans="1:15">
      <c r="A51" s="152" t="s">
        <v>978</v>
      </c>
      <c r="D51" s="480"/>
      <c r="G51" s="879"/>
      <c r="H51" s="879"/>
      <c r="I51" s="819"/>
      <c r="J51" s="776"/>
      <c r="K51" s="776"/>
      <c r="L51" s="820"/>
      <c r="M51" s="813"/>
    </row>
    <row r="52" spans="1:15" ht="17.25">
      <c r="E52" s="879"/>
      <c r="H52" s="879"/>
      <c r="I52" s="819"/>
      <c r="J52" s="821"/>
      <c r="K52" s="821"/>
      <c r="L52" s="820"/>
      <c r="M52" s="813"/>
    </row>
    <row r="53" spans="1:15" ht="15.75">
      <c r="A53" s="152" t="s">
        <v>979</v>
      </c>
      <c r="G53" s="889"/>
      <c r="H53" s="818"/>
      <c r="I53" s="818"/>
      <c r="J53" s="777"/>
      <c r="K53" s="777"/>
      <c r="M53" s="812"/>
      <c r="N53" s="812"/>
      <c r="O53" s="812"/>
    </row>
    <row r="54" spans="1:15">
      <c r="F54" s="879"/>
      <c r="H54" s="818"/>
      <c r="I54" s="818"/>
    </row>
    <row r="55" spans="1:15" ht="15.75" thickBot="1">
      <c r="F55" s="879"/>
      <c r="H55" s="818"/>
      <c r="I55" s="818"/>
      <c r="J55" s="777"/>
    </row>
    <row r="56" spans="1:15" ht="15.75" thickBot="1">
      <c r="A56" s="152" t="s">
        <v>987</v>
      </c>
      <c r="B56" s="890">
        <v>1.25</v>
      </c>
    </row>
    <row r="57" spans="1:15" ht="15.75" thickBot="1">
      <c r="A57" s="152" t="s">
        <v>988</v>
      </c>
      <c r="B57" s="890">
        <v>1.25</v>
      </c>
      <c r="H57" s="693"/>
      <c r="J57" s="776"/>
      <c r="K57" s="776"/>
      <c r="L57" s="777"/>
    </row>
    <row r="58" spans="1:15">
      <c r="H58" s="693"/>
      <c r="J58" s="776"/>
      <c r="K58" s="776"/>
      <c r="L58" s="777"/>
    </row>
    <row r="59" spans="1:15">
      <c r="A59" s="152" t="s">
        <v>989</v>
      </c>
      <c r="H59" s="693"/>
      <c r="J59" s="776"/>
      <c r="K59" s="776"/>
      <c r="L59" s="777"/>
    </row>
    <row r="60" spans="1:15">
      <c r="A60" s="156" t="s">
        <v>990</v>
      </c>
      <c r="H60" s="693"/>
      <c r="J60" s="776"/>
      <c r="K60" s="776"/>
      <c r="L60" s="777"/>
    </row>
    <row r="61" spans="1:15">
      <c r="H61" s="693"/>
      <c r="J61" s="776"/>
      <c r="K61" s="776"/>
      <c r="L61" s="777"/>
    </row>
    <row r="62" spans="1:15" ht="15.75">
      <c r="A62" s="548" t="s">
        <v>991</v>
      </c>
      <c r="H62" s="693"/>
      <c r="J62" s="776"/>
      <c r="K62" s="776"/>
      <c r="L62" s="777"/>
    </row>
    <row r="63" spans="1:15">
      <c r="A63" s="152" t="s">
        <v>504</v>
      </c>
      <c r="H63" s="693"/>
      <c r="J63" s="776"/>
      <c r="K63" s="776"/>
      <c r="L63" s="777"/>
    </row>
    <row r="64" spans="1:15" ht="17.25">
      <c r="H64" s="693"/>
      <c r="J64" s="821"/>
      <c r="K64" s="821"/>
      <c r="L64" s="817"/>
    </row>
    <row r="65" spans="1:12">
      <c r="A65" s="152" t="s">
        <v>992</v>
      </c>
      <c r="B65" s="479">
        <f>+'Schedule 6'!C27</f>
        <v>124.0162</v>
      </c>
      <c r="J65" s="777"/>
      <c r="K65" s="777"/>
      <c r="L65" s="777"/>
    </row>
    <row r="66" spans="1:12">
      <c r="A66" s="152" t="s">
        <v>993</v>
      </c>
      <c r="B66" s="563">
        <f>+'Schedule 6'!F27</f>
        <v>67.317599999999999</v>
      </c>
    </row>
    <row r="67" spans="1:12" ht="13.5" customHeight="1">
      <c r="A67" s="152" t="s">
        <v>794</v>
      </c>
      <c r="B67" s="563">
        <f>+'Schedule 6'!G27</f>
        <v>16.711299999999998</v>
      </c>
      <c r="J67" s="776"/>
      <c r="L67" s="480"/>
    </row>
    <row r="68" spans="1:12">
      <c r="A68" s="152" t="s">
        <v>994</v>
      </c>
      <c r="B68" s="563">
        <f>+'Schedule 6'!H27+'Schedule 6'!I27</f>
        <v>2.6009000000000002</v>
      </c>
    </row>
    <row r="69" spans="1:12">
      <c r="A69" s="152" t="s">
        <v>995</v>
      </c>
      <c r="B69" s="891">
        <f>+'Schedule 6'!D27</f>
        <v>8.6199999999999992</v>
      </c>
      <c r="J69" s="480"/>
    </row>
    <row r="71" spans="1:12" ht="15.75">
      <c r="A71" s="152" t="s">
        <v>739</v>
      </c>
      <c r="B71" s="889">
        <f>SUM(B65:B69)</f>
        <v>219.26599999999999</v>
      </c>
    </row>
  </sheetData>
  <mergeCells count="1">
    <mergeCell ref="A2:F2"/>
  </mergeCells>
  <phoneticPr fontId="0" type="noConversion"/>
  <printOptions horizontalCentered="1"/>
  <pageMargins left="0.5" right="0.5" top="0.5" bottom="0.65277777777777801" header="0" footer="0"/>
  <pageSetup scale="65" orientation="portrait" r:id="rId1"/>
  <headerFooter alignWithMargins="0"/>
  <rowBreaks count="1" manualBreakCount="1">
    <brk id="53" max="7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5"/>
  <sheetViews>
    <sheetView view="pageLayout" zoomScale="70" zoomScaleNormal="75" zoomScalePageLayoutView="70" workbookViewId="0">
      <selection activeCell="D40" sqref="D40"/>
    </sheetView>
  </sheetViews>
  <sheetFormatPr defaultRowHeight="15"/>
  <cols>
    <col min="1" max="1" width="33.44140625" style="485" customWidth="1"/>
    <col min="2" max="2" width="12.44140625" style="485" customWidth="1"/>
    <col min="3" max="3" width="9.21875" style="485" bestFit="1" customWidth="1"/>
    <col min="4" max="11" width="10.77734375" style="485" customWidth="1"/>
    <col min="12" max="12" width="4" style="485" customWidth="1"/>
    <col min="13" max="13" width="12.109375" style="485" customWidth="1"/>
    <col min="14" max="14" width="13.109375" style="485" customWidth="1"/>
    <col min="15" max="15" width="12.88671875" style="485" bestFit="1" customWidth="1"/>
    <col min="16" max="16" width="12.88671875" style="485" customWidth="1"/>
    <col min="17" max="17" width="12.88671875" style="913" bestFit="1" customWidth="1"/>
    <col min="18" max="18" width="12.88671875" style="913" customWidth="1"/>
    <col min="19" max="19" width="1.88671875" style="485" customWidth="1"/>
    <col min="20" max="20" width="9.33203125" style="485" bestFit="1" customWidth="1"/>
    <col min="21" max="16384" width="8.88671875" style="485"/>
  </cols>
  <sheetData>
    <row r="1" spans="1:19" ht="15.75">
      <c r="R1" s="914" t="s">
        <v>996</v>
      </c>
    </row>
    <row r="2" spans="1:19" ht="18">
      <c r="A2" s="1125" t="s">
        <v>655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</row>
    <row r="3" spans="1:19" ht="18">
      <c r="A3" s="915"/>
      <c r="B3" s="916"/>
      <c r="C3" s="916"/>
      <c r="D3" s="916"/>
      <c r="E3" s="916"/>
      <c r="F3" s="916"/>
      <c r="G3" s="916"/>
      <c r="H3" s="916"/>
      <c r="I3" s="916"/>
      <c r="J3" s="916"/>
      <c r="K3" s="916"/>
      <c r="L3" s="916"/>
    </row>
    <row r="4" spans="1:19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</row>
    <row r="5" spans="1:19" ht="15.75">
      <c r="A5" s="917" t="s">
        <v>997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</row>
    <row r="6" spans="1:19" ht="15.75">
      <c r="A6" s="917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</row>
    <row r="7" spans="1:19" ht="48" thickBot="1">
      <c r="A7" s="917"/>
      <c r="B7" s="486" t="s">
        <v>265</v>
      </c>
      <c r="C7" s="871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918" t="s">
        <v>1247</v>
      </c>
      <c r="R7" s="918"/>
    </row>
    <row r="8" spans="1:19" ht="16.5" thickBot="1">
      <c r="A8" s="558" t="s">
        <v>584</v>
      </c>
      <c r="B8" s="919">
        <v>5.33E-2</v>
      </c>
      <c r="C8" s="771"/>
      <c r="D8" s="152"/>
      <c r="E8" s="152"/>
      <c r="F8" s="152"/>
      <c r="G8" s="152"/>
      <c r="H8" s="152"/>
      <c r="I8" s="152"/>
      <c r="J8" s="152"/>
      <c r="K8" s="152"/>
      <c r="L8" s="152"/>
      <c r="N8" s="772" t="s">
        <v>1245</v>
      </c>
      <c r="O8" s="772"/>
      <c r="P8" s="772"/>
      <c r="Q8" s="823">
        <f>Q51</f>
        <v>8533361.9656156804</v>
      </c>
      <c r="R8" s="822"/>
    </row>
    <row r="9" spans="1:19" ht="16.5" thickBot="1">
      <c r="A9" s="558" t="s">
        <v>17</v>
      </c>
      <c r="B9" s="920">
        <f>1/B8</f>
        <v>18.761726078799249</v>
      </c>
      <c r="C9" s="872"/>
      <c r="D9" s="152"/>
      <c r="E9" s="152"/>
      <c r="F9" s="152"/>
      <c r="G9" s="152"/>
      <c r="H9" s="152"/>
      <c r="I9" s="152"/>
      <c r="J9" s="152"/>
      <c r="K9" s="152"/>
      <c r="L9" s="152"/>
      <c r="N9" s="772" t="s">
        <v>1246</v>
      </c>
      <c r="O9" s="772"/>
      <c r="P9" s="772"/>
      <c r="Q9" s="823">
        <f>'Schedule 5A'!G48*1000-'2012 Rev Reconciliation'!I10</f>
        <v>5608508.7278924901</v>
      </c>
      <c r="R9" s="823"/>
    </row>
    <row r="10" spans="1:19" ht="31.5" thickBot="1">
      <c r="A10" s="921" t="s">
        <v>266</v>
      </c>
      <c r="B10" s="919">
        <f>+'Schedule 5'!F50</f>
        <v>0.10559999999999999</v>
      </c>
      <c r="C10" s="771"/>
      <c r="D10" s="922"/>
      <c r="E10" s="152"/>
      <c r="F10" s="152"/>
      <c r="G10" s="152"/>
      <c r="H10" s="152"/>
      <c r="I10" s="152"/>
      <c r="J10" s="152"/>
      <c r="K10" s="152"/>
      <c r="L10" s="152"/>
      <c r="N10" s="772" t="s">
        <v>1244</v>
      </c>
      <c r="O10" s="772"/>
      <c r="P10" s="772"/>
      <c r="Q10" s="824">
        <f>+Q9/Q8</f>
        <v>0.65724491126608819</v>
      </c>
      <c r="R10" s="824"/>
    </row>
    <row r="11" spans="1:19" ht="16.5" thickBot="1">
      <c r="A11" s="921" t="s">
        <v>326</v>
      </c>
      <c r="B11" s="919">
        <f>'Schedule 5'!F17</f>
        <v>7.8799999999999995E-2</v>
      </c>
      <c r="C11" s="771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772"/>
      <c r="O11" s="152"/>
      <c r="P11" s="152"/>
      <c r="Q11" s="692"/>
      <c r="R11" s="152"/>
    </row>
    <row r="12" spans="1:19" ht="16.5" thickBot="1">
      <c r="A12" s="923" t="s">
        <v>948</v>
      </c>
      <c r="B12" s="924">
        <v>0.31</v>
      </c>
      <c r="C12" s="771"/>
      <c r="D12" s="771"/>
      <c r="E12" s="152"/>
      <c r="F12" s="152"/>
      <c r="G12" s="152"/>
      <c r="H12" s="152"/>
      <c r="I12" s="152"/>
      <c r="J12" s="152"/>
      <c r="K12" s="152"/>
      <c r="L12" s="152"/>
      <c r="M12" s="152"/>
      <c r="N12" s="772"/>
      <c r="O12" s="152"/>
      <c r="P12" s="152"/>
      <c r="Q12" s="692"/>
      <c r="R12" s="152"/>
    </row>
    <row r="13" spans="1:19" ht="16.5" thickBot="1">
      <c r="A13" s="923" t="s">
        <v>267</v>
      </c>
      <c r="B13" s="924">
        <v>0</v>
      </c>
      <c r="C13" s="771"/>
      <c r="D13" s="771"/>
      <c r="E13" s="152"/>
      <c r="F13" s="152"/>
      <c r="G13" s="152"/>
      <c r="H13" s="152"/>
      <c r="I13" s="152"/>
      <c r="J13" s="152"/>
      <c r="K13" s="152"/>
      <c r="L13" s="152"/>
      <c r="M13" s="152"/>
      <c r="N13" s="772"/>
      <c r="O13" s="152"/>
      <c r="P13" s="152"/>
      <c r="Q13" s="692"/>
      <c r="R13" s="152"/>
    </row>
    <row r="14" spans="1:19" ht="16.5" thickBot="1">
      <c r="A14" s="923" t="s">
        <v>268</v>
      </c>
      <c r="B14" s="919">
        <f>B8*B13</f>
        <v>0</v>
      </c>
      <c r="C14" s="771"/>
      <c r="D14" s="771"/>
      <c r="E14" s="152"/>
      <c r="F14" s="152"/>
      <c r="G14" s="152"/>
      <c r="H14" s="152"/>
      <c r="I14" s="152"/>
      <c r="J14" s="152"/>
      <c r="K14" s="152"/>
      <c r="L14" s="152"/>
      <c r="M14" s="152"/>
      <c r="N14" s="772"/>
      <c r="O14" s="152"/>
      <c r="P14" s="152"/>
      <c r="Q14" s="692"/>
      <c r="R14" s="152"/>
    </row>
    <row r="15" spans="1:19" ht="16.5" thickBot="1">
      <c r="A15" s="558" t="s">
        <v>17</v>
      </c>
      <c r="B15" s="925" t="s">
        <v>973</v>
      </c>
      <c r="C15" s="873"/>
      <c r="D15" s="771"/>
      <c r="E15" s="152"/>
      <c r="F15" s="152"/>
      <c r="G15" s="152"/>
      <c r="H15" s="152"/>
      <c r="I15" s="152"/>
      <c r="J15" s="152"/>
      <c r="K15" s="152"/>
      <c r="L15" s="152"/>
      <c r="M15" s="152"/>
      <c r="N15" s="772"/>
      <c r="O15" s="152"/>
      <c r="P15" s="152"/>
      <c r="Q15" s="692"/>
      <c r="R15" s="152"/>
    </row>
    <row r="16" spans="1:19" ht="45.75" customHeight="1">
      <c r="A16" s="558"/>
      <c r="B16" s="152"/>
      <c r="C16" s="158"/>
      <c r="D16" s="152"/>
      <c r="E16" s="1133" t="s">
        <v>608</v>
      </c>
      <c r="F16" s="1134"/>
      <c r="G16" s="1134"/>
      <c r="H16" s="1135"/>
      <c r="I16" s="1126" t="s">
        <v>609</v>
      </c>
      <c r="J16" s="1128" t="s">
        <v>610</v>
      </c>
      <c r="K16" s="1129"/>
      <c r="L16" s="918"/>
      <c r="M16" s="1130" t="s">
        <v>611</v>
      </c>
      <c r="N16" s="1131"/>
      <c r="O16" s="1131"/>
      <c r="P16" s="1131"/>
      <c r="Q16" s="1131"/>
      <c r="R16" s="1132"/>
      <c r="S16" s="603"/>
    </row>
    <row r="17" spans="1:20">
      <c r="B17" s="152"/>
      <c r="C17" s="158"/>
      <c r="D17" s="152"/>
      <c r="E17" s="926"/>
      <c r="F17" s="462"/>
      <c r="G17" s="462"/>
      <c r="H17" s="927"/>
      <c r="I17" s="1127"/>
      <c r="J17" s="928" t="s">
        <v>648</v>
      </c>
      <c r="K17" s="927"/>
      <c r="L17" s="462"/>
      <c r="M17" s="928"/>
      <c r="N17" s="462"/>
      <c r="O17" s="462"/>
      <c r="P17" s="462"/>
      <c r="Q17" s="462"/>
      <c r="R17" s="927" t="s">
        <v>648</v>
      </c>
      <c r="S17" s="603"/>
    </row>
    <row r="18" spans="1:20" ht="30">
      <c r="A18" s="152"/>
      <c r="B18" s="473" t="s">
        <v>998</v>
      </c>
      <c r="C18" s="473" t="s">
        <v>999</v>
      </c>
      <c r="D18" s="152"/>
      <c r="E18" s="928" t="s">
        <v>1000</v>
      </c>
      <c r="F18" s="462" t="s">
        <v>1001</v>
      </c>
      <c r="G18" s="462" t="s">
        <v>663</v>
      </c>
      <c r="H18" s="927" t="s">
        <v>648</v>
      </c>
      <c r="I18" s="473"/>
      <c r="J18" s="928" t="s">
        <v>1002</v>
      </c>
      <c r="K18" s="927" t="s">
        <v>1003</v>
      </c>
      <c r="L18" s="462"/>
      <c r="M18" s="929" t="s">
        <v>612</v>
      </c>
      <c r="N18" s="930" t="s">
        <v>613</v>
      </c>
      <c r="O18" s="930" t="s">
        <v>614</v>
      </c>
      <c r="P18" s="930" t="s">
        <v>663</v>
      </c>
      <c r="Q18" s="930" t="s">
        <v>615</v>
      </c>
      <c r="R18" s="931" t="s">
        <v>356</v>
      </c>
      <c r="S18" s="603"/>
    </row>
    <row r="19" spans="1:20">
      <c r="A19" s="152"/>
      <c r="B19" s="932" t="s">
        <v>485</v>
      </c>
      <c r="C19" s="933" t="s">
        <v>754</v>
      </c>
      <c r="D19" s="933" t="s">
        <v>648</v>
      </c>
      <c r="E19" s="934" t="s">
        <v>1004</v>
      </c>
      <c r="F19" s="935" t="s">
        <v>647</v>
      </c>
      <c r="G19" s="935" t="s">
        <v>327</v>
      </c>
      <c r="H19" s="936" t="s">
        <v>754</v>
      </c>
      <c r="I19" s="933"/>
      <c r="J19" s="934" t="s">
        <v>754</v>
      </c>
      <c r="K19" s="936" t="s">
        <v>754</v>
      </c>
      <c r="L19" s="935"/>
      <c r="M19" s="937"/>
      <c r="N19" s="603"/>
      <c r="O19" s="603"/>
      <c r="P19" s="603"/>
      <c r="Q19" s="779"/>
      <c r="R19" s="938"/>
      <c r="S19" s="603"/>
    </row>
    <row r="20" spans="1:20">
      <c r="A20" s="152"/>
      <c r="B20" s="152"/>
      <c r="C20" s="152"/>
      <c r="D20" s="152"/>
      <c r="E20" s="926"/>
      <c r="F20" s="158"/>
      <c r="G20" s="158"/>
      <c r="H20" s="939"/>
      <c r="I20" s="152"/>
      <c r="J20" s="926"/>
      <c r="K20" s="939"/>
      <c r="L20" s="158"/>
      <c r="M20" s="780"/>
      <c r="N20" s="778"/>
      <c r="O20" s="778"/>
      <c r="P20" s="778"/>
      <c r="Q20" s="779"/>
      <c r="R20" s="938"/>
      <c r="S20" s="603"/>
    </row>
    <row r="21" spans="1:20">
      <c r="A21" s="152" t="s">
        <v>662</v>
      </c>
      <c r="B21" s="479">
        <f>'Schedule 3'!C15</f>
        <v>64.2</v>
      </c>
      <c r="C21" s="563">
        <f>'Schedule 3'!F$49</f>
        <v>156.68232901589192</v>
      </c>
      <c r="D21" s="479">
        <f t="shared" ref="D21:D50" si="0">B21+C21</f>
        <v>220.88232901589191</v>
      </c>
      <c r="E21" s="940">
        <f>(D21*($B$8-$B$14))/(1-$B$12)</f>
        <v>17.062359618184114</v>
      </c>
      <c r="F21" s="593">
        <f>D21*$B$10</f>
        <v>23.325173944078184</v>
      </c>
      <c r="G21" s="593">
        <v>0</v>
      </c>
      <c r="H21" s="941">
        <f t="shared" ref="H21:H49" si="1">E21+F21</f>
        <v>40.387533562262298</v>
      </c>
      <c r="I21" s="942">
        <f>$Q$10</f>
        <v>0.65724491126608819</v>
      </c>
      <c r="J21" s="940">
        <f>H21*I21</f>
        <v>26.544500912385242</v>
      </c>
      <c r="K21" s="941">
        <f>J21/12</f>
        <v>2.2120417426987702</v>
      </c>
      <c r="L21" s="593"/>
      <c r="M21" s="781">
        <f>'Schedule 3'!D15</f>
        <v>26.910807994023603</v>
      </c>
      <c r="N21" s="779">
        <f t="shared" ref="N21:N50" si="2">E21*M21</f>
        <v>459.16188360993459</v>
      </c>
      <c r="O21" s="779">
        <f t="shared" ref="O21:O50" si="3">F21*M21</f>
        <v>627.69927743629023</v>
      </c>
      <c r="P21" s="779"/>
      <c r="Q21" s="779">
        <f t="shared" ref="Q21:Q50" si="4">H21*M21</f>
        <v>1086.8611610462249</v>
      </c>
      <c r="R21" s="938">
        <f>J21*M21</f>
        <v>714.33396735038366</v>
      </c>
      <c r="S21" s="943"/>
      <c r="T21" s="944"/>
    </row>
    <row r="22" spans="1:20">
      <c r="A22" s="152" t="s">
        <v>666</v>
      </c>
      <c r="B22" s="563">
        <f>'Schedule 3'!C16</f>
        <v>79.524999999999991</v>
      </c>
      <c r="C22" s="563">
        <f>'Schedule 3'!F$49</f>
        <v>156.68232901589192</v>
      </c>
      <c r="D22" s="945">
        <f t="shared" si="0"/>
        <v>236.2073290158919</v>
      </c>
      <c r="E22" s="940">
        <f t="shared" ref="E22:E50" si="5">(D22*($B$8-$B$14))/(1-$B$12)</f>
        <v>18.246160342821796</v>
      </c>
      <c r="F22" s="593">
        <f t="shared" ref="F22:F50" si="6">D22*$B$10</f>
        <v>24.943493944078181</v>
      </c>
      <c r="G22" s="593">
        <v>0</v>
      </c>
      <c r="H22" s="946">
        <f t="shared" si="1"/>
        <v>43.18965428689998</v>
      </c>
      <c r="I22" s="942">
        <f t="shared" ref="I22:I50" si="7">$Q$10</f>
        <v>0.65724491126608819</v>
      </c>
      <c r="J22" s="940">
        <f t="shared" ref="J22:J50" si="8">H22*I22</f>
        <v>28.386180499406603</v>
      </c>
      <c r="K22" s="946">
        <f t="shared" ref="K22:K50" si="9">J22/12</f>
        <v>2.365515041617217</v>
      </c>
      <c r="L22" s="947"/>
      <c r="M22" s="781">
        <f>'Schedule 3'!D16</f>
        <v>1.9933931847424891</v>
      </c>
      <c r="N22" s="779">
        <f t="shared" si="2"/>
        <v>36.371771675099644</v>
      </c>
      <c r="O22" s="779">
        <f t="shared" si="3"/>
        <v>49.722190831790996</v>
      </c>
      <c r="P22" s="779"/>
      <c r="Q22" s="779">
        <f t="shared" si="4"/>
        <v>86.093962506890648</v>
      </c>
      <c r="R22" s="938">
        <f>J22*M22</f>
        <v>56.584818748387264</v>
      </c>
      <c r="S22" s="943"/>
    </row>
    <row r="23" spans="1:20">
      <c r="A23" s="152" t="s">
        <v>668</v>
      </c>
      <c r="B23" s="563">
        <f>'Schedule 3'!C17</f>
        <v>229.54730000000001</v>
      </c>
      <c r="C23" s="563">
        <f>'Schedule 3'!F$49</f>
        <v>156.68232901589192</v>
      </c>
      <c r="D23" s="945">
        <f t="shared" si="0"/>
        <v>386.22962901589193</v>
      </c>
      <c r="E23" s="940">
        <f t="shared" si="5"/>
        <v>29.834839458763827</v>
      </c>
      <c r="F23" s="593">
        <f t="shared" si="6"/>
        <v>40.78584882407818</v>
      </c>
      <c r="G23" s="593">
        <v>0</v>
      </c>
      <c r="H23" s="946">
        <f t="shared" si="1"/>
        <v>70.620688282842011</v>
      </c>
      <c r="I23" s="942">
        <f t="shared" si="7"/>
        <v>0.65724491126608819</v>
      </c>
      <c r="J23" s="940">
        <f t="shared" si="8"/>
        <v>46.41508800400657</v>
      </c>
      <c r="K23" s="946">
        <f t="shared" si="9"/>
        <v>3.8679240003338808</v>
      </c>
      <c r="L23" s="947"/>
      <c r="M23" s="781">
        <f>'Schedule 3'!D17</f>
        <v>271.1014731249785</v>
      </c>
      <c r="N23" s="779">
        <f t="shared" si="2"/>
        <v>8088.2689277181098</v>
      </c>
      <c r="O23" s="779">
        <f t="shared" si="3"/>
        <v>11057.103698860266</v>
      </c>
      <c r="P23" s="779"/>
      <c r="Q23" s="779">
        <f t="shared" si="4"/>
        <v>19145.372626578377</v>
      </c>
      <c r="R23" s="938">
        <f t="shared" ref="R23:R49" si="10">J23*M23</f>
        <v>12583.1987331117</v>
      </c>
      <c r="S23" s="943"/>
    </row>
    <row r="24" spans="1:20">
      <c r="A24" s="152" t="s">
        <v>670</v>
      </c>
      <c r="B24" s="563">
        <f>'Schedule 3'!C18</f>
        <v>204.78190000000001</v>
      </c>
      <c r="C24" s="563">
        <f>'Schedule 3'!F$49</f>
        <v>156.68232901589192</v>
      </c>
      <c r="D24" s="945">
        <f t="shared" si="0"/>
        <v>361.46422901589193</v>
      </c>
      <c r="E24" s="940">
        <f t="shared" si="5"/>
        <v>27.921802038473974</v>
      </c>
      <c r="F24" s="593">
        <f t="shared" si="6"/>
        <v>38.170622584078181</v>
      </c>
      <c r="G24" s="593">
        <v>0</v>
      </c>
      <c r="H24" s="946">
        <f t="shared" si="1"/>
        <v>66.092424622552159</v>
      </c>
      <c r="I24" s="942">
        <f t="shared" si="7"/>
        <v>0.65724491126608819</v>
      </c>
      <c r="J24" s="940">
        <f t="shared" si="8"/>
        <v>43.438909756409913</v>
      </c>
      <c r="K24" s="946">
        <f t="shared" si="9"/>
        <v>3.6199091463674926</v>
      </c>
      <c r="L24" s="947"/>
      <c r="M24" s="781">
        <f>'Schedule 3'!D18</f>
        <v>11184.929159590107</v>
      </c>
      <c r="N24" s="779">
        <f t="shared" si="2"/>
        <v>312303.37780843006</v>
      </c>
      <c r="O24" s="779">
        <f t="shared" si="3"/>
        <v>426935.7095803647</v>
      </c>
      <c r="P24" s="779"/>
      <c r="Q24" s="779">
        <f t="shared" si="4"/>
        <v>739239.08738879475</v>
      </c>
      <c r="R24" s="938">
        <f t="shared" si="10"/>
        <v>485861.12839527242</v>
      </c>
      <c r="S24" s="943"/>
    </row>
    <row r="25" spans="1:20">
      <c r="A25" s="152" t="s">
        <v>672</v>
      </c>
      <c r="B25" s="563">
        <f>'Schedule 3'!C19</f>
        <v>201.27160000000003</v>
      </c>
      <c r="C25" s="563">
        <f>'Schedule 3'!F$49</f>
        <v>156.68232901589192</v>
      </c>
      <c r="D25" s="945">
        <f t="shared" si="0"/>
        <v>357.95392901589196</v>
      </c>
      <c r="E25" s="940">
        <f t="shared" si="5"/>
        <v>27.650644081952237</v>
      </c>
      <c r="F25" s="593">
        <f t="shared" si="6"/>
        <v>37.799934904078185</v>
      </c>
      <c r="G25" s="593">
        <v>0</v>
      </c>
      <c r="H25" s="946">
        <f t="shared" si="1"/>
        <v>65.450578986030422</v>
      </c>
      <c r="I25" s="942">
        <f t="shared" si="7"/>
        <v>0.65724491126608819</v>
      </c>
      <c r="J25" s="940">
        <f t="shared" si="8"/>
        <v>43.017059977987664</v>
      </c>
      <c r="K25" s="946">
        <f t="shared" si="9"/>
        <v>3.5847549981656388</v>
      </c>
      <c r="L25" s="947"/>
      <c r="M25" s="781">
        <f>'Schedule 3'!D19</f>
        <v>2675.1336539244203</v>
      </c>
      <c r="N25" s="779">
        <f t="shared" si="2"/>
        <v>73969.168536316531</v>
      </c>
      <c r="O25" s="779">
        <f t="shared" si="3"/>
        <v>101119.87797805191</v>
      </c>
      <c r="P25" s="779"/>
      <c r="Q25" s="779">
        <f t="shared" si="4"/>
        <v>175089.04651436844</v>
      </c>
      <c r="R25" s="938">
        <f t="shared" si="10"/>
        <v>115076.38484000009</v>
      </c>
      <c r="S25" s="943"/>
    </row>
    <row r="26" spans="1:20">
      <c r="A26" s="152" t="s">
        <v>674</v>
      </c>
      <c r="B26" s="563">
        <f>'Schedule 3'!C20</f>
        <v>291.37530000000004</v>
      </c>
      <c r="C26" s="563">
        <f>'Schedule 3'!F$49</f>
        <v>156.68232901589192</v>
      </c>
      <c r="D26" s="945">
        <f t="shared" si="0"/>
        <v>448.05762901589196</v>
      </c>
      <c r="E26" s="940">
        <f t="shared" si="5"/>
        <v>34.610828444271078</v>
      </c>
      <c r="F26" s="593">
        <f t="shared" si="6"/>
        <v>47.314885624078187</v>
      </c>
      <c r="G26" s="593">
        <v>0</v>
      </c>
      <c r="H26" s="946">
        <f t="shared" si="1"/>
        <v>81.925714068349265</v>
      </c>
      <c r="I26" s="942">
        <f t="shared" si="7"/>
        <v>0.65724491126608819</v>
      </c>
      <c r="J26" s="940">
        <f t="shared" si="8"/>
        <v>53.845258673263125</v>
      </c>
      <c r="K26" s="946">
        <f t="shared" si="9"/>
        <v>4.4871048894385934</v>
      </c>
      <c r="L26" s="947"/>
      <c r="M26" s="781">
        <f>'Schedule 3'!D20</f>
        <v>1029.5875799194955</v>
      </c>
      <c r="N26" s="779">
        <f t="shared" si="2"/>
        <v>35634.879096945901</v>
      </c>
      <c r="O26" s="779">
        <f t="shared" si="3"/>
        <v>48714.81858386239</v>
      </c>
      <c r="P26" s="779"/>
      <c r="Q26" s="779">
        <f t="shared" si="4"/>
        <v>84349.697680808284</v>
      </c>
      <c r="R26" s="938">
        <f t="shared" si="10"/>
        <v>55438.409567544208</v>
      </c>
      <c r="S26" s="943"/>
    </row>
    <row r="27" spans="1:20">
      <c r="A27" s="152" t="s">
        <v>676</v>
      </c>
      <c r="B27" s="563">
        <f>'Schedule 3'!C21</f>
        <v>301.45</v>
      </c>
      <c r="C27" s="563">
        <f>'Schedule 3'!F$49</f>
        <v>156.68232901589192</v>
      </c>
      <c r="D27" s="945">
        <f t="shared" si="0"/>
        <v>458.13232901589191</v>
      </c>
      <c r="E27" s="940">
        <f t="shared" si="5"/>
        <v>35.389062516734846</v>
      </c>
      <c r="F27" s="593">
        <f t="shared" si="6"/>
        <v>48.378773944078176</v>
      </c>
      <c r="G27" s="593">
        <v>0</v>
      </c>
      <c r="H27" s="946">
        <f t="shared" si="1"/>
        <v>83.767836460813015</v>
      </c>
      <c r="I27" s="942">
        <f t="shared" si="7"/>
        <v>0.65724491126608819</v>
      </c>
      <c r="J27" s="940">
        <f t="shared" si="8"/>
        <v>55.055984241639237</v>
      </c>
      <c r="K27" s="946">
        <f t="shared" si="9"/>
        <v>4.5879986868032701</v>
      </c>
      <c r="L27" s="947"/>
      <c r="M27" s="781">
        <f>'Schedule 3'!D21</f>
        <v>1408.3322850205684</v>
      </c>
      <c r="N27" s="779">
        <f t="shared" si="2"/>
        <v>49839.559278928937</v>
      </c>
      <c r="O27" s="779">
        <f t="shared" si="3"/>
        <v>68133.389255157148</v>
      </c>
      <c r="P27" s="779"/>
      <c r="Q27" s="779">
        <f t="shared" si="4"/>
        <v>117972.94853408608</v>
      </c>
      <c r="R27" s="938">
        <f t="shared" si="10"/>
        <v>77537.120091084187</v>
      </c>
      <c r="S27" s="943"/>
    </row>
    <row r="28" spans="1:20">
      <c r="A28" s="152" t="s">
        <v>678</v>
      </c>
      <c r="B28" s="563">
        <f>'Schedule 3'!C22</f>
        <v>449.78130000000004</v>
      </c>
      <c r="C28" s="563">
        <f>'Schedule 3'!F$49</f>
        <v>156.68232901589192</v>
      </c>
      <c r="D28" s="945">
        <f t="shared" si="0"/>
        <v>606.46362901589191</v>
      </c>
      <c r="E28" s="940">
        <f t="shared" si="5"/>
        <v>46.847118009488469</v>
      </c>
      <c r="F28" s="593">
        <f t="shared" si="6"/>
        <v>64.042559224078175</v>
      </c>
      <c r="G28" s="593">
        <v>0</v>
      </c>
      <c r="H28" s="946">
        <f t="shared" si="1"/>
        <v>110.88967723356664</v>
      </c>
      <c r="I28" s="942">
        <f t="shared" si="7"/>
        <v>0.65724491126608819</v>
      </c>
      <c r="J28" s="940">
        <f t="shared" si="8"/>
        <v>72.881676073700675</v>
      </c>
      <c r="K28" s="946">
        <f t="shared" si="9"/>
        <v>6.0734730061417226</v>
      </c>
      <c r="L28" s="947"/>
      <c r="M28" s="781">
        <f>'Schedule 3'!D22</f>
        <v>10.963662516083691</v>
      </c>
      <c r="N28" s="779">
        <f t="shared" si="2"/>
        <v>513.61599170717795</v>
      </c>
      <c r="O28" s="779">
        <f t="shared" si="3"/>
        <v>702.14100599909568</v>
      </c>
      <c r="P28" s="779"/>
      <c r="Q28" s="779">
        <f t="shared" si="4"/>
        <v>1215.7569977062735</v>
      </c>
      <c r="R28" s="938">
        <f t="shared" si="10"/>
        <v>799.05010007858561</v>
      </c>
      <c r="S28" s="943"/>
    </row>
    <row r="29" spans="1:20">
      <c r="A29" s="152" t="s">
        <v>680</v>
      </c>
      <c r="B29" s="563">
        <f>'Schedule 3'!C23</f>
        <v>579.25280000000009</v>
      </c>
      <c r="C29" s="563">
        <f>'Schedule 3'!F$49</f>
        <v>156.68232901589192</v>
      </c>
      <c r="D29" s="945">
        <f t="shared" si="0"/>
        <v>735.93512901589202</v>
      </c>
      <c r="E29" s="940">
        <f t="shared" si="5"/>
        <v>56.848322284850795</v>
      </c>
      <c r="F29" s="593">
        <f t="shared" si="6"/>
        <v>77.714749624078181</v>
      </c>
      <c r="G29" s="593">
        <v>0</v>
      </c>
      <c r="H29" s="946">
        <f t="shared" si="1"/>
        <v>134.56307190892898</v>
      </c>
      <c r="I29" s="942">
        <f t="shared" si="7"/>
        <v>0.65724491126608819</v>
      </c>
      <c r="J29" s="940">
        <f t="shared" si="8"/>
        <v>88.44089425647627</v>
      </c>
      <c r="K29" s="946">
        <f t="shared" si="9"/>
        <v>7.3700745213730228</v>
      </c>
      <c r="L29" s="947"/>
      <c r="M29" s="781">
        <f>'Schedule 3'!D23</f>
        <v>85.715906943927024</v>
      </c>
      <c r="N29" s="779">
        <f t="shared" si="2"/>
        <v>4872.8055028866438</v>
      </c>
      <c r="O29" s="779">
        <f t="shared" si="3"/>
        <v>6661.3902469480727</v>
      </c>
      <c r="P29" s="779"/>
      <c r="Q29" s="779">
        <f t="shared" si="4"/>
        <v>11534.195749834716</v>
      </c>
      <c r="R29" s="938">
        <f t="shared" si="10"/>
        <v>7580.7914621258096</v>
      </c>
      <c r="S29" s="943"/>
    </row>
    <row r="30" spans="1:20">
      <c r="A30" s="152" t="s">
        <v>682</v>
      </c>
      <c r="B30" s="563">
        <f>'Schedule 3'!C24</f>
        <v>291.37530000000004</v>
      </c>
      <c r="C30" s="563">
        <f>'Schedule 3'!F$49</f>
        <v>156.68232901589192</v>
      </c>
      <c r="D30" s="945">
        <f t="shared" si="0"/>
        <v>448.05762901589196</v>
      </c>
      <c r="E30" s="940">
        <f t="shared" si="5"/>
        <v>34.610828444271078</v>
      </c>
      <c r="F30" s="593">
        <f t="shared" si="6"/>
        <v>47.314885624078187</v>
      </c>
      <c r="G30" s="593">
        <v>0</v>
      </c>
      <c r="H30" s="946">
        <f t="shared" si="1"/>
        <v>81.925714068349265</v>
      </c>
      <c r="I30" s="942">
        <f t="shared" si="7"/>
        <v>0.65724491126608819</v>
      </c>
      <c r="J30" s="940">
        <f t="shared" si="8"/>
        <v>53.845258673263125</v>
      </c>
      <c r="K30" s="946">
        <f t="shared" si="9"/>
        <v>4.4871048894385934</v>
      </c>
      <c r="L30" s="947"/>
      <c r="M30" s="781">
        <f>'Schedule 3'!D24</f>
        <v>2.9900897771137336</v>
      </c>
      <c r="N30" s="779">
        <f t="shared" si="2"/>
        <v>103.48948430865218</v>
      </c>
      <c r="O30" s="779">
        <f t="shared" si="3"/>
        <v>141.47575580986174</v>
      </c>
      <c r="P30" s="779"/>
      <c r="Q30" s="779">
        <f t="shared" si="4"/>
        <v>244.96524011851392</v>
      </c>
      <c r="R30" s="938">
        <f t="shared" si="10"/>
        <v>161.00215750496866</v>
      </c>
      <c r="S30" s="943"/>
    </row>
    <row r="31" spans="1:20">
      <c r="A31" s="152" t="s">
        <v>684</v>
      </c>
      <c r="B31" s="563">
        <f>'Schedule 3'!C25</f>
        <v>133.05000000000001</v>
      </c>
      <c r="C31" s="563">
        <f>'Schedule 3'!F$49</f>
        <v>156.68232901589192</v>
      </c>
      <c r="D31" s="945">
        <f t="shared" si="0"/>
        <v>289.73232901589193</v>
      </c>
      <c r="E31" s="940">
        <f t="shared" si="5"/>
        <v>22.38077266166238</v>
      </c>
      <c r="F31" s="593">
        <f t="shared" si="6"/>
        <v>30.595733944078184</v>
      </c>
      <c r="G31" s="593">
        <v>0</v>
      </c>
      <c r="H31" s="946">
        <f t="shared" si="1"/>
        <v>52.976506605740568</v>
      </c>
      <c r="I31" s="942">
        <f t="shared" si="7"/>
        <v>0.65724491126608819</v>
      </c>
      <c r="J31" s="940">
        <f t="shared" si="8"/>
        <v>34.818539383277297</v>
      </c>
      <c r="K31" s="946">
        <f t="shared" si="9"/>
        <v>2.9015449486064413</v>
      </c>
      <c r="L31" s="947"/>
      <c r="M31" s="781">
        <f>'Schedule 3'!D25</f>
        <v>894.03684335700632</v>
      </c>
      <c r="N31" s="779">
        <f t="shared" si="2"/>
        <v>20009.23534232342</v>
      </c>
      <c r="O31" s="779">
        <f t="shared" si="3"/>
        <v>27353.713395554467</v>
      </c>
      <c r="P31" s="779"/>
      <c r="Q31" s="779">
        <f t="shared" si="4"/>
        <v>47362.948737877887</v>
      </c>
      <c r="R31" s="938">
        <f t="shared" si="10"/>
        <v>31129.057040526841</v>
      </c>
      <c r="S31" s="943"/>
    </row>
    <row r="32" spans="1:20">
      <c r="A32" s="152" t="s">
        <v>686</v>
      </c>
      <c r="B32" s="563">
        <f>'Schedule 3'!C26</f>
        <v>164.88749999999999</v>
      </c>
      <c r="C32" s="563">
        <f>'Schedule 3'!F$49</f>
        <v>156.68232901589192</v>
      </c>
      <c r="D32" s="945">
        <f t="shared" si="0"/>
        <v>321.56982901589191</v>
      </c>
      <c r="E32" s="940">
        <f t="shared" si="5"/>
        <v>24.840104183401507</v>
      </c>
      <c r="F32" s="593">
        <f t="shared" si="6"/>
        <v>33.957773944078184</v>
      </c>
      <c r="G32" s="593">
        <v>0</v>
      </c>
      <c r="H32" s="946">
        <f t="shared" si="1"/>
        <v>58.797878127479692</v>
      </c>
      <c r="I32" s="942">
        <f t="shared" si="7"/>
        <v>0.65724491126608819</v>
      </c>
      <c r="J32" s="940">
        <f>H32*I32</f>
        <v>38.644606192529658</v>
      </c>
      <c r="K32" s="946">
        <f>J32/12</f>
        <v>3.2203838493774715</v>
      </c>
      <c r="L32" s="947"/>
      <c r="M32" s="781">
        <f>'Schedule 3'!D26</f>
        <v>113.62341153032187</v>
      </c>
      <c r="N32" s="779">
        <f t="shared" si="2"/>
        <v>2822.4173800866993</v>
      </c>
      <c r="O32" s="779">
        <f t="shared" si="3"/>
        <v>3858.3981235016367</v>
      </c>
      <c r="P32" s="779"/>
      <c r="Q32" s="779">
        <f t="shared" si="4"/>
        <v>6680.8155035883365</v>
      </c>
      <c r="R32" s="938">
        <f t="shared" si="10"/>
        <v>4390.9319928410223</v>
      </c>
      <c r="S32" s="943"/>
    </row>
    <row r="33" spans="1:19">
      <c r="A33" s="152" t="s">
        <v>688</v>
      </c>
      <c r="B33" s="563">
        <f>'Schedule 3'!C27</f>
        <v>223.4</v>
      </c>
      <c r="C33" s="563">
        <f>'Schedule 3'!F$49</f>
        <v>156.68232901589192</v>
      </c>
      <c r="D33" s="945">
        <f t="shared" si="0"/>
        <v>380.0823290158919</v>
      </c>
      <c r="E33" s="940">
        <f t="shared" si="5"/>
        <v>29.359982806589912</v>
      </c>
      <c r="F33" s="593">
        <f t="shared" si="6"/>
        <v>40.136693944078182</v>
      </c>
      <c r="G33" s="593">
        <v>0</v>
      </c>
      <c r="H33" s="946">
        <f t="shared" si="1"/>
        <v>69.496676750668087</v>
      </c>
      <c r="I33" s="942">
        <f t="shared" si="7"/>
        <v>0.65724491126608819</v>
      </c>
      <c r="J33" s="940">
        <f t="shared" si="8"/>
        <v>45.676337144280858</v>
      </c>
      <c r="K33" s="946">
        <f t="shared" si="9"/>
        <v>3.8063614286900713</v>
      </c>
      <c r="L33" s="947"/>
      <c r="M33" s="781">
        <f>'Schedule 3'!D27</f>
        <v>66.778671688873388</v>
      </c>
      <c r="N33" s="779">
        <f t="shared" si="2"/>
        <v>1960.6206526322351</v>
      </c>
      <c r="O33" s="779">
        <f t="shared" si="3"/>
        <v>2680.2751075683896</v>
      </c>
      <c r="P33" s="779"/>
      <c r="Q33" s="779">
        <f t="shared" si="4"/>
        <v>4640.895760200624</v>
      </c>
      <c r="R33" s="938">
        <f t="shared" si="10"/>
        <v>3050.2051221082243</v>
      </c>
      <c r="S33" s="943"/>
    </row>
    <row r="34" spans="1:19">
      <c r="A34" s="152" t="s">
        <v>690</v>
      </c>
      <c r="B34" s="563">
        <f>'Schedule 3'!C28</f>
        <v>367.15000000000003</v>
      </c>
      <c r="C34" s="563">
        <f>'Schedule 3'!F$49</f>
        <v>156.68232901589192</v>
      </c>
      <c r="D34" s="945">
        <f t="shared" si="0"/>
        <v>523.8323290158919</v>
      </c>
      <c r="E34" s="940">
        <f t="shared" si="5"/>
        <v>40.464149473256583</v>
      </c>
      <c r="F34" s="593">
        <f t="shared" si="6"/>
        <v>55.316693944078175</v>
      </c>
      <c r="G34" s="593">
        <v>0</v>
      </c>
      <c r="H34" s="946">
        <f t="shared" si="1"/>
        <v>95.780843417334751</v>
      </c>
      <c r="I34" s="942">
        <f t="shared" si="7"/>
        <v>0.65724491126608819</v>
      </c>
      <c r="J34" s="940">
        <f t="shared" si="8"/>
        <v>62.951471932817263</v>
      </c>
      <c r="K34" s="946">
        <f t="shared" si="9"/>
        <v>5.2459559944014389</v>
      </c>
      <c r="L34" s="947"/>
      <c r="M34" s="781">
        <f>'Schedule 3'!D28</f>
        <v>14.950448885568669</v>
      </c>
      <c r="N34" s="779">
        <f t="shared" si="2"/>
        <v>604.95719839793287</v>
      </c>
      <c r="O34" s="779">
        <f t="shared" si="3"/>
        <v>827.00940532958668</v>
      </c>
      <c r="P34" s="779"/>
      <c r="Q34" s="779">
        <f t="shared" si="4"/>
        <v>1431.9666037275194</v>
      </c>
      <c r="R34" s="938">
        <f t="shared" si="10"/>
        <v>941.15276340289518</v>
      </c>
      <c r="S34" s="943"/>
    </row>
    <row r="35" spans="1:19">
      <c r="A35" s="152" t="s">
        <v>692</v>
      </c>
      <c r="B35" s="563">
        <f>'Schedule 3'!C29</f>
        <v>200</v>
      </c>
      <c r="C35" s="563">
        <f>'Schedule 3'!F$49</f>
        <v>156.68232901589192</v>
      </c>
      <c r="D35" s="945">
        <f t="shared" si="0"/>
        <v>356.68232901589192</v>
      </c>
      <c r="E35" s="940">
        <f t="shared" si="5"/>
        <v>27.552417589198608</v>
      </c>
      <c r="F35" s="593">
        <f t="shared" si="6"/>
        <v>37.66565394407818</v>
      </c>
      <c r="G35" s="593">
        <v>0</v>
      </c>
      <c r="H35" s="946">
        <f t="shared" si="1"/>
        <v>65.218071533276785</v>
      </c>
      <c r="I35" s="942">
        <f t="shared" si="7"/>
        <v>0.65724491126608819</v>
      </c>
      <c r="J35" s="940">
        <f t="shared" si="8"/>
        <v>42.864245637833889</v>
      </c>
      <c r="K35" s="946">
        <f t="shared" si="9"/>
        <v>3.5720204698194906</v>
      </c>
      <c r="L35" s="947"/>
      <c r="M35" s="781">
        <f>'Schedule 3'!D29</f>
        <v>4.9834829618562226</v>
      </c>
      <c r="N35" s="779">
        <f t="shared" si="2"/>
        <v>137.30700361371896</v>
      </c>
      <c r="O35" s="779">
        <f t="shared" si="3"/>
        <v>187.70614467748624</v>
      </c>
      <c r="P35" s="779"/>
      <c r="Q35" s="779">
        <f t="shared" si="4"/>
        <v>325.0131482912052</v>
      </c>
      <c r="R35" s="938">
        <f t="shared" si="10"/>
        <v>213.6132378089651</v>
      </c>
      <c r="S35" s="943"/>
    </row>
    <row r="36" spans="1:19">
      <c r="A36" s="152" t="s">
        <v>694</v>
      </c>
      <c r="B36" s="563">
        <f>'Schedule 3'!C30</f>
        <v>151.52500000000001</v>
      </c>
      <c r="C36" s="563">
        <f>'Schedule 3'!F$49</f>
        <v>156.68232901589192</v>
      </c>
      <c r="D36" s="945">
        <f t="shared" si="0"/>
        <v>308.2073290158919</v>
      </c>
      <c r="E36" s="940">
        <f t="shared" si="5"/>
        <v>23.80789947325658</v>
      </c>
      <c r="F36" s="593">
        <f t="shared" si="6"/>
        <v>32.546693944078179</v>
      </c>
      <c r="G36" s="593">
        <v>0</v>
      </c>
      <c r="H36" s="946">
        <f t="shared" si="1"/>
        <v>56.354593417334755</v>
      </c>
      <c r="I36" s="942">
        <f t="shared" si="7"/>
        <v>0.65724491126608819</v>
      </c>
      <c r="J36" s="940">
        <f t="shared" si="8"/>
        <v>37.038769750012662</v>
      </c>
      <c r="K36" s="946">
        <f t="shared" si="9"/>
        <v>3.0865641458343887</v>
      </c>
      <c r="L36" s="947"/>
      <c r="M36" s="781">
        <f>'Schedule 3'!D30</f>
        <v>0.99669659237124453</v>
      </c>
      <c r="N36" s="779">
        <f t="shared" si="2"/>
        <v>23.729252276511982</v>
      </c>
      <c r="O36" s="779">
        <f t="shared" si="3"/>
        <v>32.439178947012543</v>
      </c>
      <c r="P36" s="779"/>
      <c r="Q36" s="779">
        <f t="shared" si="4"/>
        <v>56.168431223524522</v>
      </c>
      <c r="R36" s="938">
        <f t="shared" si="10"/>
        <v>36.916415595460755</v>
      </c>
      <c r="S36" s="943"/>
    </row>
    <row r="37" spans="1:19">
      <c r="A37" s="152" t="s">
        <v>696</v>
      </c>
      <c r="B37" s="563">
        <f>'Schedule 3'!C31</f>
        <v>236.13749999999999</v>
      </c>
      <c r="C37" s="563">
        <f>'Schedule 3'!F$49</f>
        <v>156.68232901589192</v>
      </c>
      <c r="D37" s="945">
        <f t="shared" si="0"/>
        <v>392.81982901589191</v>
      </c>
      <c r="E37" s="940">
        <f t="shared" si="5"/>
        <v>30.343908531227594</v>
      </c>
      <c r="F37" s="593">
        <f t="shared" si="6"/>
        <v>41.481773944078178</v>
      </c>
      <c r="G37" s="593">
        <v>0</v>
      </c>
      <c r="H37" s="946">
        <f t="shared" si="1"/>
        <v>71.825682475305769</v>
      </c>
      <c r="I37" s="942">
        <f t="shared" si="7"/>
        <v>0.65724491126608819</v>
      </c>
      <c r="J37" s="940">
        <f t="shared" si="8"/>
        <v>47.207064305108567</v>
      </c>
      <c r="K37" s="946">
        <f t="shared" si="9"/>
        <v>3.9339220254257139</v>
      </c>
      <c r="L37" s="947"/>
      <c r="M37" s="781">
        <f>'Schedule 3'!D31</f>
        <v>1.9933931847424891</v>
      </c>
      <c r="N37" s="779">
        <f t="shared" si="2"/>
        <v>60.48734046459856</v>
      </c>
      <c r="O37" s="779">
        <f t="shared" si="3"/>
        <v>82.689485471154001</v>
      </c>
      <c r="P37" s="779"/>
      <c r="Q37" s="779">
        <f t="shared" si="4"/>
        <v>143.17682593575256</v>
      </c>
      <c r="R37" s="938">
        <f t="shared" si="10"/>
        <v>94.102240257503837</v>
      </c>
      <c r="S37" s="943"/>
    </row>
    <row r="38" spans="1:19">
      <c r="A38" s="152" t="s">
        <v>717</v>
      </c>
      <c r="B38" s="442">
        <f>'Schedule 3'!C32</f>
        <v>207.50980000000001</v>
      </c>
      <c r="C38" s="563">
        <f>'Schedule 3'!F$49</f>
        <v>156.68232901589192</v>
      </c>
      <c r="D38" s="945">
        <f t="shared" si="0"/>
        <v>364.19212901589196</v>
      </c>
      <c r="E38" s="940">
        <f t="shared" si="5"/>
        <v>28.132522429778323</v>
      </c>
      <c r="F38" s="593">
        <f t="shared" si="6"/>
        <v>38.458688824078187</v>
      </c>
      <c r="G38" s="593">
        <v>0</v>
      </c>
      <c r="H38" s="946">
        <f t="shared" si="1"/>
        <v>66.591211253856514</v>
      </c>
      <c r="I38" s="942">
        <f t="shared" si="7"/>
        <v>0.65724491126608819</v>
      </c>
      <c r="J38" s="940">
        <f t="shared" si="8"/>
        <v>43.766734731642259</v>
      </c>
      <c r="K38" s="946">
        <f t="shared" si="9"/>
        <v>3.6472278943035215</v>
      </c>
      <c r="L38" s="947"/>
      <c r="M38" s="781">
        <f>'Schedule 3'!D32</f>
        <v>40397.10958539891</v>
      </c>
      <c r="N38" s="779">
        <f t="shared" si="2"/>
        <v>1136472.5915094477</v>
      </c>
      <c r="O38" s="779">
        <f t="shared" si="3"/>
        <v>1553619.8669370429</v>
      </c>
      <c r="P38" s="779"/>
      <c r="Q38" s="779">
        <f t="shared" si="4"/>
        <v>2690092.4584464906</v>
      </c>
      <c r="R38" s="938">
        <f>J38*M38</f>
        <v>1768049.5791492369</v>
      </c>
      <c r="S38" s="943"/>
    </row>
    <row r="39" spans="1:19">
      <c r="A39" s="152" t="s">
        <v>719</v>
      </c>
      <c r="B39" s="442">
        <f>'Schedule 3'!C33</f>
        <v>210.64600000000002</v>
      </c>
      <c r="C39" s="563">
        <f>'Schedule 3'!F$49</f>
        <v>156.68232901589192</v>
      </c>
      <c r="D39" s="945">
        <f t="shared" si="0"/>
        <v>367.32832901589194</v>
      </c>
      <c r="E39" s="940">
        <f t="shared" si="5"/>
        <v>28.374782516734843</v>
      </c>
      <c r="F39" s="593">
        <f t="shared" si="6"/>
        <v>38.789871544078181</v>
      </c>
      <c r="G39" s="593">
        <v>0</v>
      </c>
      <c r="H39" s="946">
        <f t="shared" si="1"/>
        <v>67.164654060813021</v>
      </c>
      <c r="I39" s="942">
        <f t="shared" si="7"/>
        <v>0.65724491126608819</v>
      </c>
      <c r="J39" s="940">
        <f t="shared" si="8"/>
        <v>44.143627098416566</v>
      </c>
      <c r="K39" s="946">
        <f t="shared" si="9"/>
        <v>3.678635591534714</v>
      </c>
      <c r="L39" s="947"/>
      <c r="M39" s="781">
        <f>'Schedule 3'!D33</f>
        <v>47077.966844063361</v>
      </c>
      <c r="N39" s="779">
        <f t="shared" si="2"/>
        <v>1335827.0705303517</v>
      </c>
      <c r="O39" s="779">
        <f t="shared" si="3"/>
        <v>1826148.2864375894</v>
      </c>
      <c r="P39" s="779"/>
      <c r="Q39" s="779">
        <f t="shared" si="4"/>
        <v>3161975.3569679409</v>
      </c>
      <c r="R39" s="938">
        <f t="shared" si="10"/>
        <v>2078192.2129159521</v>
      </c>
      <c r="S39" s="943"/>
    </row>
    <row r="40" spans="1:19">
      <c r="A40" s="152" t="s">
        <v>721</v>
      </c>
      <c r="B40" s="442">
        <f>'Schedule 3'!C34</f>
        <v>232.66470000000001</v>
      </c>
      <c r="C40" s="563">
        <f>'Schedule 3'!F$49</f>
        <v>156.68232901589192</v>
      </c>
      <c r="D40" s="945">
        <f t="shared" si="0"/>
        <v>389.34702901589196</v>
      </c>
      <c r="E40" s="940">
        <f t="shared" si="5"/>
        <v>30.075647313836296</v>
      </c>
      <c r="F40" s="593">
        <f t="shared" si="6"/>
        <v>41.115046264078188</v>
      </c>
      <c r="G40" s="593">
        <v>0</v>
      </c>
      <c r="H40" s="946">
        <f t="shared" si="1"/>
        <v>71.190693577914487</v>
      </c>
      <c r="I40" s="942">
        <f t="shared" si="7"/>
        <v>0.65724491126608819</v>
      </c>
      <c r="J40" s="940">
        <f t="shared" si="8"/>
        <v>46.789721083587679</v>
      </c>
      <c r="K40" s="946">
        <f t="shared" si="9"/>
        <v>3.8991434236323066</v>
      </c>
      <c r="L40" s="947"/>
      <c r="M40" s="781">
        <f>'Schedule 3'!D34</f>
        <v>5711.0714742872315</v>
      </c>
      <c r="N40" s="779">
        <f t="shared" si="2"/>
        <v>171764.17144477388</v>
      </c>
      <c r="O40" s="779">
        <f t="shared" si="3"/>
        <v>234810.96788277675</v>
      </c>
      <c r="P40" s="779"/>
      <c r="Q40" s="779">
        <f t="shared" si="4"/>
        <v>406575.13932755066</v>
      </c>
      <c r="R40" s="938">
        <f t="shared" si="10"/>
        <v>267219.44137033343</v>
      </c>
      <c r="S40" s="943"/>
    </row>
    <row r="41" spans="1:19">
      <c r="A41" s="152" t="s">
        <v>713</v>
      </c>
      <c r="B41" s="563">
        <f>'Schedule 3'!C35</f>
        <v>231.6748</v>
      </c>
      <c r="C41" s="563">
        <f>'Schedule 3'!F$49</f>
        <v>156.68232901589192</v>
      </c>
      <c r="D41" s="945">
        <f t="shared" si="0"/>
        <v>388.35712901589193</v>
      </c>
      <c r="E41" s="940">
        <f t="shared" si="5"/>
        <v>29.999181125430493</v>
      </c>
      <c r="F41" s="593">
        <f t="shared" si="6"/>
        <v>41.010512824078184</v>
      </c>
      <c r="G41" s="593">
        <v>0</v>
      </c>
      <c r="H41" s="946">
        <f t="shared" si="1"/>
        <v>71.009693949508673</v>
      </c>
      <c r="I41" s="942">
        <f t="shared" si="7"/>
        <v>0.65724491126608819</v>
      </c>
      <c r="J41" s="940">
        <f t="shared" si="8"/>
        <v>46.67075999887691</v>
      </c>
      <c r="K41" s="946">
        <f t="shared" si="9"/>
        <v>3.8892299999064091</v>
      </c>
      <c r="L41" s="947"/>
      <c r="M41" s="781">
        <f>'Schedule 3'!D35</f>
        <v>5531.6660876604074</v>
      </c>
      <c r="N41" s="779">
        <f t="shared" si="2"/>
        <v>165945.45288912603</v>
      </c>
      <c r="O41" s="779">
        <f t="shared" si="3"/>
        <v>226856.46302651553</v>
      </c>
      <c r="P41" s="779"/>
      <c r="Q41" s="779">
        <f t="shared" si="4"/>
        <v>392801.91591564153</v>
      </c>
      <c r="R41" s="938">
        <f t="shared" si="10"/>
        <v>258167.06037112526</v>
      </c>
      <c r="S41" s="943"/>
    </row>
    <row r="42" spans="1:19">
      <c r="A42" s="152" t="s">
        <v>715</v>
      </c>
      <c r="B42" s="563">
        <f>'Schedule 3'!C36</f>
        <v>246.21270000000001</v>
      </c>
      <c r="C42" s="563">
        <f>'Schedule 3'!F$49</f>
        <v>156.68232901589192</v>
      </c>
      <c r="D42" s="945">
        <f t="shared" si="0"/>
        <v>402.89502901589196</v>
      </c>
      <c r="E42" s="940">
        <f t="shared" si="5"/>
        <v>31.122181226879771</v>
      </c>
      <c r="F42" s="593">
        <f t="shared" si="6"/>
        <v>42.545715064078188</v>
      </c>
      <c r="G42" s="593">
        <v>0</v>
      </c>
      <c r="H42" s="946">
        <f t="shared" si="1"/>
        <v>73.667896290957955</v>
      </c>
      <c r="I42" s="942">
        <f t="shared" si="7"/>
        <v>0.65724491126608819</v>
      </c>
      <c r="J42" s="940">
        <f t="shared" si="8"/>
        <v>48.417849960910047</v>
      </c>
      <c r="K42" s="946">
        <f t="shared" si="9"/>
        <v>4.0348208300758373</v>
      </c>
      <c r="L42" s="947"/>
      <c r="M42" s="781">
        <f>'Schedule 3'!D36</f>
        <v>3651.89631444824</v>
      </c>
      <c r="N42" s="779">
        <f t="shared" si="2"/>
        <v>113654.97892003244</v>
      </c>
      <c r="O42" s="779">
        <f t="shared" si="3"/>
        <v>155372.5400380721</v>
      </c>
      <c r="P42" s="779"/>
      <c r="Q42" s="779">
        <f t="shared" si="4"/>
        <v>269027.51895810454</v>
      </c>
      <c r="R42" s="938">
        <f t="shared" si="10"/>
        <v>176816.96782575527</v>
      </c>
      <c r="S42" s="943"/>
    </row>
    <row r="43" spans="1:19" s="445" customFormat="1">
      <c r="A43" s="558" t="s">
        <v>724</v>
      </c>
      <c r="B43" s="442">
        <f>'Schedule 3'!C37</f>
        <v>615.53174999999999</v>
      </c>
      <c r="C43" s="442">
        <f>'Schedule 3'!F$49</f>
        <v>156.68232901589192</v>
      </c>
      <c r="D43" s="802">
        <f t="shared" si="0"/>
        <v>772.21407901589191</v>
      </c>
      <c r="E43" s="948">
        <f t="shared" si="5"/>
        <v>59.65073972687977</v>
      </c>
      <c r="F43" s="494">
        <f t="shared" si="6"/>
        <v>81.545806744078178</v>
      </c>
      <c r="G43" s="494">
        <v>0</v>
      </c>
      <c r="H43" s="949">
        <f t="shared" si="1"/>
        <v>141.19654647095794</v>
      </c>
      <c r="I43" s="950">
        <f t="shared" si="7"/>
        <v>0.65724491126608819</v>
      </c>
      <c r="J43" s="948">
        <f t="shared" si="8"/>
        <v>92.800711656382845</v>
      </c>
      <c r="K43" s="949">
        <f t="shared" si="9"/>
        <v>7.733392638031904</v>
      </c>
      <c r="L43" s="951"/>
      <c r="M43" s="831">
        <f>'Schedule 3'!D37</f>
        <v>0</v>
      </c>
      <c r="N43" s="832">
        <f t="shared" si="2"/>
        <v>0</v>
      </c>
      <c r="O43" s="832">
        <f t="shared" si="3"/>
        <v>0</v>
      </c>
      <c r="P43" s="832"/>
      <c r="Q43" s="832">
        <f t="shared" si="4"/>
        <v>0</v>
      </c>
      <c r="R43" s="952">
        <f t="shared" si="10"/>
        <v>0</v>
      </c>
      <c r="S43" s="953"/>
    </row>
    <row r="44" spans="1:19">
      <c r="A44" s="152" t="s">
        <v>729</v>
      </c>
      <c r="B44" s="442">
        <f>'Schedule 3'!C38</f>
        <v>554.53030000000012</v>
      </c>
      <c r="C44" s="563">
        <f>'Schedule 3'!F$49</f>
        <v>156.68232901589192</v>
      </c>
      <c r="D44" s="945">
        <f t="shared" si="0"/>
        <v>711.21262901589205</v>
      </c>
      <c r="E44" s="940">
        <f t="shared" si="5"/>
        <v>54.93859873412616</v>
      </c>
      <c r="F44" s="593">
        <f t="shared" si="6"/>
        <v>75.10405362407819</v>
      </c>
      <c r="G44" s="593">
        <v>0</v>
      </c>
      <c r="H44" s="946">
        <f t="shared" si="1"/>
        <v>130.04265235820435</v>
      </c>
      <c r="I44" s="942">
        <f t="shared" si="7"/>
        <v>0.65724491126608819</v>
      </c>
      <c r="J44" s="940">
        <f t="shared" si="8"/>
        <v>85.469871509974766</v>
      </c>
      <c r="K44" s="946">
        <f t="shared" si="9"/>
        <v>7.1224892924978969</v>
      </c>
      <c r="L44" s="947"/>
      <c r="M44" s="781">
        <f>'Schedule 3'!D38</f>
        <v>0</v>
      </c>
      <c r="N44" s="779">
        <f t="shared" si="2"/>
        <v>0</v>
      </c>
      <c r="O44" s="779">
        <f t="shared" si="3"/>
        <v>0</v>
      </c>
      <c r="P44" s="779"/>
      <c r="Q44" s="779">
        <f t="shared" si="4"/>
        <v>0</v>
      </c>
      <c r="R44" s="938">
        <f t="shared" si="10"/>
        <v>0</v>
      </c>
      <c r="S44" s="943"/>
    </row>
    <row r="45" spans="1:19">
      <c r="A45" s="152" t="s">
        <v>726</v>
      </c>
      <c r="B45" s="563">
        <f>'Schedule 3'!C39</f>
        <v>554.53030000000012</v>
      </c>
      <c r="C45" s="563">
        <f>'Schedule 3'!F$49</f>
        <v>156.68232901589192</v>
      </c>
      <c r="D45" s="945">
        <f t="shared" si="0"/>
        <v>711.21262901589205</v>
      </c>
      <c r="E45" s="940">
        <f t="shared" si="5"/>
        <v>54.93859873412616</v>
      </c>
      <c r="F45" s="593">
        <f t="shared" si="6"/>
        <v>75.10405362407819</v>
      </c>
      <c r="G45" s="593">
        <v>0</v>
      </c>
      <c r="H45" s="946">
        <f t="shared" si="1"/>
        <v>130.04265235820435</v>
      </c>
      <c r="I45" s="942">
        <f t="shared" si="7"/>
        <v>0.65724491126608819</v>
      </c>
      <c r="J45" s="940">
        <f t="shared" si="8"/>
        <v>85.469871509974766</v>
      </c>
      <c r="K45" s="946">
        <f t="shared" si="9"/>
        <v>7.1224892924978969</v>
      </c>
      <c r="L45" s="947"/>
      <c r="M45" s="781">
        <f>'Schedule 3'!D39</f>
        <v>57.808402357532181</v>
      </c>
      <c r="N45" s="779">
        <f t="shared" si="2"/>
        <v>3175.9126205813732</v>
      </c>
      <c r="O45" s="779">
        <f t="shared" si="3"/>
        <v>4341.6453505823847</v>
      </c>
      <c r="P45" s="779"/>
      <c r="Q45" s="779">
        <f t="shared" si="4"/>
        <v>7517.5579711637583</v>
      </c>
      <c r="R45" s="938">
        <f t="shared" si="10"/>
        <v>4940.8767216951983</v>
      </c>
      <c r="S45" s="943"/>
    </row>
    <row r="46" spans="1:19">
      <c r="A46" s="152" t="s">
        <v>728</v>
      </c>
      <c r="B46" s="563">
        <f>'Schedule 3'!C40</f>
        <v>880.13869999999997</v>
      </c>
      <c r="C46" s="563">
        <f>'Schedule 3'!F$49</f>
        <v>156.68232901589192</v>
      </c>
      <c r="D46" s="945">
        <f t="shared" si="0"/>
        <v>1036.8210290158918</v>
      </c>
      <c r="E46" s="940">
        <f t="shared" si="5"/>
        <v>80.090667893546424</v>
      </c>
      <c r="F46" s="593">
        <f>D46*$B$10</f>
        <v>109.48830066407815</v>
      </c>
      <c r="G46" s="593">
        <v>0</v>
      </c>
      <c r="H46" s="946">
        <f t="shared" si="1"/>
        <v>189.57896855762459</v>
      </c>
      <c r="I46" s="942">
        <f t="shared" si="7"/>
        <v>0.65724491126608819</v>
      </c>
      <c r="J46" s="940">
        <f t="shared" si="8"/>
        <v>124.5998123675725</v>
      </c>
      <c r="K46" s="946">
        <f t="shared" si="9"/>
        <v>10.383317697297707</v>
      </c>
      <c r="L46" s="947"/>
      <c r="M46" s="781">
        <f>'Schedule 3'!D40</f>
        <v>803.33745345122304</v>
      </c>
      <c r="N46" s="779">
        <f t="shared" si="2"/>
        <v>64339.833190809215</v>
      </c>
      <c r="O46" s="779">
        <f t="shared" si="3"/>
        <v>87956.052638182402</v>
      </c>
      <c r="P46" s="779"/>
      <c r="Q46" s="779">
        <f t="shared" si="4"/>
        <v>152295.88582899162</v>
      </c>
      <c r="R46" s="938">
        <f t="shared" si="10"/>
        <v>100095.69596786589</v>
      </c>
      <c r="S46" s="943"/>
    </row>
    <row r="47" spans="1:19">
      <c r="A47" s="152" t="s">
        <v>735</v>
      </c>
      <c r="B47" s="442">
        <f>'Schedule 3'!C41</f>
        <v>298.32710000000003</v>
      </c>
      <c r="C47" s="563">
        <f>'Schedule 3'!F$49</f>
        <v>156.68232901589192</v>
      </c>
      <c r="D47" s="945">
        <f t="shared" si="0"/>
        <v>455.00942901589195</v>
      </c>
      <c r="E47" s="940">
        <f>(D47*($B$8-$B$14))/(1-$B$12)</f>
        <v>35.147829806589918</v>
      </c>
      <c r="F47" s="593">
        <f t="shared" si="6"/>
        <v>48.04899570407818</v>
      </c>
      <c r="G47" s="593">
        <v>0</v>
      </c>
      <c r="H47" s="946">
        <f t="shared" si="1"/>
        <v>83.196825510668106</v>
      </c>
      <c r="I47" s="942">
        <f t="shared" si="7"/>
        <v>0.65724491126608819</v>
      </c>
      <c r="J47" s="940">
        <f t="shared" si="8"/>
        <v>54.680690200379281</v>
      </c>
      <c r="K47" s="946">
        <f t="shared" si="9"/>
        <v>4.5567241833649401</v>
      </c>
      <c r="L47" s="947"/>
      <c r="M47" s="781">
        <f>'Schedule 3'!D41</f>
        <v>112.62671493795062</v>
      </c>
      <c r="N47" s="779">
        <f t="shared" si="2"/>
        <v>3958.584608314407</v>
      </c>
      <c r="O47" s="779">
        <f t="shared" si="3"/>
        <v>5411.6005422180269</v>
      </c>
      <c r="P47" s="779"/>
      <c r="Q47" s="779">
        <f t="shared" si="4"/>
        <v>9370.1851505324357</v>
      </c>
      <c r="R47" s="938">
        <f t="shared" si="10"/>
        <v>6158.5065078085072</v>
      </c>
      <c r="S47" s="943"/>
    </row>
    <row r="48" spans="1:19">
      <c r="A48" s="152" t="s">
        <v>731</v>
      </c>
      <c r="B48" s="563">
        <f>'Schedule 3'!C42</f>
        <v>305.75860000000006</v>
      </c>
      <c r="C48" s="563">
        <f>'Schedule 3'!F$49</f>
        <v>156.68232901589192</v>
      </c>
      <c r="D48" s="945">
        <f t="shared" si="0"/>
        <v>462.44092901589198</v>
      </c>
      <c r="E48" s="940">
        <f t="shared" si="5"/>
        <v>35.721886255865286</v>
      </c>
      <c r="F48" s="593">
        <f t="shared" si="6"/>
        <v>48.83376210407819</v>
      </c>
      <c r="G48" s="593">
        <v>0</v>
      </c>
      <c r="H48" s="946">
        <f t="shared" si="1"/>
        <v>84.555648359943476</v>
      </c>
      <c r="I48" s="942">
        <f t="shared" si="7"/>
        <v>0.65724491126608819</v>
      </c>
      <c r="J48" s="940">
        <f t="shared" si="8"/>
        <v>55.573769603377606</v>
      </c>
      <c r="K48" s="946">
        <f t="shared" si="9"/>
        <v>4.6311474669481338</v>
      </c>
      <c r="L48" s="947"/>
      <c r="M48" s="781">
        <f>'Schedule 3'!D42</f>
        <v>1310.6560189681866</v>
      </c>
      <c r="N48" s="779">
        <f t="shared" si="2"/>
        <v>46819.105230146779</v>
      </c>
      <c r="O48" s="779">
        <f t="shared" si="3"/>
        <v>64004.264230570618</v>
      </c>
      <c r="P48" s="779"/>
      <c r="Q48" s="779">
        <f t="shared" si="4"/>
        <v>110823.3694607174</v>
      </c>
      <c r="R48" s="938">
        <f t="shared" si="10"/>
        <v>72838.095627418108</v>
      </c>
      <c r="S48" s="943"/>
    </row>
    <row r="49" spans="1:19">
      <c r="A49" s="152" t="s">
        <v>733</v>
      </c>
      <c r="B49" s="954">
        <f>'Schedule 3'!C43</f>
        <v>526.15610000000004</v>
      </c>
      <c r="C49" s="563">
        <f>'Schedule 3'!F$49</f>
        <v>156.68232901589192</v>
      </c>
      <c r="D49" s="954">
        <f t="shared" si="0"/>
        <v>682.83842901589196</v>
      </c>
      <c r="E49" s="940">
        <f t="shared" si="5"/>
        <v>52.746794589198615</v>
      </c>
      <c r="F49" s="593">
        <f t="shared" si="6"/>
        <v>72.10773810407818</v>
      </c>
      <c r="G49" s="593">
        <v>0</v>
      </c>
      <c r="H49" s="955">
        <f t="shared" si="1"/>
        <v>124.85453269327679</v>
      </c>
      <c r="I49" s="942">
        <f t="shared" si="7"/>
        <v>0.65724491126608819</v>
      </c>
      <c r="J49" s="940">
        <f t="shared" si="8"/>
        <v>82.060006261161618</v>
      </c>
      <c r="K49" s="955">
        <f t="shared" si="9"/>
        <v>6.8383338550968018</v>
      </c>
      <c r="L49" s="820"/>
      <c r="M49" s="781">
        <f>'Schedule 3'!D43</f>
        <v>977.75935711619093</v>
      </c>
      <c r="N49" s="779">
        <f t="shared" si="2"/>
        <v>51573.671967474613</v>
      </c>
      <c r="O49" s="779">
        <f t="shared" si="3"/>
        <v>70504.015651746144</v>
      </c>
      <c r="P49" s="779"/>
      <c r="Q49" s="779">
        <f t="shared" si="4"/>
        <v>122077.68761922076</v>
      </c>
      <c r="R49" s="938">
        <f t="shared" si="10"/>
        <v>80234.938966863992</v>
      </c>
      <c r="S49" s="943"/>
    </row>
    <row r="50" spans="1:19">
      <c r="A50" s="152" t="s">
        <v>977</v>
      </c>
      <c r="B50" s="954">
        <f>'Schedule 3'!C44</f>
        <v>0</v>
      </c>
      <c r="C50" s="563">
        <f>'Schedule 3'!F$49</f>
        <v>156.68232901589192</v>
      </c>
      <c r="D50" s="954">
        <f t="shared" si="0"/>
        <v>156.68232901589192</v>
      </c>
      <c r="E50" s="956">
        <f t="shared" si="5"/>
        <v>12.103142226879768</v>
      </c>
      <c r="F50" s="957">
        <f t="shared" si="6"/>
        <v>16.545653944078186</v>
      </c>
      <c r="G50" s="957">
        <v>0</v>
      </c>
      <c r="H50" s="958">
        <f>E50+F50</f>
        <v>28.648796170957954</v>
      </c>
      <c r="I50" s="942">
        <f t="shared" si="7"/>
        <v>0.65724491126608819</v>
      </c>
      <c r="J50" s="956">
        <f t="shared" si="8"/>
        <v>18.829275497261509</v>
      </c>
      <c r="K50" s="958">
        <f t="shared" si="9"/>
        <v>1.569106291438459</v>
      </c>
      <c r="L50" s="820"/>
      <c r="M50" s="782">
        <f>'Schedule 3'!D44</f>
        <v>6.9768761465987117</v>
      </c>
      <c r="N50" s="783">
        <f t="shared" si="2"/>
        <v>84.44212430160907</v>
      </c>
      <c r="O50" s="783">
        <f t="shared" si="3"/>
        <v>115.43697833231599</v>
      </c>
      <c r="P50" s="783"/>
      <c r="Q50" s="783">
        <f t="shared" si="4"/>
        <v>199.87910263392507</v>
      </c>
      <c r="R50" s="959">
        <f>J50*M50</f>
        <v>131.36952307457943</v>
      </c>
      <c r="S50" s="943"/>
    </row>
    <row r="51" spans="1:19" s="615" customFormat="1" ht="15.75">
      <c r="A51" s="662" t="s">
        <v>648</v>
      </c>
      <c r="E51" s="662"/>
      <c r="F51" s="662"/>
      <c r="G51" s="662"/>
      <c r="H51" s="662"/>
      <c r="I51" s="662"/>
      <c r="J51" s="662"/>
      <c r="K51" s="662"/>
      <c r="L51" s="662"/>
      <c r="M51" s="960">
        <f>SUM(M21:M50)</f>
        <v>123433.89608903204</v>
      </c>
      <c r="N51" s="472">
        <f>SUM(N21:N50)</f>
        <v>3605055.2674876815</v>
      </c>
      <c r="O51" s="472">
        <f>SUM(O21:O50)</f>
        <v>4928306.6981279999</v>
      </c>
      <c r="P51" s="472"/>
      <c r="Q51" s="472">
        <f>SUM(Q21:Q50)</f>
        <v>8533361.9656156804</v>
      </c>
      <c r="R51" s="472">
        <f>SUM(R21:R50)</f>
        <v>5608508.7278924901</v>
      </c>
      <c r="S51" s="662"/>
    </row>
    <row r="52" spans="1:19" s="615" customFormat="1" ht="15.75">
      <c r="A52" s="662"/>
      <c r="E52" s="662"/>
      <c r="F52" s="662"/>
      <c r="G52" s="662"/>
      <c r="H52" s="662"/>
      <c r="I52" s="662"/>
      <c r="J52" s="662"/>
      <c r="K52" s="662"/>
      <c r="L52" s="662"/>
      <c r="M52" s="960"/>
      <c r="N52" s="472"/>
      <c r="O52" s="472"/>
      <c r="P52" s="472"/>
      <c r="Q52" s="472"/>
      <c r="R52" s="472"/>
      <c r="S52" s="662"/>
    </row>
    <row r="53" spans="1:19" s="615" customFormat="1" ht="15.75">
      <c r="A53" s="662"/>
      <c r="E53" s="662"/>
      <c r="F53" s="662"/>
      <c r="G53" s="662"/>
      <c r="H53" s="662"/>
      <c r="I53" s="662"/>
      <c r="J53" s="662"/>
      <c r="K53" s="662"/>
      <c r="L53" s="662"/>
      <c r="M53" s="960"/>
      <c r="N53" s="472"/>
      <c r="O53" s="472"/>
      <c r="P53" s="472"/>
      <c r="Q53" s="472"/>
      <c r="R53" s="472"/>
      <c r="S53" s="662"/>
    </row>
    <row r="54" spans="1:19" s="615" customFormat="1" ht="15.75">
      <c r="A54" s="662"/>
      <c r="E54" s="662"/>
      <c r="F54" s="662"/>
      <c r="G54" s="662"/>
      <c r="H54" s="662"/>
      <c r="I54" s="662"/>
      <c r="J54" s="662"/>
      <c r="K54" s="662"/>
      <c r="L54" s="662"/>
      <c r="M54" s="960"/>
      <c r="N54" s="472"/>
      <c r="O54" s="472"/>
      <c r="P54" s="472"/>
      <c r="Q54" s="472"/>
      <c r="R54" s="472"/>
      <c r="S54" s="662"/>
    </row>
    <row r="55" spans="1:19">
      <c r="F55" s="603"/>
      <c r="G55" s="603"/>
      <c r="H55" s="603"/>
    </row>
  </sheetData>
  <mergeCells count="5">
    <mergeCell ref="A2:R2"/>
    <mergeCell ref="I16:I17"/>
    <mergeCell ref="J16:K16"/>
    <mergeCell ref="M16:R16"/>
    <mergeCell ref="E16:H16"/>
  </mergeCells>
  <phoneticPr fontId="0" type="noConversion"/>
  <printOptions horizontalCentered="1"/>
  <pageMargins left="0.2" right="0.2" top="0.54" bottom="1" header="0.24" footer="0.5"/>
  <pageSetup scale="5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4"/>
  <sheetViews>
    <sheetView view="pageLayout" topLeftCell="A37" zoomScaleNormal="100" workbookViewId="0">
      <selection activeCell="H53" sqref="H53"/>
    </sheetView>
  </sheetViews>
  <sheetFormatPr defaultColWidth="7.109375" defaultRowHeight="12.75"/>
  <cols>
    <col min="1" max="1" width="2.88671875" style="705" customWidth="1"/>
    <col min="2" max="3" width="7.109375" style="705" customWidth="1"/>
    <col min="4" max="4" width="8.33203125" style="705" customWidth="1"/>
    <col min="5" max="5" width="8.6640625" style="705" bestFit="1" customWidth="1"/>
    <col min="6" max="6" width="8" style="704" customWidth="1"/>
    <col min="7" max="7" width="2" style="705" customWidth="1"/>
    <col min="8" max="8" width="8.77734375" style="705" bestFit="1" customWidth="1"/>
    <col min="9" max="16384" width="7.109375" style="705"/>
  </cols>
  <sheetData>
    <row r="1" spans="1:10">
      <c r="I1" s="961" t="s">
        <v>1243</v>
      </c>
    </row>
    <row r="2" spans="1:10">
      <c r="F2" s="833"/>
    </row>
    <row r="3" spans="1:10" ht="15.75">
      <c r="A3" s="1136" t="s">
        <v>655</v>
      </c>
      <c r="B3" s="1136"/>
      <c r="C3" s="1136"/>
      <c r="D3" s="1136"/>
      <c r="E3" s="1136"/>
      <c r="F3" s="1136"/>
      <c r="G3" s="1136"/>
      <c r="H3" s="1136"/>
      <c r="I3" s="1136"/>
    </row>
    <row r="4" spans="1:10" ht="15.75">
      <c r="A4" s="962"/>
      <c r="B4" s="963"/>
      <c r="C4" s="963"/>
      <c r="D4" s="963"/>
      <c r="E4" s="963"/>
      <c r="F4" s="964"/>
      <c r="H4" s="849"/>
    </row>
    <row r="5" spans="1:10" ht="15.75">
      <c r="A5" s="1137" t="s">
        <v>1167</v>
      </c>
      <c r="B5" s="1137"/>
      <c r="C5" s="1137"/>
      <c r="D5" s="1137"/>
      <c r="E5" s="1137"/>
      <c r="F5" s="1137"/>
      <c r="G5" s="1137"/>
      <c r="H5" s="1137"/>
      <c r="I5" s="1137"/>
    </row>
    <row r="6" spans="1:10" ht="15.75">
      <c r="A6" s="1137" t="s">
        <v>583</v>
      </c>
      <c r="B6" s="1137"/>
      <c r="C6" s="1137"/>
      <c r="D6" s="1137"/>
      <c r="E6" s="1137"/>
      <c r="F6" s="1137"/>
      <c r="G6" s="1137"/>
      <c r="H6" s="1137"/>
      <c r="I6" s="1137"/>
    </row>
    <row r="7" spans="1:10">
      <c r="A7" s="966"/>
      <c r="H7" s="704"/>
      <c r="I7" s="704"/>
    </row>
    <row r="8" spans="1:10">
      <c r="H8" s="732"/>
      <c r="I8" s="732"/>
      <c r="J8" s="967"/>
    </row>
    <row r="9" spans="1:10">
      <c r="A9" s="968" t="s">
        <v>807</v>
      </c>
      <c r="B9" s="76"/>
      <c r="C9" s="76"/>
      <c r="D9" s="969"/>
      <c r="E9" s="76"/>
      <c r="F9" s="833" t="s">
        <v>982</v>
      </c>
      <c r="H9" s="75"/>
      <c r="I9" s="833"/>
    </row>
    <row r="10" spans="1:10">
      <c r="A10" s="73"/>
      <c r="B10" s="76"/>
      <c r="C10" s="834" t="s">
        <v>808</v>
      </c>
      <c r="D10" s="970" t="s">
        <v>754</v>
      </c>
      <c r="E10" s="834" t="s">
        <v>809</v>
      </c>
      <c r="H10" s="834"/>
      <c r="I10" s="847"/>
    </row>
    <row r="11" spans="1:10">
      <c r="A11" s="73"/>
      <c r="B11" s="76" t="s">
        <v>810</v>
      </c>
      <c r="C11" s="971">
        <v>7.5420000000000001E-2</v>
      </c>
      <c r="D11" s="971">
        <v>1.9789999999999999E-2</v>
      </c>
      <c r="E11" s="972">
        <f>C11*D11</f>
        <v>1.4925617999999999E-3</v>
      </c>
      <c r="F11" s="973">
        <f>E11</f>
        <v>1.4925617999999999E-3</v>
      </c>
      <c r="H11" s="803"/>
      <c r="I11" s="844"/>
    </row>
    <row r="12" spans="1:10">
      <c r="A12" s="73"/>
      <c r="B12" s="76" t="s">
        <v>811</v>
      </c>
      <c r="C12" s="971">
        <v>0.51012999999999997</v>
      </c>
      <c r="D12" s="971">
        <v>7.9500000000000001E-2</v>
      </c>
      <c r="E12" s="972">
        <f>C12*D12</f>
        <v>4.0555334999999998E-2</v>
      </c>
      <c r="F12" s="973">
        <f>E12</f>
        <v>4.0555334999999998E-2</v>
      </c>
      <c r="H12" s="803"/>
      <c r="I12" s="844"/>
    </row>
    <row r="13" spans="1:10">
      <c r="A13" s="73"/>
      <c r="B13" s="76" t="s">
        <v>812</v>
      </c>
      <c r="C13" s="971">
        <v>3.8449999999999998E-2</v>
      </c>
      <c r="D13" s="971">
        <v>5.8999999999999997E-2</v>
      </c>
      <c r="E13" s="972">
        <f>C13*D13</f>
        <v>2.2685499999999998E-3</v>
      </c>
      <c r="F13" s="973">
        <f>E13</f>
        <v>2.2685499999999998E-3</v>
      </c>
      <c r="H13" s="803"/>
      <c r="I13" s="844"/>
      <c r="J13" s="974"/>
    </row>
    <row r="14" spans="1:10">
      <c r="A14" s="73"/>
      <c r="B14" s="975" t="s">
        <v>813</v>
      </c>
      <c r="C14" s="976">
        <v>0.375</v>
      </c>
      <c r="D14" s="976">
        <v>9.1999999999999998E-2</v>
      </c>
      <c r="E14" s="977">
        <f>C14*D14</f>
        <v>3.4500000000000003E-2</v>
      </c>
      <c r="F14" s="973">
        <f>E14</f>
        <v>3.4500000000000003E-2</v>
      </c>
      <c r="H14" s="803"/>
      <c r="I14" s="844"/>
    </row>
    <row r="15" spans="1:10">
      <c r="A15" s="73"/>
      <c r="B15" s="76"/>
      <c r="C15" s="978">
        <f>SUM(C11:C14)</f>
        <v>0.999</v>
      </c>
      <c r="D15" s="978"/>
      <c r="E15" s="978">
        <f>SUM(E11:E14)</f>
        <v>7.8816446799999995E-2</v>
      </c>
      <c r="H15" s="848"/>
      <c r="I15" s="847"/>
    </row>
    <row r="16" spans="1:10">
      <c r="A16" s="73"/>
      <c r="B16" s="76"/>
      <c r="C16" s="978"/>
      <c r="D16" s="76"/>
      <c r="E16" s="979"/>
      <c r="H16" s="848"/>
      <c r="I16" s="847"/>
    </row>
    <row r="17" spans="1:9">
      <c r="A17" s="73"/>
      <c r="B17" s="73" t="s">
        <v>814</v>
      </c>
      <c r="C17" s="978"/>
      <c r="D17" s="76"/>
      <c r="E17" s="979"/>
      <c r="F17" s="973">
        <f>ROUND(E15,4)</f>
        <v>7.8799999999999995E-2</v>
      </c>
      <c r="H17" s="848"/>
      <c r="I17" s="844"/>
    </row>
    <row r="18" spans="1:9">
      <c r="F18" s="973"/>
      <c r="H18" s="849"/>
      <c r="I18" s="844"/>
    </row>
    <row r="19" spans="1:9">
      <c r="A19" s="966" t="s">
        <v>815</v>
      </c>
      <c r="F19" s="973"/>
      <c r="H19" s="849"/>
      <c r="I19" s="844"/>
    </row>
    <row r="20" spans="1:9">
      <c r="B20" s="705" t="s">
        <v>816</v>
      </c>
      <c r="E20" s="980">
        <f>E14</f>
        <v>3.4500000000000003E-2</v>
      </c>
      <c r="F20" s="973"/>
      <c r="H20" s="850"/>
      <c r="I20" s="844"/>
    </row>
    <row r="21" spans="1:9">
      <c r="B21" s="705" t="s">
        <v>965</v>
      </c>
      <c r="E21" s="835">
        <v>0.31</v>
      </c>
      <c r="F21" s="973"/>
      <c r="H21" s="835"/>
      <c r="I21" s="844"/>
    </row>
    <row r="22" spans="1:9">
      <c r="B22" s="705" t="s">
        <v>817</v>
      </c>
      <c r="E22" s="836">
        <f>(E20/(1-E21))-E20</f>
        <v>1.5500000000000007E-2</v>
      </c>
      <c r="F22" s="973"/>
      <c r="H22" s="836"/>
      <c r="I22" s="844"/>
    </row>
    <row r="23" spans="1:9">
      <c r="F23" s="973"/>
      <c r="H23" s="849"/>
      <c r="I23" s="844"/>
    </row>
    <row r="24" spans="1:9">
      <c r="B24" s="966" t="s">
        <v>818</v>
      </c>
      <c r="F24" s="973">
        <f>ROUND(E22,4)</f>
        <v>1.55E-2</v>
      </c>
      <c r="H24" s="849"/>
      <c r="I24" s="844"/>
    </row>
    <row r="25" spans="1:9">
      <c r="F25" s="973"/>
      <c r="H25" s="849"/>
      <c r="I25" s="844"/>
    </row>
    <row r="26" spans="1:9">
      <c r="A26" s="966" t="s">
        <v>819</v>
      </c>
      <c r="F26" s="973"/>
      <c r="H26" s="849"/>
      <c r="I26" s="844"/>
    </row>
    <row r="27" spans="1:9">
      <c r="B27" s="75" t="s">
        <v>528</v>
      </c>
      <c r="C27" s="76"/>
      <c r="E27" s="837">
        <v>2.5000000000000001E-4</v>
      </c>
      <c r="F27" s="973"/>
      <c r="H27" s="837"/>
      <c r="I27" s="844"/>
    </row>
    <row r="28" spans="1:9">
      <c r="B28" s="75" t="s">
        <v>529</v>
      </c>
      <c r="C28" s="76"/>
      <c r="E28" s="837">
        <v>0</v>
      </c>
      <c r="F28" s="973"/>
      <c r="H28" s="837"/>
      <c r="I28" s="844"/>
    </row>
    <row r="29" spans="1:9">
      <c r="B29" s="75" t="s">
        <v>820</v>
      </c>
      <c r="C29" s="76"/>
      <c r="E29" s="1117">
        <f>+'StLgt Assets'!D61</f>
        <v>21.74098</v>
      </c>
      <c r="F29" s="973"/>
      <c r="H29" s="838"/>
      <c r="I29" s="851"/>
    </row>
    <row r="30" spans="1:9">
      <c r="B30" s="76" t="s">
        <v>821</v>
      </c>
      <c r="C30" s="76"/>
      <c r="E30" s="1118">
        <f>'StLgt Assets'!D63*'StLgt Assets'!D67</f>
        <v>1.7576867871073558</v>
      </c>
      <c r="F30" s="973"/>
      <c r="H30" s="839"/>
      <c r="I30" s="851"/>
    </row>
    <row r="31" spans="1:9">
      <c r="B31" s="76" t="s">
        <v>822</v>
      </c>
      <c r="C31" s="76"/>
      <c r="E31" s="1119">
        <f>+'StLgt Assets'!D28</f>
        <v>2.7157737291773327</v>
      </c>
      <c r="F31" s="973"/>
      <c r="H31" s="839"/>
      <c r="I31" s="851"/>
    </row>
    <row r="32" spans="1:9">
      <c r="B32" s="75" t="s">
        <v>823</v>
      </c>
      <c r="C32" s="76"/>
      <c r="E32" s="1117">
        <f>SUM(E29:E31)</f>
        <v>26.214440516284689</v>
      </c>
      <c r="F32" s="973"/>
      <c r="H32" s="838"/>
      <c r="I32" s="851"/>
    </row>
    <row r="33" spans="1:9">
      <c r="F33" s="973"/>
      <c r="H33" s="849"/>
      <c r="I33" s="844"/>
    </row>
    <row r="34" spans="1:9">
      <c r="B34" s="705" t="s">
        <v>824</v>
      </c>
      <c r="E34" s="981">
        <f>E27*E32</f>
        <v>6.5536101290711727E-3</v>
      </c>
      <c r="F34" s="973"/>
      <c r="H34" s="852"/>
      <c r="I34" s="844"/>
    </row>
    <row r="35" spans="1:9">
      <c r="B35" s="705" t="s">
        <v>825</v>
      </c>
      <c r="E35" s="981">
        <f>(E28*E32)/(1-E21)</f>
        <v>0</v>
      </c>
      <c r="F35" s="973"/>
      <c r="H35" s="852"/>
      <c r="I35" s="844"/>
    </row>
    <row r="36" spans="1:9">
      <c r="B36" s="705" t="s">
        <v>648</v>
      </c>
      <c r="E36" s="981">
        <f>E35+E34</f>
        <v>6.5536101290711727E-3</v>
      </c>
      <c r="F36" s="973"/>
      <c r="H36" s="852"/>
      <c r="I36" s="844"/>
    </row>
    <row r="37" spans="1:9">
      <c r="B37" s="705" t="s">
        <v>826</v>
      </c>
      <c r="E37" s="836">
        <f>E36/E32</f>
        <v>2.5000000000000001E-4</v>
      </c>
      <c r="F37" s="973"/>
      <c r="H37" s="836"/>
      <c r="I37" s="844"/>
    </row>
    <row r="38" spans="1:9">
      <c r="F38" s="973"/>
      <c r="H38" s="849"/>
      <c r="I38" s="844"/>
    </row>
    <row r="39" spans="1:9">
      <c r="B39" s="966" t="s">
        <v>827</v>
      </c>
      <c r="F39" s="973">
        <f>ROUND(E37,4)</f>
        <v>2.9999999999999997E-4</v>
      </c>
      <c r="H39" s="849"/>
      <c r="I39" s="844"/>
    </row>
    <row r="40" spans="1:9">
      <c r="F40" s="973"/>
      <c r="H40" s="849"/>
      <c r="I40" s="844"/>
    </row>
    <row r="41" spans="1:9">
      <c r="A41" s="966" t="s">
        <v>828</v>
      </c>
      <c r="F41" s="973"/>
      <c r="H41" s="849"/>
      <c r="I41" s="844"/>
    </row>
    <row r="42" spans="1:9">
      <c r="B42" s="849" t="s">
        <v>1240</v>
      </c>
      <c r="E42" s="1117">
        <v>36.4</v>
      </c>
      <c r="F42" s="973"/>
      <c r="H42" s="840"/>
      <c r="I42" s="844"/>
    </row>
    <row r="43" spans="1:9">
      <c r="B43" s="849" t="s">
        <v>829</v>
      </c>
      <c r="E43" s="982">
        <f>'StLgt Assets'!D67</f>
        <v>7.9559798716195475E-3</v>
      </c>
      <c r="F43" s="973"/>
      <c r="H43" s="841"/>
      <c r="I43" s="844"/>
    </row>
    <row r="44" spans="1:9">
      <c r="B44" s="849" t="s">
        <v>830</v>
      </c>
      <c r="E44" s="981">
        <f>E43*E42</f>
        <v>0.28959766732695152</v>
      </c>
      <c r="F44" s="973"/>
      <c r="H44" s="842"/>
      <c r="I44" s="844"/>
    </row>
    <row r="45" spans="1:9">
      <c r="B45" s="705" t="s">
        <v>826</v>
      </c>
      <c r="E45" s="836">
        <f>E44/E32</f>
        <v>1.1047257222485842E-2</v>
      </c>
      <c r="F45" s="973"/>
      <c r="H45" s="843"/>
      <c r="I45" s="844"/>
    </row>
    <row r="46" spans="1:9">
      <c r="F46" s="973"/>
      <c r="H46" s="849"/>
      <c r="I46" s="844"/>
    </row>
    <row r="47" spans="1:9">
      <c r="B47" s="966" t="s">
        <v>831</v>
      </c>
      <c r="F47" s="973">
        <f>ROUND(E45,4)</f>
        <v>1.0999999999999999E-2</v>
      </c>
      <c r="H47" s="849"/>
      <c r="I47" s="844"/>
    </row>
    <row r="48" spans="1:9">
      <c r="F48" s="973"/>
      <c r="H48" s="849"/>
      <c r="I48" s="844"/>
    </row>
    <row r="49" spans="1:10">
      <c r="F49" s="973"/>
      <c r="H49" s="849"/>
      <c r="I49" s="844"/>
    </row>
    <row r="50" spans="1:10" ht="13.5" thickBot="1">
      <c r="A50" s="845" t="s">
        <v>833</v>
      </c>
      <c r="B50" s="845"/>
      <c r="C50" s="845"/>
      <c r="D50" s="845"/>
      <c r="E50" s="845"/>
      <c r="F50" s="846">
        <f>SUM(F17:F49)</f>
        <v>0.10559999999999999</v>
      </c>
      <c r="H50" s="845"/>
      <c r="I50" s="846"/>
      <c r="J50" s="706"/>
    </row>
    <row r="51" spans="1:10">
      <c r="H51" s="849"/>
      <c r="I51" s="849"/>
    </row>
    <row r="52" spans="1:10">
      <c r="F52" s="973"/>
      <c r="H52" s="849"/>
      <c r="I52" s="849"/>
    </row>
    <row r="53" spans="1:10">
      <c r="H53" s="849"/>
      <c r="I53" s="849"/>
    </row>
    <row r="54" spans="1:10">
      <c r="H54" s="849"/>
      <c r="I54" s="849"/>
    </row>
  </sheetData>
  <mergeCells count="3">
    <mergeCell ref="A3:I3"/>
    <mergeCell ref="A5:I5"/>
    <mergeCell ref="A6:I6"/>
  </mergeCells>
  <phoneticPr fontId="4" type="noConversion"/>
  <printOptions horizontalCentered="1"/>
  <pageMargins left="0.74803149606299202" right="0.74803149606299202" top="0.98425196850393704" bottom="0.98425196850393704" header="0.511811023622047" footer="0.511811023622047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3"/>
  <sheetViews>
    <sheetView view="pageLayout" zoomScaleNormal="100" workbookViewId="0">
      <selection activeCell="D39" sqref="D39"/>
    </sheetView>
  </sheetViews>
  <sheetFormatPr defaultColWidth="7.109375" defaultRowHeight="12.75"/>
  <cols>
    <col min="1" max="1" width="19.33203125" style="705" customWidth="1"/>
    <col min="2" max="2" width="11.33203125" style="705" customWidth="1"/>
    <col min="3" max="3" width="20" style="705" customWidth="1"/>
    <col min="4" max="5" width="11.5546875" style="705" customWidth="1"/>
    <col min="6" max="6" width="1.44140625" style="705" customWidth="1"/>
    <col min="7" max="7" width="7.109375" style="705" bestFit="1" customWidth="1"/>
    <col min="8" max="8" width="8.6640625" style="705" customWidth="1"/>
    <col min="9" max="9" width="8.33203125" style="705" customWidth="1"/>
    <col min="10" max="10" width="8.77734375" style="705" bestFit="1" customWidth="1"/>
    <col min="11" max="11" width="8.6640625" style="705" bestFit="1" customWidth="1"/>
    <col min="12" max="16384" width="7.109375" style="705"/>
  </cols>
  <sheetData>
    <row r="1" spans="1:13">
      <c r="G1" s="961" t="s">
        <v>240</v>
      </c>
      <c r="I1" s="961"/>
    </row>
    <row r="2" spans="1:13">
      <c r="D2" s="961"/>
      <c r="E2" s="961"/>
    </row>
    <row r="3" spans="1:13" ht="15.75" customHeight="1">
      <c r="A3" s="1136" t="s">
        <v>655</v>
      </c>
      <c r="B3" s="1136"/>
      <c r="C3" s="1136"/>
      <c r="D3" s="1136"/>
      <c r="E3" s="1136"/>
      <c r="F3" s="1136"/>
      <c r="G3" s="1136"/>
      <c r="H3" s="1136"/>
      <c r="I3" s="1136"/>
    </row>
    <row r="4" spans="1:13" ht="15.75" customHeight="1">
      <c r="A4" s="1136"/>
      <c r="B4" s="1136"/>
      <c r="C4" s="1136"/>
      <c r="D4" s="1136"/>
      <c r="E4" s="1136"/>
      <c r="F4" s="1136"/>
      <c r="G4" s="1136"/>
      <c r="H4" s="1136"/>
      <c r="I4" s="1136"/>
      <c r="J4" s="849"/>
      <c r="K4" s="980"/>
    </row>
    <row r="5" spans="1:13" ht="15.75" customHeight="1">
      <c r="A5" s="497"/>
      <c r="B5" s="497"/>
      <c r="C5" s="497"/>
      <c r="D5" s="497"/>
      <c r="E5" s="497"/>
      <c r="F5" s="497"/>
      <c r="G5" s="497"/>
      <c r="H5" s="497"/>
      <c r="I5" s="497"/>
      <c r="J5" s="849"/>
      <c r="K5" s="980"/>
    </row>
    <row r="6" spans="1:13" ht="15.75" customHeight="1">
      <c r="A6" s="1137" t="s">
        <v>1168</v>
      </c>
      <c r="B6" s="1137"/>
      <c r="C6" s="1137"/>
      <c r="D6" s="1137"/>
      <c r="E6" s="1137"/>
      <c r="F6" s="1137"/>
      <c r="G6" s="1137"/>
      <c r="H6" s="1137"/>
      <c r="I6" s="1137"/>
      <c r="J6" s="965"/>
      <c r="K6" s="965"/>
      <c r="L6" s="965"/>
      <c r="M6" s="965"/>
    </row>
    <row r="7" spans="1:13" ht="15.75">
      <c r="A7" s="1137" t="s">
        <v>583</v>
      </c>
      <c r="B7" s="1137"/>
      <c r="C7" s="1137"/>
      <c r="D7" s="1137"/>
      <c r="E7" s="1137"/>
      <c r="F7" s="1137"/>
      <c r="G7" s="1137"/>
      <c r="H7" s="1137"/>
      <c r="I7" s="1137"/>
      <c r="J7" s="849"/>
      <c r="K7" s="980"/>
    </row>
    <row r="8" spans="1:13" ht="15.75">
      <c r="A8" s="962"/>
      <c r="B8" s="963"/>
      <c r="C8" s="963"/>
      <c r="D8" s="963"/>
      <c r="E8" s="963"/>
      <c r="G8" s="849"/>
      <c r="J8" s="849"/>
      <c r="K8" s="706"/>
    </row>
    <row r="9" spans="1:13" ht="15.75">
      <c r="A9" s="962" t="s">
        <v>243</v>
      </c>
      <c r="B9" s="963"/>
      <c r="C9" s="963"/>
      <c r="D9" s="963"/>
      <c r="E9" s="963"/>
    </row>
    <row r="10" spans="1:13" ht="15.75">
      <c r="A10" s="962" t="s">
        <v>583</v>
      </c>
      <c r="B10" s="963"/>
      <c r="C10" s="963"/>
      <c r="D10" s="963"/>
      <c r="E10" s="963"/>
      <c r="G10" s="847"/>
      <c r="H10" s="847"/>
      <c r="J10" s="847"/>
      <c r="K10" s="847"/>
    </row>
    <row r="11" spans="1:13" ht="16.5" thickBot="1">
      <c r="A11" s="962"/>
      <c r="B11" s="963"/>
      <c r="C11" s="963"/>
      <c r="D11" s="963"/>
      <c r="E11" s="963"/>
      <c r="G11" s="847"/>
      <c r="H11" s="847"/>
      <c r="J11" s="847"/>
      <c r="K11" s="847"/>
    </row>
    <row r="12" spans="1:13" ht="15.75" thickBot="1">
      <c r="A12" s="983" t="s">
        <v>16</v>
      </c>
      <c r="B12" s="984"/>
      <c r="C12" s="984"/>
      <c r="D12" s="985">
        <f>'Schedule 4'!B8</f>
        <v>5.33E-2</v>
      </c>
      <c r="E12" s="963"/>
      <c r="G12" s="986"/>
      <c r="H12" s="847"/>
      <c r="J12" s="847"/>
      <c r="K12" s="847"/>
    </row>
    <row r="13" spans="1:13" ht="15.75" thickBot="1">
      <c r="A13" s="983" t="s">
        <v>1117</v>
      </c>
      <c r="B13" s="984"/>
      <c r="C13" s="984"/>
      <c r="D13" s="987">
        <f>'Schedule 4'!C13</f>
        <v>0</v>
      </c>
      <c r="E13" s="963"/>
      <c r="G13" s="986"/>
      <c r="H13" s="847"/>
      <c r="J13" s="847"/>
      <c r="K13" s="847"/>
    </row>
    <row r="14" spans="1:13" ht="15.75" thickBot="1">
      <c r="A14" s="983" t="s">
        <v>1118</v>
      </c>
      <c r="B14" s="984"/>
      <c r="C14" s="984"/>
      <c r="D14" s="987">
        <f>D12*D13</f>
        <v>0</v>
      </c>
      <c r="E14" s="963"/>
      <c r="G14" s="986"/>
      <c r="H14" s="847"/>
      <c r="J14" s="847"/>
      <c r="K14" s="847"/>
    </row>
    <row r="15" spans="1:13" ht="15.75" thickBot="1">
      <c r="A15" s="983" t="s">
        <v>63</v>
      </c>
      <c r="B15" s="984"/>
      <c r="C15" s="984"/>
      <c r="D15" s="987">
        <f>'Schedule 4'!C12</f>
        <v>0</v>
      </c>
      <c r="E15" s="963"/>
      <c r="G15" s="847"/>
      <c r="H15" s="847"/>
    </row>
    <row r="16" spans="1:13" ht="15">
      <c r="A16" s="923"/>
      <c r="B16" s="963"/>
      <c r="C16" s="963"/>
      <c r="D16" s="963"/>
      <c r="E16" s="963"/>
      <c r="G16" s="847"/>
      <c r="H16" s="847"/>
    </row>
    <row r="17" spans="1:12">
      <c r="A17" s="966"/>
      <c r="D17" s="988" t="s">
        <v>629</v>
      </c>
      <c r="E17" s="988"/>
      <c r="G17" s="989" t="s">
        <v>629</v>
      </c>
      <c r="H17" s="704"/>
    </row>
    <row r="18" spans="1:12">
      <c r="A18" s="966" t="s">
        <v>1166</v>
      </c>
      <c r="D18" s="988"/>
      <c r="E18" s="988"/>
      <c r="G18" s="990">
        <f>'Schedule 3'!F8/1000</f>
        <v>46669.571005000005</v>
      </c>
      <c r="H18" s="704"/>
    </row>
    <row r="19" spans="1:12">
      <c r="A19" s="966" t="s">
        <v>634</v>
      </c>
      <c r="B19" s="966"/>
      <c r="G19" s="990">
        <f>'Schedule 5'!E29*1000</f>
        <v>21740.98</v>
      </c>
      <c r="H19" s="991"/>
      <c r="I19" s="967"/>
      <c r="J19" s="849"/>
      <c r="L19" s="835"/>
    </row>
    <row r="20" spans="1:12">
      <c r="A20" s="849"/>
      <c r="G20" s="990"/>
      <c r="H20" s="991"/>
      <c r="I20" s="967"/>
      <c r="J20" s="849"/>
      <c r="L20" s="835"/>
    </row>
    <row r="21" spans="1:12">
      <c r="A21" s="968" t="s">
        <v>807</v>
      </c>
      <c r="B21" s="76"/>
      <c r="E21" s="704"/>
      <c r="G21" s="992"/>
      <c r="H21" s="993"/>
    </row>
    <row r="22" spans="1:12">
      <c r="A22" s="73"/>
      <c r="B22" s="76"/>
      <c r="E22" s="704"/>
      <c r="G22" s="994"/>
      <c r="H22" s="732"/>
    </row>
    <row r="23" spans="1:12">
      <c r="A23" s="73"/>
      <c r="B23" s="76" t="s">
        <v>810</v>
      </c>
      <c r="D23" s="980">
        <f>'Schedule 5'!F11</f>
        <v>1.4925617999999999E-3</v>
      </c>
      <c r="E23" s="973"/>
      <c r="G23" s="995"/>
      <c r="H23" s="732"/>
      <c r="I23" s="706"/>
      <c r="J23" s="706"/>
      <c r="K23" s="706"/>
      <c r="L23" s="996"/>
    </row>
    <row r="24" spans="1:12">
      <c r="A24" s="73"/>
      <c r="B24" s="76" t="s">
        <v>811</v>
      </c>
      <c r="D24" s="980">
        <f>'Schedule 5'!F12</f>
        <v>4.0555334999999998E-2</v>
      </c>
      <c r="E24" s="973"/>
      <c r="G24" s="997"/>
      <c r="H24" s="732"/>
      <c r="I24" s="706"/>
      <c r="J24" s="706"/>
      <c r="K24" s="706"/>
      <c r="L24" s="996"/>
    </row>
    <row r="25" spans="1:12" s="1000" customFormat="1">
      <c r="A25" s="998"/>
      <c r="B25" s="999" t="s">
        <v>61</v>
      </c>
      <c r="D25" s="1001"/>
      <c r="E25" s="1002"/>
      <c r="G25" s="1003">
        <v>767.72057404971372</v>
      </c>
      <c r="H25" s="800"/>
      <c r="I25" s="1004"/>
      <c r="J25" s="1004"/>
      <c r="K25" s="1004"/>
      <c r="L25" s="1005"/>
    </row>
    <row r="26" spans="1:12">
      <c r="A26" s="73"/>
      <c r="B26" s="76" t="s">
        <v>812</v>
      </c>
      <c r="D26" s="980">
        <f>'Schedule 5'!F13</f>
        <v>2.2685499999999998E-3</v>
      </c>
      <c r="E26" s="973"/>
      <c r="G26" s="995">
        <v>50.369166593589505</v>
      </c>
      <c r="H26" s="732"/>
      <c r="I26" s="706"/>
      <c r="J26" s="706"/>
      <c r="K26" s="706"/>
      <c r="L26" s="996"/>
    </row>
    <row r="27" spans="1:12">
      <c r="A27" s="73"/>
      <c r="B27" s="975" t="s">
        <v>813</v>
      </c>
      <c r="D27" s="1006">
        <f>'Schedule 5'!F14</f>
        <v>3.4500000000000003E-2</v>
      </c>
      <c r="E27" s="1007"/>
      <c r="G27" s="997">
        <v>733.94757299770322</v>
      </c>
      <c r="H27" s="732"/>
      <c r="I27" s="706"/>
      <c r="J27" s="706"/>
      <c r="K27" s="706"/>
      <c r="L27" s="996"/>
    </row>
    <row r="28" spans="1:12">
      <c r="A28" s="73"/>
      <c r="B28" s="73" t="s">
        <v>814</v>
      </c>
      <c r="D28" s="980">
        <f>SUM(D23:D27)</f>
        <v>7.8816446799999995E-2</v>
      </c>
      <c r="E28" s="973"/>
      <c r="G28" s="995">
        <f>G25+G26+G27</f>
        <v>1552.0373136410064</v>
      </c>
      <c r="H28" s="706"/>
      <c r="I28" s="706"/>
      <c r="J28" s="706"/>
      <c r="K28" s="706"/>
      <c r="L28" s="996"/>
    </row>
    <row r="29" spans="1:12">
      <c r="D29" s="980"/>
      <c r="E29" s="973"/>
      <c r="G29" s="995"/>
      <c r="H29" s="704"/>
      <c r="I29" s="706"/>
      <c r="J29" s="706"/>
      <c r="K29" s="706"/>
      <c r="L29" s="996"/>
    </row>
    <row r="30" spans="1:12">
      <c r="A30" s="966" t="s">
        <v>815</v>
      </c>
      <c r="D30" s="980"/>
      <c r="E30" s="973"/>
      <c r="G30" s="995"/>
      <c r="H30" s="704"/>
      <c r="I30" s="706"/>
      <c r="J30" s="706"/>
      <c r="K30" s="706"/>
      <c r="L30" s="996"/>
    </row>
    <row r="31" spans="1:12">
      <c r="B31" s="966" t="s">
        <v>818</v>
      </c>
      <c r="D31" s="980">
        <f>'Schedule 5'!F24</f>
        <v>1.55E-2</v>
      </c>
      <c r="E31" s="973"/>
      <c r="G31" s="995"/>
      <c r="H31" s="732"/>
      <c r="I31" s="706"/>
      <c r="J31" s="706"/>
      <c r="K31" s="706"/>
      <c r="L31" s="996"/>
    </row>
    <row r="32" spans="1:12" ht="5.25" customHeight="1">
      <c r="D32" s="980"/>
      <c r="E32" s="973"/>
      <c r="G32" s="995"/>
      <c r="H32" s="704"/>
      <c r="I32" s="706"/>
      <c r="J32" s="706"/>
      <c r="K32" s="706"/>
      <c r="L32" s="996"/>
    </row>
    <row r="33" spans="1:12">
      <c r="A33" s="966" t="s">
        <v>819</v>
      </c>
      <c r="D33" s="980"/>
      <c r="E33" s="973"/>
      <c r="G33" s="995"/>
      <c r="H33" s="704"/>
      <c r="I33" s="706"/>
      <c r="J33" s="706"/>
      <c r="K33" s="706"/>
      <c r="L33" s="996"/>
    </row>
    <row r="34" spans="1:12">
      <c r="B34" s="966" t="s">
        <v>827</v>
      </c>
      <c r="D34" s="980">
        <f>'Schedule 5'!F39</f>
        <v>2.9999999999999997E-4</v>
      </c>
      <c r="E34" s="973"/>
      <c r="G34" s="997"/>
      <c r="H34" s="732"/>
      <c r="I34" s="706"/>
      <c r="J34" s="706"/>
      <c r="K34" s="706"/>
      <c r="L34" s="996"/>
    </row>
    <row r="35" spans="1:12" s="1000" customFormat="1">
      <c r="A35" s="1000" t="s">
        <v>62</v>
      </c>
      <c r="B35" s="1008"/>
      <c r="D35" s="1001"/>
      <c r="E35" s="1002"/>
      <c r="G35" s="1009">
        <v>212.87885911873525</v>
      </c>
      <c r="H35" s="800"/>
      <c r="I35" s="1004"/>
      <c r="J35" s="1004"/>
      <c r="K35" s="1004"/>
      <c r="L35" s="1005"/>
    </row>
    <row r="36" spans="1:12">
      <c r="D36" s="980"/>
      <c r="E36" s="973"/>
      <c r="G36" s="995"/>
      <c r="H36" s="704"/>
      <c r="I36" s="706"/>
      <c r="J36" s="706"/>
      <c r="K36" s="706"/>
      <c r="L36" s="996"/>
    </row>
    <row r="37" spans="1:12">
      <c r="A37" s="966" t="s">
        <v>828</v>
      </c>
      <c r="D37" s="980"/>
      <c r="E37" s="973"/>
      <c r="G37" s="995"/>
      <c r="H37" s="704"/>
      <c r="I37" s="706"/>
      <c r="J37" s="706"/>
      <c r="K37" s="706"/>
      <c r="L37" s="996"/>
    </row>
    <row r="38" spans="1:12">
      <c r="B38" s="966" t="s">
        <v>831</v>
      </c>
      <c r="D38" s="980">
        <f>'Schedule 5'!F47</f>
        <v>1.0999999999999999E-2</v>
      </c>
      <c r="E38" s="973"/>
      <c r="G38" s="997">
        <v>223.92548138069546</v>
      </c>
      <c r="H38" s="732"/>
      <c r="I38" s="706"/>
      <c r="J38" s="706"/>
      <c r="K38" s="706"/>
      <c r="L38" s="996"/>
    </row>
    <row r="39" spans="1:12">
      <c r="D39" s="980"/>
      <c r="E39" s="973"/>
      <c r="G39" s="995"/>
      <c r="H39" s="704"/>
      <c r="I39" s="706"/>
      <c r="J39" s="706"/>
      <c r="K39" s="706"/>
      <c r="L39" s="996"/>
    </row>
    <row r="40" spans="1:12" ht="13.5" thickBot="1">
      <c r="A40" s="845" t="s">
        <v>832</v>
      </c>
      <c r="B40" s="845"/>
      <c r="C40" s="845"/>
      <c r="D40" s="1010">
        <f>D28+D31+D34+D38</f>
        <v>0.10561644679999999</v>
      </c>
      <c r="E40" s="846"/>
      <c r="G40" s="1011">
        <f>G28+G35+G38</f>
        <v>1988.841654140437</v>
      </c>
      <c r="H40" s="706"/>
      <c r="I40" s="706"/>
      <c r="J40" s="706"/>
      <c r="K40" s="706"/>
      <c r="L40" s="996"/>
    </row>
    <row r="41" spans="1:12">
      <c r="G41" s="995"/>
      <c r="I41" s="706"/>
      <c r="J41" s="706"/>
      <c r="L41" s="996"/>
    </row>
    <row r="42" spans="1:12" ht="13.5" thickBot="1">
      <c r="A42" s="1012" t="s">
        <v>241</v>
      </c>
      <c r="B42" s="1013"/>
      <c r="C42" s="1013"/>
      <c r="D42" s="1013"/>
      <c r="E42" s="1013"/>
      <c r="F42" s="1013"/>
      <c r="G42" s="1014">
        <v>2426.7909388275002</v>
      </c>
      <c r="I42" s="706"/>
      <c r="J42" s="706"/>
      <c r="K42" s="706"/>
      <c r="L42" s="996"/>
    </row>
    <row r="43" spans="1:12" ht="13.5" thickTop="1">
      <c r="A43" s="998" t="s">
        <v>1237</v>
      </c>
      <c r="B43" s="76"/>
      <c r="C43" s="76"/>
      <c r="D43" s="76"/>
      <c r="E43" s="76"/>
      <c r="F43" s="76"/>
      <c r="G43" s="1015"/>
      <c r="I43" s="706"/>
      <c r="J43" s="706"/>
      <c r="K43" s="706"/>
      <c r="L43" s="996"/>
    </row>
    <row r="44" spans="1:12" ht="13.5" thickBot="1">
      <c r="A44" s="1012" t="s">
        <v>1238</v>
      </c>
      <c r="B44" s="1013"/>
      <c r="C44" s="1013"/>
      <c r="D44" s="1013"/>
      <c r="E44" s="1013"/>
      <c r="F44" s="1013"/>
      <c r="G44" s="1014"/>
      <c r="I44" s="706"/>
      <c r="J44" s="706"/>
      <c r="K44" s="706"/>
      <c r="L44" s="996"/>
    </row>
    <row r="45" spans="1:12" ht="13.5" thickTop="1">
      <c r="G45" s="995"/>
      <c r="I45" s="706"/>
      <c r="J45" s="706"/>
      <c r="L45" s="996"/>
    </row>
    <row r="46" spans="1:12" ht="13.5" thickBot="1">
      <c r="A46" s="1012" t="s">
        <v>663</v>
      </c>
      <c r="B46" s="1013"/>
      <c r="C46" s="1013"/>
      <c r="D46" s="1013"/>
      <c r="E46" s="1013"/>
      <c r="F46" s="1016"/>
      <c r="G46" s="1014">
        <v>0</v>
      </c>
      <c r="I46" s="706"/>
      <c r="J46" s="706"/>
      <c r="L46" s="996"/>
    </row>
    <row r="47" spans="1:12" ht="13.5" thickTop="1">
      <c r="G47" s="995"/>
      <c r="I47" s="706"/>
      <c r="J47" s="706"/>
      <c r="L47" s="996"/>
    </row>
    <row r="48" spans="1:12" ht="13.5" thickBot="1">
      <c r="A48" s="966" t="s">
        <v>242</v>
      </c>
      <c r="G48" s="1017">
        <f>G40+G42+G46</f>
        <v>4415.6325929679369</v>
      </c>
      <c r="I48" s="706"/>
      <c r="J48" s="706"/>
      <c r="K48" s="996"/>
      <c r="L48" s="996"/>
    </row>
    <row r="49" spans="7:7" ht="13.5" thickTop="1">
      <c r="G49" s="704"/>
    </row>
    <row r="50" spans="7:7">
      <c r="G50" s="704"/>
    </row>
    <row r="51" spans="7:7">
      <c r="G51" s="704"/>
    </row>
    <row r="52" spans="7:7">
      <c r="G52" s="704"/>
    </row>
    <row r="53" spans="7:7">
      <c r="G53" s="704"/>
    </row>
    <row r="54" spans="7:7">
      <c r="G54" s="704"/>
    </row>
    <row r="55" spans="7:7">
      <c r="G55" s="704"/>
    </row>
    <row r="56" spans="7:7">
      <c r="G56" s="704"/>
    </row>
    <row r="57" spans="7:7">
      <c r="G57" s="704"/>
    </row>
    <row r="58" spans="7:7">
      <c r="G58" s="704"/>
    </row>
    <row r="59" spans="7:7">
      <c r="G59" s="704"/>
    </row>
    <row r="60" spans="7:7">
      <c r="G60" s="704"/>
    </row>
    <row r="61" spans="7:7">
      <c r="G61" s="704"/>
    </row>
    <row r="62" spans="7:7">
      <c r="G62" s="704"/>
    </row>
    <row r="63" spans="7:7">
      <c r="G63" s="704"/>
    </row>
    <row r="64" spans="7:7">
      <c r="G64" s="704"/>
    </row>
    <row r="65" spans="7:8">
      <c r="G65" s="704"/>
    </row>
    <row r="66" spans="7:8">
      <c r="G66" s="704"/>
    </row>
    <row r="67" spans="7:8">
      <c r="G67" s="704"/>
    </row>
    <row r="68" spans="7:8">
      <c r="G68" s="704"/>
    </row>
    <row r="69" spans="7:8">
      <c r="G69" s="704"/>
    </row>
    <row r="70" spans="7:8">
      <c r="G70" s="704"/>
    </row>
    <row r="71" spans="7:8">
      <c r="G71" s="704"/>
    </row>
    <row r="72" spans="7:8">
      <c r="G72" s="704"/>
    </row>
    <row r="73" spans="7:8">
      <c r="G73" s="704"/>
    </row>
    <row r="74" spans="7:8">
      <c r="G74" s="704"/>
    </row>
    <row r="75" spans="7:8">
      <c r="G75" s="704"/>
    </row>
    <row r="76" spans="7:8">
      <c r="G76" s="704"/>
    </row>
    <row r="77" spans="7:8">
      <c r="G77" s="704"/>
    </row>
    <row r="78" spans="7:8">
      <c r="G78" s="704"/>
    </row>
    <row r="79" spans="7:8">
      <c r="G79" s="704"/>
    </row>
    <row r="80" spans="7:8">
      <c r="G80" s="704"/>
      <c r="H80" s="704"/>
    </row>
    <row r="81" spans="7:8">
      <c r="G81" s="704"/>
      <c r="H81" s="704"/>
    </row>
    <row r="82" spans="7:8">
      <c r="G82" s="704"/>
      <c r="H82" s="704"/>
    </row>
    <row r="83" spans="7:8">
      <c r="G83" s="704"/>
      <c r="H83" s="704"/>
    </row>
    <row r="84" spans="7:8">
      <c r="G84" s="704"/>
      <c r="H84" s="704"/>
    </row>
    <row r="85" spans="7:8">
      <c r="G85" s="704"/>
      <c r="H85" s="704"/>
    </row>
    <row r="86" spans="7:8">
      <c r="G86" s="704"/>
      <c r="H86" s="704"/>
    </row>
    <row r="87" spans="7:8">
      <c r="G87" s="704"/>
      <c r="H87" s="704"/>
    </row>
    <row r="88" spans="7:8">
      <c r="G88" s="704"/>
      <c r="H88" s="704"/>
    </row>
    <row r="89" spans="7:8">
      <c r="G89" s="704"/>
      <c r="H89" s="704"/>
    </row>
    <row r="90" spans="7:8">
      <c r="G90" s="704"/>
      <c r="H90" s="704"/>
    </row>
    <row r="91" spans="7:8">
      <c r="G91" s="704"/>
      <c r="H91" s="704"/>
    </row>
    <row r="92" spans="7:8">
      <c r="G92" s="704"/>
      <c r="H92" s="704"/>
    </row>
    <row r="93" spans="7:8">
      <c r="G93" s="704"/>
      <c r="H93" s="704"/>
    </row>
  </sheetData>
  <mergeCells count="3">
    <mergeCell ref="A3:I4"/>
    <mergeCell ref="A6:I6"/>
    <mergeCell ref="A7:I7"/>
  </mergeCells>
  <phoneticPr fontId="4" type="noConversion"/>
  <printOptions horizontalCentered="1"/>
  <pageMargins left="0.74803149606299202" right="0.74803149606299202" top="0.98425196850393704" bottom="0.98425196850393704" header="0.511811023622047" footer="0.511811023622047"/>
  <pageSetup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2"/>
  <sheetViews>
    <sheetView view="pageLayout" topLeftCell="A7" zoomScaleNormal="100" workbookViewId="0">
      <selection activeCell="H29" sqref="H29"/>
    </sheetView>
  </sheetViews>
  <sheetFormatPr defaultColWidth="7.109375" defaultRowHeight="12.75"/>
  <cols>
    <col min="1" max="1" width="32.21875" style="54" customWidth="1"/>
    <col min="2" max="2" width="9.5546875" style="54" customWidth="1"/>
    <col min="3" max="7" width="8.33203125" style="54" customWidth="1"/>
    <col min="8" max="8" width="9.6640625" style="54" customWidth="1"/>
    <col min="9" max="9" width="8.33203125" style="54" customWidth="1"/>
    <col min="10" max="16384" width="7.109375" style="54"/>
  </cols>
  <sheetData>
    <row r="1" spans="1:9">
      <c r="I1" s="55" t="s">
        <v>785</v>
      </c>
    </row>
    <row r="2" spans="1:9" ht="15.75">
      <c r="A2" s="827"/>
    </row>
    <row r="3" spans="1:9" ht="15.75">
      <c r="A3" s="827" t="s">
        <v>655</v>
      </c>
      <c r="B3" s="56"/>
      <c r="C3" s="56"/>
      <c r="D3" s="56"/>
      <c r="E3" s="56"/>
      <c r="F3" s="56"/>
      <c r="G3" s="56"/>
      <c r="H3" s="56"/>
      <c r="I3" s="56"/>
    </row>
    <row r="4" spans="1:9" ht="15.75">
      <c r="A4" s="57" t="s">
        <v>786</v>
      </c>
      <c r="B4" s="56"/>
      <c r="C4" s="56"/>
      <c r="D4" s="56"/>
      <c r="E4" s="56"/>
      <c r="F4" s="56"/>
      <c r="G4" s="56"/>
      <c r="H4" s="56"/>
      <c r="I4" s="56"/>
    </row>
    <row r="5" spans="1:9" ht="15.75">
      <c r="A5" s="58" t="s">
        <v>501</v>
      </c>
      <c r="B5" s="56"/>
      <c r="C5" s="56"/>
      <c r="D5" s="56"/>
      <c r="E5" s="56"/>
      <c r="F5" s="56"/>
      <c r="G5" s="56"/>
      <c r="H5" s="56"/>
      <c r="I5" s="56"/>
    </row>
    <row r="7" spans="1:9">
      <c r="A7" s="59" t="s">
        <v>788</v>
      </c>
      <c r="B7" s="59" t="s">
        <v>789</v>
      </c>
      <c r="C7" s="59" t="s">
        <v>790</v>
      </c>
      <c r="D7" s="59" t="s">
        <v>791</v>
      </c>
      <c r="E7" s="59" t="s">
        <v>792</v>
      </c>
      <c r="F7" s="59" t="s">
        <v>793</v>
      </c>
      <c r="G7" s="59" t="s">
        <v>794</v>
      </c>
      <c r="H7" s="59" t="s">
        <v>795</v>
      </c>
      <c r="I7" s="59" t="s">
        <v>796</v>
      </c>
    </row>
    <row r="8" spans="1:9">
      <c r="A8" s="60" t="s">
        <v>797</v>
      </c>
      <c r="B8" s="60" t="s">
        <v>754</v>
      </c>
      <c r="C8" s="60"/>
      <c r="D8" s="60"/>
      <c r="E8" s="60"/>
      <c r="F8" s="60"/>
      <c r="G8" s="60"/>
      <c r="H8" s="60"/>
      <c r="I8" s="60"/>
    </row>
    <row r="9" spans="1:9">
      <c r="A9" s="61" t="s">
        <v>662</v>
      </c>
      <c r="B9" s="62">
        <v>51.36</v>
      </c>
      <c r="C9" s="63">
        <v>0</v>
      </c>
      <c r="D9" s="63">
        <v>0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</row>
    <row r="10" spans="1:9">
      <c r="A10" s="61" t="s">
        <v>666</v>
      </c>
      <c r="B10" s="62">
        <v>63.62</v>
      </c>
      <c r="C10" s="1120">
        <v>0</v>
      </c>
      <c r="D10" s="1120">
        <v>0</v>
      </c>
      <c r="E10" s="1120">
        <v>0</v>
      </c>
      <c r="F10" s="63">
        <v>0</v>
      </c>
      <c r="G10" s="63">
        <v>0</v>
      </c>
      <c r="H10" s="63">
        <v>0</v>
      </c>
      <c r="I10" s="63">
        <v>0</v>
      </c>
    </row>
    <row r="11" spans="1:9">
      <c r="A11" s="61" t="s">
        <v>668</v>
      </c>
      <c r="B11" s="63">
        <f>SUM(C11:I11)</f>
        <v>229.54730000000001</v>
      </c>
      <c r="C11" s="1120">
        <v>122.41</v>
      </c>
      <c r="D11" s="1120">
        <f>+'Schedule 7'!C16</f>
        <v>15.987</v>
      </c>
      <c r="E11" s="1120">
        <f>+'Schedule 7'!C$106</f>
        <v>4.5205000000000002</v>
      </c>
      <c r="F11" s="63">
        <f>+'Schedule 7'!C$43</f>
        <v>67.317599999999999</v>
      </c>
      <c r="G11" s="63">
        <f>+'Schedule 7'!C$36+(12*'Schedule 7'!C$143)</f>
        <v>16.711299999999998</v>
      </c>
      <c r="H11" s="63">
        <f>+'Schedule 7'!C$39*2</f>
        <v>1.0928</v>
      </c>
      <c r="I11" s="63">
        <f>+'Schedule 7'!C$37+'Schedule 7'!C$38</f>
        <v>1.5081</v>
      </c>
    </row>
    <row r="12" spans="1:9">
      <c r="A12" s="61" t="s">
        <v>670</v>
      </c>
      <c r="B12" s="63">
        <f t="shared" ref="B12:B18" si="0">SUM(C12:I12)</f>
        <v>204.78190000000001</v>
      </c>
      <c r="C12" s="1120">
        <v>102.95</v>
      </c>
      <c r="D12" s="1120">
        <f>+'Schedule 7'!C17</f>
        <v>10.681600000000001</v>
      </c>
      <c r="E12" s="1120">
        <f>+'Schedule 7'!C$106</f>
        <v>4.5205000000000002</v>
      </c>
      <c r="F12" s="63">
        <f>+'Schedule 7'!C$43</f>
        <v>67.317599999999999</v>
      </c>
      <c r="G12" s="63">
        <f>+'Schedule 7'!C$36+(12*'Schedule 7'!C$143)</f>
        <v>16.711299999999998</v>
      </c>
      <c r="H12" s="63">
        <f>+'Schedule 7'!C$39*2</f>
        <v>1.0928</v>
      </c>
      <c r="I12" s="63">
        <f>+'Schedule 7'!C$37+'Schedule 7'!C$38</f>
        <v>1.5081</v>
      </c>
    </row>
    <row r="13" spans="1:9">
      <c r="A13" s="61" t="s">
        <v>672</v>
      </c>
      <c r="B13" s="63">
        <f t="shared" si="0"/>
        <v>201.27160000000003</v>
      </c>
      <c r="C13" s="1120">
        <v>102.95</v>
      </c>
      <c r="D13" s="1120">
        <f>+'Schedule 7'!C18</f>
        <v>7.1712999999999996</v>
      </c>
      <c r="E13" s="1120">
        <f>+'Schedule 7'!C106</f>
        <v>4.5205000000000002</v>
      </c>
      <c r="F13" s="63">
        <f>+'Schedule 7'!C43</f>
        <v>67.317599999999999</v>
      </c>
      <c r="G13" s="63">
        <f>+'Schedule 7'!C$36+(12*'Schedule 7'!C$143)</f>
        <v>16.711299999999998</v>
      </c>
      <c r="H13" s="63">
        <f>+'Schedule 7'!C$39*2</f>
        <v>1.0928</v>
      </c>
      <c r="I13" s="63">
        <f>+'Schedule 7'!C$37+'Schedule 7'!C$38</f>
        <v>1.5081</v>
      </c>
    </row>
    <row r="14" spans="1:9">
      <c r="A14" s="61" t="s">
        <v>674</v>
      </c>
      <c r="B14" s="63">
        <f t="shared" si="0"/>
        <v>291.37530000000004</v>
      </c>
      <c r="C14" s="1120">
        <v>189.8</v>
      </c>
      <c r="D14" s="1120">
        <f>+'Schedule 7'!C19</f>
        <v>7.86</v>
      </c>
      <c r="E14" s="1120">
        <f>+'Schedule 7'!C106</f>
        <v>4.5205000000000002</v>
      </c>
      <c r="F14" s="63">
        <f>+'Schedule 7'!C$48</f>
        <v>69.882599999999996</v>
      </c>
      <c r="G14" s="63">
        <f>+'Schedule 7'!C$36+(12*'Schedule 7'!C$143)</f>
        <v>16.711299999999998</v>
      </c>
      <c r="H14" s="63">
        <f>+'Schedule 7'!C$39*2</f>
        <v>1.0928</v>
      </c>
      <c r="I14" s="63">
        <f>+'Schedule 7'!C$37+'Schedule 7'!C$38</f>
        <v>1.5081</v>
      </c>
    </row>
    <row r="15" spans="1:9">
      <c r="A15" s="61" t="s">
        <v>676</v>
      </c>
      <c r="B15" s="63">
        <f t="shared" si="0"/>
        <v>301.45</v>
      </c>
      <c r="C15" s="1120">
        <v>198.75</v>
      </c>
      <c r="D15" s="1120">
        <f>+'Schedule 7'!C20</f>
        <v>8.9847000000000001</v>
      </c>
      <c r="E15" s="1120">
        <f>+'Schedule 7'!C$106</f>
        <v>4.5205000000000002</v>
      </c>
      <c r="F15" s="63">
        <f>+'Schedule 7'!C$48</f>
        <v>69.882599999999996</v>
      </c>
      <c r="G15" s="63">
        <f>+'Schedule 7'!C$36+(12*'Schedule 7'!C$143)</f>
        <v>16.711299999999998</v>
      </c>
      <c r="H15" s="63">
        <f>+'Schedule 7'!C$39*2</f>
        <v>1.0928</v>
      </c>
      <c r="I15" s="63">
        <f>+'Schedule 7'!C$37+'Schedule 7'!C$38</f>
        <v>1.5081</v>
      </c>
    </row>
    <row r="16" spans="1:9">
      <c r="A16" s="61" t="s">
        <v>678</v>
      </c>
      <c r="B16" s="63">
        <f t="shared" si="0"/>
        <v>449.78130000000004</v>
      </c>
      <c r="C16" s="1120">
        <v>318.97000000000003</v>
      </c>
      <c r="D16" s="1120">
        <f>+'Schedule 7'!C21</f>
        <v>37.096000000000004</v>
      </c>
      <c r="E16" s="1120">
        <f>+'Schedule 7'!C$106</f>
        <v>4.5205000000000002</v>
      </c>
      <c r="F16" s="63">
        <f>+'Schedule 7'!C$48</f>
        <v>69.882599999999996</v>
      </c>
      <c r="G16" s="63">
        <f>+'Schedule 7'!C$36+(12*'Schedule 7'!C$143)</f>
        <v>16.711299999999998</v>
      </c>
      <c r="H16" s="63">
        <f>+'Schedule 7'!C$39*2</f>
        <v>1.0928</v>
      </c>
      <c r="I16" s="63">
        <f>+'Schedule 7'!C$37+'Schedule 7'!C$38</f>
        <v>1.5081</v>
      </c>
    </row>
    <row r="17" spans="1:9">
      <c r="A17" s="61" t="s">
        <v>680</v>
      </c>
      <c r="B17" s="63">
        <f t="shared" si="0"/>
        <v>579.25280000000009</v>
      </c>
      <c r="C17" s="1120">
        <v>439.19</v>
      </c>
      <c r="D17" s="1120">
        <f>+'Schedule 7'!C22</f>
        <v>46.347499999999997</v>
      </c>
      <c r="E17" s="1120">
        <f>+'Schedule 7'!C$106</f>
        <v>4.5205000000000002</v>
      </c>
      <c r="F17" s="63">
        <f>+'Schedule 7'!C$48</f>
        <v>69.882599999999996</v>
      </c>
      <c r="G17" s="63">
        <f>+'Schedule 7'!C$36+(12*'Schedule 7'!C$143)</f>
        <v>16.711299999999998</v>
      </c>
      <c r="H17" s="63">
        <f>+'Schedule 7'!C$39*2</f>
        <v>1.0928</v>
      </c>
      <c r="I17" s="63">
        <f>+'Schedule 7'!C$37+'Schedule 7'!C$38</f>
        <v>1.5081</v>
      </c>
    </row>
    <row r="18" spans="1:9">
      <c r="A18" s="61" t="s">
        <v>682</v>
      </c>
      <c r="B18" s="63">
        <f t="shared" si="0"/>
        <v>291.37530000000004</v>
      </c>
      <c r="C18" s="1120">
        <v>189.8</v>
      </c>
      <c r="D18" s="1120">
        <f>+'Schedule 7'!C19</f>
        <v>7.86</v>
      </c>
      <c r="E18" s="1120">
        <f>+'Schedule 7'!C$106</f>
        <v>4.5205000000000002</v>
      </c>
      <c r="F18" s="63">
        <f>+'Schedule 7'!C$48</f>
        <v>69.882599999999996</v>
      </c>
      <c r="G18" s="63">
        <f>+'Schedule 7'!C$36+(12*'Schedule 7'!C$143)</f>
        <v>16.711299999999998</v>
      </c>
      <c r="H18" s="63">
        <f>+'Schedule 7'!C$39*2</f>
        <v>1.0928</v>
      </c>
      <c r="I18" s="63">
        <f>+'Schedule 7'!C$37+'Schedule 7'!C$38</f>
        <v>1.5081</v>
      </c>
    </row>
    <row r="19" spans="1:9">
      <c r="A19" s="61" t="s">
        <v>684</v>
      </c>
      <c r="B19" s="62">
        <v>106.44</v>
      </c>
      <c r="C19" s="1120">
        <v>0</v>
      </c>
      <c r="D19" s="1120">
        <v>0</v>
      </c>
      <c r="E19" s="1120">
        <v>0</v>
      </c>
      <c r="F19" s="63">
        <v>0</v>
      </c>
      <c r="G19" s="63">
        <v>0</v>
      </c>
      <c r="H19" s="63">
        <v>0</v>
      </c>
      <c r="I19" s="63">
        <v>0</v>
      </c>
    </row>
    <row r="20" spans="1:9">
      <c r="A20" s="61" t="s">
        <v>686</v>
      </c>
      <c r="B20" s="62">
        <v>131.91</v>
      </c>
      <c r="C20" s="1120">
        <v>0</v>
      </c>
      <c r="D20" s="1120">
        <v>0</v>
      </c>
      <c r="E20" s="1120">
        <v>0</v>
      </c>
      <c r="F20" s="63">
        <v>0</v>
      </c>
      <c r="G20" s="63">
        <v>0</v>
      </c>
      <c r="H20" s="63">
        <v>0</v>
      </c>
      <c r="I20" s="63">
        <v>0</v>
      </c>
    </row>
    <row r="21" spans="1:9">
      <c r="A21" s="61" t="s">
        <v>688</v>
      </c>
      <c r="B21" s="62">
        <v>178.72</v>
      </c>
      <c r="C21" s="1120">
        <v>0</v>
      </c>
      <c r="D21" s="1120">
        <v>0</v>
      </c>
      <c r="E21" s="1120">
        <v>0</v>
      </c>
      <c r="F21" s="63">
        <v>0</v>
      </c>
      <c r="G21" s="63">
        <v>0</v>
      </c>
      <c r="H21" s="63">
        <v>0</v>
      </c>
      <c r="I21" s="63">
        <v>0</v>
      </c>
    </row>
    <row r="22" spans="1:9">
      <c r="A22" s="61" t="s">
        <v>690</v>
      </c>
      <c r="B22" s="62">
        <v>293.72000000000003</v>
      </c>
      <c r="C22" s="1120">
        <v>0</v>
      </c>
      <c r="D22" s="1120">
        <v>0</v>
      </c>
      <c r="E22" s="1120">
        <v>0</v>
      </c>
      <c r="F22" s="63">
        <v>0</v>
      </c>
      <c r="G22" s="63">
        <v>0</v>
      </c>
      <c r="H22" s="63">
        <v>0</v>
      </c>
      <c r="I22" s="63">
        <v>0</v>
      </c>
    </row>
    <row r="23" spans="1:9">
      <c r="A23" s="61" t="s">
        <v>692</v>
      </c>
      <c r="B23" s="62">
        <v>160</v>
      </c>
      <c r="C23" s="1120">
        <v>0</v>
      </c>
      <c r="D23" s="1120">
        <v>0</v>
      </c>
      <c r="E23" s="1120">
        <v>0</v>
      </c>
      <c r="F23" s="63">
        <v>0</v>
      </c>
      <c r="G23" s="63">
        <v>0</v>
      </c>
      <c r="H23" s="63">
        <v>0</v>
      </c>
      <c r="I23" s="63">
        <v>0</v>
      </c>
    </row>
    <row r="24" spans="1:9">
      <c r="A24" s="61" t="s">
        <v>694</v>
      </c>
      <c r="B24" s="62">
        <v>121.22</v>
      </c>
      <c r="C24" s="1120">
        <v>0</v>
      </c>
      <c r="D24" s="1120">
        <v>0</v>
      </c>
      <c r="E24" s="1120">
        <v>0</v>
      </c>
      <c r="F24" s="63">
        <v>0</v>
      </c>
      <c r="G24" s="63">
        <v>0</v>
      </c>
      <c r="H24" s="63">
        <v>0</v>
      </c>
      <c r="I24" s="63">
        <v>0</v>
      </c>
    </row>
    <row r="25" spans="1:9">
      <c r="A25" s="61" t="s">
        <v>696</v>
      </c>
      <c r="B25" s="62">
        <v>188.91</v>
      </c>
      <c r="C25" s="1120">
        <v>0</v>
      </c>
      <c r="D25" s="1120">
        <v>0</v>
      </c>
      <c r="E25" s="1120">
        <v>0</v>
      </c>
      <c r="F25" s="63">
        <v>0</v>
      </c>
      <c r="G25" s="63">
        <v>0</v>
      </c>
      <c r="H25" s="63">
        <v>0</v>
      </c>
      <c r="I25" s="63">
        <v>0</v>
      </c>
    </row>
    <row r="26" spans="1:9">
      <c r="A26" s="64" t="s">
        <v>798</v>
      </c>
      <c r="B26" s="63">
        <f>SUM(C26:I26)-D26-E26</f>
        <v>207.50980000000001</v>
      </c>
      <c r="C26" s="1120">
        <f>+'Schedule 7'!C60</f>
        <v>120.88</v>
      </c>
      <c r="D26" s="1120">
        <f>+'Schedule 7'!C23</f>
        <v>8.81</v>
      </c>
      <c r="E26" s="1120">
        <f>+'Schedule 7'!C$106</f>
        <v>4.5205000000000002</v>
      </c>
      <c r="F26" s="63">
        <f>+'Schedule 7'!C$43</f>
        <v>67.317599999999999</v>
      </c>
      <c r="G26" s="63">
        <f>+'Schedule 7'!C$36+(12*'Schedule 7'!C$143)</f>
        <v>16.711299999999998</v>
      </c>
      <c r="H26" s="63">
        <f>+'Schedule 7'!C$39*2</f>
        <v>1.0928</v>
      </c>
      <c r="I26" s="63">
        <f>+'Schedule 7'!C$37+'Schedule 7'!C$38</f>
        <v>1.5081</v>
      </c>
    </row>
    <row r="27" spans="1:9">
      <c r="A27" s="64" t="s">
        <v>799</v>
      </c>
      <c r="B27" s="63">
        <f>SUM(C27:I27)-D27-E27</f>
        <v>210.64600000000002</v>
      </c>
      <c r="C27" s="1120">
        <f>+'Schedule 7'!C67</f>
        <v>124.0162</v>
      </c>
      <c r="D27" s="1120">
        <f>+'Schedule 7'!C24</f>
        <v>8.6199999999999992</v>
      </c>
      <c r="E27" s="1120">
        <f>+'Schedule 7'!C$106</f>
        <v>4.5205000000000002</v>
      </c>
      <c r="F27" s="63">
        <f>+'Schedule 7'!C$43</f>
        <v>67.317599999999999</v>
      </c>
      <c r="G27" s="63">
        <f>+'Schedule 7'!C$36+(12*'Schedule 7'!C$143)</f>
        <v>16.711299999999998</v>
      </c>
      <c r="H27" s="63">
        <f>+'Schedule 7'!C$39*2</f>
        <v>1.0928</v>
      </c>
      <c r="I27" s="63">
        <f>+'Schedule 7'!C$37+'Schedule 7'!C$38</f>
        <v>1.5081</v>
      </c>
    </row>
    <row r="28" spans="1:9">
      <c r="A28" s="64" t="s">
        <v>800</v>
      </c>
      <c r="B28" s="63">
        <f>SUM(C28:I28)-D28-E28</f>
        <v>232.66470000000001</v>
      </c>
      <c r="C28" s="1120">
        <f>+'Schedule 7'!C73</f>
        <v>146.03489999999999</v>
      </c>
      <c r="D28" s="1120">
        <f>+'Schedule 7'!C27</f>
        <v>8.67</v>
      </c>
      <c r="E28" s="1120">
        <f>+'Schedule 7'!C$106</f>
        <v>4.5205000000000002</v>
      </c>
      <c r="F28" s="63">
        <f>+'Schedule 7'!C$43</f>
        <v>67.317599999999999</v>
      </c>
      <c r="G28" s="63">
        <f>+'Schedule 7'!C$36+(12*'Schedule 7'!C$143)</f>
        <v>16.711299999999998</v>
      </c>
      <c r="H28" s="63">
        <f>+'Schedule 7'!C$39*2</f>
        <v>1.0928</v>
      </c>
      <c r="I28" s="63">
        <f>+'Schedule 7'!C$37+'Schedule 7'!C$38</f>
        <v>1.5081</v>
      </c>
    </row>
    <row r="29" spans="1:9">
      <c r="A29" s="61" t="s">
        <v>713</v>
      </c>
      <c r="B29" s="63">
        <f>SUM(C29:I29)-D29-E29</f>
        <v>231.6748</v>
      </c>
      <c r="C29" s="1120">
        <f>+'Schedule 7'!C77</f>
        <v>142.47999999999999</v>
      </c>
      <c r="D29" s="1120">
        <f>+'Schedule 7'!C29</f>
        <v>10.59</v>
      </c>
      <c r="E29" s="1120">
        <f>+'Schedule 7'!C$106</f>
        <v>4.5205000000000002</v>
      </c>
      <c r="F29" s="63">
        <f>+'Schedule 7'!C48</f>
        <v>69.882599999999996</v>
      </c>
      <c r="G29" s="63">
        <f>+'Schedule 7'!C$36+(12*'Schedule 7'!C$143)</f>
        <v>16.711299999999998</v>
      </c>
      <c r="H29" s="63">
        <f>+'Schedule 7'!C$39*2</f>
        <v>1.0928</v>
      </c>
      <c r="I29" s="63">
        <f>+'Schedule 7'!C$37+'Schedule 7'!C$38</f>
        <v>1.5081</v>
      </c>
    </row>
    <row r="30" spans="1:9">
      <c r="A30" s="61" t="s">
        <v>715</v>
      </c>
      <c r="B30" s="63">
        <f>SUM(C30:I30)-D30-E30</f>
        <v>246.21270000000001</v>
      </c>
      <c r="C30" s="1120">
        <f>+'Schedule 7'!C80</f>
        <v>157.0179</v>
      </c>
      <c r="D30" s="1120">
        <f>+'Schedule 7'!C30</f>
        <v>13.19</v>
      </c>
      <c r="E30" s="1120">
        <f>+'Schedule 7'!C$106</f>
        <v>4.5205000000000002</v>
      </c>
      <c r="F30" s="63">
        <f>+'Schedule 7'!C48</f>
        <v>69.882599999999996</v>
      </c>
      <c r="G30" s="63">
        <f>+'Schedule 7'!C$36+(12*'Schedule 7'!C$143)</f>
        <v>16.711299999999998</v>
      </c>
      <c r="H30" s="63">
        <f>+'Schedule 7'!C$39*2</f>
        <v>1.0928</v>
      </c>
      <c r="I30" s="63">
        <f>+'Schedule 7'!C$37+'Schedule 7'!C$38</f>
        <v>1.5081</v>
      </c>
    </row>
    <row r="31" spans="1:9">
      <c r="A31" s="64" t="s">
        <v>801</v>
      </c>
      <c r="B31" s="63">
        <f>SUM(C31:I31)-D31</f>
        <v>554.53030000000012</v>
      </c>
      <c r="C31" s="1120">
        <f>+'Schedule 7'!C53</f>
        <v>463.38</v>
      </c>
      <c r="D31" s="1120">
        <f>+'Schedule 7'!C25</f>
        <v>44</v>
      </c>
      <c r="E31" s="1120">
        <f>+'Schedule 7'!C$106</f>
        <v>4.5205000000000002</v>
      </c>
      <c r="F31" s="63">
        <f>+'Schedule 7'!C43</f>
        <v>67.317599999999999</v>
      </c>
      <c r="G31" s="63">
        <f>+'Schedule 7'!C$36+(12*'Schedule 7'!C$143)</f>
        <v>16.711299999999998</v>
      </c>
      <c r="H31" s="63">
        <f>+'Schedule 7'!C$39*2</f>
        <v>1.0928</v>
      </c>
      <c r="I31" s="63">
        <f>+'Schedule 7'!C$37+'Schedule 7'!C$38</f>
        <v>1.5081</v>
      </c>
    </row>
    <row r="32" spans="1:9">
      <c r="A32" s="61" t="s">
        <v>726</v>
      </c>
      <c r="B32" s="63">
        <f>SUM(C32:I32)-D32</f>
        <v>554.53030000000012</v>
      </c>
      <c r="C32" s="1120">
        <f>+'Schedule 7'!C53</f>
        <v>463.38</v>
      </c>
      <c r="D32" s="1120">
        <f>+'Schedule 7'!C25</f>
        <v>44</v>
      </c>
      <c r="E32" s="1120">
        <f>+'Schedule 7'!C$106</f>
        <v>4.5205000000000002</v>
      </c>
      <c r="F32" s="63">
        <f>+'Schedule 7'!C43</f>
        <v>67.317599999999999</v>
      </c>
      <c r="G32" s="63">
        <f>+'Schedule 7'!C$36+(12*'Schedule 7'!C$143)</f>
        <v>16.711299999999998</v>
      </c>
      <c r="H32" s="63">
        <f>+'Schedule 7'!C$39*2</f>
        <v>1.0928</v>
      </c>
      <c r="I32" s="63">
        <f>+'Schedule 7'!C$37+'Schedule 7'!C$38</f>
        <v>1.5081</v>
      </c>
    </row>
    <row r="33" spans="1:9">
      <c r="A33" s="61" t="s">
        <v>728</v>
      </c>
      <c r="B33" s="63">
        <f>SUM(C33:I33)-D33</f>
        <v>880.13869999999997</v>
      </c>
      <c r="C33" s="1120">
        <f>+'Schedule 7'!C54</f>
        <v>788.98839999999996</v>
      </c>
      <c r="D33" s="1120">
        <f>+'Schedule 7'!C28</f>
        <v>54.773200000000003</v>
      </c>
      <c r="E33" s="1120">
        <f>+'Schedule 7'!C$106</f>
        <v>4.5205000000000002</v>
      </c>
      <c r="F33" s="63">
        <f>+'Schedule 7'!C43</f>
        <v>67.317599999999999</v>
      </c>
      <c r="G33" s="63">
        <f>+'Schedule 7'!C$36+(12*'Schedule 7'!C$143)</f>
        <v>16.711299999999998</v>
      </c>
      <c r="H33" s="63">
        <f>+'Schedule 7'!C$39*2</f>
        <v>1.0928</v>
      </c>
      <c r="I33" s="63">
        <f>+'Schedule 7'!C$37+'Schedule 7'!C$38</f>
        <v>1.5081</v>
      </c>
    </row>
    <row r="34" spans="1:9">
      <c r="A34" s="65" t="s">
        <v>802</v>
      </c>
      <c r="B34" s="63">
        <f>SUM(C34:I34)</f>
        <v>298.32710000000003</v>
      </c>
      <c r="C34" s="1120">
        <f>+'Schedule 7'!C99</f>
        <v>190.3023</v>
      </c>
      <c r="D34" s="1120">
        <f>+'Schedule 7'!C32</f>
        <v>18.829999999999998</v>
      </c>
      <c r="E34" s="1120">
        <v>0</v>
      </c>
      <c r="F34" s="63">
        <f>+'Schedule 7'!C48</f>
        <v>69.882599999999996</v>
      </c>
      <c r="G34" s="63">
        <f>+'Schedule 7'!C$36+(12*'Schedule 7'!C$143)</f>
        <v>16.711299999999998</v>
      </c>
      <c r="H34" s="63">
        <f>+'Schedule 7'!C$39*2</f>
        <v>1.0928</v>
      </c>
      <c r="I34" s="63">
        <f>+'Schedule 7'!C$37+'Schedule 7'!C$38</f>
        <v>1.5081</v>
      </c>
    </row>
    <row r="35" spans="1:9">
      <c r="A35" s="61" t="s">
        <v>731</v>
      </c>
      <c r="B35" s="63">
        <f>SUM(C35:I35)</f>
        <v>305.75860000000006</v>
      </c>
      <c r="C35" s="1120">
        <f>+'Schedule 7'!C100</f>
        <v>201.63380000000001</v>
      </c>
      <c r="D35" s="1120">
        <f>+'Schedule 7'!C33</f>
        <v>14.93</v>
      </c>
      <c r="E35" s="1120">
        <v>0</v>
      </c>
      <c r="F35" s="63">
        <f>+'Schedule 7'!C48</f>
        <v>69.882599999999996</v>
      </c>
      <c r="G35" s="63">
        <f>+'Schedule 7'!C$36+(12*'Schedule 7'!C$143)</f>
        <v>16.711299999999998</v>
      </c>
      <c r="H35" s="63">
        <f>+'Schedule 7'!C$39*2</f>
        <v>1.0928</v>
      </c>
      <c r="I35" s="63">
        <f>+'Schedule 7'!C$37+'Schedule 7'!C$38</f>
        <v>1.5081</v>
      </c>
    </row>
    <row r="36" spans="1:9">
      <c r="A36" s="828" t="s">
        <v>733</v>
      </c>
      <c r="B36" s="63">
        <f>SUM(C36:I36)</f>
        <v>526.15610000000004</v>
      </c>
      <c r="C36" s="1120">
        <f>+'Schedule 7'!C101</f>
        <v>405.65129999999999</v>
      </c>
      <c r="D36" s="1120">
        <f>+'Schedule 7'!C34</f>
        <v>31.31</v>
      </c>
      <c r="E36" s="1120">
        <v>0</v>
      </c>
      <c r="F36" s="675">
        <f>+'Schedule 7'!C48</f>
        <v>69.882599999999996</v>
      </c>
      <c r="G36" s="63">
        <f>+'Schedule 7'!C$36+(12*'Schedule 7'!C$143)</f>
        <v>16.711299999999998</v>
      </c>
      <c r="H36" s="63">
        <f>+'Schedule 7'!C$39*2</f>
        <v>1.0928</v>
      </c>
      <c r="I36" s="63">
        <f>+'Schedule 7'!C$37+'Schedule 7'!C$38</f>
        <v>1.5081</v>
      </c>
    </row>
    <row r="39" spans="1:9">
      <c r="A39" s="59" t="s">
        <v>788</v>
      </c>
      <c r="B39" s="59" t="s">
        <v>789</v>
      </c>
      <c r="C39" s="59" t="s">
        <v>790</v>
      </c>
      <c r="D39" s="59" t="s">
        <v>791</v>
      </c>
      <c r="E39" s="59" t="s">
        <v>792</v>
      </c>
      <c r="F39" s="59" t="s">
        <v>793</v>
      </c>
      <c r="G39" s="59" t="s">
        <v>794</v>
      </c>
      <c r="H39" s="59" t="s">
        <v>795</v>
      </c>
      <c r="I39" s="59" t="s">
        <v>796</v>
      </c>
    </row>
    <row r="40" spans="1:9">
      <c r="A40" s="60" t="s">
        <v>803</v>
      </c>
      <c r="B40" s="60" t="s">
        <v>754</v>
      </c>
      <c r="C40" s="60"/>
      <c r="D40" s="60"/>
      <c r="E40" s="60"/>
      <c r="F40" s="60"/>
      <c r="G40" s="60"/>
      <c r="H40" s="60"/>
      <c r="I40" s="60"/>
    </row>
    <row r="41" spans="1:9">
      <c r="A41" s="61" t="s">
        <v>672</v>
      </c>
      <c r="B41" s="63">
        <f t="shared" ref="B41:B50" si="1">SUM(C41:I41)</f>
        <v>67.322699999999998</v>
      </c>
      <c r="C41" s="63">
        <f>+'Schedule 7'!C94</f>
        <v>53.03</v>
      </c>
      <c r="D41" s="63">
        <f>+'Schedule 7'!C18</f>
        <v>7.1712999999999996</v>
      </c>
      <c r="E41" s="63">
        <f>+'Schedule 7'!C$106</f>
        <v>4.5205000000000002</v>
      </c>
      <c r="F41" s="63">
        <v>0</v>
      </c>
      <c r="G41" s="63">
        <v>0</v>
      </c>
      <c r="H41" s="63">
        <f>+'Schedule 7'!C$39*2</f>
        <v>1.0928</v>
      </c>
      <c r="I41" s="63">
        <f>+'Schedule 7'!C$37+'Schedule 7'!C$38</f>
        <v>1.5081</v>
      </c>
    </row>
    <row r="42" spans="1:9">
      <c r="A42" s="61" t="s">
        <v>674</v>
      </c>
      <c r="B42" s="63">
        <f t="shared" si="1"/>
        <v>412.87840000000011</v>
      </c>
      <c r="C42" s="63">
        <f>+'Schedule 7'!C95</f>
        <v>397.89700000000005</v>
      </c>
      <c r="D42" s="63">
        <f>+'Schedule 7'!C19</f>
        <v>7.86</v>
      </c>
      <c r="E42" s="63">
        <f>+'Schedule 7'!C$106</f>
        <v>4.5205000000000002</v>
      </c>
      <c r="F42" s="63">
        <v>0</v>
      </c>
      <c r="G42" s="63">
        <v>0</v>
      </c>
      <c r="H42" s="63">
        <f>+'Schedule 7'!C$39*2</f>
        <v>1.0928</v>
      </c>
      <c r="I42" s="63">
        <f>+'Schedule 7'!C$37+'Schedule 7'!C$38</f>
        <v>1.5081</v>
      </c>
    </row>
    <row r="43" spans="1:9">
      <c r="A43" s="61" t="s">
        <v>676</v>
      </c>
      <c r="B43" s="63">
        <f t="shared" si="1"/>
        <v>297.27110000000005</v>
      </c>
      <c r="C43" s="63">
        <f>+'Schedule 7'!C97</f>
        <v>281.16500000000002</v>
      </c>
      <c r="D43" s="63">
        <f>+'Schedule 7'!C20</f>
        <v>8.9847000000000001</v>
      </c>
      <c r="E43" s="63">
        <f>+'Schedule 7'!C$106</f>
        <v>4.5205000000000002</v>
      </c>
      <c r="F43" s="63">
        <v>0</v>
      </c>
      <c r="G43" s="63">
        <v>0</v>
      </c>
      <c r="H43" s="63">
        <f>+'Schedule 7'!C$39*2</f>
        <v>1.0928</v>
      </c>
      <c r="I43" s="63">
        <f>+'Schedule 7'!C$37+'Schedule 7'!C$38</f>
        <v>1.5081</v>
      </c>
    </row>
    <row r="44" spans="1:9">
      <c r="A44" s="61" t="s">
        <v>680</v>
      </c>
      <c r="B44" s="63">
        <f t="shared" si="1"/>
        <v>507.90150000000006</v>
      </c>
      <c r="C44" s="63">
        <f>+'Schedule 7'!C102</f>
        <v>439.18599999999998</v>
      </c>
      <c r="D44" s="63">
        <f>+'Schedule 7'!C22</f>
        <v>46.347499999999997</v>
      </c>
      <c r="E44" s="63">
        <f>+'Schedule 7'!C107</f>
        <v>19.767099999999999</v>
      </c>
      <c r="F44" s="63">
        <v>0</v>
      </c>
      <c r="G44" s="63">
        <v>0</v>
      </c>
      <c r="H44" s="63">
        <f>+'Schedule 7'!C$39*2</f>
        <v>1.0928</v>
      </c>
      <c r="I44" s="63">
        <f>+'Schedule 7'!C$37+'Schedule 7'!C$38</f>
        <v>1.5081</v>
      </c>
    </row>
    <row r="45" spans="1:9">
      <c r="A45" s="65" t="s">
        <v>804</v>
      </c>
      <c r="B45" s="63">
        <f t="shared" si="1"/>
        <v>215.7457</v>
      </c>
      <c r="C45" s="63">
        <f>+'Schedule 7'!C93</f>
        <v>183.39429999999999</v>
      </c>
      <c r="D45" s="63">
        <f>+'Schedule 7'!C$26</f>
        <v>25.23</v>
      </c>
      <c r="E45" s="63">
        <f>+'Schedule 7'!C$106</f>
        <v>4.5205000000000002</v>
      </c>
      <c r="F45" s="63">
        <v>0</v>
      </c>
      <c r="G45" s="63">
        <v>0</v>
      </c>
      <c r="H45" s="63">
        <f>+'Schedule 7'!C$39*2</f>
        <v>1.0928</v>
      </c>
      <c r="I45" s="63">
        <f>+'Schedule 7'!C$37+'Schedule 7'!C$38</f>
        <v>1.5081</v>
      </c>
    </row>
    <row r="46" spans="1:9">
      <c r="A46" s="61" t="s">
        <v>805</v>
      </c>
      <c r="B46" s="63">
        <f t="shared" si="1"/>
        <v>202.11710000000002</v>
      </c>
      <c r="C46" s="63">
        <f>+'Schedule 7'!C96</f>
        <v>184.4057</v>
      </c>
      <c r="D46" s="63">
        <f>+'Schedule 7'!C29</f>
        <v>10.59</v>
      </c>
      <c r="E46" s="63">
        <f>+'Schedule 7'!C$106</f>
        <v>4.5205000000000002</v>
      </c>
      <c r="F46" s="63">
        <v>0</v>
      </c>
      <c r="G46" s="63">
        <v>0</v>
      </c>
      <c r="H46" s="63">
        <f>+'Schedule 7'!C$39*2</f>
        <v>1.0928</v>
      </c>
      <c r="I46" s="63">
        <f>+'Schedule 7'!C$37+'Schedule 7'!C$38</f>
        <v>1.5081</v>
      </c>
    </row>
    <row r="47" spans="1:9">
      <c r="A47" s="61" t="s">
        <v>806</v>
      </c>
      <c r="B47" s="63">
        <f t="shared" si="1"/>
        <v>215.26100000000002</v>
      </c>
      <c r="C47" s="63">
        <f>+'Schedule 7'!C98</f>
        <v>194.9496</v>
      </c>
      <c r="D47" s="63">
        <f>+'Schedule 7'!C30</f>
        <v>13.19</v>
      </c>
      <c r="E47" s="63">
        <f>+'Schedule 7'!C$106</f>
        <v>4.5205000000000002</v>
      </c>
      <c r="F47" s="63">
        <v>0</v>
      </c>
      <c r="G47" s="63">
        <v>0</v>
      </c>
      <c r="H47" s="63">
        <f>+'Schedule 7'!C$39*2</f>
        <v>1.0928</v>
      </c>
      <c r="I47" s="63">
        <f>+'Schedule 7'!C$37+'Schedule 7'!C$38</f>
        <v>1.5081</v>
      </c>
    </row>
    <row r="48" spans="1:9">
      <c r="A48" s="65" t="s">
        <v>802</v>
      </c>
      <c r="B48" s="63">
        <f t="shared" si="1"/>
        <v>216.25370000000001</v>
      </c>
      <c r="C48" s="63">
        <f>+'Schedule 7'!C99</f>
        <v>190.3023</v>
      </c>
      <c r="D48" s="63">
        <f>+'Schedule 7'!C32</f>
        <v>18.829999999999998</v>
      </c>
      <c r="E48" s="63">
        <f>+'Schedule 7'!C$106</f>
        <v>4.5205000000000002</v>
      </c>
      <c r="F48" s="63">
        <v>0</v>
      </c>
      <c r="G48" s="63">
        <v>0</v>
      </c>
      <c r="H48" s="63">
        <f>+'Schedule 7'!C$39*2</f>
        <v>1.0928</v>
      </c>
      <c r="I48" s="63">
        <f>+'Schedule 7'!C$37+'Schedule 7'!C$38</f>
        <v>1.5081</v>
      </c>
    </row>
    <row r="49" spans="1:9">
      <c r="A49" s="61" t="s">
        <v>731</v>
      </c>
      <c r="B49" s="63">
        <f t="shared" si="1"/>
        <v>223.68520000000004</v>
      </c>
      <c r="C49" s="63">
        <f>+'Schedule 7'!C100</f>
        <v>201.63380000000001</v>
      </c>
      <c r="D49" s="63">
        <f>+'Schedule 7'!C33</f>
        <v>14.93</v>
      </c>
      <c r="E49" s="63">
        <f>+'Schedule 7'!C$106</f>
        <v>4.5205000000000002</v>
      </c>
      <c r="F49" s="63">
        <v>0</v>
      </c>
      <c r="G49" s="63">
        <v>0</v>
      </c>
      <c r="H49" s="63">
        <f>+'Schedule 7'!C$39*2</f>
        <v>1.0928</v>
      </c>
      <c r="I49" s="63">
        <f>+'Schedule 7'!C$37+'Schedule 7'!C$38</f>
        <v>1.5081</v>
      </c>
    </row>
    <row r="50" spans="1:9">
      <c r="A50" s="61" t="s">
        <v>733</v>
      </c>
      <c r="B50" s="63">
        <f t="shared" si="1"/>
        <v>459.32929999999999</v>
      </c>
      <c r="C50" s="63">
        <f>+'Schedule 7'!C101</f>
        <v>405.65129999999999</v>
      </c>
      <c r="D50" s="63">
        <f>+'Schedule 7'!C34</f>
        <v>31.31</v>
      </c>
      <c r="E50" s="63">
        <f>+'Schedule 7'!C107</f>
        <v>19.767099999999999</v>
      </c>
      <c r="F50" s="63">
        <v>0</v>
      </c>
      <c r="G50" s="63">
        <v>0</v>
      </c>
      <c r="H50" s="63">
        <f>+'Schedule 7'!C$39*2</f>
        <v>1.0928</v>
      </c>
      <c r="I50" s="63">
        <f>+'Schedule 7'!C$37+'Schedule 7'!C$38</f>
        <v>1.5081</v>
      </c>
    </row>
    <row r="51" spans="1:9">
      <c r="A51" s="61" t="s">
        <v>502</v>
      </c>
      <c r="B51" s="63">
        <f>SUM(C51:I51)-D51-E51</f>
        <v>197.77090000000001</v>
      </c>
      <c r="C51" s="63">
        <f>+'Schedule 7'!C89</f>
        <v>195.17</v>
      </c>
      <c r="D51" s="63">
        <f>+'Schedule 7'!C23</f>
        <v>8.81</v>
      </c>
      <c r="E51" s="63">
        <f>+'Schedule 7'!C$106</f>
        <v>4.5205000000000002</v>
      </c>
      <c r="F51" s="63">
        <v>0</v>
      </c>
      <c r="G51" s="63">
        <v>0</v>
      </c>
      <c r="H51" s="63">
        <f>+'Schedule 7'!C$39*2</f>
        <v>1.0928</v>
      </c>
      <c r="I51" s="63">
        <f>+'Schedule 7'!C$37+'Schedule 7'!C$38</f>
        <v>1.5081</v>
      </c>
    </row>
    <row r="52" spans="1:9">
      <c r="A52" s="61" t="s">
        <v>503</v>
      </c>
      <c r="B52" s="63">
        <f>SUM(C52:I52)-D52-E52</f>
        <v>143.10090000000002</v>
      </c>
      <c r="C52" s="63">
        <f>+'Schedule 7'!C92</f>
        <v>140.5</v>
      </c>
      <c r="D52" s="63">
        <f>+'Schedule 7'!C24</f>
        <v>8.6199999999999992</v>
      </c>
      <c r="E52" s="63">
        <f>+'Schedule 7'!C$106</f>
        <v>4.5205000000000002</v>
      </c>
      <c r="F52" s="63">
        <v>0</v>
      </c>
      <c r="G52" s="63">
        <v>0</v>
      </c>
      <c r="H52" s="63">
        <f>+'Schedule 7'!C$39*2</f>
        <v>1.0928</v>
      </c>
      <c r="I52" s="63">
        <f>+'Schedule 7'!C$37+'Schedule 7'!C$38</f>
        <v>1.5081</v>
      </c>
    </row>
  </sheetData>
  <phoneticPr fontId="23" type="noConversion"/>
  <printOptions horizontalCentered="1" verticalCentered="1"/>
  <pageMargins left="0.75" right="0.75" top="1" bottom="1" header="0.5" footer="0.5"/>
  <pageSetup scale="7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6"/>
  <sheetViews>
    <sheetView workbookViewId="0">
      <selection activeCell="C149" sqref="C149"/>
    </sheetView>
  </sheetViews>
  <sheetFormatPr defaultRowHeight="12.75"/>
  <cols>
    <col min="1" max="1" width="10.109375" style="159" customWidth="1"/>
    <col min="2" max="2" width="27" style="159" bestFit="1" customWidth="1"/>
    <col min="3" max="3" width="11.88671875" style="760" bestFit="1" customWidth="1"/>
    <col min="4" max="4" width="8.88671875" style="159"/>
    <col min="5" max="5" width="11.77734375" style="159" bestFit="1" customWidth="1"/>
    <col min="6" max="16384" width="8.88671875" style="159"/>
  </cols>
  <sheetData>
    <row r="1" spans="1:5">
      <c r="E1" s="160" t="s">
        <v>1006</v>
      </c>
    </row>
    <row r="2" spans="1:5" ht="18">
      <c r="A2" s="161" t="str">
        <f>+'Schedule 6'!A3</f>
        <v>STREET / CROSSWALK LIGHTING STUDY</v>
      </c>
      <c r="B2" s="162"/>
      <c r="C2" s="761"/>
      <c r="D2" s="162"/>
      <c r="E2" s="162"/>
    </row>
    <row r="4" spans="1:5" ht="15.75">
      <c r="A4" s="57" t="s">
        <v>786</v>
      </c>
      <c r="B4" s="162"/>
      <c r="C4" s="761"/>
      <c r="D4" s="162"/>
      <c r="E4" s="162"/>
    </row>
    <row r="5" spans="1:5" ht="15.75">
      <c r="A5" s="58" t="s">
        <v>501</v>
      </c>
      <c r="B5" s="162"/>
      <c r="C5" s="761"/>
      <c r="D5" s="162"/>
      <c r="E5" s="162"/>
    </row>
    <row r="7" spans="1:5">
      <c r="A7" s="163" t="s">
        <v>1007</v>
      </c>
      <c r="B7" s="163" t="s">
        <v>1008</v>
      </c>
      <c r="C7" s="762" t="s">
        <v>500</v>
      </c>
      <c r="D7" s="164" t="s">
        <v>1009</v>
      </c>
    </row>
    <row r="8" spans="1:5">
      <c r="A8" s="163"/>
      <c r="B8" s="163"/>
      <c r="C8" s="762"/>
      <c r="D8" s="165"/>
    </row>
    <row r="9" spans="1:5">
      <c r="A9" s="166" t="s">
        <v>1010</v>
      </c>
      <c r="B9" s="167" t="s">
        <v>1011</v>
      </c>
      <c r="C9" s="168">
        <v>1.3480000000000001</v>
      </c>
      <c r="D9" s="165"/>
    </row>
    <row r="10" spans="1:5">
      <c r="A10" s="166" t="s">
        <v>1012</v>
      </c>
      <c r="B10" s="167" t="s">
        <v>1011</v>
      </c>
      <c r="C10" s="168">
        <v>1.3636000000000001</v>
      </c>
      <c r="D10" s="165"/>
    </row>
    <row r="11" spans="1:5">
      <c r="A11" s="166" t="s">
        <v>1013</v>
      </c>
      <c r="B11" s="167" t="s">
        <v>1014</v>
      </c>
      <c r="C11" s="168">
        <v>3.49</v>
      </c>
      <c r="D11" s="165"/>
    </row>
    <row r="12" spans="1:5">
      <c r="A12" s="166" t="s">
        <v>1015</v>
      </c>
      <c r="B12" s="167" t="s">
        <v>1016</v>
      </c>
      <c r="C12" s="763">
        <v>3.9463000000000004</v>
      </c>
      <c r="D12" s="165"/>
    </row>
    <row r="13" spans="1:5">
      <c r="A13" s="166" t="s">
        <v>1017</v>
      </c>
      <c r="B13" s="167" t="s">
        <v>1018</v>
      </c>
      <c r="C13" s="763">
        <v>4.1900000000000004</v>
      </c>
      <c r="D13" s="165"/>
    </row>
    <row r="14" spans="1:5">
      <c r="A14" s="166" t="s">
        <v>1019</v>
      </c>
      <c r="B14" s="167" t="s">
        <v>1020</v>
      </c>
      <c r="C14" s="763">
        <v>3.1943000000000001</v>
      </c>
      <c r="D14" s="165"/>
    </row>
    <row r="15" spans="1:5">
      <c r="A15" s="166" t="s">
        <v>1021</v>
      </c>
      <c r="B15" s="167" t="s">
        <v>1022</v>
      </c>
      <c r="C15" s="763">
        <v>6.5429000000000004</v>
      </c>
      <c r="D15" s="165"/>
    </row>
    <row r="16" spans="1:5">
      <c r="A16" s="166" t="s">
        <v>1023</v>
      </c>
      <c r="B16" s="167" t="s">
        <v>1024</v>
      </c>
      <c r="C16" s="763">
        <v>15.987</v>
      </c>
      <c r="D16" s="165"/>
    </row>
    <row r="17" spans="1:4">
      <c r="A17" s="166" t="s">
        <v>1025</v>
      </c>
      <c r="B17" s="167" t="s">
        <v>1026</v>
      </c>
      <c r="C17" s="763">
        <v>10.681600000000001</v>
      </c>
      <c r="D17" s="165"/>
    </row>
    <row r="18" spans="1:4">
      <c r="A18" s="166" t="s">
        <v>1027</v>
      </c>
      <c r="B18" s="167" t="s">
        <v>1028</v>
      </c>
      <c r="C18" s="763">
        <v>7.1712999999999996</v>
      </c>
      <c r="D18" s="165"/>
    </row>
    <row r="19" spans="1:4">
      <c r="A19" s="166" t="s">
        <v>1029</v>
      </c>
      <c r="B19" s="167" t="s">
        <v>1030</v>
      </c>
      <c r="C19" s="763">
        <v>7.86</v>
      </c>
      <c r="D19" s="165"/>
    </row>
    <row r="20" spans="1:4">
      <c r="A20" s="166" t="s">
        <v>1031</v>
      </c>
      <c r="B20" s="167" t="s">
        <v>1032</v>
      </c>
      <c r="C20" s="763">
        <v>8.9847000000000001</v>
      </c>
      <c r="D20" s="165"/>
    </row>
    <row r="21" spans="1:4">
      <c r="A21" s="166" t="s">
        <v>1033</v>
      </c>
      <c r="B21" s="167" t="s">
        <v>1034</v>
      </c>
      <c r="C21" s="763">
        <v>37.096000000000004</v>
      </c>
      <c r="D21" s="165"/>
    </row>
    <row r="22" spans="1:4">
      <c r="A22" s="166" t="s">
        <v>1035</v>
      </c>
      <c r="B22" s="167" t="s">
        <v>1036</v>
      </c>
      <c r="C22" s="763">
        <v>46.347499999999997</v>
      </c>
      <c r="D22" s="165"/>
    </row>
    <row r="23" spans="1:4">
      <c r="A23" s="166" t="s">
        <v>1037</v>
      </c>
      <c r="B23" s="167" t="s">
        <v>1038</v>
      </c>
      <c r="C23" s="763">
        <v>8.81</v>
      </c>
      <c r="D23" s="165"/>
    </row>
    <row r="24" spans="1:4">
      <c r="A24" s="166" t="s">
        <v>1039</v>
      </c>
      <c r="B24" s="167" t="s">
        <v>1040</v>
      </c>
      <c r="C24" s="763">
        <v>8.6199999999999992</v>
      </c>
      <c r="D24" s="165"/>
    </row>
    <row r="25" spans="1:4">
      <c r="A25" s="166" t="s">
        <v>1041</v>
      </c>
      <c r="B25" s="167" t="s">
        <v>1042</v>
      </c>
      <c r="C25" s="763">
        <v>44</v>
      </c>
      <c r="D25" s="165"/>
    </row>
    <row r="26" spans="1:4">
      <c r="A26" s="166" t="s">
        <v>1043</v>
      </c>
      <c r="B26" s="167" t="s">
        <v>1044</v>
      </c>
      <c r="C26" s="168">
        <v>25.23</v>
      </c>
      <c r="D26" s="165"/>
    </row>
    <row r="27" spans="1:4">
      <c r="A27" s="166" t="s">
        <v>1045</v>
      </c>
      <c r="B27" s="167" t="s">
        <v>1046</v>
      </c>
      <c r="C27" s="763">
        <v>8.67</v>
      </c>
      <c r="D27" s="165"/>
    </row>
    <row r="28" spans="1:4">
      <c r="A28" s="166" t="s">
        <v>1047</v>
      </c>
      <c r="B28" s="167" t="s">
        <v>1048</v>
      </c>
      <c r="C28" s="763">
        <v>54.773200000000003</v>
      </c>
      <c r="D28" s="165"/>
    </row>
    <row r="29" spans="1:4">
      <c r="A29" s="166" t="s">
        <v>1049</v>
      </c>
      <c r="B29" s="167" t="s">
        <v>1050</v>
      </c>
      <c r="C29" s="763">
        <v>10.59</v>
      </c>
      <c r="D29" s="165"/>
    </row>
    <row r="30" spans="1:4">
      <c r="A30" s="166" t="s">
        <v>1051</v>
      </c>
      <c r="B30" s="167" t="s">
        <v>1052</v>
      </c>
      <c r="C30" s="763">
        <v>13.19</v>
      </c>
      <c r="D30" s="165"/>
    </row>
    <row r="31" spans="1:4">
      <c r="A31" s="166" t="s">
        <v>1053</v>
      </c>
      <c r="B31" s="167" t="s">
        <v>1054</v>
      </c>
      <c r="C31" s="763">
        <v>60.317500000000003</v>
      </c>
      <c r="D31" s="165"/>
    </row>
    <row r="32" spans="1:4">
      <c r="A32" s="166" t="s">
        <v>1055</v>
      </c>
      <c r="B32" s="167" t="s">
        <v>1056</v>
      </c>
      <c r="C32" s="763">
        <v>18.829999999999998</v>
      </c>
      <c r="D32" s="165"/>
    </row>
    <row r="33" spans="1:4">
      <c r="A33" s="166" t="s">
        <v>1057</v>
      </c>
      <c r="B33" s="167" t="s">
        <v>1058</v>
      </c>
      <c r="C33" s="763">
        <v>14.93</v>
      </c>
      <c r="D33" s="165"/>
    </row>
    <row r="34" spans="1:4">
      <c r="A34" s="166" t="s">
        <v>1059</v>
      </c>
      <c r="B34" s="167" t="s">
        <v>1060</v>
      </c>
      <c r="C34" s="763">
        <v>31.31</v>
      </c>
      <c r="D34" s="165"/>
    </row>
    <row r="35" spans="1:4">
      <c r="A35" s="166" t="s">
        <v>1061</v>
      </c>
      <c r="B35" s="167" t="s">
        <v>1062</v>
      </c>
      <c r="C35" s="168">
        <v>2.21</v>
      </c>
      <c r="D35" s="165"/>
    </row>
    <row r="36" spans="1:4">
      <c r="A36" s="166" t="s">
        <v>1063</v>
      </c>
      <c r="B36" s="167" t="s">
        <v>1064</v>
      </c>
      <c r="C36" s="763">
        <v>4.3644999999999996</v>
      </c>
      <c r="D36" s="165"/>
    </row>
    <row r="37" spans="1:4">
      <c r="A37" s="166" t="s">
        <v>1065</v>
      </c>
      <c r="B37" s="167" t="s">
        <v>1066</v>
      </c>
      <c r="C37" s="763">
        <v>0.4597</v>
      </c>
      <c r="D37" s="165"/>
    </row>
    <row r="38" spans="1:4">
      <c r="A38" s="166" t="s">
        <v>1067</v>
      </c>
      <c r="B38" s="167" t="s">
        <v>1068</v>
      </c>
      <c r="C38" s="763">
        <v>1.0484</v>
      </c>
      <c r="D38" s="165"/>
    </row>
    <row r="39" spans="1:4">
      <c r="A39" s="166" t="s">
        <v>1069</v>
      </c>
      <c r="B39" s="167" t="s">
        <v>1070</v>
      </c>
      <c r="C39" s="763">
        <v>0.5464</v>
      </c>
      <c r="D39" s="165"/>
    </row>
    <row r="40" spans="1:4">
      <c r="A40" s="166" t="s">
        <v>1071</v>
      </c>
      <c r="B40" s="167" t="s">
        <v>1072</v>
      </c>
      <c r="C40" s="763">
        <v>101.45</v>
      </c>
      <c r="D40" s="165"/>
    </row>
    <row r="41" spans="1:4">
      <c r="A41" s="166" t="s">
        <v>1073</v>
      </c>
      <c r="B41" s="167" t="s">
        <v>1074</v>
      </c>
      <c r="C41" s="763">
        <v>60.020900000000005</v>
      </c>
      <c r="D41" s="165"/>
    </row>
    <row r="42" spans="1:4">
      <c r="A42" s="166" t="s">
        <v>1075</v>
      </c>
      <c r="B42" s="167" t="s">
        <v>1076</v>
      </c>
      <c r="C42" s="168">
        <v>27.46</v>
      </c>
      <c r="D42" s="165"/>
    </row>
    <row r="43" spans="1:4">
      <c r="A43" s="166" t="s">
        <v>1077</v>
      </c>
      <c r="B43" s="167" t="s">
        <v>1078</v>
      </c>
      <c r="C43" s="763">
        <v>67.317599999999999</v>
      </c>
      <c r="D43" s="165"/>
    </row>
    <row r="44" spans="1:4">
      <c r="A44" s="166" t="s">
        <v>1079</v>
      </c>
      <c r="B44" s="167" t="s">
        <v>1080</v>
      </c>
      <c r="C44" s="168">
        <v>18.91</v>
      </c>
      <c r="D44" s="165"/>
    </row>
    <row r="45" spans="1:4">
      <c r="A45" s="166" t="s">
        <v>1081</v>
      </c>
      <c r="B45" s="167" t="s">
        <v>1082</v>
      </c>
      <c r="C45" s="168">
        <v>48.899000000000008</v>
      </c>
      <c r="D45" s="165"/>
    </row>
    <row r="46" spans="1:4">
      <c r="A46" s="166" t="s">
        <v>1083</v>
      </c>
      <c r="B46" s="167" t="s">
        <v>1084</v>
      </c>
      <c r="C46" s="168">
        <v>87.05</v>
      </c>
      <c r="D46" s="165"/>
    </row>
    <row r="47" spans="1:4">
      <c r="A47" s="166" t="s">
        <v>1085</v>
      </c>
      <c r="B47" s="167" t="s">
        <v>1086</v>
      </c>
      <c r="C47" s="168">
        <v>106.435</v>
      </c>
      <c r="D47" s="165"/>
    </row>
    <row r="48" spans="1:4">
      <c r="A48" s="166" t="s">
        <v>1087</v>
      </c>
      <c r="B48" s="167" t="s">
        <v>1088</v>
      </c>
      <c r="C48" s="763">
        <v>69.882599999999996</v>
      </c>
      <c r="D48" s="165"/>
    </row>
    <row r="49" spans="1:4">
      <c r="A49" s="166" t="s">
        <v>1089</v>
      </c>
      <c r="B49" s="167" t="s">
        <v>1090</v>
      </c>
      <c r="C49" s="168">
        <v>87.474999999999994</v>
      </c>
      <c r="D49" s="165"/>
    </row>
    <row r="50" spans="1:4">
      <c r="A50" s="166" t="s">
        <v>1091</v>
      </c>
      <c r="B50" s="167" t="s">
        <v>1092</v>
      </c>
      <c r="C50" s="763">
        <v>173.8</v>
      </c>
      <c r="D50" s="165"/>
    </row>
    <row r="51" spans="1:4">
      <c r="A51" s="166" t="s">
        <v>1093</v>
      </c>
      <c r="B51" s="167" t="s">
        <v>1094</v>
      </c>
      <c r="C51" s="168">
        <v>9.4628999999999994</v>
      </c>
      <c r="D51" s="165"/>
    </row>
    <row r="52" spans="1:4">
      <c r="A52" s="166" t="s">
        <v>1095</v>
      </c>
      <c r="B52" s="167" t="s">
        <v>1096</v>
      </c>
      <c r="C52" s="168">
        <v>26.241</v>
      </c>
      <c r="D52" s="165"/>
    </row>
    <row r="53" spans="1:4">
      <c r="A53" s="166" t="s">
        <v>1097</v>
      </c>
      <c r="B53" s="167" t="s">
        <v>1098</v>
      </c>
      <c r="C53" s="763">
        <v>463.38</v>
      </c>
      <c r="D53" s="165"/>
    </row>
    <row r="54" spans="1:4">
      <c r="A54" s="166" t="s">
        <v>1099</v>
      </c>
      <c r="B54" s="167" t="s">
        <v>1100</v>
      </c>
      <c r="C54" s="763">
        <v>788.98839999999996</v>
      </c>
      <c r="D54" s="165" t="s">
        <v>1101</v>
      </c>
    </row>
    <row r="55" spans="1:4">
      <c r="A55" s="166" t="s">
        <v>1102</v>
      </c>
      <c r="B55" s="167" t="s">
        <v>1103</v>
      </c>
      <c r="C55" s="763">
        <v>493.3</v>
      </c>
      <c r="D55" s="165" t="s">
        <v>1104</v>
      </c>
    </row>
    <row r="56" spans="1:4">
      <c r="A56" s="166" t="s">
        <v>1105</v>
      </c>
      <c r="B56" s="167" t="s">
        <v>1106</v>
      </c>
      <c r="C56" s="763">
        <v>780.20460000000003</v>
      </c>
      <c r="D56" s="165" t="s">
        <v>1104</v>
      </c>
    </row>
    <row r="57" spans="1:4">
      <c r="A57" s="166" t="s">
        <v>1107</v>
      </c>
      <c r="B57" s="167" t="s">
        <v>1108</v>
      </c>
      <c r="C57" s="168">
        <v>73.332999999999998</v>
      </c>
      <c r="D57" s="165" t="s">
        <v>1104</v>
      </c>
    </row>
    <row r="58" spans="1:4">
      <c r="A58" s="166" t="s">
        <v>484</v>
      </c>
      <c r="B58" s="167" t="s">
        <v>1109</v>
      </c>
      <c r="C58" s="763">
        <v>99.23</v>
      </c>
      <c r="D58" s="165" t="s">
        <v>1104</v>
      </c>
    </row>
    <row r="59" spans="1:4">
      <c r="A59" s="166" t="s">
        <v>1110</v>
      </c>
      <c r="B59" s="167" t="s">
        <v>1111</v>
      </c>
      <c r="C59" s="763">
        <v>97.696799999999996</v>
      </c>
      <c r="D59" s="165" t="s">
        <v>1104</v>
      </c>
    </row>
    <row r="60" spans="1:4">
      <c r="A60" s="166" t="s">
        <v>1112</v>
      </c>
      <c r="B60" s="167" t="s">
        <v>1113</v>
      </c>
      <c r="C60" s="763">
        <v>120.88</v>
      </c>
      <c r="D60" s="165" t="s">
        <v>1114</v>
      </c>
    </row>
    <row r="61" spans="1:4">
      <c r="A61" s="166" t="s">
        <v>1115</v>
      </c>
      <c r="B61" s="167" t="s">
        <v>1116</v>
      </c>
      <c r="C61" s="168">
        <v>69.316999999999993</v>
      </c>
      <c r="D61" s="165" t="s">
        <v>1104</v>
      </c>
    </row>
    <row r="62" spans="1:4">
      <c r="A62" s="166" t="s">
        <v>1119</v>
      </c>
      <c r="B62" s="167" t="s">
        <v>1120</v>
      </c>
      <c r="C62" s="168">
        <v>97.68</v>
      </c>
      <c r="D62" s="165" t="s">
        <v>1121</v>
      </c>
    </row>
    <row r="63" spans="1:4">
      <c r="A63" s="166" t="s">
        <v>1122</v>
      </c>
      <c r="B63" s="167" t="s">
        <v>1123</v>
      </c>
      <c r="C63" s="168">
        <v>99.37360000000001</v>
      </c>
      <c r="D63" s="165" t="s">
        <v>1124</v>
      </c>
    </row>
    <row r="64" spans="1:4">
      <c r="A64" s="166" t="s">
        <v>1125</v>
      </c>
      <c r="B64" s="167" t="s">
        <v>1126</v>
      </c>
      <c r="C64" s="168">
        <v>120.32</v>
      </c>
      <c r="D64" s="165" t="s">
        <v>1127</v>
      </c>
    </row>
    <row r="65" spans="1:4">
      <c r="A65" s="166" t="s">
        <v>1128</v>
      </c>
      <c r="B65" s="167" t="s">
        <v>1129</v>
      </c>
      <c r="C65" s="168">
        <v>75.004000000000005</v>
      </c>
      <c r="D65" s="165" t="s">
        <v>1104</v>
      </c>
    </row>
    <row r="66" spans="1:4">
      <c r="A66" s="166" t="s">
        <v>1130</v>
      </c>
      <c r="B66" s="167" t="s">
        <v>1131</v>
      </c>
      <c r="C66" s="168">
        <v>100.21</v>
      </c>
      <c r="D66" s="165" t="s">
        <v>1104</v>
      </c>
    </row>
    <row r="67" spans="1:4">
      <c r="A67" s="166" t="s">
        <v>1132</v>
      </c>
      <c r="B67" s="167" t="s">
        <v>1133</v>
      </c>
      <c r="C67" s="763">
        <v>124.0162</v>
      </c>
      <c r="D67" s="165" t="s">
        <v>1134</v>
      </c>
    </row>
    <row r="68" spans="1:4">
      <c r="A68" s="166" t="s">
        <v>1135</v>
      </c>
      <c r="B68" s="167" t="s">
        <v>1136</v>
      </c>
      <c r="C68" s="168">
        <v>98.366200000000006</v>
      </c>
      <c r="D68" s="165" t="s">
        <v>1104</v>
      </c>
    </row>
    <row r="69" spans="1:4">
      <c r="A69" s="166" t="s">
        <v>1137</v>
      </c>
      <c r="B69" s="167" t="s">
        <v>1138</v>
      </c>
      <c r="C69" s="168">
        <v>98.76</v>
      </c>
      <c r="D69" s="165" t="s">
        <v>1104</v>
      </c>
    </row>
    <row r="70" spans="1:4">
      <c r="A70" s="166" t="s">
        <v>1139</v>
      </c>
      <c r="B70" s="167" t="s">
        <v>1140</v>
      </c>
      <c r="C70" s="168">
        <v>135.75</v>
      </c>
      <c r="D70" s="165" t="s">
        <v>1104</v>
      </c>
    </row>
    <row r="71" spans="1:4">
      <c r="A71" s="166" t="s">
        <v>1141</v>
      </c>
      <c r="B71" s="167" t="s">
        <v>1142</v>
      </c>
      <c r="C71" s="168">
        <v>82.27</v>
      </c>
      <c r="D71" s="165" t="s">
        <v>1104</v>
      </c>
    </row>
    <row r="72" spans="1:4">
      <c r="A72" s="166" t="s">
        <v>1143</v>
      </c>
      <c r="B72" s="167" t="s">
        <v>1144</v>
      </c>
      <c r="C72" s="168">
        <v>100.95</v>
      </c>
      <c r="D72" s="165" t="s">
        <v>1104</v>
      </c>
    </row>
    <row r="73" spans="1:4">
      <c r="A73" s="166" t="s">
        <v>1145</v>
      </c>
      <c r="B73" s="167" t="s">
        <v>1146</v>
      </c>
      <c r="C73" s="763">
        <v>146.03489999999999</v>
      </c>
      <c r="D73" s="165" t="s">
        <v>1147</v>
      </c>
    </row>
    <row r="74" spans="1:4">
      <c r="A74" s="166" t="s">
        <v>1148</v>
      </c>
      <c r="B74" s="167" t="s">
        <v>1149</v>
      </c>
      <c r="C74" s="763">
        <v>150.88</v>
      </c>
      <c r="D74" s="165" t="s">
        <v>1150</v>
      </c>
    </row>
    <row r="75" spans="1:4">
      <c r="A75" s="166" t="s">
        <v>1151</v>
      </c>
      <c r="B75" s="167" t="s">
        <v>1152</v>
      </c>
      <c r="C75" s="168">
        <v>79.236999999999995</v>
      </c>
      <c r="D75" s="165" t="s">
        <v>1104</v>
      </c>
    </row>
    <row r="76" spans="1:4">
      <c r="A76" s="166" t="s">
        <v>1153</v>
      </c>
      <c r="B76" s="167" t="s">
        <v>1154</v>
      </c>
      <c r="C76" s="168">
        <v>102.95</v>
      </c>
      <c r="D76" s="165" t="s">
        <v>1104</v>
      </c>
    </row>
    <row r="77" spans="1:4">
      <c r="A77" s="166" t="s">
        <v>1155</v>
      </c>
      <c r="B77" s="167" t="s">
        <v>1156</v>
      </c>
      <c r="C77" s="763">
        <v>142.47999999999999</v>
      </c>
      <c r="D77" s="165" t="s">
        <v>1134</v>
      </c>
    </row>
    <row r="78" spans="1:4">
      <c r="A78" s="166" t="s">
        <v>1157</v>
      </c>
      <c r="B78" s="167" t="s">
        <v>1158</v>
      </c>
      <c r="C78" s="763">
        <v>160.67670000000001</v>
      </c>
      <c r="D78" s="165" t="s">
        <v>1159</v>
      </c>
    </row>
    <row r="79" spans="1:4">
      <c r="A79" s="166" t="s">
        <v>1160</v>
      </c>
      <c r="B79" s="167" t="s">
        <v>1171</v>
      </c>
      <c r="C79" s="763">
        <v>109.5951</v>
      </c>
      <c r="D79" s="165" t="s">
        <v>1104</v>
      </c>
    </row>
    <row r="80" spans="1:4">
      <c r="A80" s="166" t="s">
        <v>1172</v>
      </c>
      <c r="B80" s="167" t="s">
        <v>1173</v>
      </c>
      <c r="C80" s="763">
        <v>157.0179</v>
      </c>
      <c r="D80" s="165" t="s">
        <v>1174</v>
      </c>
    </row>
    <row r="81" spans="1:4">
      <c r="A81" s="166" t="s">
        <v>1175</v>
      </c>
      <c r="B81" s="167" t="s">
        <v>1176</v>
      </c>
      <c r="C81" s="168">
        <v>204.297</v>
      </c>
      <c r="D81" s="165" t="s">
        <v>1104</v>
      </c>
    </row>
    <row r="82" spans="1:4">
      <c r="A82" s="166" t="s">
        <v>1177</v>
      </c>
      <c r="B82" s="167" t="s">
        <v>1178</v>
      </c>
      <c r="C82" s="763">
        <v>196</v>
      </c>
      <c r="D82" s="165" t="s">
        <v>1104</v>
      </c>
    </row>
    <row r="83" spans="1:4">
      <c r="A83" s="166" t="s">
        <v>1179</v>
      </c>
      <c r="B83" s="167" t="s">
        <v>1180</v>
      </c>
      <c r="C83" s="168">
        <v>172.32769999999999</v>
      </c>
      <c r="D83" s="165" t="s">
        <v>1174</v>
      </c>
    </row>
    <row r="84" spans="1:4">
      <c r="A84" s="166" t="s">
        <v>1181</v>
      </c>
      <c r="B84" s="167" t="s">
        <v>1182</v>
      </c>
      <c r="C84" s="168">
        <v>281.54330000000004</v>
      </c>
      <c r="D84" s="165" t="s">
        <v>1104</v>
      </c>
    </row>
    <row r="85" spans="1:4">
      <c r="A85" s="166" t="s">
        <v>1183</v>
      </c>
      <c r="B85" s="167" t="s">
        <v>1184</v>
      </c>
      <c r="C85" s="168">
        <v>300</v>
      </c>
      <c r="D85" s="165" t="s">
        <v>1104</v>
      </c>
    </row>
    <row r="86" spans="1:4">
      <c r="A86" s="166" t="s">
        <v>1185</v>
      </c>
      <c r="B86" s="167" t="s">
        <v>1184</v>
      </c>
      <c r="C86" s="168">
        <v>294.79000000000002</v>
      </c>
      <c r="D86" s="165" t="s">
        <v>1186</v>
      </c>
    </row>
    <row r="87" spans="1:4">
      <c r="A87" s="166" t="s">
        <v>1187</v>
      </c>
      <c r="B87" s="167" t="s">
        <v>1188</v>
      </c>
      <c r="C87" s="168">
        <v>107.759</v>
      </c>
      <c r="D87" s="165" t="s">
        <v>1104</v>
      </c>
    </row>
    <row r="88" spans="1:4">
      <c r="A88" s="166" t="s">
        <v>1189</v>
      </c>
      <c r="B88" s="167" t="s">
        <v>1190</v>
      </c>
      <c r="C88" s="168">
        <v>107.79809999999999</v>
      </c>
      <c r="D88" s="165" t="s">
        <v>1191</v>
      </c>
    </row>
    <row r="89" spans="1:4">
      <c r="A89" s="166" t="s">
        <v>1192</v>
      </c>
      <c r="B89" s="167" t="s">
        <v>1193</v>
      </c>
      <c r="C89" s="763">
        <v>195.17</v>
      </c>
      <c r="D89" s="165" t="s">
        <v>1194</v>
      </c>
    </row>
    <row r="90" spans="1:4">
      <c r="A90" s="166" t="s">
        <v>1195</v>
      </c>
      <c r="B90" s="167" t="s">
        <v>1196</v>
      </c>
      <c r="C90" s="168">
        <v>92.88</v>
      </c>
      <c r="D90" s="165" t="s">
        <v>1104</v>
      </c>
    </row>
    <row r="91" spans="1:4">
      <c r="A91" s="166" t="s">
        <v>1197</v>
      </c>
      <c r="B91" s="167" t="s">
        <v>1198</v>
      </c>
      <c r="C91" s="168">
        <v>106.36499999999999</v>
      </c>
      <c r="D91" s="165" t="s">
        <v>1104</v>
      </c>
    </row>
    <row r="92" spans="1:4">
      <c r="A92" s="166" t="s">
        <v>1199</v>
      </c>
      <c r="B92" s="167" t="s">
        <v>1200</v>
      </c>
      <c r="C92" s="763">
        <v>140.5</v>
      </c>
      <c r="D92" s="165" t="s">
        <v>1201</v>
      </c>
    </row>
    <row r="93" spans="1:4">
      <c r="A93" s="166" t="s">
        <v>1202</v>
      </c>
      <c r="B93" s="167" t="s">
        <v>1203</v>
      </c>
      <c r="C93" s="763">
        <v>183.39429999999999</v>
      </c>
      <c r="D93" s="165" t="s">
        <v>1204</v>
      </c>
    </row>
    <row r="94" spans="1:4">
      <c r="A94" s="166" t="s">
        <v>1205</v>
      </c>
      <c r="B94" s="167" t="s">
        <v>1206</v>
      </c>
      <c r="C94" s="168">
        <v>53.03</v>
      </c>
      <c r="D94" s="165"/>
    </row>
    <row r="95" spans="1:4">
      <c r="A95" s="166" t="s">
        <v>1207</v>
      </c>
      <c r="B95" s="167" t="s">
        <v>1208</v>
      </c>
      <c r="C95" s="168">
        <v>397.89700000000005</v>
      </c>
      <c r="D95" s="165" t="s">
        <v>1104</v>
      </c>
    </row>
    <row r="96" spans="1:4">
      <c r="A96" s="166" t="s">
        <v>1209</v>
      </c>
      <c r="B96" s="167" t="s">
        <v>1210</v>
      </c>
      <c r="C96" s="763">
        <v>184.4057</v>
      </c>
      <c r="D96" s="165"/>
    </row>
    <row r="97" spans="1:4">
      <c r="A97" s="166" t="s">
        <v>1211</v>
      </c>
      <c r="B97" s="167" t="s">
        <v>1212</v>
      </c>
      <c r="C97" s="168">
        <v>281.16500000000002</v>
      </c>
      <c r="D97" s="165" t="s">
        <v>1104</v>
      </c>
    </row>
    <row r="98" spans="1:4">
      <c r="A98" s="166" t="s">
        <v>1213</v>
      </c>
      <c r="B98" s="167" t="s">
        <v>1214</v>
      </c>
      <c r="C98" s="763">
        <v>194.9496</v>
      </c>
      <c r="D98" s="165" t="s">
        <v>1215</v>
      </c>
    </row>
    <row r="99" spans="1:4">
      <c r="A99" s="166" t="s">
        <v>1216</v>
      </c>
      <c r="B99" s="167" t="s">
        <v>1217</v>
      </c>
      <c r="C99" s="763">
        <v>190.3023</v>
      </c>
      <c r="D99" s="165" t="s">
        <v>1218</v>
      </c>
    </row>
    <row r="100" spans="1:4">
      <c r="A100" s="166" t="s">
        <v>1219</v>
      </c>
      <c r="B100" s="167" t="s">
        <v>1220</v>
      </c>
      <c r="C100" s="763">
        <v>201.63380000000001</v>
      </c>
      <c r="D100" s="165" t="s">
        <v>1221</v>
      </c>
    </row>
    <row r="101" spans="1:4">
      <c r="A101" s="166" t="s">
        <v>1222</v>
      </c>
      <c r="B101" s="167" t="s">
        <v>1223</v>
      </c>
      <c r="C101" s="763">
        <v>405.65129999999999</v>
      </c>
      <c r="D101" s="165"/>
    </row>
    <row r="102" spans="1:4">
      <c r="A102" s="166" t="s">
        <v>1224</v>
      </c>
      <c r="B102" s="167" t="s">
        <v>1225</v>
      </c>
      <c r="C102" s="168">
        <v>439.18599999999998</v>
      </c>
      <c r="D102" s="165" t="s">
        <v>1104</v>
      </c>
    </row>
    <row r="103" spans="1:4">
      <c r="A103" s="166" t="s">
        <v>1226</v>
      </c>
      <c r="B103" s="167" t="s">
        <v>1227</v>
      </c>
      <c r="C103" s="763">
        <v>9.3986999999999998</v>
      </c>
      <c r="D103" s="165"/>
    </row>
    <row r="104" spans="1:4">
      <c r="A104" s="166" t="s">
        <v>1228</v>
      </c>
      <c r="B104" s="167" t="s">
        <v>1229</v>
      </c>
      <c r="C104" s="168">
        <v>4.8721000000000005</v>
      </c>
      <c r="D104" s="165"/>
    </row>
    <row r="105" spans="1:4">
      <c r="A105" s="166" t="s">
        <v>1230</v>
      </c>
      <c r="B105" s="167" t="s">
        <v>1231</v>
      </c>
      <c r="C105" s="168">
        <v>7.05</v>
      </c>
      <c r="D105" s="165"/>
    </row>
    <row r="106" spans="1:4">
      <c r="A106" s="166" t="s">
        <v>1232</v>
      </c>
      <c r="B106" s="167" t="s">
        <v>1233</v>
      </c>
      <c r="C106" s="763">
        <v>4.5205000000000002</v>
      </c>
      <c r="D106" s="165"/>
    </row>
    <row r="107" spans="1:4">
      <c r="A107" s="166" t="s">
        <v>1234</v>
      </c>
      <c r="B107" s="167" t="s">
        <v>1235</v>
      </c>
      <c r="C107" s="763">
        <v>19.767099999999999</v>
      </c>
      <c r="D107" s="165"/>
    </row>
    <row r="108" spans="1:4">
      <c r="A108" s="166" t="s">
        <v>1236</v>
      </c>
      <c r="B108" s="167" t="s">
        <v>0</v>
      </c>
      <c r="C108" s="763">
        <v>10.962</v>
      </c>
      <c r="D108" s="165"/>
    </row>
    <row r="109" spans="1:4">
      <c r="A109" s="166" t="s">
        <v>1</v>
      </c>
      <c r="B109" s="167" t="s">
        <v>2</v>
      </c>
      <c r="C109" s="168">
        <v>50.44</v>
      </c>
      <c r="D109" s="165"/>
    </row>
    <row r="110" spans="1:4">
      <c r="A110" s="166" t="s">
        <v>3</v>
      </c>
      <c r="B110" s="167" t="s">
        <v>4</v>
      </c>
      <c r="C110" s="168">
        <v>32.595999999999997</v>
      </c>
      <c r="D110" s="165"/>
    </row>
    <row r="111" spans="1:4">
      <c r="A111" s="166" t="s">
        <v>5</v>
      </c>
      <c r="B111" s="167" t="s">
        <v>6</v>
      </c>
      <c r="C111" s="168">
        <v>0</v>
      </c>
      <c r="D111" s="165"/>
    </row>
    <row r="112" spans="1:4">
      <c r="A112" s="166" t="s">
        <v>7</v>
      </c>
      <c r="B112" s="167" t="s">
        <v>8</v>
      </c>
      <c r="C112" s="168">
        <v>48.033000000000001</v>
      </c>
      <c r="D112" s="165"/>
    </row>
    <row r="113" spans="1:4">
      <c r="A113" s="166" t="s">
        <v>9</v>
      </c>
      <c r="B113" s="167" t="s">
        <v>10</v>
      </c>
      <c r="C113" s="168">
        <v>73.739000000000004</v>
      </c>
      <c r="D113" s="165"/>
    </row>
    <row r="114" spans="1:4">
      <c r="A114" s="166" t="s">
        <v>11</v>
      </c>
      <c r="B114" s="167" t="s">
        <v>12</v>
      </c>
      <c r="C114" s="168">
        <v>21.07</v>
      </c>
      <c r="D114" s="165"/>
    </row>
    <row r="115" spans="1:4">
      <c r="A115" s="166" t="s">
        <v>13</v>
      </c>
      <c r="B115" s="167" t="s">
        <v>4</v>
      </c>
      <c r="C115" s="168">
        <v>66.37</v>
      </c>
      <c r="D115" s="165"/>
    </row>
    <row r="116" spans="1:4">
      <c r="A116" s="166" t="s">
        <v>14</v>
      </c>
      <c r="B116" s="167" t="s">
        <v>15</v>
      </c>
      <c r="C116" s="168">
        <v>40.698</v>
      </c>
      <c r="D116" s="165"/>
    </row>
    <row r="117" spans="1:4">
      <c r="A117" s="166" t="s">
        <v>18</v>
      </c>
      <c r="B117" s="167" t="s">
        <v>19</v>
      </c>
      <c r="C117" s="168">
        <v>78.674999999999997</v>
      </c>
      <c r="D117" s="165"/>
    </row>
    <row r="118" spans="1:4">
      <c r="A118" s="166" t="s">
        <v>20</v>
      </c>
      <c r="B118" s="167" t="s">
        <v>21</v>
      </c>
      <c r="C118" s="168">
        <v>18.992599999999999</v>
      </c>
      <c r="D118" s="165"/>
    </row>
    <row r="119" spans="1:4">
      <c r="A119" s="166" t="s">
        <v>22</v>
      </c>
      <c r="B119" s="167" t="s">
        <v>23</v>
      </c>
      <c r="C119" s="168">
        <v>16.004000000000001</v>
      </c>
      <c r="D119" s="165"/>
    </row>
    <row r="120" spans="1:4">
      <c r="A120" s="166" t="s">
        <v>24</v>
      </c>
      <c r="B120" s="167" t="s">
        <v>25</v>
      </c>
      <c r="C120" s="168">
        <v>24</v>
      </c>
      <c r="D120" s="165"/>
    </row>
    <row r="121" spans="1:4">
      <c r="A121" s="166" t="s">
        <v>26</v>
      </c>
      <c r="B121" s="167" t="s">
        <v>27</v>
      </c>
      <c r="C121" s="168">
        <v>18.119299999999999</v>
      </c>
      <c r="D121" s="165"/>
    </row>
    <row r="122" spans="1:4">
      <c r="A122" s="166" t="s">
        <v>28</v>
      </c>
      <c r="B122" s="167" t="s">
        <v>29</v>
      </c>
      <c r="C122" s="168">
        <v>25.885000000000002</v>
      </c>
      <c r="D122" s="165"/>
    </row>
    <row r="123" spans="1:4">
      <c r="A123" s="166" t="s">
        <v>30</v>
      </c>
      <c r="B123" s="167" t="s">
        <v>31</v>
      </c>
      <c r="C123" s="168">
        <v>92.87</v>
      </c>
      <c r="D123" s="165"/>
    </row>
    <row r="124" spans="1:4">
      <c r="A124" s="166" t="s">
        <v>32</v>
      </c>
      <c r="B124" s="167" t="s">
        <v>33</v>
      </c>
      <c r="C124" s="168">
        <v>17.5</v>
      </c>
      <c r="D124" s="165"/>
    </row>
    <row r="125" spans="1:4">
      <c r="A125" s="166" t="s">
        <v>34</v>
      </c>
      <c r="B125" s="167" t="s">
        <v>35</v>
      </c>
      <c r="C125" s="168">
        <v>6.25</v>
      </c>
      <c r="D125" s="165"/>
    </row>
    <row r="126" spans="1:4">
      <c r="A126" s="166" t="s">
        <v>36</v>
      </c>
      <c r="B126" s="167" t="s">
        <v>37</v>
      </c>
      <c r="C126" s="168">
        <v>34.363</v>
      </c>
      <c r="D126" s="165"/>
    </row>
    <row r="127" spans="1:4">
      <c r="A127" s="166" t="s">
        <v>38</v>
      </c>
      <c r="B127" s="167" t="s">
        <v>39</v>
      </c>
      <c r="C127" s="168">
        <v>71.31</v>
      </c>
      <c r="D127" s="165"/>
    </row>
    <row r="128" spans="1:4">
      <c r="A128" s="166" t="s">
        <v>40</v>
      </c>
      <c r="B128" s="167" t="s">
        <v>39</v>
      </c>
      <c r="C128" s="168">
        <v>88.614999999999995</v>
      </c>
      <c r="D128" s="165"/>
    </row>
    <row r="129" spans="1:4">
      <c r="A129" s="166" t="s">
        <v>41</v>
      </c>
      <c r="B129" s="167" t="s">
        <v>42</v>
      </c>
      <c r="C129" s="168">
        <v>38.692</v>
      </c>
      <c r="D129" s="165"/>
    </row>
    <row r="130" spans="1:4">
      <c r="A130" s="166" t="s">
        <v>43</v>
      </c>
      <c r="B130" s="167" t="s">
        <v>44</v>
      </c>
      <c r="C130" s="168">
        <v>33.01</v>
      </c>
      <c r="D130" s="165"/>
    </row>
    <row r="131" spans="1:4">
      <c r="A131" s="166" t="s">
        <v>45</v>
      </c>
      <c r="B131" s="167" t="s">
        <v>46</v>
      </c>
      <c r="C131" s="168">
        <v>33.89</v>
      </c>
      <c r="D131" s="165"/>
    </row>
    <row r="132" spans="1:4">
      <c r="A132" s="166" t="s">
        <v>47</v>
      </c>
      <c r="B132" s="167" t="s">
        <v>48</v>
      </c>
      <c r="C132" s="168">
        <v>140.04</v>
      </c>
      <c r="D132" s="165"/>
    </row>
    <row r="133" spans="1:4">
      <c r="A133" s="166" t="s">
        <v>49</v>
      </c>
      <c r="B133" s="167" t="s">
        <v>50</v>
      </c>
      <c r="C133" s="168">
        <v>214.84549999999999</v>
      </c>
      <c r="D133" s="165"/>
    </row>
    <row r="134" spans="1:4">
      <c r="A134" s="166" t="s">
        <v>51</v>
      </c>
      <c r="B134" s="167" t="s">
        <v>52</v>
      </c>
      <c r="C134" s="168">
        <v>191.29</v>
      </c>
      <c r="D134" s="165"/>
    </row>
    <row r="135" spans="1:4">
      <c r="A135" s="166" t="s">
        <v>53</v>
      </c>
      <c r="B135" s="167" t="s">
        <v>54</v>
      </c>
      <c r="C135" s="168">
        <v>31.63</v>
      </c>
      <c r="D135" s="165"/>
    </row>
    <row r="136" spans="1:4">
      <c r="A136" s="166" t="s">
        <v>55</v>
      </c>
      <c r="B136" s="167" t="s">
        <v>56</v>
      </c>
      <c r="C136" s="168">
        <v>40.951000000000001</v>
      </c>
      <c r="D136" s="165"/>
    </row>
    <row r="137" spans="1:4">
      <c r="A137" s="166" t="s">
        <v>57</v>
      </c>
      <c r="B137" s="167" t="s">
        <v>58</v>
      </c>
      <c r="C137" s="168">
        <v>41.164999999999999</v>
      </c>
      <c r="D137" s="165"/>
    </row>
    <row r="138" spans="1:4">
      <c r="A138" s="166" t="s">
        <v>59</v>
      </c>
      <c r="B138" s="167" t="s">
        <v>60</v>
      </c>
      <c r="C138" s="168">
        <v>40.405000000000001</v>
      </c>
      <c r="D138" s="165"/>
    </row>
    <row r="139" spans="1:4">
      <c r="A139" s="166" t="s">
        <v>65</v>
      </c>
      <c r="B139" s="167" t="s">
        <v>66</v>
      </c>
      <c r="C139" s="168">
        <v>31.75</v>
      </c>
      <c r="D139" s="165"/>
    </row>
    <row r="140" spans="1:4">
      <c r="A140" s="166" t="s">
        <v>67</v>
      </c>
      <c r="B140" s="167" t="s">
        <v>68</v>
      </c>
      <c r="C140" s="168">
        <v>40.76</v>
      </c>
      <c r="D140" s="165"/>
    </row>
    <row r="141" spans="1:4">
      <c r="A141" s="166" t="s">
        <v>69</v>
      </c>
      <c r="B141" s="167" t="s">
        <v>70</v>
      </c>
      <c r="C141" s="168">
        <v>36.353299999999997</v>
      </c>
      <c r="D141" s="165"/>
    </row>
    <row r="142" spans="1:4">
      <c r="A142" s="166" t="s">
        <v>71</v>
      </c>
      <c r="B142" s="167" t="s">
        <v>60</v>
      </c>
      <c r="C142" s="168">
        <v>48.16</v>
      </c>
      <c r="D142" s="165"/>
    </row>
    <row r="143" spans="1:4">
      <c r="A143" s="166" t="s">
        <v>72</v>
      </c>
      <c r="B143" s="167" t="s">
        <v>73</v>
      </c>
      <c r="C143" s="763">
        <v>1.0288999999999999</v>
      </c>
      <c r="D143" s="165"/>
    </row>
    <row r="146" spans="5:5">
      <c r="E146" s="169"/>
    </row>
  </sheetData>
  <phoneticPr fontId="5" type="noConversion"/>
  <printOptions horizontalCentered="1"/>
  <pageMargins left="0.25" right="0.25" top="0.75" bottom="0.75" header="0.5" footer="0.5"/>
  <pageSetup fitToHeight="3" orientation="portrait" verticalDpi="1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B90F1B5607C74BB9C830BB25E50669" ma:contentTypeVersion="55" ma:contentTypeDescription="Create a new document." ma:contentTypeScope="" ma:versionID="d6e52b21690fa7b5c978f34ab5efd2e2">
  <xsd:schema xmlns:xsd="http://www.w3.org/2001/XMLSchema" xmlns:p="http://schemas.microsoft.com/office/2006/metadata/properties" xmlns:ns2="822eb48b-4086-4975-a416-616e3b543b70" targetNamespace="http://schemas.microsoft.com/office/2006/metadata/properties" ma:root="true" ma:fieldsID="3b053c320a80724c34dc6ff8ff152b76" ns2:_="">
    <xsd:import namespace="822eb48b-4086-4975-a416-616e3b543b70"/>
    <xsd:element name="properties">
      <xsd:complexType>
        <xsd:sequence>
          <xsd:element name="documentManagement">
            <xsd:complexType>
              <xsd:all>
                <xsd:element ref="ns2:IR_Requester" minOccurs="0"/>
                <xsd:element ref="ns2:IR_Responder" minOccurs="0"/>
                <xsd:element ref="ns2:IR_Writer" minOccurs="0"/>
                <xsd:element ref="ns2:IR_Owner" minOccurs="0"/>
                <xsd:element ref="ns2:IR_Context" minOccurs="0"/>
                <xsd:element ref="ns2:IR_Subtopic" minOccurs="0"/>
                <xsd:element ref="ns2:IR_Witness" minOccurs="0"/>
                <xsd:element ref="ns2:IR_Status" minOccurs="0"/>
                <xsd:element ref="ns2:IR_Received_Date" minOccurs="0"/>
                <xsd:element ref="ns2:IR_Filing_Date" minOccurs="0"/>
                <xsd:element ref="ns2:IR_Review_Sort" minOccurs="0"/>
                <xsd:element ref="ns2:IR_Description_Field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822eb48b-4086-4975-a416-616e3b543b70" elementFormDefault="qualified">
    <xsd:import namespace="http://schemas.microsoft.com/office/2006/documentManagement/types"/>
    <xsd:element name="IR_Requester" ma:index="2" nillable="true" ma:displayName="IR_Requester" ma:description="Indicate the Organization that requested the IR when uploading documents or attachments." ma:list="{464fe624-c507-4086-8888-e519c66fb475}" ma:internalName="IR_Requester" ma:readOnly="false" ma:showField="Title">
      <xsd:simpleType>
        <xsd:restriction base="dms:Lookup"/>
      </xsd:simpleType>
    </xsd:element>
    <xsd:element name="IR_Responder" ma:index="3" nillable="true" ma:displayName="IR_Responder" ma:description="Filled in automatically." ma:list="{464fe624-c507-4086-8888-e519c66fb475}" ma:internalName="IR_Responder" ma:readOnly="false" ma:showField="Title">
      <xsd:simpleType>
        <xsd:restriction base="dms:Lookup"/>
      </xsd:simpleType>
    </xsd:element>
    <xsd:element name="IR_Writer" ma:index="4" nillable="true" ma:displayName="IR_Writer" ma:description="Indicate the IR Writer when uploading documents or attachments." ma:list="UserInfo" ma:internalName="IR_Writ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Owner" ma:index="5" nillable="true" ma:displayName="IR_Owner" ma:description="Indicate the IR owner when uploading documents or attachments." ma:list="UserInfo" ma:internalName="IR_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Context" ma:index="6" nillable="true" ma:displayName="IR_Topic" ma:description="Owner to specify the IR topic." ma:list="{611c999e-c140-417a-870a-60967b95bee9}" ma:internalName="IR_Context" ma:readOnly="false" ma:showField="Title">
      <xsd:simpleType>
        <xsd:restriction base="dms:Lookup"/>
      </xsd:simpleType>
    </xsd:element>
    <xsd:element name="IR_Subtopic" ma:index="7" nillable="true" ma:displayName="IR_Subtopic" ma:description="Owner to specify the IR subtopic." ma:list="{91b8423b-b1bf-46c1-8e52-5d6718047fdd}" ma:internalName="IR_Subtopic" ma:readOnly="false" ma:showField="Title">
      <xsd:simpleType>
        <xsd:restriction base="dms:Lookup"/>
      </xsd:simpleType>
    </xsd:element>
    <xsd:element name="IR_Witness" ma:index="8" nillable="true" ma:displayName="IR_Reviewers" ma:list="UserInfo" ma:internalName="IR_Witness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Status" ma:index="9" nillable="true" ma:displayName="IR_Status" ma:description="Filled in automatically.  Default status is 02a Writers - Write." ma:list="{90463e44-9153-443e-9356-798682429b83}" ma:internalName="IR_Status" ma:readOnly="false" ma:showField="Title">
      <xsd:simpleType>
        <xsd:restriction base="dms:Lookup"/>
      </xsd:simpleType>
    </xsd:element>
    <xsd:element name="IR_Received_Date" ma:index="10" nillable="true" ma:displayName="IR_Received_Date" ma:default="2012-06-11T14:00:00Z" ma:description="Filled in automatically." ma:format="DateOnly" ma:internalName="IR_Received_Date">
      <xsd:simpleType>
        <xsd:restriction base="dms:DateTime"/>
      </xsd:simpleType>
    </xsd:element>
    <xsd:element name="IR_Filing_Date" ma:index="11" nillable="true" ma:displayName="IR_Filing_Date" ma:default="2012-06-25T14:00:00Z" ma:description="Filled in automatically." ma:format="DateOnly" ma:internalName="IR_Filing_Date">
      <xsd:simpleType>
        <xsd:restriction base="dms:DateTime"/>
      </xsd:simpleType>
    </xsd:element>
    <xsd:element name="IR_Review_Sort" ma:index="12" nillable="true" ma:displayName="IR_Review_Sorting" ma:description="Completed by Regulatory." ma:format="Dropdown" ma:internalName="IR_Review_Sort">
      <xsd:simpleType>
        <xsd:restriction base="dms:Choice">
          <xsd:enumeration value="completed by RA"/>
          <xsd:enumeration value="Avon IR 001-025"/>
          <xsd:enumeration value="Avon IR 026-050"/>
          <xsd:enumeration value="Avon IR 051-075"/>
          <xsd:enumeration value="Avon IR 076-100"/>
          <xsd:enumeration value="Booth IR 001-025"/>
          <xsd:enumeration value="Bowater IR 001-025"/>
          <xsd:enumeration value="Bowater IR 026-050"/>
          <xsd:enumeration value="CA IR 001-025"/>
          <xsd:enumeration value="CA IR 026-050"/>
          <xsd:enumeration value="CA IR 051-075"/>
          <xsd:enumeration value="CA IR 076-100"/>
          <xsd:enumeration value="Eckler IR 001-025"/>
          <xsd:enumeration value="HRM IR 001-025"/>
          <xsd:enumeration value="HRM IR 026-050"/>
          <xsd:enumeration value="Larkin IR 001-025"/>
          <xsd:enumeration value="Liberal IR 001-025"/>
          <xsd:enumeration value="Liberty IR 001-025"/>
          <xsd:enumeration value="Liberty IR 026-050"/>
          <xsd:enumeration value="Liberty IR 051-075"/>
          <xsd:enumeration value="Liberty IR 076-100"/>
          <xsd:enumeration value="Multeese IR 001-025"/>
          <xsd:enumeration value="Multeese IR 026-050"/>
          <xsd:enumeration value="Multeese IR 051-075"/>
          <xsd:enumeration value="MEU IR 001-025"/>
          <xsd:enumeration value="MEU IR 026-050"/>
          <xsd:enumeration value="NSDOE IR 001-025"/>
          <xsd:enumeration value="NSE IR 001-025"/>
          <xsd:enumeration value="NSUARB IR 001-025"/>
          <xsd:enumeration value="NSUARB IR 026-050"/>
          <xsd:enumeration value="PC IR 001-025"/>
          <xsd:enumeration value="SBA IR 001-025"/>
          <xsd:enumeration value="SBA IR 026-050"/>
          <xsd:enumeration value="SBA IR 051-075"/>
          <xsd:enumeration value="Synapse IR 001-025"/>
          <xsd:enumeration value="Test IR 001-025"/>
        </xsd:restriction>
      </xsd:simpleType>
    </xsd:element>
    <xsd:element name="IR_Description_Field" ma:index="13" nillable="true" ma:displayName="IR_Description" ma:description="Regulatory to provide a description of each IR" ma:internalName="IR_Description_Field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7" ma:displayName="Content Type" ma:readOnly="tru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R_Responder xmlns="822eb48b-4086-4975-a416-616e3b543b70">15</IR_Responder>
    <IR_Owner xmlns="822eb48b-4086-4975-a416-616e3b543b70">
      <UserInfo>
        <DisplayName>GRUS, VOYTEK</DisplayName>
        <AccountId>48</AccountId>
        <AccountType/>
      </UserInfo>
    </IR_Owner>
    <IR_Subtopic xmlns="822eb48b-4086-4975-a416-616e3b543b70">227</IR_Subtopic>
    <IR_Witness xmlns="822eb48b-4086-4975-a416-616e3b543b70">
      <UserInfo>
        <DisplayName>MCADAM, ROBIN</DisplayName>
        <AccountId>139</AccountId>
        <AccountType/>
      </UserInfo>
    </IR_Witness>
    <IR_Filing_Date xmlns="822eb48b-4086-4975-a416-616e3b543b70">2012-06-25T03:00:00+00:00</IR_Filing_Date>
    <IR_Received_Date xmlns="822eb48b-4086-4975-a416-616e3b543b70">2012-06-11T03:00:00+00:00</IR_Received_Date>
    <IR_Description_Field xmlns="822eb48b-4086-4975-a416-616e3b543b70" xsi:nil="true"/>
    <IR_Writer xmlns="822eb48b-4086-4975-a416-616e3b543b70">
      <UserInfo>
        <DisplayName>POWER, LISA</DisplayName>
        <AccountId>343</AccountId>
        <AccountType/>
      </UserInfo>
    </IR_Writer>
    <IR_Context xmlns="822eb48b-4086-4975-a416-616e3b543b70">33</IR_Context>
    <IR_Status xmlns="822eb48b-4086-4975-a416-616e3b543b70">20</IR_Status>
    <IR_Review_Sort xmlns="822eb48b-4086-4975-a416-616e3b543b70">HRM IR 001-025</IR_Review_Sort>
    <IR_Requester xmlns="822eb48b-4086-4975-a416-616e3b543b70">11</IR_Requester>
  </documentManagement>
</p:properties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Props1.xml><?xml version="1.0" encoding="utf-8"?>
<ds:datastoreItem xmlns:ds="http://schemas.openxmlformats.org/officeDocument/2006/customXml" ds:itemID="{E44968F0-BE91-4052-9F0A-08B5D7B9EEF1}"/>
</file>

<file path=customXml/itemProps2.xml><?xml version="1.0" encoding="utf-8"?>
<ds:datastoreItem xmlns:ds="http://schemas.openxmlformats.org/officeDocument/2006/customXml" ds:itemID="{6ADC3875-42DD-4377-AC6C-92DA431861C9}"/>
</file>

<file path=customXml/itemProps3.xml><?xml version="1.0" encoding="utf-8"?>
<ds:datastoreItem xmlns:ds="http://schemas.openxmlformats.org/officeDocument/2006/customXml" ds:itemID="{6B9B8343-2F51-4B87-81E7-097F88A7F84A}"/>
</file>

<file path=customXml/itemProps4.xml><?xml version="1.0" encoding="utf-8"?>
<ds:datastoreItem xmlns:ds="http://schemas.openxmlformats.org/officeDocument/2006/customXml" ds:itemID="{D6189DAD-1233-40F3-91BB-F1FE90B23D3E}"/>
</file>

<file path=customXml/itemProps5.xml><?xml version="1.0" encoding="utf-8"?>
<ds:datastoreItem xmlns:ds="http://schemas.openxmlformats.org/officeDocument/2006/customXml" ds:itemID="{D012B9B4-86CF-495A-8FFB-F9C242C2EE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23</vt:i4>
      </vt:variant>
    </vt:vector>
  </HeadingPairs>
  <TitlesOfParts>
    <vt:vector size="40" baseType="lpstr">
      <vt:lpstr>2012 Rev Reconciliation</vt:lpstr>
      <vt:lpstr>Schedule 1</vt:lpstr>
      <vt:lpstr>Schedule 2</vt:lpstr>
      <vt:lpstr>Schedule 3</vt:lpstr>
      <vt:lpstr>Schedule 4</vt:lpstr>
      <vt:lpstr>Schedule 5</vt:lpstr>
      <vt:lpstr>Schedule 5A</vt:lpstr>
      <vt:lpstr>Schedule 6</vt:lpstr>
      <vt:lpstr>Schedule 7</vt:lpstr>
      <vt:lpstr>Schedule 8</vt:lpstr>
      <vt:lpstr>Schedule 9</vt:lpstr>
      <vt:lpstr>Schedule 10</vt:lpstr>
      <vt:lpstr>StLgt Assets</vt:lpstr>
      <vt:lpstr>2012 Unpublished Rates</vt:lpstr>
      <vt:lpstr>HPS LED rates</vt:lpstr>
      <vt:lpstr>2012 Stlgt Rates</vt:lpstr>
      <vt:lpstr>2012 Rates</vt:lpstr>
      <vt:lpstr>'2012 Rates'!Print_Area</vt:lpstr>
      <vt:lpstr>'2012 Rev Reconciliation'!Print_Area</vt:lpstr>
      <vt:lpstr>'2012 Stlgt Rates'!Print_Area</vt:lpstr>
      <vt:lpstr>'2012 Unpublished Rates'!Print_Area</vt:lpstr>
      <vt:lpstr>'HPS LED rates'!Print_Area</vt:lpstr>
      <vt:lpstr>'Schedule 1'!Print_Area</vt:lpstr>
      <vt:lpstr>'Schedule 10'!Print_Area</vt:lpstr>
      <vt:lpstr>'Schedule 2'!Print_Area</vt:lpstr>
      <vt:lpstr>'Schedule 3'!Print_Area</vt:lpstr>
      <vt:lpstr>'Schedule 4'!Print_Area</vt:lpstr>
      <vt:lpstr>'Schedule 5'!Print_Area</vt:lpstr>
      <vt:lpstr>'Schedule 5A'!Print_Area</vt:lpstr>
      <vt:lpstr>'Schedule 6'!Print_Area</vt:lpstr>
      <vt:lpstr>'Schedule 7'!Print_Area</vt:lpstr>
      <vt:lpstr>'Schedule 8'!Print_Area</vt:lpstr>
      <vt:lpstr>'Schedule 9'!Print_Area</vt:lpstr>
      <vt:lpstr>'StLgt Assets'!Print_Area</vt:lpstr>
      <vt:lpstr>'2012 Rates'!Print_Titles</vt:lpstr>
      <vt:lpstr>'2012 Stlgt Rates'!Print_Titles</vt:lpstr>
      <vt:lpstr>'2012 Unpublished Rates'!Print_Titles</vt:lpstr>
      <vt:lpstr>'HPS LED rates'!Print_Titles</vt:lpstr>
      <vt:lpstr>'Schedule 7'!Print_Titles</vt:lpstr>
      <vt:lpstr>'Schedule 9'!Print_Titles</vt:lpstr>
    </vt:vector>
  </TitlesOfParts>
  <Company>EMERA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Clarissa Jamieson</dc:creator>
  <cp:lastModifiedBy>STAPLETON, VICTORIA</cp:lastModifiedBy>
  <cp:lastPrinted>2012-06-24T18:32:34Z</cp:lastPrinted>
  <dcterms:created xsi:type="dcterms:W3CDTF">2010-02-05T13:23:38Z</dcterms:created>
  <dcterms:modified xsi:type="dcterms:W3CDTF">2012-06-24T18:32:42Z</dcterms:modified>
  <cp:contentType>Document</cp:contentTyp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flowCreationPath">
    <vt:lpwstr>ccae7124-5fa8-4cd4-971b-8551cd07147b,2;ccae7124-5fa8-4cd4-971b-8551cd07147b,2;</vt:lpwstr>
  </property>
  <property fmtid="{D5CDD505-2E9C-101B-9397-08002B2CF9AE}" pid="3" name="MetadataSecurityLog">
    <vt:lpwstr>&lt;Log Date="-8588610193566485077" Reason="ItemUpdated" Error=""&gt;&lt;Rule Message="" Name="Admin" /&gt;&lt;/Log&gt;</vt:lpwstr>
  </property>
  <property fmtid="{D5CDD505-2E9C-101B-9397-08002B2CF9AE}" pid="4" name="display_urn:schemas-microsoft-com:office:office#IR_Owner">
    <vt:lpwstr>GRUS, VOYTEK</vt:lpwstr>
  </property>
  <property fmtid="{D5CDD505-2E9C-101B-9397-08002B2CF9AE}" pid="5" name="display_urn:schemas-microsoft-com:office:office#IR_Writer">
    <vt:lpwstr>POWER, LISA</vt:lpwstr>
  </property>
  <property fmtid="{D5CDD505-2E9C-101B-9397-08002B2CF9AE}" pid="6" name="ContentType">
    <vt:lpwstr>Document</vt:lpwstr>
  </property>
  <property fmtid="{D5CDD505-2E9C-101B-9397-08002B2CF9AE}" pid="7" name="Order">
    <vt:r8>89200</vt:r8>
  </property>
  <property fmtid="{D5CDD505-2E9C-101B-9397-08002B2CF9AE}" pid="8" name="display_urn:schemas-microsoft-com:office:office#IR_Witness">
    <vt:lpwstr>MCADAM, ROBIN</vt:lpwstr>
  </property>
  <property fmtid="{D5CDD505-2E9C-101B-9397-08002B2CF9AE}" pid="9" name="ContentTypeId">
    <vt:lpwstr>0x01010057B90F1B5607C74BB9C830BB25E50669</vt:lpwstr>
  </property>
</Properties>
</file>